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hidePivotFieldList="1" defaultThemeVersion="124226"/>
  <bookViews>
    <workbookView xWindow="225" yWindow="-240" windowWidth="12360" windowHeight="7935" activeTab="2"/>
  </bookViews>
  <sheets>
    <sheet name="Curva" sheetId="3" r:id="rId1"/>
    <sheet name="NTN-B" sheetId="6" r:id="rId2"/>
    <sheet name="NTN-F" sheetId="1" r:id="rId3"/>
    <sheet name="AuxilioDados" sheetId="9" r:id="rId4"/>
    <sheet name="Emails" sheetId="24" r:id="rId5"/>
    <sheet name="dadosexternosBMF_1" sheetId="8" r:id="rId6"/>
    <sheet name="Indicadores" sheetId="25" r:id="rId7"/>
    <sheet name="ANDIMANTN-F" sheetId="11" r:id="rId8"/>
    <sheet name="ANDIMANTN-B" sheetId="12" r:id="rId9"/>
    <sheet name="LTN" sheetId="21" r:id="rId10"/>
    <sheet name="FERIADOS" sheetId="7" r:id="rId11"/>
    <sheet name="Plan2" sheetId="23" r:id="rId12"/>
    <sheet name="Plan1" sheetId="26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</externalReferences>
  <definedNames>
    <definedName name="\a" localSheetId="6">#REF!</definedName>
    <definedName name="\a">#REF!</definedName>
    <definedName name="\i" localSheetId="6">#REF!</definedName>
    <definedName name="\i">#REF!</definedName>
    <definedName name="_r" localSheetId="6">#REF!</definedName>
    <definedName name="_r">#REF!</definedName>
    <definedName name="_TAB11" localSheetId="6">#REF!</definedName>
    <definedName name="_TAB11">#REF!</definedName>
    <definedName name="_TAB12" localSheetId="6">#REF!</definedName>
    <definedName name="_TAB12">#REF!</definedName>
    <definedName name="_TAB13" localSheetId="6">#REF!</definedName>
    <definedName name="_TAB13">#REF!</definedName>
    <definedName name="_TAB14" localSheetId="6">#REF!</definedName>
    <definedName name="_TAB14">#REF!</definedName>
    <definedName name="_TAB15" localSheetId="6">#REF!</definedName>
    <definedName name="_TAB15">#REF!</definedName>
    <definedName name="_TAB16" localSheetId="6">#REF!</definedName>
    <definedName name="_TAB16">#REF!</definedName>
    <definedName name="_TAB17" localSheetId="6">#REF!</definedName>
    <definedName name="_TAB17">#REF!</definedName>
    <definedName name="_TAB2" localSheetId="6">#REF!</definedName>
    <definedName name="_TAB2">#REF!</definedName>
    <definedName name="_TAB3" localSheetId="6">#REF!</definedName>
    <definedName name="_TAB3">#REF!</definedName>
    <definedName name="_TAB4" localSheetId="6">#REF!</definedName>
    <definedName name="_TAB4">#REF!</definedName>
    <definedName name="_TAB91" localSheetId="6">#REF!</definedName>
    <definedName name="_TAB91">#REF!</definedName>
    <definedName name="_TAB92" localSheetId="6">#REF!</definedName>
    <definedName name="_TAB92">#REF!</definedName>
    <definedName name="_TAB93" localSheetId="6">#REF!</definedName>
    <definedName name="_TAB93">#REF!</definedName>
    <definedName name="_TAB94" localSheetId="6">#REF!</definedName>
    <definedName name="_TAB94">#REF!</definedName>
    <definedName name="_TAB95" localSheetId="6">#REF!</definedName>
    <definedName name="_TAB95">#REF!</definedName>
    <definedName name="_TAB96" localSheetId="6">#REF!</definedName>
    <definedName name="_TAB96">#REF!</definedName>
    <definedName name="_TAB97" localSheetId="6">#REF!</definedName>
    <definedName name="_TAB97">#REF!</definedName>
    <definedName name="_TAB98" localSheetId="6">#REF!</definedName>
    <definedName name="_TAB98">#REF!</definedName>
    <definedName name="abc" localSheetId="6">#REF!</definedName>
    <definedName name="abc">#REF!</definedName>
    <definedName name="_xlnm.Print_Area" localSheetId="0">Curva!#REF!</definedName>
    <definedName name="_xlnm.Print_Area" localSheetId="4">Emails!$Q$24:$Z$70</definedName>
    <definedName name="_xlnm.Print_Area" localSheetId="1">'NTN-B'!$B$53:$F$59</definedName>
    <definedName name="BLPI1" localSheetId="6" hidden="1">#REF!</definedName>
    <definedName name="BLPI1" hidden="1">#REF!</definedName>
    <definedName name="BLPI2" localSheetId="6" hidden="1">#REF!</definedName>
    <definedName name="BLPI2" hidden="1">#REF!</definedName>
    <definedName name="BLPI3" localSheetId="6" hidden="1">#REF!</definedName>
    <definedName name="BLPI3" localSheetId="9" hidden="1">#REF!</definedName>
    <definedName name="BLPI3" hidden="1">#REF!</definedName>
    <definedName name="BLPI4" localSheetId="6" hidden="1">#REF!</definedName>
    <definedName name="BLPI4" localSheetId="9" hidden="1">#REF!</definedName>
    <definedName name="BLPI4" hidden="1">#REF!</definedName>
    <definedName name="BLPI5" localSheetId="6" hidden="1">[1]Sheet2!#REF!</definedName>
    <definedName name="BLPI5" localSheetId="9" hidden="1">[2]Sheet2!#REF!</definedName>
    <definedName name="BLPI5" hidden="1">[2]Sheet2!#REF!</definedName>
    <definedName name="BLPI6" localSheetId="6" hidden="1">[1]Sheet2!#REF!</definedName>
    <definedName name="BLPI6" localSheetId="9" hidden="1">[2]Sheet2!#REF!</definedName>
    <definedName name="BLPI6" hidden="1">[2]Sheet2!#REF!</definedName>
    <definedName name="BLPI7" localSheetId="6" hidden="1">[3]Sheet2!$G$4</definedName>
    <definedName name="BLPI7" hidden="1">[4]Sheet2!$G$4</definedName>
    <definedName name="BLPI8" localSheetId="6" hidden="1">[3]Sheet2!$H$4</definedName>
    <definedName name="BLPI8" hidden="1">[4]Sheet2!$H$4</definedName>
    <definedName name="BondsTabela">Emails!$Q$24:$Z$69</definedName>
    <definedName name="CÓDIGOS">[5]Plan4!$E$8:$G$31</definedName>
    <definedName name="CURVAS" localSheetId="6">[6]GERAL!$AF$8:$AQ$655</definedName>
    <definedName name="CURVAS">[7]GERAL!$AF$8:$AQ$655</definedName>
    <definedName name="d" localSheetId="6">#REF!</definedName>
    <definedName name="d">#REF!</definedName>
    <definedName name="dadosexternosBMF_1" localSheetId="8">'ANDIMANTN-B'!$A$1:$K$19</definedName>
    <definedName name="dadosexternosBMF_1" localSheetId="7">'ANDIMANTN-F'!$A$1:$K$10</definedName>
    <definedName name="dadosexternosBMF_1" localSheetId="3">AuxilioDados!#REF!</definedName>
    <definedName name="dadosexternosBMF_1" localSheetId="5">dadosexternosBMF_1!$A$1:$F$198</definedName>
    <definedName name="dadosexternosBMF_1" localSheetId="9">LTN!$A$1:$K$16</definedName>
    <definedName name="dadosexternosBMF_2" localSheetId="8">'ANDIMANTN-B'!$A$1:$K$19</definedName>
    <definedName name="dadosexternosBMF_2" localSheetId="7">'ANDIMANTN-F'!$A$1:$K$11</definedName>
    <definedName name="dadosexternosBMF_2" localSheetId="5">dadosexternosBMF_1!$A$1:$F$197</definedName>
    <definedName name="dadosexternosBMF_2" localSheetId="9">LTN!$A$1:$K$17</definedName>
    <definedName name="dadosexternosBMF_3" localSheetId="8">'ANDIMANTN-B'!$A$1:$K$20</definedName>
    <definedName name="dadosexternosBMF_3" localSheetId="7">'ANDIMANTN-F'!$A$1:$K$10</definedName>
    <definedName name="dadosexternosBMF_3" localSheetId="5">dadosexternosBMF_1!$A$1:$F$197</definedName>
    <definedName name="dadosexternosBMF_3" localSheetId="9">LTN!$A$1:$K$16</definedName>
    <definedName name="dadosexternosBMF_4" localSheetId="8">'ANDIMANTN-B'!$A$1:$K$19</definedName>
    <definedName name="dadosexternosBMF_4" localSheetId="7">'ANDIMANTN-F'!$A$1:$K$10</definedName>
    <definedName name="dadosexternosBMF_4" localSheetId="5">dadosexternosBMF_1!$A$1:$F$197</definedName>
    <definedName name="dadosexternosBMF_4" localSheetId="9">LTN!$A$1:$K$16</definedName>
    <definedName name="DAYS_VOL">[8]LINKS!$BA$4:$BA$143</definedName>
    <definedName name="del" localSheetId="6">#REF!</definedName>
    <definedName name="del">#REF!</definedName>
    <definedName name="DI_FUTURO" localSheetId="6">#REF!</definedName>
    <definedName name="DI_FUTURO">#REF!</definedName>
    <definedName name="dt" localSheetId="6">#REF!</definedName>
    <definedName name="dt">#REF!</definedName>
    <definedName name="FER" localSheetId="6">#REF!</definedName>
    <definedName name="FER">#REF!</definedName>
    <definedName name="FERIADOS" localSheetId="6">'[9]NTN-C'!$Q$18:$Q$401</definedName>
    <definedName name="FERIADOS">'[10]NTN-C'!$Q$18:$Q$401</definedName>
    <definedName name="HolCDI">[11]Holiday!$A$3:$A$131</definedName>
    <definedName name="holidays">[12]Aux!$B$3:$B$91</definedName>
    <definedName name="HOLLIDAY_BRL">[8]LINKS!$AZ$4:$AZ$130</definedName>
    <definedName name="HolVol">[11]Holiday!$B$3:$B$131</definedName>
    <definedName name="indicadoresFinanceiros1" localSheetId="6">Indicadores!$A$1:$J$103</definedName>
    <definedName name="K" localSheetId="6">#REF!</definedName>
    <definedName name="K">#REF!</definedName>
    <definedName name="m">#REF!</definedName>
    <definedName name="MENU" localSheetId="6">#REF!</definedName>
    <definedName name="MENU">#REF!</definedName>
    <definedName name="MENU2" localSheetId="6">#REF!</definedName>
    <definedName name="MENU2">#REF!</definedName>
    <definedName name="MOVE" localSheetId="6">#REF!</definedName>
    <definedName name="MOVE">#REF!</definedName>
    <definedName name="natureza" localSheetId="6">[13]Termo!$G$3:$G$4</definedName>
    <definedName name="natureza">#REF!</definedName>
    <definedName name="OPT_STK_MAT">[8]LINKS!$BY$3:$CH$5000</definedName>
    <definedName name="p" localSheetId="6">#REF!</definedName>
    <definedName name="p" localSheetId="9">[14]FERIADOS!#REF!</definedName>
    <definedName name="p">[14]FERIADOS!#REF!</definedName>
    <definedName name="PEX" localSheetId="6">#REF!</definedName>
    <definedName name="PEX">#REF!</definedName>
    <definedName name="PRE">[8]LINKS!$AF$6:$AG$1500</definedName>
    <definedName name="q" localSheetId="6">#REF!</definedName>
    <definedName name="q" localSheetId="9">[14]FERIADOS!#REF!</definedName>
    <definedName name="q">[14]FERIADOS!#REF!</definedName>
    <definedName name="rf" localSheetId="6">#REF!</definedName>
    <definedName name="rf" localSheetId="9">[14]FERIADOS!#REF!</definedName>
    <definedName name="rf">[14]FERIADOS!#REF!</definedName>
    <definedName name="S" localSheetId="6">#REF!</definedName>
    <definedName name="S" localSheetId="9">[14]FERIADOS!#REF!</definedName>
    <definedName name="S">[14]FERIADOS!#REF!</definedName>
    <definedName name="T" localSheetId="6">#REF!</definedName>
    <definedName name="T" localSheetId="9">[14]FERIADOS!#REF!</definedName>
    <definedName name="T">[14]FERIADOS!#REF!</definedName>
    <definedName name="TABCDI" localSheetId="6">#REF!</definedName>
    <definedName name="TABCDI">#REF!</definedName>
    <definedName name="TABIND" localSheetId="6">#REF!</definedName>
    <definedName name="TABIND">#REF!</definedName>
    <definedName name="TESTE" localSheetId="6">[15]HISTÓRICO!#REF!</definedName>
    <definedName name="TESTE" localSheetId="9">[15]HISTÓRICO!#REF!</definedName>
    <definedName name="TESTE">[15]HISTÓRICO!#REF!</definedName>
    <definedName name="tipo" localSheetId="6">#REF!</definedName>
    <definedName name="tipo" localSheetId="9">[14]FERIADOS!#REF!</definedName>
    <definedName name="tipo">[14]FERIADOS!#REF!</definedName>
    <definedName name="tipos" localSheetId="6">[13]Termo!$G$1:$G$2</definedName>
    <definedName name="tipos">#REF!</definedName>
    <definedName name="TODAY">[16]Aux!$K$42</definedName>
    <definedName name="u" localSheetId="6">#REF!</definedName>
    <definedName name="u">#REF!</definedName>
    <definedName name="vol" localSheetId="6">#REF!</definedName>
    <definedName name="vol" localSheetId="9">[14]FERIADOS!#REF!</definedName>
    <definedName name="vol">[14]FERIADOS!#REF!</definedName>
    <definedName name="VOLATIL" localSheetId="6">#REF!</definedName>
    <definedName name="VOLATIL">#REF!</definedName>
    <definedName name="X" localSheetId="6">#REF!</definedName>
    <definedName name="X" localSheetId="9">[14]FERIADOS!#REF!</definedName>
    <definedName name="X">[14]FERIADOS!#REF!</definedName>
  </definedNames>
  <calcPr calcId="145621"/>
</workbook>
</file>

<file path=xl/calcChain.xml><?xml version="1.0" encoding="utf-8"?>
<calcChain xmlns="http://schemas.openxmlformats.org/spreadsheetml/2006/main">
  <c r="A1" i="3" l="1"/>
  <c r="B1" i="3"/>
  <c r="D1" i="3"/>
  <c r="C1" i="3"/>
  <c r="H2" i="3"/>
  <c r="H1" i="3"/>
  <c r="K1" i="3"/>
  <c r="L1" i="3"/>
  <c r="V1" i="3"/>
  <c r="B2" i="3"/>
  <c r="D2" i="3"/>
  <c r="M2" i="3"/>
  <c r="C13" i="3"/>
  <c r="U2" i="3"/>
  <c r="V2" i="3"/>
  <c r="W8" i="3"/>
  <c r="AD8" i="3"/>
  <c r="W2" i="3" l="1"/>
  <c r="AE2" i="3"/>
  <c r="M3" i="3"/>
  <c r="BG3" i="3"/>
  <c r="W4" i="3"/>
  <c r="BF4" i="3"/>
  <c r="C4" i="3"/>
  <c r="C3" i="3"/>
  <c r="G3" i="3"/>
  <c r="S3" i="3"/>
  <c r="V3" i="3"/>
  <c r="AG3" i="3"/>
  <c r="AI3" i="3" s="1"/>
  <c r="AH3" i="3"/>
  <c r="W5" i="3"/>
  <c r="BF5" i="3"/>
  <c r="W6" i="3" l="1"/>
  <c r="BF6" i="3"/>
  <c r="W7" i="3"/>
  <c r="BF7" i="3"/>
  <c r="BF8" i="3"/>
  <c r="W9" i="3"/>
  <c r="BF9" i="3"/>
  <c r="W10" i="3"/>
  <c r="BF10" i="3"/>
  <c r="W11" i="3"/>
  <c r="BF11" i="3"/>
  <c r="W12" i="3"/>
  <c r="BF12" i="3"/>
  <c r="W13" i="3"/>
  <c r="BF13" i="3"/>
  <c r="W14" i="3"/>
  <c r="BF14" i="3"/>
  <c r="W15" i="3"/>
  <c r="BF15" i="3"/>
  <c r="W16" i="3"/>
  <c r="BF16" i="3"/>
  <c r="W17" i="3"/>
  <c r="BF17" i="3"/>
  <c r="W18" i="3"/>
  <c r="BF18" i="3"/>
  <c r="W19" i="3"/>
  <c r="BF19" i="3"/>
  <c r="W20" i="3"/>
  <c r="BF20" i="3"/>
  <c r="W21" i="3"/>
  <c r="BF21" i="3"/>
  <c r="W22" i="3"/>
  <c r="BF22" i="3"/>
  <c r="W23" i="3"/>
  <c r="BF23" i="3"/>
  <c r="W24" i="3"/>
  <c r="BF24" i="3"/>
  <c r="W25" i="3"/>
  <c r="BF25" i="3"/>
  <c r="W26" i="3"/>
  <c r="BF26" i="3"/>
  <c r="W27" i="3"/>
  <c r="BF27" i="3"/>
  <c r="W28" i="3"/>
  <c r="BF28" i="3"/>
  <c r="W29" i="3"/>
  <c r="BF29" i="3"/>
  <c r="W30" i="3"/>
  <c r="BF30" i="3"/>
  <c r="W31" i="3"/>
  <c r="BF31" i="3"/>
  <c r="W32" i="3"/>
  <c r="BF32" i="3"/>
  <c r="W33" i="3"/>
  <c r="BF33" i="3"/>
  <c r="W34" i="3"/>
  <c r="BF34" i="3"/>
  <c r="BF3" i="3"/>
  <c r="B4" i="3"/>
  <c r="Y4" i="3"/>
  <c r="D4" i="3"/>
  <c r="Z4" i="3"/>
  <c r="E4" i="3"/>
  <c r="AA4" i="3"/>
  <c r="F4" i="3"/>
  <c r="I4" i="3"/>
  <c r="J4" i="3"/>
  <c r="S4" i="3"/>
  <c r="V4" i="3"/>
  <c r="X4" i="3"/>
  <c r="AB4" i="3"/>
  <c r="AC4" i="3"/>
  <c r="AD4" i="3"/>
  <c r="AE4" i="3"/>
  <c r="AY4" i="3" s="1"/>
  <c r="AK4" i="3"/>
  <c r="AT4" i="3"/>
  <c r="B5" i="3"/>
  <c r="B6" i="3"/>
  <c r="B7" i="3"/>
  <c r="B8" i="3"/>
  <c r="B9" i="3"/>
  <c r="B10" i="3"/>
  <c r="B11" i="3"/>
  <c r="C5" i="3"/>
  <c r="Y5" i="3"/>
  <c r="AN4" i="3" l="1"/>
  <c r="AW4" i="3"/>
  <c r="AP4" i="3"/>
  <c r="D5" i="3"/>
  <c r="Z5" i="3"/>
  <c r="AX4" i="3" l="1"/>
  <c r="AM4" i="3" s="1"/>
  <c r="E5" i="3"/>
  <c r="AA5" i="3"/>
  <c r="AO4" i="3" l="1"/>
  <c r="AU4" i="3"/>
  <c r="F5" i="3"/>
  <c r="I5" i="3"/>
  <c r="J5" i="3"/>
  <c r="S5" i="3"/>
  <c r="C6" i="3"/>
  <c r="Y6" i="3"/>
  <c r="D6" i="3"/>
  <c r="Z6" i="3"/>
  <c r="E6" i="3"/>
  <c r="AA6" i="3"/>
  <c r="F6" i="3"/>
  <c r="I6" i="3"/>
  <c r="J6" i="3"/>
  <c r="S6" i="3"/>
  <c r="C7" i="3"/>
  <c r="Y7" i="3"/>
  <c r="D7" i="3"/>
  <c r="Z7" i="3"/>
  <c r="E7" i="3"/>
  <c r="AA7" i="3"/>
  <c r="F7" i="3"/>
  <c r="I7" i="3"/>
  <c r="J7" i="3"/>
  <c r="S7" i="3"/>
  <c r="C8" i="3"/>
  <c r="Y8" i="3"/>
  <c r="D8" i="3"/>
  <c r="Z8" i="3"/>
  <c r="E8" i="3"/>
  <c r="AA8" i="3"/>
  <c r="F8" i="3"/>
  <c r="I8" i="3"/>
  <c r="J8" i="3"/>
  <c r="S8" i="3"/>
  <c r="C9" i="3"/>
  <c r="Y9" i="3"/>
  <c r="D9" i="3"/>
  <c r="Z9" i="3"/>
  <c r="E9" i="3"/>
  <c r="AA9" i="3"/>
  <c r="F9" i="3"/>
  <c r="I9" i="3"/>
  <c r="J9" i="3"/>
  <c r="S9" i="3"/>
  <c r="C10" i="3"/>
  <c r="Y10" i="3"/>
  <c r="D10" i="3"/>
  <c r="Z10" i="3"/>
  <c r="E10" i="3"/>
  <c r="AA10" i="3"/>
  <c r="F10" i="3"/>
  <c r="I10" i="3"/>
  <c r="J10" i="3"/>
  <c r="S10" i="3"/>
  <c r="C11" i="3"/>
  <c r="Y11" i="3"/>
  <c r="D11" i="3"/>
  <c r="Z11" i="3"/>
  <c r="E11" i="3"/>
  <c r="AA11" i="3"/>
  <c r="F11" i="3"/>
  <c r="I11" i="3"/>
  <c r="J11" i="3"/>
  <c r="S11" i="3"/>
  <c r="B12" i="3"/>
  <c r="C12" i="3"/>
  <c r="Y12" i="3"/>
  <c r="D12" i="3"/>
  <c r="Z12" i="3"/>
  <c r="E12" i="3"/>
  <c r="AA12" i="3"/>
  <c r="F12" i="3"/>
  <c r="I12" i="3"/>
  <c r="J12" i="3"/>
  <c r="S12" i="3"/>
  <c r="B13" i="3"/>
  <c r="Y13" i="3"/>
  <c r="D13" i="3"/>
  <c r="Z13" i="3"/>
  <c r="E13" i="3"/>
  <c r="AA13" i="3"/>
  <c r="F13" i="3"/>
  <c r="I13" i="3"/>
  <c r="J13" i="3"/>
  <c r="S13" i="3"/>
  <c r="B14" i="3"/>
  <c r="C14" i="3"/>
  <c r="Y14" i="3"/>
  <c r="D14" i="3"/>
  <c r="Z14" i="3"/>
  <c r="E14" i="3"/>
  <c r="AA14" i="3"/>
  <c r="F14" i="3"/>
  <c r="I14" i="3"/>
  <c r="J14" i="3"/>
  <c r="S14" i="3"/>
  <c r="B15" i="3"/>
  <c r="C15" i="3"/>
  <c r="Y15" i="3"/>
  <c r="D15" i="3"/>
  <c r="Z15" i="3"/>
  <c r="E15" i="3"/>
  <c r="AA15" i="3"/>
  <c r="F15" i="3"/>
  <c r="I15" i="3"/>
  <c r="J15" i="3"/>
  <c r="S15" i="3"/>
  <c r="B16" i="3"/>
  <c r="C16" i="3"/>
  <c r="Y16" i="3"/>
  <c r="D16" i="3"/>
  <c r="Z16" i="3"/>
  <c r="E16" i="3"/>
  <c r="AA16" i="3"/>
  <c r="F16" i="3"/>
  <c r="I16" i="3"/>
  <c r="J16" i="3"/>
  <c r="S16" i="3"/>
  <c r="B17" i="3"/>
  <c r="C17" i="3"/>
  <c r="Y17" i="3"/>
  <c r="D17" i="3"/>
  <c r="Z17" i="3"/>
  <c r="E17" i="3"/>
  <c r="AA17" i="3"/>
  <c r="F17" i="3"/>
  <c r="I17" i="3"/>
  <c r="J17" i="3"/>
  <c r="S17" i="3"/>
  <c r="B18" i="3"/>
  <c r="C18" i="3"/>
  <c r="Y18" i="3"/>
  <c r="D18" i="3"/>
  <c r="Z18" i="3"/>
  <c r="E18" i="3"/>
  <c r="AA18" i="3"/>
  <c r="F18" i="3"/>
  <c r="I18" i="3"/>
  <c r="J18" i="3"/>
  <c r="S18" i="3"/>
  <c r="B19" i="3"/>
  <c r="C19" i="3"/>
  <c r="Y19" i="3"/>
  <c r="D19" i="3"/>
  <c r="Z19" i="3"/>
  <c r="E19" i="3"/>
  <c r="AA19" i="3"/>
  <c r="F19" i="3"/>
  <c r="I19" i="3"/>
  <c r="J19" i="3"/>
  <c r="S19" i="3"/>
  <c r="B20" i="3"/>
  <c r="C20" i="3"/>
  <c r="Y20" i="3"/>
  <c r="D20" i="3"/>
  <c r="Z20" i="3"/>
  <c r="E20" i="3"/>
  <c r="AA20" i="3"/>
  <c r="F20" i="3"/>
  <c r="I20" i="3"/>
  <c r="J20" i="3"/>
  <c r="S20" i="3"/>
  <c r="B21" i="3"/>
  <c r="C21" i="3"/>
  <c r="Y21" i="3"/>
  <c r="D21" i="3"/>
  <c r="Z21" i="3"/>
  <c r="E21" i="3"/>
  <c r="AA21" i="3"/>
  <c r="F21" i="3"/>
  <c r="I21" i="3"/>
  <c r="J21" i="3"/>
  <c r="S21" i="3"/>
  <c r="B22" i="3"/>
  <c r="C22" i="3"/>
  <c r="Y22" i="3"/>
  <c r="D22" i="3"/>
  <c r="Z22" i="3"/>
  <c r="E22" i="3"/>
  <c r="AA22" i="3"/>
  <c r="F22" i="3"/>
  <c r="I22" i="3"/>
  <c r="J22" i="3"/>
  <c r="S22" i="3"/>
  <c r="B23" i="3"/>
  <c r="C23" i="3"/>
  <c r="Y23" i="3"/>
  <c r="D23" i="3"/>
  <c r="Z23" i="3"/>
  <c r="E23" i="3"/>
  <c r="AA23" i="3"/>
  <c r="F23" i="3"/>
  <c r="I23" i="3"/>
  <c r="J23" i="3"/>
  <c r="S23" i="3"/>
  <c r="B24" i="3"/>
  <c r="C24" i="3"/>
  <c r="Y24" i="3"/>
  <c r="D24" i="3"/>
  <c r="Z24" i="3"/>
  <c r="E24" i="3"/>
  <c r="AA24" i="3"/>
  <c r="F24" i="3"/>
  <c r="I24" i="3"/>
  <c r="J24" i="3"/>
  <c r="S24" i="3"/>
  <c r="B25" i="3"/>
  <c r="C25" i="3"/>
  <c r="Y25" i="3"/>
  <c r="D25" i="3"/>
  <c r="Z25" i="3"/>
  <c r="E25" i="3"/>
  <c r="AA25" i="3"/>
  <c r="F25" i="3"/>
  <c r="I25" i="3"/>
  <c r="J25" i="3"/>
  <c r="S25" i="3"/>
  <c r="B26" i="3"/>
  <c r="C26" i="3"/>
  <c r="Y26" i="3"/>
  <c r="D26" i="3"/>
  <c r="Z26" i="3"/>
  <c r="E26" i="3"/>
  <c r="AA26" i="3"/>
  <c r="F26" i="3"/>
  <c r="I26" i="3"/>
  <c r="J26" i="3"/>
  <c r="S26" i="3"/>
  <c r="B27" i="3"/>
  <c r="C27" i="3"/>
  <c r="Y27" i="3"/>
  <c r="D27" i="3"/>
  <c r="Z27" i="3"/>
  <c r="E27" i="3"/>
  <c r="AA27" i="3"/>
  <c r="F27" i="3"/>
  <c r="I27" i="3"/>
  <c r="J27" i="3"/>
  <c r="S27" i="3"/>
  <c r="B28" i="3"/>
  <c r="C28" i="3"/>
  <c r="Y28" i="3"/>
  <c r="D28" i="3"/>
  <c r="Z28" i="3"/>
  <c r="E28" i="3"/>
  <c r="AA28" i="3"/>
  <c r="F28" i="3"/>
  <c r="I28" i="3"/>
  <c r="J28" i="3"/>
  <c r="S28" i="3"/>
  <c r="B29" i="3"/>
  <c r="C29" i="3"/>
  <c r="Y29" i="3"/>
  <c r="D29" i="3"/>
  <c r="Z29" i="3"/>
  <c r="E29" i="3"/>
  <c r="AA29" i="3"/>
  <c r="F29" i="3"/>
  <c r="I29" i="3"/>
  <c r="J29" i="3"/>
  <c r="S29" i="3"/>
  <c r="B30" i="3"/>
  <c r="C30" i="3"/>
  <c r="Y30" i="3"/>
  <c r="D30" i="3"/>
  <c r="Z30" i="3"/>
  <c r="E30" i="3"/>
  <c r="AA30" i="3"/>
  <c r="F30" i="3"/>
  <c r="I30" i="3"/>
  <c r="J30" i="3"/>
  <c r="S30" i="3"/>
  <c r="B31" i="3"/>
  <c r="C31" i="3"/>
  <c r="Y31" i="3"/>
  <c r="D31" i="3"/>
  <c r="Z31" i="3"/>
  <c r="E31" i="3"/>
  <c r="AA31" i="3"/>
  <c r="F31" i="3"/>
  <c r="I31" i="3"/>
  <c r="J31" i="3"/>
  <c r="S31" i="3"/>
  <c r="B32" i="3"/>
  <c r="C32" i="3"/>
  <c r="Y32" i="3"/>
  <c r="D32" i="3"/>
  <c r="Z32" i="3"/>
  <c r="E32" i="3"/>
  <c r="AA32" i="3"/>
  <c r="F32" i="3"/>
  <c r="I32" i="3"/>
  <c r="J32" i="3"/>
  <c r="S32" i="3"/>
  <c r="B33" i="3"/>
  <c r="C33" i="3"/>
  <c r="Y33" i="3"/>
  <c r="D33" i="3"/>
  <c r="Z33" i="3"/>
  <c r="E33" i="3"/>
  <c r="AA33" i="3"/>
  <c r="F33" i="3"/>
  <c r="I33" i="3"/>
  <c r="J33" i="3"/>
  <c r="S33" i="3"/>
  <c r="B34" i="3"/>
  <c r="C34" i="3"/>
  <c r="Y34" i="3"/>
  <c r="D34" i="3"/>
  <c r="Z34" i="3"/>
  <c r="E34" i="3"/>
  <c r="AA34" i="3"/>
  <c r="F34" i="3"/>
  <c r="I34" i="3"/>
  <c r="J34" i="3"/>
  <c r="S34" i="3"/>
  <c r="W35" i="3"/>
  <c r="B35" i="3" s="1"/>
  <c r="C35" i="3"/>
  <c r="Y35" i="3"/>
  <c r="D35" i="3"/>
  <c r="Z35" i="3"/>
  <c r="E35" i="3"/>
  <c r="AA35" i="3"/>
  <c r="F35" i="3"/>
  <c r="I35" i="3"/>
  <c r="J35" i="3"/>
  <c r="S35" i="3"/>
  <c r="W36" i="3"/>
  <c r="B36" i="3" s="1"/>
  <c r="C36" i="3"/>
  <c r="Y36" i="3"/>
  <c r="D36" i="3"/>
  <c r="Z36" i="3"/>
  <c r="E36" i="3"/>
  <c r="AA36" i="3"/>
  <c r="F36" i="3"/>
  <c r="I36" i="3"/>
  <c r="J36" i="3"/>
  <c r="S36" i="3"/>
  <c r="W37" i="3"/>
  <c r="B37" i="3" s="1"/>
  <c r="C37" i="3"/>
  <c r="Y37" i="3"/>
  <c r="D37" i="3"/>
  <c r="Z37" i="3"/>
  <c r="E37" i="3"/>
  <c r="AA37" i="3"/>
  <c r="F37" i="3"/>
  <c r="I37" i="3"/>
  <c r="J37" i="3"/>
  <c r="S37" i="3"/>
  <c r="W38" i="3"/>
  <c r="B38" i="3"/>
  <c r="C38" i="3"/>
  <c r="Y38" i="3"/>
  <c r="D38" i="3"/>
  <c r="Z38" i="3"/>
  <c r="E38" i="3"/>
  <c r="AA38" i="3"/>
  <c r="F38" i="3"/>
  <c r="I38" i="3"/>
  <c r="J38" i="3"/>
  <c r="S38" i="3"/>
  <c r="W39" i="3"/>
  <c r="B39" i="3" s="1"/>
  <c r="C39" i="3"/>
  <c r="Y39" i="3"/>
  <c r="D39" i="3"/>
  <c r="Z39" i="3"/>
  <c r="E39" i="3"/>
  <c r="AA39" i="3"/>
  <c r="F39" i="3"/>
  <c r="I39" i="3"/>
  <c r="J39" i="3"/>
  <c r="S39" i="3"/>
  <c r="W40" i="3"/>
  <c r="B40" i="3"/>
  <c r="C40" i="3"/>
  <c r="Y40" i="3"/>
  <c r="D40" i="3"/>
  <c r="Z40" i="3"/>
  <c r="E40" i="3"/>
  <c r="AA40" i="3"/>
  <c r="F40" i="3"/>
  <c r="I40" i="3"/>
  <c r="J40" i="3"/>
  <c r="S40" i="3"/>
  <c r="W41" i="3"/>
  <c r="B41" i="3" s="1"/>
  <c r="C41" i="3"/>
  <c r="Y41" i="3"/>
  <c r="D41" i="3"/>
  <c r="Z41" i="3"/>
  <c r="E41" i="3"/>
  <c r="AA41" i="3"/>
  <c r="F41" i="3"/>
  <c r="I41" i="3"/>
  <c r="J41" i="3"/>
  <c r="S41" i="3"/>
  <c r="W42" i="3"/>
  <c r="B42" i="3" s="1"/>
  <c r="C42" i="3"/>
  <c r="Y42" i="3"/>
  <c r="D42" i="3"/>
  <c r="Z42" i="3"/>
  <c r="E42" i="3"/>
  <c r="AA42" i="3"/>
  <c r="F42" i="3"/>
  <c r="I42" i="3"/>
  <c r="J42" i="3"/>
  <c r="S42" i="3"/>
  <c r="W43" i="3"/>
  <c r="B43" i="3" s="1"/>
  <c r="C43" i="3"/>
  <c r="Y43" i="3"/>
  <c r="D43" i="3"/>
  <c r="Z43" i="3"/>
  <c r="E43" i="3"/>
  <c r="AA43" i="3"/>
  <c r="F43" i="3"/>
  <c r="I43" i="3"/>
  <c r="J43" i="3"/>
  <c r="S43" i="3"/>
  <c r="AM5" i="3"/>
  <c r="AT5" i="3"/>
  <c r="AT6" i="3"/>
  <c r="AT7" i="3"/>
  <c r="AD7" i="3"/>
  <c r="AE7" i="3"/>
  <c r="AW7" i="3" s="1"/>
  <c r="AZ4" i="3"/>
  <c r="BA4" i="3" s="1"/>
  <c r="AD5" i="3"/>
  <c r="BB4" i="3" l="1"/>
  <c r="BC4" i="3" s="1"/>
  <c r="BD4" i="3" s="1"/>
  <c r="AE5" i="3"/>
  <c r="AW5" i="3" s="1"/>
  <c r="AX5" i="3" l="1"/>
  <c r="AU5" i="3" s="1"/>
  <c r="AY5" i="3"/>
  <c r="AW6" i="3"/>
  <c r="AX6" i="3" s="1"/>
  <c r="AZ5" i="3" l="1"/>
  <c r="BA5" i="3" s="1"/>
  <c r="AU6" i="3"/>
  <c r="AY6" i="3"/>
  <c r="AZ6" i="3"/>
  <c r="BA6" i="3" s="1"/>
  <c r="BB5" i="3" l="1"/>
  <c r="BC5" i="3" s="1"/>
  <c r="BD5" i="3" s="1"/>
  <c r="BB6" i="3"/>
  <c r="BC6" i="3" s="1"/>
  <c r="BD6" i="3" s="1"/>
  <c r="AX7" i="3"/>
  <c r="AZ7" i="3" s="1"/>
  <c r="BA7" i="3" s="1"/>
  <c r="AY7" i="3"/>
  <c r="AT8" i="3"/>
  <c r="AW8" i="3"/>
  <c r="AX8" i="3" s="1"/>
  <c r="AU8" i="3" s="1"/>
  <c r="BB7" i="3" l="1"/>
  <c r="BC7" i="3" s="1"/>
  <c r="BD7" i="3" s="1"/>
  <c r="AY8" i="3"/>
  <c r="AZ8" i="3"/>
  <c r="BB8" i="3" s="1"/>
  <c r="AT9" i="3"/>
  <c r="AD9" i="3"/>
  <c r="BA8" i="3" l="1"/>
  <c r="BC8" i="3" s="1"/>
  <c r="BD8" i="3" s="1"/>
  <c r="AE9" i="3"/>
  <c r="AY9" i="3" s="1"/>
  <c r="AW9" i="3" l="1"/>
  <c r="AX9" i="3" s="1"/>
  <c r="AU9" i="3" s="1"/>
  <c r="AT10" i="3"/>
  <c r="AD10" i="3"/>
  <c r="AE10" i="3"/>
  <c r="AW10" i="3" s="1"/>
  <c r="AX10" i="3" l="1"/>
  <c r="AZ10" i="3" s="1"/>
  <c r="BA10" i="3" s="1"/>
  <c r="AY10" i="3"/>
  <c r="AT11" i="3"/>
  <c r="AD11" i="3"/>
  <c r="AU10" i="3" l="1"/>
  <c r="BB10" i="3"/>
  <c r="BC10" i="3" s="1"/>
  <c r="BD10" i="3" s="1"/>
  <c r="AE11" i="3"/>
  <c r="AW11" i="3" s="1"/>
  <c r="AX11" i="3" l="1"/>
  <c r="AY11" i="3"/>
  <c r="AT12" i="3"/>
  <c r="AD12" i="3"/>
  <c r="AU11" i="3" l="1"/>
  <c r="AE12" i="3"/>
  <c r="AY12" i="3" s="1"/>
  <c r="AW12" i="3" l="1"/>
  <c r="AX12" i="3" s="1"/>
  <c r="AU12" i="3" s="1"/>
  <c r="AT13" i="3"/>
  <c r="AD13" i="3"/>
  <c r="AE13" i="3" l="1"/>
  <c r="AW13" i="3" s="1"/>
  <c r="AX13" i="3" l="1"/>
  <c r="AU13" i="3" s="1"/>
  <c r="AY13" i="3"/>
  <c r="AT14" i="3"/>
  <c r="AD14" i="3"/>
  <c r="AZ13" i="3" l="1"/>
  <c r="AE14" i="3"/>
  <c r="AY14" i="3" s="1"/>
  <c r="AW14" i="3" l="1"/>
  <c r="BA13" i="3"/>
  <c r="BB13" i="3"/>
  <c r="AT15" i="3"/>
  <c r="AD15" i="3"/>
  <c r="BC13" i="3" l="1"/>
  <c r="BD13" i="3" s="1"/>
  <c r="AX14" i="3"/>
  <c r="AU14" i="3" s="1"/>
  <c r="AE15" i="3"/>
  <c r="AW15" i="3" s="1"/>
  <c r="AX15" i="3" l="1"/>
  <c r="AY15" i="3"/>
  <c r="AT16" i="3"/>
  <c r="AD16" i="3"/>
  <c r="AU15" i="3" l="1"/>
  <c r="AE16" i="3"/>
  <c r="AY16" i="3" s="1"/>
  <c r="AW16" i="3" l="1"/>
  <c r="AX16" i="3" s="1"/>
  <c r="AU16" i="3" s="1"/>
  <c r="AT17" i="3"/>
  <c r="AD17" i="3"/>
  <c r="AE17" i="3" l="1"/>
  <c r="AW17" i="3" s="1"/>
  <c r="AX17" i="3" l="1"/>
  <c r="AZ17" i="3" s="1"/>
  <c r="AY17" i="3"/>
  <c r="AT18" i="3"/>
  <c r="AD18" i="3"/>
  <c r="AM7" i="3" l="1"/>
  <c r="AU17" i="3" s="1"/>
  <c r="BB17" i="3"/>
  <c r="BA17" i="3"/>
  <c r="AE18" i="3"/>
  <c r="AW18" i="3" s="1"/>
  <c r="BC17" i="3" l="1"/>
  <c r="BD17" i="3" s="1"/>
  <c r="AY18" i="3"/>
  <c r="AX18" i="3"/>
  <c r="AT19" i="3"/>
  <c r="AD19" i="3"/>
  <c r="AU18" i="3" l="1"/>
  <c r="AE19" i="3"/>
  <c r="AW19" i="3" s="1"/>
  <c r="AX19" i="3" s="1"/>
  <c r="AU19" i="3" l="1"/>
  <c r="AY19" i="3"/>
  <c r="AZ19" i="3"/>
  <c r="BA19" i="3" s="1"/>
  <c r="AT20" i="3"/>
  <c r="AD20" i="3"/>
  <c r="BB19" i="3" l="1"/>
  <c r="BC19" i="3" s="1"/>
  <c r="BD19" i="3" s="1"/>
  <c r="AE20" i="3"/>
  <c r="AW20" i="3" s="1"/>
  <c r="AY20" i="3" l="1"/>
  <c r="AX20" i="3"/>
  <c r="AT21" i="3"/>
  <c r="AD21" i="3"/>
  <c r="AU20" i="3" l="1"/>
  <c r="AE21" i="3"/>
  <c r="AW21" i="3" s="1"/>
  <c r="AX21" i="3" l="1"/>
  <c r="AZ21" i="3" s="1"/>
  <c r="BA21" i="3" s="1"/>
  <c r="AY21" i="3"/>
  <c r="AT22" i="3"/>
  <c r="AD22" i="3"/>
  <c r="AM8" i="3" l="1"/>
  <c r="AU21" i="3" s="1"/>
  <c r="BB21" i="3"/>
  <c r="BC21" i="3" s="1"/>
  <c r="BD21" i="3" s="1"/>
  <c r="AE22" i="3"/>
  <c r="AW22" i="3" s="1"/>
  <c r="AX22" i="3" l="1"/>
  <c r="AZ22" i="3" s="1"/>
  <c r="AY22" i="3"/>
  <c r="AT23" i="3"/>
  <c r="AD23" i="3"/>
  <c r="AU22" i="3" l="1"/>
  <c r="BA22" i="3"/>
  <c r="BB22" i="3"/>
  <c r="AE23" i="3"/>
  <c r="AW23" i="3" s="1"/>
  <c r="BC22" i="3" l="1"/>
  <c r="BD22" i="3" s="1"/>
  <c r="AX23" i="3"/>
  <c r="AZ23" i="3" s="1"/>
  <c r="AY23" i="3"/>
  <c r="AT24" i="3"/>
  <c r="AD24" i="3"/>
  <c r="AU23" i="3" l="1"/>
  <c r="BA23" i="3"/>
  <c r="BB23" i="3"/>
  <c r="AE24" i="3"/>
  <c r="AW24" i="3" s="1"/>
  <c r="BC23" i="3" l="1"/>
  <c r="BD23" i="3" s="1"/>
  <c r="AY24" i="3"/>
  <c r="AX24" i="3"/>
  <c r="AT25" i="3"/>
  <c r="AD25" i="3"/>
  <c r="AU24" i="3" l="1"/>
  <c r="AE25" i="3"/>
  <c r="AW25" i="3" s="1"/>
  <c r="AX25" i="3" l="1"/>
  <c r="AZ25" i="3" s="1"/>
  <c r="BA25" i="3" s="1"/>
  <c r="AM9" i="3"/>
  <c r="AU25" i="3" s="1"/>
  <c r="AY25" i="3"/>
  <c r="AT26" i="3"/>
  <c r="AD26" i="3"/>
  <c r="BB25" i="3" l="1"/>
  <c r="BC25" i="3" s="1"/>
  <c r="BD25" i="3" s="1"/>
  <c r="AE26" i="3"/>
  <c r="AW26" i="3" s="1"/>
  <c r="AY26" i="3" l="1"/>
  <c r="AX26" i="3"/>
  <c r="AT27" i="3"/>
  <c r="AD27" i="3"/>
  <c r="AU26" i="3" l="1"/>
  <c r="AE27" i="3"/>
  <c r="AY27" i="3" s="1"/>
  <c r="AT28" i="3"/>
  <c r="AD28" i="3"/>
  <c r="AW27" i="3" l="1"/>
  <c r="AX27" i="3" s="1"/>
  <c r="AU27" i="3" s="1"/>
  <c r="AE28" i="3"/>
  <c r="AW28" i="3" s="1"/>
  <c r="AX28" i="3" l="1"/>
  <c r="AU28" i="3" s="1"/>
  <c r="AY28" i="3"/>
  <c r="AT29" i="3"/>
  <c r="AD29" i="3"/>
  <c r="AZ28" i="3" l="1"/>
  <c r="AE29" i="3"/>
  <c r="AW29" i="3" s="1"/>
  <c r="AX29" i="3" s="1"/>
  <c r="AU29" i="3" s="1"/>
  <c r="BB28" i="3" l="1"/>
  <c r="BA28" i="3"/>
  <c r="AY29" i="3"/>
  <c r="AZ29" i="3"/>
  <c r="BA29" i="3" s="1"/>
  <c r="AT30" i="3"/>
  <c r="AD30" i="3"/>
  <c r="BC28" i="3" l="1"/>
  <c r="BD28" i="3" s="1"/>
  <c r="BB29" i="3"/>
  <c r="BC29" i="3" s="1"/>
  <c r="BD29" i="3" s="1"/>
  <c r="AE30" i="3"/>
  <c r="AW30" i="3" s="1"/>
  <c r="AY30" i="3" l="1"/>
  <c r="AX30" i="3"/>
  <c r="AT31" i="3"/>
  <c r="AD31" i="3"/>
  <c r="AU30" i="3" l="1"/>
  <c r="AE31" i="3"/>
  <c r="AW31" i="3" s="1"/>
  <c r="AX31" i="3" l="1"/>
  <c r="AY31" i="3"/>
  <c r="AT32" i="3"/>
  <c r="AD32" i="3"/>
  <c r="AU31" i="3" l="1"/>
  <c r="AE32" i="3"/>
  <c r="AW32" i="3" s="1"/>
  <c r="AX32" i="3" l="1"/>
  <c r="AZ32" i="3" s="1"/>
  <c r="AM10" i="3"/>
  <c r="AU32" i="3" s="1"/>
  <c r="AY32" i="3"/>
  <c r="AT33" i="3"/>
  <c r="AD33" i="3"/>
  <c r="BA32" i="3" l="1"/>
  <c r="BB32" i="3"/>
  <c r="AE33" i="3"/>
  <c r="AW33" i="3" s="1"/>
  <c r="BC32" i="3" l="1"/>
  <c r="BD32" i="3" s="1"/>
  <c r="AY33" i="3"/>
  <c r="AX33" i="3"/>
  <c r="AT34" i="3"/>
  <c r="AD34" i="3"/>
  <c r="AU33" i="3" l="1"/>
  <c r="AE34" i="3"/>
  <c r="AW34" i="3" s="1"/>
  <c r="AX34" i="3" l="1"/>
  <c r="AY34" i="3"/>
  <c r="AT35" i="3"/>
  <c r="AD35" i="3"/>
  <c r="AU34" i="3" l="1"/>
  <c r="AE35" i="3"/>
  <c r="AW35" i="3" s="1"/>
  <c r="AX35" i="3" l="1"/>
  <c r="AY35" i="3"/>
  <c r="AT36" i="3"/>
  <c r="AD36" i="3"/>
  <c r="AU35" i="3" l="1"/>
  <c r="AE36" i="3"/>
  <c r="AW36" i="3" s="1"/>
  <c r="AX36" i="3" l="1"/>
  <c r="AM11" i="3" s="1"/>
  <c r="AU36" i="3" s="1"/>
  <c r="AY36" i="3"/>
  <c r="AT37" i="3"/>
  <c r="AD37" i="3"/>
  <c r="AZ36" i="3" l="1"/>
  <c r="AE37" i="3"/>
  <c r="AY37" i="3" s="1"/>
  <c r="AW37" i="3" l="1"/>
  <c r="AX37" i="3" s="1"/>
  <c r="AU37" i="3" s="1"/>
  <c r="BB36" i="3"/>
  <c r="BA36" i="3"/>
  <c r="AT38" i="3"/>
  <c r="AD38" i="3"/>
  <c r="BC36" i="3" l="1"/>
  <c r="BD36" i="3" s="1"/>
  <c r="AE38" i="3"/>
  <c r="AW38" i="3" s="1"/>
  <c r="AX38" i="3" l="1"/>
  <c r="AY38" i="3"/>
  <c r="AT39" i="3"/>
  <c r="AD39" i="3"/>
  <c r="AU38" i="3" l="1"/>
  <c r="AE39" i="3"/>
  <c r="AY39" i="3" s="1"/>
  <c r="AW39" i="3" l="1"/>
  <c r="AX39" i="3" s="1"/>
  <c r="AU39" i="3" s="1"/>
  <c r="AT40" i="3"/>
  <c r="AD40" i="3"/>
  <c r="AE40" i="3"/>
  <c r="AW40" i="3" s="1"/>
  <c r="AX40" i="3" s="1"/>
  <c r="AM12" i="3" l="1"/>
  <c r="AU40" i="3" s="1"/>
  <c r="AY40" i="3"/>
  <c r="AZ40" i="3"/>
  <c r="BA40" i="3" s="1"/>
  <c r="AT41" i="3"/>
  <c r="AD41" i="3"/>
  <c r="BB40" i="3" l="1"/>
  <c r="BC40" i="3" s="1"/>
  <c r="BD40" i="3" s="1"/>
  <c r="AE41" i="3"/>
  <c r="AY41" i="3" s="1"/>
  <c r="AT42" i="3"/>
  <c r="AD42" i="3"/>
  <c r="AW41" i="3" l="1"/>
  <c r="AX41" i="3" s="1"/>
  <c r="AU41" i="3" s="1"/>
  <c r="AE42" i="3"/>
  <c r="AY42" i="3" s="1"/>
  <c r="AW42" i="3" l="1"/>
  <c r="AX42" i="3" s="1"/>
  <c r="AU42" i="3" s="1"/>
  <c r="AT43" i="3"/>
  <c r="AD43" i="3"/>
  <c r="AE43" i="3"/>
  <c r="AY43" i="3" s="1"/>
  <c r="AW43" i="3" l="1"/>
  <c r="AX43" i="3" s="1"/>
  <c r="AM6" i="3"/>
  <c r="V5" i="3"/>
  <c r="X5" i="3"/>
  <c r="AB5" i="3"/>
  <c r="AC5" i="3"/>
  <c r="AM13" i="3" l="1"/>
  <c r="AU43" i="3" s="1"/>
  <c r="AN5" i="3"/>
  <c r="AO5" i="3" s="1"/>
  <c r="AP5" i="3" l="1"/>
  <c r="V6" i="3"/>
  <c r="X6" i="3"/>
  <c r="AB6" i="3"/>
  <c r="AC6" i="3"/>
  <c r="AD6" i="3"/>
  <c r="AN6" i="3"/>
  <c r="AO6" i="3" s="1"/>
  <c r="AP6" i="3" l="1"/>
  <c r="V7" i="3"/>
  <c r="X7" i="3"/>
  <c r="AB7" i="3"/>
  <c r="AC7" i="3"/>
  <c r="AN7" i="3"/>
  <c r="AO7" i="3" s="1"/>
  <c r="V8" i="3"/>
  <c r="X8" i="3"/>
  <c r="AB8" i="3"/>
  <c r="AC8" i="3"/>
  <c r="AP7" i="3" l="1"/>
  <c r="AN8" i="3"/>
  <c r="AO8" i="3" s="1"/>
  <c r="V9" i="3"/>
  <c r="X9" i="3"/>
  <c r="AB9" i="3"/>
  <c r="AC9" i="3"/>
  <c r="AP8" i="3" l="1"/>
  <c r="AN9" i="3"/>
  <c r="AO9" i="3" s="1"/>
  <c r="AP9" i="3" l="1"/>
  <c r="V10" i="3"/>
  <c r="X10" i="3"/>
  <c r="AB10" i="3"/>
  <c r="AC10" i="3"/>
  <c r="AN10" i="3"/>
  <c r="AO10" i="3" s="1"/>
  <c r="AP10" i="3" l="1"/>
  <c r="V11" i="3"/>
  <c r="X11" i="3"/>
  <c r="AB11" i="3"/>
  <c r="AC11" i="3"/>
  <c r="AN11" i="3"/>
  <c r="AO11" i="3" s="1"/>
  <c r="AP11" i="3" l="1"/>
  <c r="V12" i="3"/>
  <c r="X12" i="3"/>
  <c r="AB12" i="3"/>
  <c r="AC12" i="3"/>
  <c r="AN12" i="3"/>
  <c r="AO12" i="3" s="1"/>
  <c r="AP12" i="3" l="1"/>
  <c r="V13" i="3"/>
  <c r="X13" i="3"/>
  <c r="AB13" i="3"/>
  <c r="AC13" i="3"/>
  <c r="AN13" i="3"/>
  <c r="AO13" i="3" s="1"/>
  <c r="AR13" i="3"/>
  <c r="AP13" i="3" l="1"/>
  <c r="V14" i="3"/>
  <c r="X14" i="3"/>
  <c r="AB14" i="3"/>
  <c r="AC14" i="3"/>
  <c r="V15" i="3"/>
  <c r="X15" i="3"/>
  <c r="AB15" i="3"/>
  <c r="AC15" i="3"/>
  <c r="V16" i="3"/>
  <c r="X16" i="3"/>
  <c r="AB16" i="3"/>
  <c r="AC16" i="3"/>
  <c r="V17" i="3"/>
  <c r="X17" i="3"/>
  <c r="AB17" i="3"/>
  <c r="AC17" i="3"/>
  <c r="V18" i="3"/>
  <c r="X18" i="3"/>
  <c r="AB18" i="3"/>
  <c r="AC18" i="3"/>
  <c r="V19" i="3"/>
  <c r="X19" i="3"/>
  <c r="AB19" i="3"/>
  <c r="AC19" i="3"/>
  <c r="V20" i="3"/>
  <c r="X20" i="3"/>
  <c r="AB20" i="3"/>
  <c r="AC20" i="3"/>
  <c r="V21" i="3"/>
  <c r="X21" i="3"/>
  <c r="AB21" i="3"/>
  <c r="AC21" i="3"/>
  <c r="V22" i="3"/>
  <c r="X22" i="3"/>
  <c r="AB22" i="3"/>
  <c r="AC22" i="3"/>
  <c r="V23" i="3"/>
  <c r="X23" i="3"/>
  <c r="AB23" i="3"/>
  <c r="AC23" i="3"/>
  <c r="V24" i="3"/>
  <c r="X24" i="3"/>
  <c r="AB24" i="3"/>
  <c r="AC24" i="3"/>
  <c r="V25" i="3"/>
  <c r="X25" i="3"/>
  <c r="AB25" i="3"/>
  <c r="AC25" i="3"/>
  <c r="V26" i="3"/>
  <c r="X26" i="3"/>
  <c r="AB26" i="3"/>
  <c r="AC26" i="3"/>
  <c r="V27" i="3"/>
  <c r="X27" i="3"/>
  <c r="AB27" i="3"/>
  <c r="AC27" i="3"/>
  <c r="V28" i="3"/>
  <c r="X28" i="3"/>
  <c r="AB28" i="3"/>
  <c r="AC28" i="3"/>
  <c r="V29" i="3"/>
  <c r="X29" i="3"/>
  <c r="AB29" i="3"/>
  <c r="AC29" i="3"/>
  <c r="V30" i="3"/>
  <c r="X30" i="3"/>
  <c r="AB30" i="3"/>
  <c r="AC30" i="3"/>
  <c r="V31" i="3"/>
  <c r="X31" i="3"/>
  <c r="AB31" i="3"/>
  <c r="AC31" i="3"/>
  <c r="V32" i="3"/>
  <c r="X32" i="3"/>
  <c r="AB32" i="3"/>
  <c r="AC32" i="3"/>
  <c r="V33" i="3"/>
  <c r="X33" i="3"/>
  <c r="AB33" i="3"/>
  <c r="AC33" i="3"/>
  <c r="V34" i="3"/>
  <c r="X34" i="3"/>
  <c r="AB34" i="3"/>
  <c r="AC34" i="3"/>
  <c r="V35" i="3"/>
  <c r="X35" i="3"/>
  <c r="AB35" i="3"/>
  <c r="AC35" i="3"/>
  <c r="BF35" i="3"/>
  <c r="V36" i="3"/>
  <c r="X36" i="3"/>
  <c r="AB36" i="3"/>
  <c r="AC36" i="3"/>
  <c r="BF36" i="3"/>
  <c r="V37" i="3"/>
  <c r="X37" i="3"/>
  <c r="AB37" i="3"/>
  <c r="AC37" i="3"/>
  <c r="BF37" i="3"/>
  <c r="V38" i="3"/>
  <c r="X38" i="3"/>
  <c r="AB38" i="3"/>
  <c r="AC38" i="3"/>
  <c r="BF38" i="3"/>
  <c r="V39" i="3"/>
  <c r="X39" i="3"/>
  <c r="AB39" i="3"/>
  <c r="AC39" i="3"/>
  <c r="BF39" i="3"/>
  <c r="V40" i="3"/>
  <c r="X40" i="3"/>
  <c r="AB40" i="3"/>
  <c r="AC40" i="3"/>
  <c r="BF40" i="3"/>
  <c r="V41" i="3"/>
  <c r="X41" i="3"/>
  <c r="AB41" i="3"/>
  <c r="AC41" i="3"/>
  <c r="BF41" i="3"/>
  <c r="V42" i="3"/>
  <c r="X42" i="3"/>
  <c r="AB42" i="3"/>
  <c r="AC42" i="3"/>
  <c r="BF42" i="3"/>
  <c r="V43" i="3"/>
  <c r="X43" i="3"/>
  <c r="AB43" i="3"/>
  <c r="AC43" i="3"/>
  <c r="BF43" i="3"/>
  <c r="C44" i="3"/>
  <c r="J44" i="3" s="1"/>
  <c r="T44" i="3"/>
  <c r="V44" i="3"/>
  <c r="T45" i="3"/>
  <c r="AF45" i="3" s="1"/>
  <c r="V45" i="3"/>
  <c r="W45" i="3"/>
  <c r="T46" i="3"/>
  <c r="AF46" i="3" s="1"/>
  <c r="V46" i="3"/>
  <c r="AU7" i="3"/>
  <c r="X44" i="3" l="1"/>
  <c r="I44" i="3"/>
  <c r="U45" i="3"/>
  <c r="M44" i="3"/>
  <c r="P44" i="3"/>
  <c r="Q44" i="3" s="1"/>
  <c r="U46" i="3"/>
  <c r="AG44" i="3"/>
  <c r="R44" i="3"/>
  <c r="C45" i="3"/>
  <c r="AF44" i="3"/>
  <c r="Q68" i="6"/>
  <c r="Q69" i="6"/>
  <c r="Q70" i="6"/>
  <c r="Q71" i="6"/>
  <c r="Z70" i="24"/>
  <c r="X70" i="24"/>
  <c r="Z69" i="24"/>
  <c r="X69" i="24"/>
  <c r="Z68" i="24"/>
  <c r="X68" i="24"/>
  <c r="Z67" i="24"/>
  <c r="X67" i="24"/>
  <c r="Z66" i="24"/>
  <c r="X66" i="24"/>
  <c r="Z65" i="24"/>
  <c r="X65" i="24"/>
  <c r="Z64" i="24"/>
  <c r="X64" i="24"/>
  <c r="Z63" i="24"/>
  <c r="X63" i="24"/>
  <c r="Z62" i="24"/>
  <c r="X62" i="24"/>
  <c r="Z61" i="24"/>
  <c r="X61" i="24"/>
  <c r="Z60" i="24"/>
  <c r="X60" i="24"/>
  <c r="Z59" i="24"/>
  <c r="X59" i="24"/>
  <c r="Y45" i="24"/>
  <c r="Y44" i="24"/>
  <c r="Y43" i="24"/>
  <c r="Y42" i="24"/>
  <c r="Y41" i="24"/>
  <c r="Y40" i="24"/>
  <c r="Y39" i="24"/>
  <c r="Y38" i="24"/>
  <c r="Y37" i="24"/>
  <c r="Y36" i="24"/>
  <c r="Y35" i="24"/>
  <c r="Y34" i="24"/>
  <c r="Y33" i="24"/>
  <c r="Y32" i="24"/>
  <c r="Z55" i="24"/>
  <c r="Z54" i="24"/>
  <c r="Z53" i="24"/>
  <c r="Z52" i="24"/>
  <c r="Z51" i="24"/>
  <c r="Z50" i="24"/>
  <c r="Y55" i="24"/>
  <c r="Y54" i="24"/>
  <c r="Y53" i="24"/>
  <c r="Y52" i="24"/>
  <c r="Y51" i="24"/>
  <c r="Y50" i="24"/>
  <c r="X55" i="24"/>
  <c r="X54" i="24"/>
  <c r="X53" i="24"/>
  <c r="X52" i="24"/>
  <c r="X51" i="24"/>
  <c r="X50" i="24"/>
  <c r="V55" i="24"/>
  <c r="W55" i="24" s="1"/>
  <c r="V54" i="24"/>
  <c r="W54" i="24" s="1"/>
  <c r="V53" i="24"/>
  <c r="W53" i="24" s="1"/>
  <c r="V52" i="24"/>
  <c r="W52" i="24" s="1"/>
  <c r="V51" i="24"/>
  <c r="W51" i="24" s="1"/>
  <c r="V50" i="24"/>
  <c r="W50" i="24" s="1"/>
  <c r="Z45" i="24"/>
  <c r="Z44" i="24"/>
  <c r="Z43" i="24"/>
  <c r="Z42" i="24"/>
  <c r="Z41" i="24"/>
  <c r="Z40" i="24"/>
  <c r="Z39" i="24"/>
  <c r="Z38" i="24"/>
  <c r="Z37" i="24"/>
  <c r="Z36" i="24"/>
  <c r="Z35" i="24"/>
  <c r="Z34" i="24"/>
  <c r="Z33" i="24"/>
  <c r="Z32" i="24"/>
  <c r="X45" i="24"/>
  <c r="X44" i="24"/>
  <c r="X43" i="24"/>
  <c r="X42" i="24"/>
  <c r="X41" i="24"/>
  <c r="X40" i="24"/>
  <c r="X39" i="24"/>
  <c r="X38" i="24"/>
  <c r="X37" i="24"/>
  <c r="X36" i="24"/>
  <c r="X35" i="24"/>
  <c r="X34" i="24"/>
  <c r="X33" i="24"/>
  <c r="X32" i="24"/>
  <c r="Q45" i="24"/>
  <c r="Q44" i="24"/>
  <c r="Q43" i="24"/>
  <c r="Q42" i="24"/>
  <c r="Q41" i="24"/>
  <c r="Q40" i="24"/>
  <c r="Q39" i="24"/>
  <c r="Q38" i="24"/>
  <c r="Q37" i="24"/>
  <c r="Q36" i="24"/>
  <c r="Q35" i="24"/>
  <c r="Q34" i="24"/>
  <c r="Q33" i="24"/>
  <c r="Q32" i="24"/>
  <c r="O44" i="3" l="1"/>
  <c r="P45" i="3"/>
  <c r="Q45" i="3" s="1"/>
  <c r="K45" i="3" s="1"/>
  <c r="M45" i="3"/>
  <c r="AG45" i="3"/>
  <c r="I45" i="3"/>
  <c r="N45" i="3"/>
  <c r="R45" i="3"/>
  <c r="C46" i="3"/>
  <c r="J45" i="3"/>
  <c r="O45" i="3"/>
  <c r="X45" i="3"/>
  <c r="N44" i="3"/>
  <c r="B32" i="24"/>
  <c r="B33" i="24"/>
  <c r="I46" i="3" l="1"/>
  <c r="J46" i="3"/>
  <c r="AG46" i="3"/>
  <c r="R46" i="3"/>
  <c r="P46" i="3"/>
  <c r="Q46" i="3" s="1"/>
  <c r="K46" i="3" s="1"/>
  <c r="M46" i="3"/>
  <c r="AB90" i="9"/>
  <c r="AC90" i="9"/>
  <c r="AD90" i="9"/>
  <c r="AE90" i="9"/>
  <c r="AF90" i="9"/>
  <c r="AG90" i="9"/>
  <c r="AH90" i="9"/>
  <c r="AB91" i="9"/>
  <c r="AC91" i="9"/>
  <c r="AD91" i="9"/>
  <c r="AE91" i="9"/>
  <c r="AF91" i="9"/>
  <c r="AG91" i="9"/>
  <c r="AH91" i="9"/>
  <c r="AB92" i="9"/>
  <c r="AC92" i="9"/>
  <c r="AD92" i="9"/>
  <c r="AE92" i="9"/>
  <c r="AF92" i="9"/>
  <c r="AG92" i="9"/>
  <c r="AH92" i="9"/>
  <c r="AB93" i="9"/>
  <c r="AC93" i="9"/>
  <c r="AD93" i="9"/>
  <c r="AE93" i="9"/>
  <c r="AF93" i="9"/>
  <c r="AG93" i="9"/>
  <c r="AH93" i="9"/>
  <c r="AB94" i="9"/>
  <c r="AC94" i="9"/>
  <c r="AD94" i="9"/>
  <c r="AE94" i="9"/>
  <c r="AF94" i="9"/>
  <c r="AG94" i="9"/>
  <c r="AH94" i="9"/>
  <c r="AB95" i="9"/>
  <c r="AC95" i="9"/>
  <c r="AD95" i="9"/>
  <c r="AE95" i="9"/>
  <c r="AF95" i="9"/>
  <c r="AG95" i="9"/>
  <c r="AH95" i="9"/>
  <c r="AB96" i="9"/>
  <c r="AC96" i="9"/>
  <c r="AD96" i="9"/>
  <c r="AE96" i="9"/>
  <c r="AF96" i="9"/>
  <c r="AG96" i="9"/>
  <c r="AH96" i="9"/>
  <c r="AB97" i="9"/>
  <c r="AC97" i="9"/>
  <c r="AD97" i="9"/>
  <c r="AE97" i="9"/>
  <c r="AF97" i="9"/>
  <c r="AG97" i="9"/>
  <c r="AH97" i="9"/>
  <c r="AB98" i="9"/>
  <c r="AC98" i="9"/>
  <c r="AD98" i="9"/>
  <c r="AE98" i="9"/>
  <c r="AF98" i="9"/>
  <c r="AG98" i="9"/>
  <c r="AH98" i="9"/>
  <c r="O46" i="3" l="1"/>
  <c r="N46" i="3"/>
  <c r="AS124" i="24"/>
  <c r="AR124" i="24"/>
  <c r="AQ124" i="24"/>
  <c r="AS123" i="24"/>
  <c r="AR123" i="24"/>
  <c r="AQ123" i="24"/>
  <c r="AS121" i="24"/>
  <c r="AR121" i="24"/>
  <c r="AQ121" i="24"/>
  <c r="AS120" i="24"/>
  <c r="AR120" i="24"/>
  <c r="AQ120" i="24"/>
  <c r="AS119" i="24"/>
  <c r="AR119" i="24"/>
  <c r="AQ119" i="24"/>
  <c r="AS118" i="24"/>
  <c r="AR118" i="24"/>
  <c r="AQ118" i="24"/>
  <c r="AS117" i="24"/>
  <c r="AR117" i="24"/>
  <c r="AQ117" i="24"/>
  <c r="AS116" i="24"/>
  <c r="AR116" i="24"/>
  <c r="AQ116" i="24"/>
  <c r="AS115" i="24"/>
  <c r="AR115" i="24"/>
  <c r="AQ115" i="24"/>
  <c r="AS114" i="24"/>
  <c r="AR114" i="24"/>
  <c r="AQ114" i="24"/>
  <c r="AS109" i="24"/>
  <c r="AR109" i="24"/>
  <c r="AQ109" i="24"/>
  <c r="AS108" i="24"/>
  <c r="AR108" i="24"/>
  <c r="AQ108" i="24"/>
  <c r="AS107" i="24"/>
  <c r="AR107" i="24"/>
  <c r="AQ107" i="24"/>
  <c r="AS106" i="24"/>
  <c r="AR106" i="24"/>
  <c r="AQ106" i="24"/>
  <c r="AS105" i="24"/>
  <c r="AR105" i="24"/>
  <c r="AQ105" i="24"/>
  <c r="AS104" i="24"/>
  <c r="AR104" i="24"/>
  <c r="AQ104" i="24"/>
  <c r="Q70" i="24" l="1"/>
  <c r="Q69" i="24"/>
  <c r="Q68" i="24"/>
  <c r="Q67" i="24"/>
  <c r="B60" i="24" l="1"/>
  <c r="B61" i="24"/>
  <c r="C78" i="1"/>
  <c r="R70" i="24" s="1"/>
  <c r="S70" i="24" s="1"/>
  <c r="C77" i="1"/>
  <c r="R69" i="24" s="1"/>
  <c r="S69" i="24" s="1"/>
  <c r="C76" i="1"/>
  <c r="R68" i="24" s="1"/>
  <c r="S68" i="24" s="1"/>
  <c r="C75" i="1"/>
  <c r="R67" i="24" s="1"/>
  <c r="S67" i="24" s="1"/>
  <c r="C74" i="1"/>
  <c r="R66" i="24" s="1"/>
  <c r="S66" i="24" s="1"/>
  <c r="C73" i="1"/>
  <c r="R65" i="24" s="1"/>
  <c r="S65" i="24" s="1"/>
  <c r="C72" i="1"/>
  <c r="R64" i="24" s="1"/>
  <c r="S64" i="24" s="1"/>
  <c r="C71" i="1"/>
  <c r="R63" i="24" s="1"/>
  <c r="S63" i="24" s="1"/>
  <c r="C70" i="1"/>
  <c r="R62" i="24" s="1"/>
  <c r="S62" i="24" s="1"/>
  <c r="C69" i="1"/>
  <c r="R61" i="24" s="1"/>
  <c r="S61" i="24" s="1"/>
  <c r="C68" i="1"/>
  <c r="R60" i="24" s="1"/>
  <c r="S60" i="24" s="1"/>
  <c r="C67" i="1"/>
  <c r="R59" i="24" s="1"/>
  <c r="S59" i="24" s="1"/>
  <c r="C66" i="1"/>
  <c r="Z29" i="24" l="1"/>
  <c r="X31" i="24" l="1"/>
  <c r="Y31" i="24"/>
  <c r="Z31" i="24"/>
  <c r="Q50" i="24"/>
  <c r="Q51" i="24"/>
  <c r="Q52" i="24"/>
  <c r="Q53" i="24"/>
  <c r="Q54" i="24"/>
  <c r="Q55" i="24"/>
  <c r="Q59" i="24"/>
  <c r="Q60" i="24"/>
  <c r="Q61" i="24"/>
  <c r="Q62" i="24"/>
  <c r="Q63" i="24"/>
  <c r="Q64" i="24"/>
  <c r="Q65" i="24"/>
  <c r="Q66" i="24"/>
  <c r="B71" i="24" l="1"/>
  <c r="F78" i="1"/>
  <c r="G78" i="1" s="1"/>
  <c r="B70" i="24" l="1"/>
  <c r="F77" i="1" l="1"/>
  <c r="G77" i="1" l="1"/>
  <c r="B56" i="24"/>
  <c r="D56" i="24"/>
  <c r="F60" i="1"/>
  <c r="C60" i="1"/>
  <c r="R55" i="24" s="1"/>
  <c r="S55" i="24" s="1"/>
  <c r="Q83" i="6" l="1"/>
  <c r="B27" i="24"/>
  <c r="N27" i="24"/>
  <c r="O27" i="24"/>
  <c r="N83" i="6"/>
  <c r="B83" i="6"/>
  <c r="C83" i="6" s="1"/>
  <c r="C52" i="6"/>
  <c r="G27" i="24" l="1"/>
  <c r="F27" i="24"/>
  <c r="E27" i="24"/>
  <c r="D27" i="24"/>
  <c r="J27" i="24"/>
  <c r="I27" i="24"/>
  <c r="H27" i="24"/>
  <c r="M83" i="6"/>
  <c r="B25" i="24"/>
  <c r="N25" i="24"/>
  <c r="O25" i="24"/>
  <c r="B26" i="24"/>
  <c r="N26" i="24"/>
  <c r="O26" i="24"/>
  <c r="N82" i="6"/>
  <c r="Q82" i="6"/>
  <c r="B69" i="6"/>
  <c r="B70" i="6"/>
  <c r="B71" i="6"/>
  <c r="B72" i="6"/>
  <c r="B73" i="6"/>
  <c r="B74" i="6"/>
  <c r="B75" i="6"/>
  <c r="C75" i="6" s="1"/>
  <c r="B76" i="6"/>
  <c r="C76" i="6" s="1"/>
  <c r="B77" i="6"/>
  <c r="B78" i="6"/>
  <c r="C78" i="6" s="1"/>
  <c r="B79" i="6"/>
  <c r="B80" i="6"/>
  <c r="B81" i="6"/>
  <c r="B82" i="6"/>
  <c r="C82" i="6" s="1"/>
  <c r="C51" i="6"/>
  <c r="G26" i="24" l="1"/>
  <c r="H26" i="24"/>
  <c r="J26" i="24"/>
  <c r="E25" i="24"/>
  <c r="D25" i="24"/>
  <c r="E26" i="24"/>
  <c r="M82" i="6"/>
  <c r="O83" i="6"/>
  <c r="D26" i="24"/>
  <c r="I26" i="24"/>
  <c r="G25" i="24"/>
  <c r="F25" i="24"/>
  <c r="J25" i="24"/>
  <c r="I25" i="24"/>
  <c r="H25" i="24"/>
  <c r="F26" i="24"/>
  <c r="B2" i="1" l="1"/>
  <c r="B2" i="6"/>
  <c r="Q75" i="6" l="1"/>
  <c r="C58" i="1" l="1"/>
  <c r="R53" i="24" s="1"/>
  <c r="S53" i="24" s="1"/>
  <c r="C57" i="1"/>
  <c r="R52" i="24" s="1"/>
  <c r="S52" i="24" s="1"/>
  <c r="C56" i="1"/>
  <c r="R51" i="24" s="1"/>
  <c r="S51" i="24" s="1"/>
  <c r="C55" i="1"/>
  <c r="R50" i="24" s="1"/>
  <c r="S50" i="24" s="1"/>
  <c r="C54" i="1"/>
  <c r="C59" i="1"/>
  <c r="R54" i="24" s="1"/>
  <c r="S54" i="24" s="1"/>
  <c r="N3" i="8" l="1"/>
  <c r="N4" i="8"/>
  <c r="N5" i="8"/>
  <c r="N6" i="8"/>
  <c r="N7" i="8"/>
  <c r="N8" i="8"/>
  <c r="N9" i="8"/>
  <c r="N10" i="8"/>
  <c r="N11" i="8"/>
  <c r="N12" i="8"/>
  <c r="N13" i="8"/>
  <c r="N2" i="8"/>
  <c r="U9" i="25" l="1"/>
  <c r="U10" i="25"/>
  <c r="U11" i="25"/>
  <c r="U12" i="25"/>
  <c r="U13" i="25"/>
  <c r="U14" i="25"/>
  <c r="U15" i="25"/>
  <c r="U16" i="25"/>
  <c r="U17" i="25"/>
  <c r="U18" i="25"/>
  <c r="U19" i="25"/>
  <c r="U20" i="25"/>
  <c r="U21" i="25"/>
  <c r="U22" i="25"/>
  <c r="U23" i="25"/>
  <c r="U24" i="25"/>
  <c r="U25" i="25"/>
  <c r="U26" i="25"/>
  <c r="U27" i="25"/>
  <c r="U28" i="25"/>
  <c r="U29" i="25"/>
  <c r="U30" i="25"/>
  <c r="U31" i="25"/>
  <c r="U32" i="25"/>
  <c r="U33" i="25"/>
  <c r="U34" i="25"/>
  <c r="U35" i="25"/>
  <c r="U36" i="25"/>
  <c r="U37" i="25"/>
  <c r="U38" i="25"/>
  <c r="U39" i="25"/>
  <c r="U40" i="25"/>
  <c r="U41" i="25"/>
  <c r="U42" i="25"/>
  <c r="U43" i="25"/>
  <c r="U44" i="25"/>
  <c r="U45" i="25"/>
  <c r="U46" i="25"/>
  <c r="U47" i="25"/>
  <c r="U48" i="25"/>
  <c r="U49" i="25"/>
  <c r="U50" i="25"/>
  <c r="U51" i="25"/>
  <c r="U52" i="25"/>
  <c r="U53" i="25"/>
  <c r="U54" i="25"/>
  <c r="U55" i="25"/>
  <c r="U56" i="25"/>
  <c r="U57" i="25"/>
  <c r="U58" i="25"/>
  <c r="U59" i="25"/>
  <c r="U60" i="25"/>
  <c r="U61" i="25"/>
  <c r="U62" i="25"/>
  <c r="U63" i="25"/>
  <c r="U64" i="25"/>
  <c r="U65" i="25"/>
  <c r="U66" i="25"/>
  <c r="U67" i="25"/>
  <c r="U68" i="25"/>
  <c r="U69" i="25"/>
  <c r="U70" i="25"/>
  <c r="U71" i="25"/>
  <c r="U72" i="25"/>
  <c r="U73" i="25"/>
  <c r="U74" i="25"/>
  <c r="U75" i="25"/>
  <c r="U76" i="25"/>
  <c r="U77" i="25"/>
  <c r="U78" i="25"/>
  <c r="U79" i="25"/>
  <c r="U80" i="25"/>
  <c r="U81" i="25"/>
  <c r="U82" i="25"/>
  <c r="U83" i="25"/>
  <c r="U84" i="25"/>
  <c r="U85" i="25"/>
  <c r="U86" i="25"/>
  <c r="U87" i="25"/>
  <c r="U88" i="25"/>
  <c r="U89" i="25"/>
  <c r="U90" i="25"/>
  <c r="U91" i="25"/>
  <c r="U92" i="25"/>
  <c r="U93" i="25"/>
  <c r="U94" i="25"/>
  <c r="U95" i="25"/>
  <c r="U96" i="25"/>
  <c r="U97" i="25"/>
  <c r="U98" i="25"/>
  <c r="U99" i="25"/>
  <c r="U100" i="25"/>
  <c r="U101" i="25"/>
  <c r="U102" i="25"/>
  <c r="U103" i="25"/>
  <c r="U104" i="25"/>
  <c r="U105" i="25"/>
  <c r="U106" i="25"/>
  <c r="U107" i="25"/>
  <c r="U108" i="25"/>
  <c r="U109" i="25"/>
  <c r="U110" i="25"/>
  <c r="U111" i="25"/>
  <c r="U112" i="25"/>
  <c r="U113" i="25"/>
  <c r="U114" i="25"/>
  <c r="U115" i="25"/>
  <c r="U116" i="25"/>
  <c r="U117" i="25"/>
  <c r="U118" i="25"/>
  <c r="U119" i="25"/>
  <c r="U120" i="25"/>
  <c r="U121" i="25"/>
  <c r="U122" i="25"/>
  <c r="U123" i="25"/>
  <c r="U124" i="25"/>
  <c r="U125" i="25"/>
  <c r="U126" i="25"/>
  <c r="U127" i="25"/>
  <c r="U128" i="25"/>
  <c r="U129" i="25"/>
  <c r="U130" i="25"/>
  <c r="U131" i="25"/>
  <c r="U132" i="25"/>
  <c r="U133" i="25"/>
  <c r="U134" i="25"/>
  <c r="U135" i="25"/>
  <c r="U136" i="25"/>
  <c r="U137" i="25"/>
  <c r="U138" i="25"/>
  <c r="U139" i="25"/>
  <c r="U140" i="25"/>
  <c r="U141" i="25"/>
  <c r="U142" i="25"/>
  <c r="U143" i="25"/>
  <c r="U144" i="25"/>
  <c r="U145" i="25"/>
  <c r="U146" i="25"/>
  <c r="U147" i="25"/>
  <c r="U148" i="25"/>
  <c r="U149" i="25"/>
  <c r="U150" i="25"/>
  <c r="U151" i="25"/>
  <c r="U152" i="25"/>
  <c r="U153" i="25"/>
  <c r="U154" i="25"/>
  <c r="U155" i="25"/>
  <c r="U156" i="25"/>
  <c r="U157" i="25"/>
  <c r="U158" i="25"/>
  <c r="U159" i="25"/>
  <c r="U160" i="25"/>
  <c r="U161" i="25"/>
  <c r="U162" i="25"/>
  <c r="U163" i="25"/>
  <c r="U164" i="25"/>
  <c r="U165" i="25"/>
  <c r="U166" i="25"/>
  <c r="U167" i="25"/>
  <c r="U168" i="25"/>
  <c r="U169" i="25"/>
  <c r="U170" i="25"/>
  <c r="U171" i="25"/>
  <c r="U172" i="25"/>
  <c r="U173" i="25"/>
  <c r="U174" i="25"/>
  <c r="U175" i="25"/>
  <c r="U176" i="25"/>
  <c r="U177" i="25"/>
  <c r="U178" i="25"/>
  <c r="U179" i="25"/>
  <c r="U180" i="25"/>
  <c r="U181" i="25"/>
  <c r="U182" i="25"/>
  <c r="U183" i="25"/>
  <c r="U184" i="25"/>
  <c r="U185" i="25"/>
  <c r="U186" i="25"/>
  <c r="U187" i="25"/>
  <c r="U188" i="25"/>
  <c r="U189" i="25"/>
  <c r="U190" i="25"/>
  <c r="U191" i="25"/>
  <c r="U192" i="25"/>
  <c r="U193" i="25"/>
  <c r="U194" i="25"/>
  <c r="U195" i="25"/>
  <c r="U196" i="25"/>
  <c r="U197" i="25"/>
  <c r="U198" i="25"/>
  <c r="U199" i="25"/>
  <c r="U200" i="25"/>
  <c r="U201" i="25"/>
  <c r="U202" i="25"/>
  <c r="U203" i="25"/>
  <c r="U204" i="25"/>
  <c r="U205" i="25"/>
  <c r="U206" i="25"/>
  <c r="U207" i="25"/>
  <c r="U208" i="25"/>
  <c r="U209" i="25"/>
  <c r="U210" i="25"/>
  <c r="U211" i="25"/>
  <c r="U212" i="25"/>
  <c r="U213" i="25"/>
  <c r="U214" i="25"/>
  <c r="U215" i="25"/>
  <c r="U216" i="25"/>
  <c r="U217" i="25"/>
  <c r="U218" i="25"/>
  <c r="U219" i="25"/>
  <c r="U220" i="25"/>
  <c r="U221" i="25"/>
  <c r="U222" i="25"/>
  <c r="U223" i="25"/>
  <c r="U224" i="25"/>
  <c r="U225" i="25"/>
  <c r="U226" i="25"/>
  <c r="U227" i="25"/>
  <c r="U228" i="25"/>
  <c r="U229" i="25"/>
  <c r="U230" i="25"/>
  <c r="U231" i="25"/>
  <c r="U232" i="25"/>
  <c r="U233" i="25"/>
  <c r="U234" i="25"/>
  <c r="U235" i="25"/>
  <c r="U236" i="25"/>
  <c r="U237" i="25"/>
  <c r="U238" i="25"/>
  <c r="U239" i="25"/>
  <c r="U240" i="25"/>
  <c r="U241" i="25"/>
  <c r="U242" i="25"/>
  <c r="U243" i="25"/>
  <c r="U244" i="25"/>
  <c r="U245" i="25"/>
  <c r="U246" i="25"/>
  <c r="U247" i="25"/>
  <c r="U248" i="25"/>
  <c r="U249" i="25"/>
  <c r="U250" i="25"/>
  <c r="U251" i="25"/>
  <c r="U252" i="25"/>
  <c r="U253" i="25"/>
  <c r="U254" i="25"/>
  <c r="U255" i="25"/>
  <c r="U256" i="25"/>
  <c r="U257" i="25"/>
  <c r="U258" i="25"/>
  <c r="U259" i="25"/>
  <c r="U260" i="25"/>
  <c r="U261" i="25"/>
  <c r="U262" i="25"/>
  <c r="U263" i="25"/>
  <c r="U264" i="25"/>
  <c r="U265" i="25"/>
  <c r="U266" i="25"/>
  <c r="U267" i="25"/>
  <c r="U268" i="25"/>
  <c r="U269" i="25"/>
  <c r="U270" i="25"/>
  <c r="U271" i="25"/>
  <c r="U272" i="25"/>
  <c r="U273" i="25"/>
  <c r="U274" i="25"/>
  <c r="U275" i="25"/>
  <c r="U276" i="25"/>
  <c r="U277" i="25"/>
  <c r="U278" i="25"/>
  <c r="U279" i="25"/>
  <c r="U280" i="25"/>
  <c r="U281" i="25"/>
  <c r="U282" i="25"/>
  <c r="U283" i="25"/>
  <c r="U284" i="25"/>
  <c r="U285" i="25"/>
  <c r="U286" i="25"/>
  <c r="U287" i="25"/>
  <c r="U288" i="25"/>
  <c r="U289" i="25"/>
  <c r="U290" i="25"/>
  <c r="U291" i="25"/>
  <c r="U292" i="25"/>
  <c r="U293" i="25"/>
  <c r="U294" i="25"/>
  <c r="U295" i="25"/>
  <c r="U296" i="25"/>
  <c r="U297" i="25"/>
  <c r="U298" i="25"/>
  <c r="R700" i="25"/>
  <c r="Q700" i="25"/>
  <c r="N700" i="25"/>
  <c r="M700" i="25"/>
  <c r="R699" i="25"/>
  <c r="Q699" i="25"/>
  <c r="N699" i="25"/>
  <c r="M699" i="25"/>
  <c r="R698" i="25"/>
  <c r="Q698" i="25"/>
  <c r="N698" i="25"/>
  <c r="M698" i="25"/>
  <c r="R697" i="25"/>
  <c r="Q697" i="25"/>
  <c r="N697" i="25"/>
  <c r="M697" i="25"/>
  <c r="R696" i="25"/>
  <c r="Q696" i="25"/>
  <c r="N696" i="25"/>
  <c r="M696" i="25"/>
  <c r="R695" i="25"/>
  <c r="Q695" i="25"/>
  <c r="N695" i="25"/>
  <c r="M695" i="25"/>
  <c r="R694" i="25"/>
  <c r="Q694" i="25"/>
  <c r="N694" i="25"/>
  <c r="M694" i="25"/>
  <c r="R693" i="25"/>
  <c r="Q693" i="25"/>
  <c r="N693" i="25"/>
  <c r="M693" i="25"/>
  <c r="R692" i="25"/>
  <c r="Q692" i="25"/>
  <c r="N692" i="25"/>
  <c r="M692" i="25"/>
  <c r="R691" i="25"/>
  <c r="Q691" i="25"/>
  <c r="N691" i="25"/>
  <c r="M691" i="25"/>
  <c r="R690" i="25"/>
  <c r="Q690" i="25"/>
  <c r="N690" i="25"/>
  <c r="M690" i="25"/>
  <c r="R689" i="25"/>
  <c r="Q689" i="25"/>
  <c r="N689" i="25"/>
  <c r="M689" i="25"/>
  <c r="R688" i="25"/>
  <c r="Q688" i="25"/>
  <c r="N688" i="25"/>
  <c r="M688" i="25"/>
  <c r="R687" i="25"/>
  <c r="Q687" i="25"/>
  <c r="N687" i="25"/>
  <c r="M687" i="25"/>
  <c r="R686" i="25"/>
  <c r="Q686" i="25"/>
  <c r="N686" i="25"/>
  <c r="M686" i="25"/>
  <c r="R685" i="25"/>
  <c r="Q685" i="25"/>
  <c r="N685" i="25"/>
  <c r="M685" i="25"/>
  <c r="R684" i="25"/>
  <c r="Q684" i="25"/>
  <c r="N684" i="25"/>
  <c r="M684" i="25"/>
  <c r="R683" i="25"/>
  <c r="Q683" i="25"/>
  <c r="N683" i="25"/>
  <c r="M683" i="25"/>
  <c r="R682" i="25"/>
  <c r="Q682" i="25"/>
  <c r="N682" i="25"/>
  <c r="M682" i="25"/>
  <c r="R681" i="25"/>
  <c r="Q681" i="25"/>
  <c r="N681" i="25"/>
  <c r="M681" i="25"/>
  <c r="R680" i="25"/>
  <c r="Q680" i="25"/>
  <c r="N680" i="25"/>
  <c r="M680" i="25"/>
  <c r="R679" i="25"/>
  <c r="Q679" i="25"/>
  <c r="N679" i="25"/>
  <c r="M679" i="25"/>
  <c r="R678" i="25"/>
  <c r="Q678" i="25"/>
  <c r="N678" i="25"/>
  <c r="M678" i="25"/>
  <c r="R677" i="25"/>
  <c r="Q677" i="25"/>
  <c r="N677" i="25"/>
  <c r="M677" i="25"/>
  <c r="R676" i="25"/>
  <c r="Q676" i="25"/>
  <c r="N676" i="25"/>
  <c r="M676" i="25"/>
  <c r="R675" i="25"/>
  <c r="Q675" i="25"/>
  <c r="N675" i="25"/>
  <c r="M675" i="25"/>
  <c r="R674" i="25"/>
  <c r="Q674" i="25"/>
  <c r="N674" i="25"/>
  <c r="M674" i="25"/>
  <c r="R673" i="25"/>
  <c r="Q673" i="25"/>
  <c r="N673" i="25"/>
  <c r="M673" i="25"/>
  <c r="R672" i="25"/>
  <c r="Q672" i="25"/>
  <c r="N672" i="25"/>
  <c r="M672" i="25"/>
  <c r="R671" i="25"/>
  <c r="Q671" i="25"/>
  <c r="N671" i="25"/>
  <c r="M671" i="25"/>
  <c r="R670" i="25"/>
  <c r="Q670" i="25"/>
  <c r="N670" i="25"/>
  <c r="M670" i="25"/>
  <c r="R669" i="25"/>
  <c r="Q669" i="25"/>
  <c r="N669" i="25"/>
  <c r="M669" i="25"/>
  <c r="R668" i="25"/>
  <c r="Q668" i="25"/>
  <c r="N668" i="25"/>
  <c r="M668" i="25"/>
  <c r="R667" i="25"/>
  <c r="Q667" i="25"/>
  <c r="N667" i="25"/>
  <c r="M667" i="25"/>
  <c r="R666" i="25"/>
  <c r="Q666" i="25"/>
  <c r="N666" i="25"/>
  <c r="M666" i="25"/>
  <c r="R665" i="25"/>
  <c r="Q665" i="25"/>
  <c r="N665" i="25"/>
  <c r="M665" i="25"/>
  <c r="R664" i="25"/>
  <c r="Q664" i="25"/>
  <c r="N664" i="25"/>
  <c r="M664" i="25"/>
  <c r="R663" i="25"/>
  <c r="Q663" i="25"/>
  <c r="N663" i="25"/>
  <c r="M663" i="25"/>
  <c r="R662" i="25"/>
  <c r="Q662" i="25"/>
  <c r="N662" i="25"/>
  <c r="M662" i="25"/>
  <c r="R661" i="25"/>
  <c r="Q661" i="25"/>
  <c r="N661" i="25"/>
  <c r="M661" i="25"/>
  <c r="R660" i="25"/>
  <c r="Q660" i="25"/>
  <c r="N660" i="25"/>
  <c r="M660" i="25"/>
  <c r="R659" i="25"/>
  <c r="Q659" i="25"/>
  <c r="N659" i="25"/>
  <c r="M659" i="25"/>
  <c r="R658" i="25"/>
  <c r="Q658" i="25"/>
  <c r="N658" i="25"/>
  <c r="M658" i="25"/>
  <c r="R657" i="25"/>
  <c r="Q657" i="25"/>
  <c r="N657" i="25"/>
  <c r="M657" i="25"/>
  <c r="R656" i="25"/>
  <c r="Q656" i="25"/>
  <c r="N656" i="25"/>
  <c r="M656" i="25"/>
  <c r="R655" i="25"/>
  <c r="Q655" i="25"/>
  <c r="N655" i="25"/>
  <c r="M655" i="25"/>
  <c r="R654" i="25"/>
  <c r="Q654" i="25"/>
  <c r="N654" i="25"/>
  <c r="M654" i="25"/>
  <c r="R653" i="25"/>
  <c r="Q653" i="25"/>
  <c r="N653" i="25"/>
  <c r="M653" i="25"/>
  <c r="T302" i="25"/>
  <c r="S302" i="25"/>
  <c r="T301" i="25"/>
  <c r="S301" i="25"/>
  <c r="T300" i="25"/>
  <c r="S300" i="25"/>
  <c r="T299" i="25"/>
  <c r="S299" i="25"/>
  <c r="T298" i="25"/>
  <c r="S298" i="25"/>
  <c r="T297" i="25"/>
  <c r="S297" i="25"/>
  <c r="T296" i="25"/>
  <c r="S296" i="25"/>
  <c r="T295" i="25"/>
  <c r="S295" i="25"/>
  <c r="T294" i="25"/>
  <c r="S294" i="25"/>
  <c r="T293" i="25"/>
  <c r="S293" i="25"/>
  <c r="T292" i="25"/>
  <c r="S292" i="25"/>
  <c r="T291" i="25"/>
  <c r="S291" i="25"/>
  <c r="T290" i="25"/>
  <c r="S290" i="25"/>
  <c r="T289" i="25"/>
  <c r="S289" i="25"/>
  <c r="T288" i="25"/>
  <c r="S288" i="25"/>
  <c r="T287" i="25"/>
  <c r="S287" i="25"/>
  <c r="T286" i="25"/>
  <c r="S286" i="25"/>
  <c r="T285" i="25"/>
  <c r="S285" i="25"/>
  <c r="T284" i="25"/>
  <c r="S284" i="25"/>
  <c r="T283" i="25"/>
  <c r="S283" i="25"/>
  <c r="T282" i="25"/>
  <c r="S282" i="25"/>
  <c r="T281" i="25"/>
  <c r="S281" i="25"/>
  <c r="T280" i="25"/>
  <c r="S280" i="25"/>
  <c r="T279" i="25"/>
  <c r="S279" i="25"/>
  <c r="T278" i="25"/>
  <c r="S278" i="25"/>
  <c r="T277" i="25"/>
  <c r="S277" i="25"/>
  <c r="T276" i="25"/>
  <c r="S276" i="25"/>
  <c r="T275" i="25"/>
  <c r="S275" i="25"/>
  <c r="T274" i="25"/>
  <c r="S274" i="25"/>
  <c r="T273" i="25"/>
  <c r="S273" i="25"/>
  <c r="T272" i="25"/>
  <c r="S272" i="25"/>
  <c r="T271" i="25"/>
  <c r="S271" i="25"/>
  <c r="T270" i="25"/>
  <c r="S270" i="25"/>
  <c r="T269" i="25"/>
  <c r="S269" i="25"/>
  <c r="T268" i="25"/>
  <c r="S268" i="25"/>
  <c r="T267" i="25"/>
  <c r="S267" i="25"/>
  <c r="T266" i="25"/>
  <c r="S266" i="25"/>
  <c r="T265" i="25"/>
  <c r="S265" i="25"/>
  <c r="T264" i="25"/>
  <c r="S264" i="25"/>
  <c r="T263" i="25"/>
  <c r="S263" i="25"/>
  <c r="T262" i="25"/>
  <c r="S262" i="25"/>
  <c r="T261" i="25"/>
  <c r="S261" i="25"/>
  <c r="T260" i="25"/>
  <c r="S260" i="25"/>
  <c r="T259" i="25"/>
  <c r="S259" i="25"/>
  <c r="T258" i="25"/>
  <c r="S258" i="25"/>
  <c r="T257" i="25"/>
  <c r="S257" i="25"/>
  <c r="T256" i="25"/>
  <c r="S256" i="25"/>
  <c r="T255" i="25"/>
  <c r="S255" i="25"/>
  <c r="T254" i="25"/>
  <c r="S254" i="25"/>
  <c r="T253" i="25"/>
  <c r="S253" i="25"/>
  <c r="T252" i="25"/>
  <c r="S252" i="25"/>
  <c r="T251" i="25"/>
  <c r="S251" i="25"/>
  <c r="T250" i="25"/>
  <c r="S250" i="25"/>
  <c r="T249" i="25"/>
  <c r="S249" i="25"/>
  <c r="T248" i="25"/>
  <c r="S248" i="25"/>
  <c r="T247" i="25"/>
  <c r="S247" i="25"/>
  <c r="T246" i="25"/>
  <c r="S246" i="25"/>
  <c r="T245" i="25"/>
  <c r="S245" i="25"/>
  <c r="T244" i="25"/>
  <c r="S244" i="25"/>
  <c r="T243" i="25"/>
  <c r="S243" i="25"/>
  <c r="T242" i="25"/>
  <c r="S242" i="25"/>
  <c r="T241" i="25"/>
  <c r="S241" i="25"/>
  <c r="T240" i="25"/>
  <c r="S240" i="25"/>
  <c r="T239" i="25"/>
  <c r="S239" i="25"/>
  <c r="T238" i="25"/>
  <c r="S238" i="25"/>
  <c r="T237" i="25"/>
  <c r="S237" i="25"/>
  <c r="T236" i="25"/>
  <c r="S236" i="25"/>
  <c r="T235" i="25"/>
  <c r="S235" i="25"/>
  <c r="T234" i="25"/>
  <c r="S234" i="25"/>
  <c r="T233" i="25"/>
  <c r="S233" i="25"/>
  <c r="T232" i="25"/>
  <c r="S232" i="25"/>
  <c r="T231" i="25"/>
  <c r="S231" i="25"/>
  <c r="T230" i="25"/>
  <c r="S230" i="25"/>
  <c r="T229" i="25"/>
  <c r="S229" i="25"/>
  <c r="T228" i="25"/>
  <c r="S228" i="25"/>
  <c r="T227" i="25"/>
  <c r="S227" i="25"/>
  <c r="T226" i="25"/>
  <c r="S226" i="25"/>
  <c r="T225" i="25"/>
  <c r="S225" i="25"/>
  <c r="T224" i="25"/>
  <c r="S224" i="25"/>
  <c r="T223" i="25"/>
  <c r="S223" i="25"/>
  <c r="T222" i="25"/>
  <c r="S222" i="25"/>
  <c r="T221" i="25"/>
  <c r="S221" i="25"/>
  <c r="T220" i="25"/>
  <c r="S220" i="25"/>
  <c r="T219" i="25"/>
  <c r="S219" i="25"/>
  <c r="T218" i="25"/>
  <c r="S218" i="25"/>
  <c r="T217" i="25"/>
  <c r="S217" i="25"/>
  <c r="T216" i="25"/>
  <c r="S216" i="25"/>
  <c r="T215" i="25"/>
  <c r="S215" i="25"/>
  <c r="T214" i="25"/>
  <c r="S214" i="25"/>
  <c r="T213" i="25"/>
  <c r="S213" i="25"/>
  <c r="T212" i="25"/>
  <c r="S212" i="25"/>
  <c r="T211" i="25"/>
  <c r="S211" i="25"/>
  <c r="T210" i="25"/>
  <c r="S210" i="25"/>
  <c r="T209" i="25"/>
  <c r="S209" i="25"/>
  <c r="T208" i="25"/>
  <c r="S208" i="25"/>
  <c r="T207" i="25"/>
  <c r="S207" i="25"/>
  <c r="T206" i="25"/>
  <c r="S206" i="25"/>
  <c r="T205" i="25"/>
  <c r="S205" i="25"/>
  <c r="T204" i="25"/>
  <c r="S204" i="25"/>
  <c r="T203" i="25"/>
  <c r="S203" i="25"/>
  <c r="T202" i="25"/>
  <c r="S202" i="25"/>
  <c r="T201" i="25"/>
  <c r="S201" i="25"/>
  <c r="T200" i="25"/>
  <c r="S200" i="25"/>
  <c r="T199" i="25"/>
  <c r="S199" i="25"/>
  <c r="T198" i="25"/>
  <c r="S198" i="25"/>
  <c r="T197" i="25"/>
  <c r="S197" i="25"/>
  <c r="T196" i="25"/>
  <c r="S196" i="25"/>
  <c r="T195" i="25"/>
  <c r="S195" i="25"/>
  <c r="T194" i="25"/>
  <c r="S194" i="25"/>
  <c r="T193" i="25"/>
  <c r="S193" i="25"/>
  <c r="T192" i="25"/>
  <c r="S192" i="25"/>
  <c r="T191" i="25"/>
  <c r="S191" i="25"/>
  <c r="T190" i="25"/>
  <c r="S190" i="25"/>
  <c r="T189" i="25"/>
  <c r="S189" i="25"/>
  <c r="T188" i="25"/>
  <c r="S188" i="25"/>
  <c r="T187" i="25"/>
  <c r="S187" i="25"/>
  <c r="T186" i="25"/>
  <c r="S186" i="25"/>
  <c r="T185" i="25"/>
  <c r="S185" i="25"/>
  <c r="T184" i="25"/>
  <c r="S184" i="25"/>
  <c r="T183" i="25"/>
  <c r="S183" i="25"/>
  <c r="T182" i="25"/>
  <c r="S182" i="25"/>
  <c r="T181" i="25"/>
  <c r="S181" i="25"/>
  <c r="T180" i="25"/>
  <c r="S180" i="25"/>
  <c r="T179" i="25"/>
  <c r="S179" i="25"/>
  <c r="T178" i="25"/>
  <c r="S178" i="25"/>
  <c r="T177" i="25"/>
  <c r="S177" i="25"/>
  <c r="T176" i="25"/>
  <c r="S176" i="25"/>
  <c r="T175" i="25"/>
  <c r="S175" i="25"/>
  <c r="T174" i="25"/>
  <c r="S174" i="25"/>
  <c r="T173" i="25"/>
  <c r="S173" i="25"/>
  <c r="T172" i="25"/>
  <c r="S172" i="25"/>
  <c r="T171" i="25"/>
  <c r="S171" i="25"/>
  <c r="T170" i="25"/>
  <c r="S170" i="25"/>
  <c r="T169" i="25"/>
  <c r="S169" i="25"/>
  <c r="T168" i="25"/>
  <c r="S168" i="25"/>
  <c r="T167" i="25"/>
  <c r="S167" i="25"/>
  <c r="T166" i="25"/>
  <c r="S166" i="25"/>
  <c r="T165" i="25"/>
  <c r="S165" i="25"/>
  <c r="T164" i="25"/>
  <c r="S164" i="25"/>
  <c r="T163" i="25"/>
  <c r="S163" i="25"/>
  <c r="T162" i="25"/>
  <c r="S162" i="25"/>
  <c r="T161" i="25"/>
  <c r="S161" i="25"/>
  <c r="T160" i="25"/>
  <c r="S160" i="25"/>
  <c r="T159" i="25"/>
  <c r="S159" i="25"/>
  <c r="T158" i="25"/>
  <c r="S158" i="25"/>
  <c r="T157" i="25"/>
  <c r="S157" i="25"/>
  <c r="T156" i="25"/>
  <c r="S156" i="25"/>
  <c r="T155" i="25"/>
  <c r="S155" i="25"/>
  <c r="T154" i="25"/>
  <c r="S154" i="25"/>
  <c r="T153" i="25"/>
  <c r="S153" i="25"/>
  <c r="T152" i="25"/>
  <c r="S152" i="25"/>
  <c r="T151" i="25"/>
  <c r="S151" i="25"/>
  <c r="T150" i="25"/>
  <c r="S150" i="25"/>
  <c r="T149" i="25"/>
  <c r="S149" i="25"/>
  <c r="T148" i="25"/>
  <c r="S148" i="25"/>
  <c r="T147" i="25"/>
  <c r="S147" i="25"/>
  <c r="T146" i="25"/>
  <c r="S146" i="25"/>
  <c r="T145" i="25"/>
  <c r="S145" i="25"/>
  <c r="T144" i="25"/>
  <c r="S144" i="25"/>
  <c r="T143" i="25"/>
  <c r="S143" i="25"/>
  <c r="T142" i="25"/>
  <c r="S142" i="25"/>
  <c r="T141" i="25"/>
  <c r="S141" i="25"/>
  <c r="T140" i="25"/>
  <c r="S140" i="25"/>
  <c r="T139" i="25"/>
  <c r="S139" i="25"/>
  <c r="T138" i="25"/>
  <c r="S138" i="25"/>
  <c r="T137" i="25"/>
  <c r="S137" i="25"/>
  <c r="T136" i="25"/>
  <c r="S136" i="25"/>
  <c r="T135" i="25"/>
  <c r="S135" i="25"/>
  <c r="T134" i="25"/>
  <c r="S134" i="25"/>
  <c r="T133" i="25"/>
  <c r="S133" i="25"/>
  <c r="T132" i="25"/>
  <c r="S132" i="25"/>
  <c r="T131" i="25"/>
  <c r="S131" i="25"/>
  <c r="T130" i="25"/>
  <c r="S130" i="25"/>
  <c r="T129" i="25"/>
  <c r="S129" i="25"/>
  <c r="T128" i="25"/>
  <c r="S128" i="25"/>
  <c r="T127" i="25"/>
  <c r="S127" i="25"/>
  <c r="T126" i="25"/>
  <c r="S126" i="25"/>
  <c r="T125" i="25"/>
  <c r="S125" i="25"/>
  <c r="T124" i="25"/>
  <c r="S124" i="25"/>
  <c r="T123" i="25"/>
  <c r="S123" i="25"/>
  <c r="T122" i="25"/>
  <c r="S122" i="25"/>
  <c r="T121" i="25"/>
  <c r="S121" i="25"/>
  <c r="T120" i="25"/>
  <c r="S120" i="25"/>
  <c r="T119" i="25"/>
  <c r="S119" i="25"/>
  <c r="T118" i="25"/>
  <c r="S118" i="25"/>
  <c r="T117" i="25"/>
  <c r="S117" i="25"/>
  <c r="T116" i="25"/>
  <c r="S116" i="25"/>
  <c r="T115" i="25"/>
  <c r="S115" i="25"/>
  <c r="T114" i="25"/>
  <c r="S114" i="25"/>
  <c r="T113" i="25"/>
  <c r="S113" i="25"/>
  <c r="R113" i="25"/>
  <c r="Q113" i="25"/>
  <c r="P113" i="25"/>
  <c r="O113" i="25"/>
  <c r="N113" i="25"/>
  <c r="M113" i="25"/>
  <c r="T112" i="25"/>
  <c r="S112" i="25"/>
  <c r="R112" i="25"/>
  <c r="Q112" i="25"/>
  <c r="P112" i="25"/>
  <c r="O112" i="25"/>
  <c r="N112" i="25"/>
  <c r="M112" i="25"/>
  <c r="T111" i="25"/>
  <c r="S111" i="25"/>
  <c r="R111" i="25"/>
  <c r="Q111" i="25"/>
  <c r="P111" i="25"/>
  <c r="O111" i="25"/>
  <c r="N111" i="25"/>
  <c r="M111" i="25"/>
  <c r="T110" i="25"/>
  <c r="S110" i="25"/>
  <c r="R110" i="25"/>
  <c r="Q110" i="25"/>
  <c r="P110" i="25"/>
  <c r="O110" i="25"/>
  <c r="N110" i="25"/>
  <c r="M110" i="25"/>
  <c r="T109" i="25"/>
  <c r="S109" i="25"/>
  <c r="R109" i="25"/>
  <c r="Q109" i="25"/>
  <c r="P109" i="25"/>
  <c r="O109" i="25"/>
  <c r="N109" i="25"/>
  <c r="M109" i="25"/>
  <c r="T108" i="25"/>
  <c r="S108" i="25"/>
  <c r="R108" i="25"/>
  <c r="Q108" i="25"/>
  <c r="P108" i="25"/>
  <c r="O108" i="25"/>
  <c r="N108" i="25"/>
  <c r="M108" i="25"/>
  <c r="T107" i="25"/>
  <c r="S107" i="25"/>
  <c r="R107" i="25"/>
  <c r="Q107" i="25"/>
  <c r="P107" i="25"/>
  <c r="O107" i="25"/>
  <c r="N107" i="25"/>
  <c r="M107" i="25"/>
  <c r="T106" i="25"/>
  <c r="S106" i="25"/>
  <c r="R106" i="25"/>
  <c r="Q106" i="25"/>
  <c r="P106" i="25"/>
  <c r="O106" i="25"/>
  <c r="N106" i="25"/>
  <c r="M106" i="25"/>
  <c r="T105" i="25"/>
  <c r="S105" i="25"/>
  <c r="R105" i="25"/>
  <c r="Q105" i="25"/>
  <c r="P105" i="25"/>
  <c r="O105" i="25"/>
  <c r="N105" i="25"/>
  <c r="M105" i="25"/>
  <c r="T104" i="25"/>
  <c r="S104" i="25"/>
  <c r="R104" i="25"/>
  <c r="Q104" i="25"/>
  <c r="P104" i="25"/>
  <c r="O104" i="25"/>
  <c r="N104" i="25"/>
  <c r="M104" i="25"/>
  <c r="T103" i="25"/>
  <c r="S103" i="25"/>
  <c r="R103" i="25"/>
  <c r="Q103" i="25"/>
  <c r="P103" i="25"/>
  <c r="O103" i="25"/>
  <c r="N103" i="25"/>
  <c r="M103" i="25"/>
  <c r="T102" i="25"/>
  <c r="S102" i="25"/>
  <c r="R102" i="25"/>
  <c r="Q102" i="25"/>
  <c r="P102" i="25"/>
  <c r="O102" i="25"/>
  <c r="N102" i="25"/>
  <c r="M102" i="25"/>
  <c r="T101" i="25"/>
  <c r="S101" i="25"/>
  <c r="R101" i="25"/>
  <c r="Q101" i="25"/>
  <c r="P101" i="25"/>
  <c r="O101" i="25"/>
  <c r="N101" i="25"/>
  <c r="M101" i="25"/>
  <c r="T100" i="25"/>
  <c r="S100" i="25"/>
  <c r="R100" i="25"/>
  <c r="Q100" i="25"/>
  <c r="P100" i="25"/>
  <c r="O100" i="25"/>
  <c r="N100" i="25"/>
  <c r="M100" i="25"/>
  <c r="T99" i="25"/>
  <c r="S99" i="25"/>
  <c r="R99" i="25"/>
  <c r="Q99" i="25"/>
  <c r="P99" i="25"/>
  <c r="O99" i="25"/>
  <c r="N99" i="25"/>
  <c r="M99" i="25"/>
  <c r="T98" i="25"/>
  <c r="S98" i="25"/>
  <c r="R98" i="25"/>
  <c r="Q98" i="25"/>
  <c r="P98" i="25"/>
  <c r="O98" i="25"/>
  <c r="N98" i="25"/>
  <c r="M98" i="25"/>
  <c r="T97" i="25"/>
  <c r="S97" i="25"/>
  <c r="R97" i="25"/>
  <c r="Q97" i="25"/>
  <c r="P97" i="25"/>
  <c r="O97" i="25"/>
  <c r="N97" i="25"/>
  <c r="M97" i="25"/>
  <c r="T96" i="25"/>
  <c r="S96" i="25"/>
  <c r="R96" i="25"/>
  <c r="Q96" i="25"/>
  <c r="P96" i="25"/>
  <c r="O96" i="25"/>
  <c r="N96" i="25"/>
  <c r="M96" i="25"/>
  <c r="T95" i="25"/>
  <c r="S95" i="25"/>
  <c r="R95" i="25"/>
  <c r="Q95" i="25"/>
  <c r="P95" i="25"/>
  <c r="O95" i="25"/>
  <c r="N95" i="25"/>
  <c r="M95" i="25"/>
  <c r="T94" i="25"/>
  <c r="S94" i="25"/>
  <c r="R94" i="25"/>
  <c r="Q94" i="25"/>
  <c r="P94" i="25"/>
  <c r="O94" i="25"/>
  <c r="N94" i="25"/>
  <c r="M94" i="25"/>
  <c r="T93" i="25"/>
  <c r="S93" i="25"/>
  <c r="R93" i="25"/>
  <c r="Q93" i="25"/>
  <c r="P93" i="25"/>
  <c r="O93" i="25"/>
  <c r="N93" i="25"/>
  <c r="M93" i="25"/>
  <c r="T92" i="25"/>
  <c r="S92" i="25"/>
  <c r="R92" i="25"/>
  <c r="Q92" i="25"/>
  <c r="P92" i="25"/>
  <c r="O92" i="25"/>
  <c r="N92" i="25"/>
  <c r="M92" i="25"/>
  <c r="T91" i="25"/>
  <c r="S91" i="25"/>
  <c r="R91" i="25"/>
  <c r="Q91" i="25"/>
  <c r="P91" i="25"/>
  <c r="O91" i="25"/>
  <c r="N91" i="25"/>
  <c r="M91" i="25"/>
  <c r="T90" i="25"/>
  <c r="S90" i="25"/>
  <c r="R90" i="25"/>
  <c r="Q90" i="25"/>
  <c r="P90" i="25"/>
  <c r="O90" i="25"/>
  <c r="N90" i="25"/>
  <c r="M90" i="25"/>
  <c r="T89" i="25"/>
  <c r="S89" i="25"/>
  <c r="R89" i="25"/>
  <c r="Q89" i="25"/>
  <c r="P89" i="25"/>
  <c r="O89" i="25"/>
  <c r="N89" i="25"/>
  <c r="M89" i="25"/>
  <c r="T88" i="25"/>
  <c r="S88" i="25"/>
  <c r="R88" i="25"/>
  <c r="Q88" i="25"/>
  <c r="P88" i="25"/>
  <c r="O88" i="25"/>
  <c r="N88" i="25"/>
  <c r="M88" i="25"/>
  <c r="T87" i="25"/>
  <c r="S87" i="25"/>
  <c r="R87" i="25"/>
  <c r="Q87" i="25"/>
  <c r="P87" i="25"/>
  <c r="O87" i="25"/>
  <c r="N87" i="25"/>
  <c r="M87" i="25"/>
  <c r="T86" i="25"/>
  <c r="S86" i="25"/>
  <c r="R86" i="25"/>
  <c r="Q86" i="25"/>
  <c r="P86" i="25"/>
  <c r="O86" i="25"/>
  <c r="N86" i="25"/>
  <c r="M86" i="25"/>
  <c r="T85" i="25"/>
  <c r="S85" i="25"/>
  <c r="R85" i="25"/>
  <c r="Q85" i="25"/>
  <c r="P85" i="25"/>
  <c r="O85" i="25"/>
  <c r="N85" i="25"/>
  <c r="M85" i="25"/>
  <c r="T84" i="25"/>
  <c r="S84" i="25"/>
  <c r="R84" i="25"/>
  <c r="Q84" i="25"/>
  <c r="P84" i="25"/>
  <c r="O84" i="25"/>
  <c r="N84" i="25"/>
  <c r="M84" i="25"/>
  <c r="T83" i="25"/>
  <c r="S83" i="25"/>
  <c r="R83" i="25"/>
  <c r="Q83" i="25"/>
  <c r="P83" i="25"/>
  <c r="O83" i="25"/>
  <c r="N83" i="25"/>
  <c r="M83" i="25"/>
  <c r="T82" i="25"/>
  <c r="S82" i="25"/>
  <c r="R82" i="25"/>
  <c r="Q82" i="25"/>
  <c r="P82" i="25"/>
  <c r="O82" i="25"/>
  <c r="N82" i="25"/>
  <c r="M82" i="25"/>
  <c r="T81" i="25"/>
  <c r="S81" i="25"/>
  <c r="R81" i="25"/>
  <c r="Q81" i="25"/>
  <c r="P81" i="25"/>
  <c r="O81" i="25"/>
  <c r="N81" i="25"/>
  <c r="M81" i="25"/>
  <c r="T80" i="25"/>
  <c r="S80" i="25"/>
  <c r="R80" i="25"/>
  <c r="Q80" i="25"/>
  <c r="P80" i="25"/>
  <c r="O80" i="25"/>
  <c r="N80" i="25"/>
  <c r="M80" i="25"/>
  <c r="T79" i="25"/>
  <c r="S79" i="25"/>
  <c r="R79" i="25"/>
  <c r="Q79" i="25"/>
  <c r="P79" i="25"/>
  <c r="O79" i="25"/>
  <c r="N79" i="25"/>
  <c r="M79" i="25"/>
  <c r="T78" i="25"/>
  <c r="S78" i="25"/>
  <c r="R78" i="25"/>
  <c r="Q78" i="25"/>
  <c r="P78" i="25"/>
  <c r="O78" i="25"/>
  <c r="N78" i="25"/>
  <c r="M78" i="25"/>
  <c r="T77" i="25"/>
  <c r="S77" i="25"/>
  <c r="R77" i="25"/>
  <c r="Q77" i="25"/>
  <c r="P77" i="25"/>
  <c r="O77" i="25"/>
  <c r="N77" i="25"/>
  <c r="M77" i="25"/>
  <c r="T76" i="25"/>
  <c r="S76" i="25"/>
  <c r="R76" i="25"/>
  <c r="Q76" i="25"/>
  <c r="P76" i="25"/>
  <c r="O76" i="25"/>
  <c r="N76" i="25"/>
  <c r="M76" i="25"/>
  <c r="T75" i="25"/>
  <c r="S75" i="25"/>
  <c r="R75" i="25"/>
  <c r="Q75" i="25"/>
  <c r="P75" i="25"/>
  <c r="O75" i="25"/>
  <c r="N75" i="25"/>
  <c r="M75" i="25"/>
  <c r="T74" i="25"/>
  <c r="S74" i="25"/>
  <c r="R74" i="25"/>
  <c r="Q74" i="25"/>
  <c r="P74" i="25"/>
  <c r="O74" i="25"/>
  <c r="N74" i="25"/>
  <c r="M74" i="25"/>
  <c r="T73" i="25"/>
  <c r="S73" i="25"/>
  <c r="R73" i="25"/>
  <c r="Q73" i="25"/>
  <c r="P73" i="25"/>
  <c r="O73" i="25"/>
  <c r="N73" i="25"/>
  <c r="M73" i="25"/>
  <c r="T72" i="25"/>
  <c r="S72" i="25"/>
  <c r="R72" i="25"/>
  <c r="Q72" i="25"/>
  <c r="P72" i="25"/>
  <c r="O72" i="25"/>
  <c r="N72" i="25"/>
  <c r="M72" i="25"/>
  <c r="T71" i="25"/>
  <c r="S71" i="25"/>
  <c r="R71" i="25"/>
  <c r="Q71" i="25"/>
  <c r="P71" i="25"/>
  <c r="O71" i="25"/>
  <c r="N71" i="25"/>
  <c r="M71" i="25"/>
  <c r="T70" i="25"/>
  <c r="S70" i="25"/>
  <c r="R70" i="25"/>
  <c r="Q70" i="25"/>
  <c r="P70" i="25"/>
  <c r="O70" i="25"/>
  <c r="N70" i="25"/>
  <c r="M70" i="25"/>
  <c r="T69" i="25"/>
  <c r="S69" i="25"/>
  <c r="R69" i="25"/>
  <c r="Q69" i="25"/>
  <c r="P69" i="25"/>
  <c r="O69" i="25"/>
  <c r="N69" i="25"/>
  <c r="M69" i="25"/>
  <c r="T68" i="25"/>
  <c r="S68" i="25"/>
  <c r="R68" i="25"/>
  <c r="Q68" i="25"/>
  <c r="P68" i="25"/>
  <c r="O68" i="25"/>
  <c r="N68" i="25"/>
  <c r="M68" i="25"/>
  <c r="T67" i="25"/>
  <c r="S67" i="25"/>
  <c r="R67" i="25"/>
  <c r="Q67" i="25"/>
  <c r="P67" i="25"/>
  <c r="O67" i="25"/>
  <c r="N67" i="25"/>
  <c r="M67" i="25"/>
  <c r="T66" i="25"/>
  <c r="S66" i="25"/>
  <c r="R66" i="25"/>
  <c r="Q66" i="25"/>
  <c r="P66" i="25"/>
  <c r="O66" i="25"/>
  <c r="N66" i="25"/>
  <c r="M66" i="25"/>
  <c r="T65" i="25"/>
  <c r="S65" i="25"/>
  <c r="R65" i="25"/>
  <c r="Q65" i="25"/>
  <c r="P65" i="25"/>
  <c r="O65" i="25"/>
  <c r="N65" i="25"/>
  <c r="M65" i="25"/>
  <c r="T64" i="25"/>
  <c r="S64" i="25"/>
  <c r="R64" i="25"/>
  <c r="Q64" i="25"/>
  <c r="P64" i="25"/>
  <c r="O64" i="25"/>
  <c r="N64" i="25"/>
  <c r="M64" i="25"/>
  <c r="T63" i="25"/>
  <c r="S63" i="25"/>
  <c r="R63" i="25"/>
  <c r="Q63" i="25"/>
  <c r="P63" i="25"/>
  <c r="O63" i="25"/>
  <c r="N63" i="25"/>
  <c r="M63" i="25"/>
  <c r="T62" i="25"/>
  <c r="S62" i="25"/>
  <c r="R62" i="25"/>
  <c r="Q62" i="25"/>
  <c r="P62" i="25"/>
  <c r="O62" i="25"/>
  <c r="N62" i="25"/>
  <c r="M62" i="25"/>
  <c r="T61" i="25"/>
  <c r="S61" i="25"/>
  <c r="R61" i="25"/>
  <c r="Q61" i="25"/>
  <c r="P61" i="25"/>
  <c r="O61" i="25"/>
  <c r="N61" i="25"/>
  <c r="M61" i="25"/>
  <c r="T60" i="25"/>
  <c r="S60" i="25"/>
  <c r="R60" i="25"/>
  <c r="Q60" i="25"/>
  <c r="P60" i="25"/>
  <c r="O60" i="25"/>
  <c r="N60" i="25"/>
  <c r="M60" i="25"/>
  <c r="T59" i="25"/>
  <c r="S59" i="25"/>
  <c r="R59" i="25"/>
  <c r="Q59" i="25"/>
  <c r="P59" i="25"/>
  <c r="O59" i="25"/>
  <c r="N59" i="25"/>
  <c r="M59" i="25"/>
  <c r="T58" i="25"/>
  <c r="S58" i="25"/>
  <c r="R58" i="25"/>
  <c r="Q58" i="25"/>
  <c r="P58" i="25"/>
  <c r="O58" i="25"/>
  <c r="N58" i="25"/>
  <c r="M58" i="25"/>
  <c r="T57" i="25"/>
  <c r="S57" i="25"/>
  <c r="R57" i="25"/>
  <c r="Q57" i="25"/>
  <c r="P57" i="25"/>
  <c r="O57" i="25"/>
  <c r="N57" i="25"/>
  <c r="M57" i="25"/>
  <c r="T56" i="25"/>
  <c r="S56" i="25"/>
  <c r="R56" i="25"/>
  <c r="Q56" i="25"/>
  <c r="P56" i="25"/>
  <c r="O56" i="25"/>
  <c r="N56" i="25"/>
  <c r="M56" i="25"/>
  <c r="T55" i="25"/>
  <c r="S55" i="25"/>
  <c r="R55" i="25"/>
  <c r="Q55" i="25"/>
  <c r="P55" i="25"/>
  <c r="O55" i="25"/>
  <c r="N55" i="25"/>
  <c r="M55" i="25"/>
  <c r="T54" i="25"/>
  <c r="S54" i="25"/>
  <c r="R54" i="25"/>
  <c r="Q54" i="25"/>
  <c r="P54" i="25"/>
  <c r="O54" i="25"/>
  <c r="N54" i="25"/>
  <c r="M54" i="25"/>
  <c r="T53" i="25"/>
  <c r="S53" i="25"/>
  <c r="R53" i="25"/>
  <c r="Q53" i="25"/>
  <c r="P53" i="25"/>
  <c r="O53" i="25"/>
  <c r="N53" i="25"/>
  <c r="M53" i="25"/>
  <c r="T52" i="25"/>
  <c r="S52" i="25"/>
  <c r="R52" i="25"/>
  <c r="Q52" i="25"/>
  <c r="P52" i="25"/>
  <c r="O52" i="25"/>
  <c r="N52" i="25"/>
  <c r="M52" i="25"/>
  <c r="T51" i="25"/>
  <c r="S51" i="25"/>
  <c r="R51" i="25"/>
  <c r="Q51" i="25"/>
  <c r="P51" i="25"/>
  <c r="O51" i="25"/>
  <c r="N51" i="25"/>
  <c r="M51" i="25"/>
  <c r="T50" i="25"/>
  <c r="S50" i="25"/>
  <c r="R50" i="25"/>
  <c r="Q50" i="25"/>
  <c r="P50" i="25"/>
  <c r="O50" i="25"/>
  <c r="N50" i="25"/>
  <c r="M50" i="25"/>
  <c r="T49" i="25"/>
  <c r="S49" i="25"/>
  <c r="R49" i="25"/>
  <c r="Q49" i="25"/>
  <c r="P49" i="25"/>
  <c r="O49" i="25"/>
  <c r="N49" i="25"/>
  <c r="M49" i="25"/>
  <c r="T48" i="25"/>
  <c r="S48" i="25"/>
  <c r="R48" i="25"/>
  <c r="Q48" i="25"/>
  <c r="P48" i="25"/>
  <c r="O48" i="25"/>
  <c r="N48" i="25"/>
  <c r="M48" i="25"/>
  <c r="T47" i="25"/>
  <c r="S47" i="25"/>
  <c r="R47" i="25"/>
  <c r="Q47" i="25"/>
  <c r="P47" i="25"/>
  <c r="O47" i="25"/>
  <c r="N47" i="25"/>
  <c r="M47" i="25"/>
  <c r="T46" i="25"/>
  <c r="S46" i="25"/>
  <c r="R46" i="25"/>
  <c r="Q46" i="25"/>
  <c r="P46" i="25"/>
  <c r="O46" i="25"/>
  <c r="N46" i="25"/>
  <c r="M46" i="25"/>
  <c r="T45" i="25"/>
  <c r="S45" i="25"/>
  <c r="R45" i="25"/>
  <c r="Q45" i="25"/>
  <c r="P45" i="25"/>
  <c r="O45" i="25"/>
  <c r="N45" i="25"/>
  <c r="M45" i="25"/>
  <c r="T44" i="25"/>
  <c r="S44" i="25"/>
  <c r="R44" i="25"/>
  <c r="Q44" i="25"/>
  <c r="P44" i="25"/>
  <c r="O44" i="25"/>
  <c r="N44" i="25"/>
  <c r="M44" i="25"/>
  <c r="T43" i="25"/>
  <c r="S43" i="25"/>
  <c r="R43" i="25"/>
  <c r="Q43" i="25"/>
  <c r="P43" i="25"/>
  <c r="O43" i="25"/>
  <c r="N43" i="25"/>
  <c r="M43" i="25"/>
  <c r="T42" i="25"/>
  <c r="S42" i="25"/>
  <c r="R42" i="25"/>
  <c r="Q42" i="25"/>
  <c r="P42" i="25"/>
  <c r="O42" i="25"/>
  <c r="N42" i="25"/>
  <c r="M42" i="25"/>
  <c r="T41" i="25"/>
  <c r="S41" i="25"/>
  <c r="R41" i="25"/>
  <c r="Q41" i="25"/>
  <c r="P41" i="25"/>
  <c r="O41" i="25"/>
  <c r="N41" i="25"/>
  <c r="M41" i="25"/>
  <c r="T40" i="25"/>
  <c r="S40" i="25"/>
  <c r="R40" i="25"/>
  <c r="Q40" i="25"/>
  <c r="P40" i="25"/>
  <c r="O40" i="25"/>
  <c r="N40" i="25"/>
  <c r="M40" i="25"/>
  <c r="T39" i="25"/>
  <c r="S39" i="25"/>
  <c r="R39" i="25"/>
  <c r="Q39" i="25"/>
  <c r="P39" i="25"/>
  <c r="O39" i="25"/>
  <c r="N39" i="25"/>
  <c r="M39" i="25"/>
  <c r="T38" i="25"/>
  <c r="S38" i="25"/>
  <c r="R38" i="25"/>
  <c r="Q38" i="25"/>
  <c r="P38" i="25"/>
  <c r="O38" i="25"/>
  <c r="N38" i="25"/>
  <c r="M38" i="25"/>
  <c r="T37" i="25"/>
  <c r="S37" i="25"/>
  <c r="R37" i="25"/>
  <c r="Q37" i="25"/>
  <c r="P37" i="25"/>
  <c r="O37" i="25"/>
  <c r="N37" i="25"/>
  <c r="M37" i="25"/>
  <c r="T36" i="25"/>
  <c r="S36" i="25"/>
  <c r="R36" i="25"/>
  <c r="Q36" i="25"/>
  <c r="P36" i="25"/>
  <c r="O36" i="25"/>
  <c r="N36" i="25"/>
  <c r="M36" i="25"/>
  <c r="T35" i="25"/>
  <c r="S35" i="25"/>
  <c r="R35" i="25"/>
  <c r="Q35" i="25"/>
  <c r="P35" i="25"/>
  <c r="O35" i="25"/>
  <c r="N35" i="25"/>
  <c r="M35" i="25"/>
  <c r="T34" i="25"/>
  <c r="S34" i="25"/>
  <c r="R34" i="25"/>
  <c r="Q34" i="25"/>
  <c r="P34" i="25"/>
  <c r="O34" i="25"/>
  <c r="N34" i="25"/>
  <c r="M34" i="25"/>
  <c r="T33" i="25"/>
  <c r="S33" i="25"/>
  <c r="R33" i="25"/>
  <c r="Q33" i="25"/>
  <c r="P33" i="25"/>
  <c r="O33" i="25"/>
  <c r="N33" i="25"/>
  <c r="M33" i="25"/>
  <c r="T32" i="25"/>
  <c r="S32" i="25"/>
  <c r="R32" i="25"/>
  <c r="Q32" i="25"/>
  <c r="P32" i="25"/>
  <c r="O32" i="25"/>
  <c r="N32" i="25"/>
  <c r="M32" i="25"/>
  <c r="T31" i="25"/>
  <c r="S31" i="25"/>
  <c r="R31" i="25"/>
  <c r="Q31" i="25"/>
  <c r="P31" i="25"/>
  <c r="O31" i="25"/>
  <c r="N31" i="25"/>
  <c r="M31" i="25"/>
  <c r="T30" i="25"/>
  <c r="S30" i="25"/>
  <c r="R30" i="25"/>
  <c r="Q30" i="25"/>
  <c r="P30" i="25"/>
  <c r="O30" i="25"/>
  <c r="N30" i="25"/>
  <c r="M30" i="25"/>
  <c r="T29" i="25"/>
  <c r="S29" i="25"/>
  <c r="R29" i="25"/>
  <c r="Q29" i="25"/>
  <c r="P29" i="25"/>
  <c r="O29" i="25"/>
  <c r="N29" i="25"/>
  <c r="M29" i="25"/>
  <c r="T28" i="25"/>
  <c r="S28" i="25"/>
  <c r="R28" i="25"/>
  <c r="Q28" i="25"/>
  <c r="P28" i="25"/>
  <c r="O28" i="25"/>
  <c r="N28" i="25"/>
  <c r="M28" i="25"/>
  <c r="T27" i="25"/>
  <c r="S27" i="25"/>
  <c r="R27" i="25"/>
  <c r="Q27" i="25"/>
  <c r="P27" i="25"/>
  <c r="O27" i="25"/>
  <c r="N27" i="25"/>
  <c r="M27" i="25"/>
  <c r="T26" i="25"/>
  <c r="S26" i="25"/>
  <c r="R26" i="25"/>
  <c r="Q26" i="25"/>
  <c r="P26" i="25"/>
  <c r="O26" i="25"/>
  <c r="N26" i="25"/>
  <c r="M26" i="25"/>
  <c r="T25" i="25"/>
  <c r="S25" i="25"/>
  <c r="R25" i="25"/>
  <c r="Q25" i="25"/>
  <c r="P25" i="25"/>
  <c r="O25" i="25"/>
  <c r="N25" i="25"/>
  <c r="M25" i="25"/>
  <c r="T24" i="25"/>
  <c r="S24" i="25"/>
  <c r="R24" i="25"/>
  <c r="Q24" i="25"/>
  <c r="P24" i="25"/>
  <c r="O24" i="25"/>
  <c r="N24" i="25"/>
  <c r="M24" i="25"/>
  <c r="T23" i="25"/>
  <c r="S23" i="25"/>
  <c r="R23" i="25"/>
  <c r="Q23" i="25"/>
  <c r="P23" i="25"/>
  <c r="O23" i="25"/>
  <c r="N23" i="25"/>
  <c r="M23" i="25"/>
  <c r="T22" i="25"/>
  <c r="S22" i="25"/>
  <c r="R22" i="25"/>
  <c r="Q22" i="25"/>
  <c r="P22" i="25"/>
  <c r="O22" i="25"/>
  <c r="N22" i="25"/>
  <c r="M22" i="25"/>
  <c r="T21" i="25"/>
  <c r="S21" i="25"/>
  <c r="R21" i="25"/>
  <c r="Q21" i="25"/>
  <c r="P21" i="25"/>
  <c r="O21" i="25"/>
  <c r="N21" i="25"/>
  <c r="M21" i="25"/>
  <c r="T20" i="25"/>
  <c r="S20" i="25"/>
  <c r="R20" i="25"/>
  <c r="Q20" i="25"/>
  <c r="P20" i="25"/>
  <c r="O20" i="25"/>
  <c r="N20" i="25"/>
  <c r="M20" i="25"/>
  <c r="T19" i="25"/>
  <c r="S19" i="25"/>
  <c r="R19" i="25"/>
  <c r="Q19" i="25"/>
  <c r="P19" i="25"/>
  <c r="O19" i="25"/>
  <c r="N19" i="25"/>
  <c r="M19" i="25"/>
  <c r="T18" i="25"/>
  <c r="S18" i="25"/>
  <c r="R18" i="25"/>
  <c r="Q18" i="25"/>
  <c r="P18" i="25"/>
  <c r="O18" i="25"/>
  <c r="N18" i="25"/>
  <c r="M18" i="25"/>
  <c r="T17" i="25"/>
  <c r="S17" i="25"/>
  <c r="R17" i="25"/>
  <c r="Q17" i="25"/>
  <c r="P17" i="25"/>
  <c r="O17" i="25"/>
  <c r="N17" i="25"/>
  <c r="M17" i="25"/>
  <c r="T16" i="25"/>
  <c r="S16" i="25"/>
  <c r="R16" i="25"/>
  <c r="Q16" i="25"/>
  <c r="P16" i="25"/>
  <c r="O16" i="25"/>
  <c r="N16" i="25"/>
  <c r="M16" i="25"/>
  <c r="T15" i="25"/>
  <c r="S15" i="25"/>
  <c r="R15" i="25"/>
  <c r="Q15" i="25"/>
  <c r="P15" i="25"/>
  <c r="O15" i="25"/>
  <c r="N15" i="25"/>
  <c r="M15" i="25"/>
  <c r="T14" i="25"/>
  <c r="S14" i="25"/>
  <c r="R14" i="25"/>
  <c r="Q14" i="25"/>
  <c r="P14" i="25"/>
  <c r="O14" i="25"/>
  <c r="N14" i="25"/>
  <c r="M14" i="25"/>
  <c r="T13" i="25"/>
  <c r="S13" i="25"/>
  <c r="R13" i="25"/>
  <c r="Q13" i="25"/>
  <c r="P13" i="25"/>
  <c r="O13" i="25"/>
  <c r="N13" i="25"/>
  <c r="M13" i="25"/>
  <c r="T12" i="25"/>
  <c r="S12" i="25"/>
  <c r="R12" i="25"/>
  <c r="Q12" i="25"/>
  <c r="P12" i="25"/>
  <c r="O12" i="25"/>
  <c r="N12" i="25"/>
  <c r="M12" i="25"/>
  <c r="T11" i="25"/>
  <c r="S11" i="25"/>
  <c r="R11" i="25"/>
  <c r="Q11" i="25"/>
  <c r="P11" i="25"/>
  <c r="O11" i="25"/>
  <c r="N11" i="25"/>
  <c r="M11" i="25"/>
  <c r="T10" i="25"/>
  <c r="S10" i="25"/>
  <c r="R10" i="25"/>
  <c r="Q10" i="25"/>
  <c r="P10" i="25"/>
  <c r="O10" i="25"/>
  <c r="N10" i="25"/>
  <c r="M10" i="25"/>
  <c r="T9" i="25"/>
  <c r="S9" i="25"/>
  <c r="R9" i="25"/>
  <c r="Q9" i="25"/>
  <c r="P9" i="25"/>
  <c r="O9" i="25"/>
  <c r="N9" i="25"/>
  <c r="M9" i="25"/>
  <c r="T8" i="25"/>
  <c r="S8" i="25"/>
  <c r="R8" i="25"/>
  <c r="Q8" i="25"/>
  <c r="P8" i="25"/>
  <c r="O8" i="25"/>
  <c r="N8" i="25"/>
  <c r="M8" i="25"/>
  <c r="U7" i="25"/>
  <c r="T7" i="25"/>
  <c r="S7" i="25"/>
  <c r="R7" i="25"/>
  <c r="Q7" i="25"/>
  <c r="P7" i="25"/>
  <c r="O7" i="25"/>
  <c r="N7" i="25"/>
  <c r="M7" i="25"/>
  <c r="U6" i="25"/>
  <c r="T6" i="25"/>
  <c r="S6" i="25"/>
  <c r="R6" i="25"/>
  <c r="Q6" i="25"/>
  <c r="P6" i="25"/>
  <c r="O6" i="25"/>
  <c r="N6" i="25"/>
  <c r="M6" i="25"/>
  <c r="U5" i="25"/>
  <c r="T5" i="25"/>
  <c r="S5" i="25"/>
  <c r="R5" i="25"/>
  <c r="Q5" i="25"/>
  <c r="P5" i="25"/>
  <c r="O5" i="25"/>
  <c r="N5" i="25"/>
  <c r="M5" i="25"/>
  <c r="U4" i="25"/>
  <c r="T4" i="25"/>
  <c r="S4" i="25"/>
  <c r="R4" i="25"/>
  <c r="Q4" i="25"/>
  <c r="P4" i="25"/>
  <c r="O4" i="25"/>
  <c r="N4" i="25"/>
  <c r="M4" i="25"/>
  <c r="U3" i="25"/>
  <c r="T3" i="25"/>
  <c r="S3" i="25"/>
  <c r="R3" i="25"/>
  <c r="Q3" i="25"/>
  <c r="P3" i="25"/>
  <c r="O3" i="25"/>
  <c r="N3" i="25"/>
  <c r="M3" i="25"/>
  <c r="S2" i="25"/>
  <c r="Q2" i="25"/>
  <c r="P2" i="25"/>
  <c r="O2" i="25"/>
  <c r="N2" i="25"/>
  <c r="M2" i="25"/>
  <c r="U1" i="25"/>
  <c r="T1" i="25"/>
  <c r="R2" i="25" l="1"/>
  <c r="T2" i="25"/>
  <c r="U8" i="25" l="1"/>
  <c r="U2" i="25" s="1"/>
  <c r="N68" i="6" l="1"/>
  <c r="F76" i="1" l="1"/>
  <c r="G76" i="1" s="1"/>
  <c r="F75" i="1"/>
  <c r="G75" i="1" s="1"/>
  <c r="D51" i="24"/>
  <c r="D52" i="24"/>
  <c r="D53" i="24"/>
  <c r="D54" i="24"/>
  <c r="D55" i="24"/>
  <c r="D58" i="24"/>
  <c r="D48" i="24"/>
  <c r="B51" i="24"/>
  <c r="B52" i="24"/>
  <c r="B53" i="24"/>
  <c r="B54" i="24"/>
  <c r="B55" i="24"/>
  <c r="B58" i="24"/>
  <c r="C58" i="24"/>
  <c r="B62" i="24"/>
  <c r="B63" i="24"/>
  <c r="B64" i="24"/>
  <c r="B65" i="24"/>
  <c r="B66" i="24"/>
  <c r="B67" i="24"/>
  <c r="B68" i="24"/>
  <c r="B69" i="24"/>
  <c r="C48" i="24"/>
  <c r="B48" i="24"/>
  <c r="D29" i="24"/>
  <c r="C29" i="24"/>
  <c r="O24" i="24" l="1"/>
  <c r="N24" i="24"/>
  <c r="B24" i="24"/>
  <c r="O23" i="24"/>
  <c r="N23" i="24"/>
  <c r="B23" i="24"/>
  <c r="O22" i="24"/>
  <c r="N22" i="24"/>
  <c r="B22" i="24"/>
  <c r="O21" i="24"/>
  <c r="N21" i="24"/>
  <c r="B21" i="24"/>
  <c r="O20" i="24"/>
  <c r="N20" i="24"/>
  <c r="B20" i="24"/>
  <c r="O19" i="24"/>
  <c r="N19" i="24"/>
  <c r="B19" i="24"/>
  <c r="O18" i="24"/>
  <c r="N18" i="24"/>
  <c r="B18" i="24"/>
  <c r="O17" i="24"/>
  <c r="N17" i="24"/>
  <c r="B17" i="24"/>
  <c r="O16" i="24"/>
  <c r="N16" i="24"/>
  <c r="B16" i="24"/>
  <c r="O15" i="24"/>
  <c r="N15" i="24"/>
  <c r="B15" i="24"/>
  <c r="O14" i="24"/>
  <c r="N14" i="24"/>
  <c r="B14" i="24"/>
  <c r="O13" i="24"/>
  <c r="N13" i="24"/>
  <c r="B13" i="24"/>
  <c r="O12" i="24"/>
  <c r="N12" i="24"/>
  <c r="B12" i="24"/>
  <c r="B4" i="24"/>
  <c r="C70" i="6"/>
  <c r="M76" i="6"/>
  <c r="M78" i="6"/>
  <c r="B68" i="6"/>
  <c r="AA31" i="24" s="1"/>
  <c r="C81" i="6"/>
  <c r="C80" i="6"/>
  <c r="C79" i="6"/>
  <c r="C77" i="6"/>
  <c r="M75" i="6"/>
  <c r="C74" i="6"/>
  <c r="C73" i="6"/>
  <c r="C72" i="6"/>
  <c r="C71" i="6"/>
  <c r="C69" i="6"/>
  <c r="O70" i="6" l="1"/>
  <c r="R43" i="24"/>
  <c r="Q31" i="24"/>
  <c r="T36" i="24"/>
  <c r="D36" i="24" s="1"/>
  <c r="L12" i="24"/>
  <c r="R31" i="24"/>
  <c r="T33" i="24"/>
  <c r="D33" i="24" s="1"/>
  <c r="L20" i="24"/>
  <c r="L17" i="24"/>
  <c r="T35" i="24"/>
  <c r="D35" i="24" s="1"/>
  <c r="T44" i="24"/>
  <c r="D44" i="24" s="1"/>
  <c r="T45" i="24"/>
  <c r="D45" i="24" s="1"/>
  <c r="R45" i="24"/>
  <c r="R44" i="24"/>
  <c r="T43" i="24"/>
  <c r="D43" i="24" s="1"/>
  <c r="T31" i="24"/>
  <c r="T39" i="24"/>
  <c r="D39" i="24" s="1"/>
  <c r="L14" i="24"/>
  <c r="T32" i="24"/>
  <c r="D32" i="24" s="1"/>
  <c r="L22" i="24"/>
  <c r="B43" i="24"/>
  <c r="T41" i="24"/>
  <c r="D41" i="24" s="1"/>
  <c r="T34" i="24"/>
  <c r="D34" i="24" s="1"/>
  <c r="T42" i="24"/>
  <c r="D42" i="24" s="1"/>
  <c r="L19" i="24"/>
  <c r="M80" i="6"/>
  <c r="S42" i="24" s="1"/>
  <c r="R42" i="24"/>
  <c r="M79" i="6"/>
  <c r="M72" i="6"/>
  <c r="R34" i="24"/>
  <c r="M70" i="6"/>
  <c r="M77" i="6"/>
  <c r="S39" i="24" s="1"/>
  <c r="R39" i="24"/>
  <c r="M71" i="6"/>
  <c r="R33" i="24"/>
  <c r="M73" i="6"/>
  <c r="S37" i="24" s="1"/>
  <c r="R35" i="24"/>
  <c r="M74" i="6"/>
  <c r="R36" i="24"/>
  <c r="L15" i="24"/>
  <c r="L23" i="24"/>
  <c r="L18" i="24"/>
  <c r="L27" i="24"/>
  <c r="C27" i="24"/>
  <c r="L26" i="24"/>
  <c r="L25" i="24"/>
  <c r="C26" i="24"/>
  <c r="C68" i="6"/>
  <c r="O69" i="6" s="1"/>
  <c r="V31" i="24" s="1"/>
  <c r="W31" i="24" s="1"/>
  <c r="L13" i="24"/>
  <c r="L21" i="24"/>
  <c r="M69" i="6"/>
  <c r="S31" i="24" s="1"/>
  <c r="C25" i="24"/>
  <c r="K25" i="24" s="1"/>
  <c r="O82" i="6"/>
  <c r="B36" i="24"/>
  <c r="L16" i="24"/>
  <c r="B44" i="24"/>
  <c r="L24" i="24"/>
  <c r="M81" i="6"/>
  <c r="I18" i="24"/>
  <c r="B38" i="24"/>
  <c r="E14" i="24"/>
  <c r="B34" i="24"/>
  <c r="F22" i="24"/>
  <c r="B42" i="24"/>
  <c r="F17" i="24"/>
  <c r="B37" i="24"/>
  <c r="J12" i="24"/>
  <c r="E20" i="24"/>
  <c r="B40" i="24"/>
  <c r="B45" i="24"/>
  <c r="H15" i="24"/>
  <c r="B35" i="24"/>
  <c r="H23" i="24"/>
  <c r="J13" i="24"/>
  <c r="J21" i="24"/>
  <c r="B41" i="24"/>
  <c r="J19" i="24"/>
  <c r="B39" i="24"/>
  <c r="E24" i="24"/>
  <c r="I12" i="24"/>
  <c r="E12" i="24"/>
  <c r="H20" i="24"/>
  <c r="I20" i="24"/>
  <c r="H12" i="24"/>
  <c r="F14" i="24"/>
  <c r="G16" i="24"/>
  <c r="F13" i="24"/>
  <c r="I13" i="24"/>
  <c r="G14" i="24"/>
  <c r="D22" i="24"/>
  <c r="G22" i="24"/>
  <c r="C21" i="24"/>
  <c r="I22" i="24"/>
  <c r="I21" i="24"/>
  <c r="D24" i="24"/>
  <c r="C19" i="24"/>
  <c r="D16" i="24"/>
  <c r="H17" i="24"/>
  <c r="D19" i="24"/>
  <c r="C20" i="24"/>
  <c r="I14" i="24"/>
  <c r="D12" i="24"/>
  <c r="E16" i="24"/>
  <c r="E19" i="24"/>
  <c r="D20" i="24"/>
  <c r="C13" i="24"/>
  <c r="C33" i="24" s="1"/>
  <c r="D14" i="24"/>
  <c r="H19" i="24"/>
  <c r="F20" i="24"/>
  <c r="D21" i="24"/>
  <c r="E22" i="24"/>
  <c r="D23" i="24"/>
  <c r="G24" i="24"/>
  <c r="F19" i="24"/>
  <c r="F12" i="24"/>
  <c r="G12" i="24"/>
  <c r="D13" i="24"/>
  <c r="I15" i="24"/>
  <c r="G20" i="24"/>
  <c r="F21" i="24"/>
  <c r="I23" i="24"/>
  <c r="J18" i="24"/>
  <c r="C18" i="24"/>
  <c r="J23" i="24"/>
  <c r="E13" i="24"/>
  <c r="H14" i="24"/>
  <c r="C15" i="24"/>
  <c r="F16" i="24"/>
  <c r="I17" i="24"/>
  <c r="D18" i="24"/>
  <c r="G19" i="24"/>
  <c r="J20" i="24"/>
  <c r="E21" i="24"/>
  <c r="H22" i="24"/>
  <c r="C23" i="24"/>
  <c r="C43" i="24" s="1"/>
  <c r="F24" i="24"/>
  <c r="J15" i="24"/>
  <c r="D15" i="24"/>
  <c r="J14" i="24"/>
  <c r="E15" i="24"/>
  <c r="H16" i="24"/>
  <c r="C17" i="24"/>
  <c r="C37" i="24" s="1"/>
  <c r="F18" i="24"/>
  <c r="I19" i="24"/>
  <c r="G21" i="24"/>
  <c r="J22" i="24"/>
  <c r="E23" i="24"/>
  <c r="H24" i="24"/>
  <c r="J17" i="24"/>
  <c r="E18" i="24"/>
  <c r="H13" i="24"/>
  <c r="C14" i="24"/>
  <c r="F15" i="24"/>
  <c r="I16" i="24"/>
  <c r="D17" i="24"/>
  <c r="G18" i="24"/>
  <c r="H21" i="24"/>
  <c r="C22" i="24"/>
  <c r="F23" i="24"/>
  <c r="I24" i="24"/>
  <c r="G15" i="24"/>
  <c r="J16" i="24"/>
  <c r="E17" i="24"/>
  <c r="H18" i="24"/>
  <c r="G23" i="24"/>
  <c r="J24" i="24"/>
  <c r="C16" i="24"/>
  <c r="C24" i="24"/>
  <c r="G17" i="24"/>
  <c r="G13" i="24"/>
  <c r="C12" i="24" l="1"/>
  <c r="C32" i="24" s="1"/>
  <c r="O68" i="6"/>
  <c r="S36" i="24"/>
  <c r="S43" i="24"/>
  <c r="R32" i="24"/>
  <c r="S34" i="24"/>
  <c r="S33" i="24"/>
  <c r="S38" i="24"/>
  <c r="T40" i="24"/>
  <c r="D40" i="24" s="1"/>
  <c r="R40" i="24"/>
  <c r="S45" i="24"/>
  <c r="S35" i="24"/>
  <c r="R41" i="24"/>
  <c r="T37" i="24"/>
  <c r="D37" i="24" s="1"/>
  <c r="R37" i="24"/>
  <c r="S41" i="24"/>
  <c r="S40" i="24"/>
  <c r="T38" i="24"/>
  <c r="D38" i="24" s="1"/>
  <c r="R38" i="24"/>
  <c r="S44" i="24"/>
  <c r="M68" i="6"/>
  <c r="S32" i="24" s="1"/>
  <c r="K26" i="24"/>
  <c r="K27" i="24"/>
  <c r="K14" i="24"/>
  <c r="C34" i="24"/>
  <c r="K22" i="24"/>
  <c r="C42" i="24"/>
  <c r="K12" i="24"/>
  <c r="K18" i="24"/>
  <c r="C38" i="24"/>
  <c r="K19" i="24"/>
  <c r="C39" i="24"/>
  <c r="K21" i="24"/>
  <c r="C41" i="24"/>
  <c r="K24" i="24"/>
  <c r="C44" i="24"/>
  <c r="K16" i="24"/>
  <c r="C36" i="24"/>
  <c r="K20" i="24"/>
  <c r="C40" i="24"/>
  <c r="C45" i="24"/>
  <c r="K15" i="24"/>
  <c r="C35" i="24"/>
  <c r="K17" i="24"/>
  <c r="K23" i="24"/>
  <c r="K13" i="24"/>
  <c r="W32" i="24"/>
  <c r="W33" i="24"/>
  <c r="Q72" i="6"/>
  <c r="W34" i="24" s="1"/>
  <c r="Q73" i="6"/>
  <c r="W37" i="24" s="1"/>
  <c r="Q74" i="6"/>
  <c r="Q76" i="6"/>
  <c r="Q77" i="6"/>
  <c r="W39" i="24" s="1"/>
  <c r="Q78" i="6"/>
  <c r="Q79" i="6"/>
  <c r="Q80" i="6"/>
  <c r="W44" i="24" s="1"/>
  <c r="Q81" i="6"/>
  <c r="W45" i="24" s="1"/>
  <c r="N69" i="6"/>
  <c r="U31" i="24" s="1"/>
  <c r="N70" i="6"/>
  <c r="U32" i="24" s="1"/>
  <c r="N71" i="6"/>
  <c r="N72" i="6"/>
  <c r="N73" i="6"/>
  <c r="N74" i="6"/>
  <c r="N75" i="6"/>
  <c r="N76" i="6"/>
  <c r="N77" i="6"/>
  <c r="N78" i="6"/>
  <c r="N79" i="6"/>
  <c r="N80" i="6"/>
  <c r="N81" i="6"/>
  <c r="C37" i="6"/>
  <c r="C38" i="6"/>
  <c r="C39" i="6"/>
  <c r="C40" i="6"/>
  <c r="C41" i="6"/>
  <c r="C42" i="6"/>
  <c r="C43" i="6"/>
  <c r="C7" i="6"/>
  <c r="C6" i="6" s="1"/>
  <c r="C46" i="6"/>
  <c r="C47" i="6"/>
  <c r="C48" i="6"/>
  <c r="C49" i="6"/>
  <c r="C50" i="6"/>
  <c r="C44" i="6"/>
  <c r="C45" i="6"/>
  <c r="U33" i="24" l="1"/>
  <c r="U34" i="24"/>
  <c r="U35" i="24"/>
  <c r="U40" i="24"/>
  <c r="W43" i="24"/>
  <c r="U41" i="24"/>
  <c r="W42" i="24"/>
  <c r="W40" i="24"/>
  <c r="W41" i="24"/>
  <c r="W38" i="24"/>
  <c r="U38" i="24"/>
  <c r="W36" i="24"/>
  <c r="W35" i="24"/>
  <c r="U42" i="24"/>
  <c r="U44" i="24"/>
  <c r="U39" i="24"/>
  <c r="U43" i="24"/>
  <c r="U45" i="24"/>
  <c r="U37" i="24"/>
  <c r="U36" i="24"/>
  <c r="H1" i="6"/>
  <c r="V59" i="9" l="1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58" i="9"/>
  <c r="AF380" i="6"/>
  <c r="AF379" i="6"/>
  <c r="AF378" i="6"/>
  <c r="AF377" i="6"/>
  <c r="AF376" i="6"/>
  <c r="AF375" i="6"/>
  <c r="AF374" i="6"/>
  <c r="AF373" i="6"/>
  <c r="AF372" i="6"/>
  <c r="AF371" i="6"/>
  <c r="AF370" i="6"/>
  <c r="AF369" i="6"/>
  <c r="AF368" i="6"/>
  <c r="AF367" i="6"/>
  <c r="AF366" i="6"/>
  <c r="AF365" i="6"/>
  <c r="AF364" i="6"/>
  <c r="AF363" i="6"/>
  <c r="AF362" i="6"/>
  <c r="AF361" i="6"/>
  <c r="AF360" i="6"/>
  <c r="AF359" i="6"/>
  <c r="AF358" i="6"/>
  <c r="AF357" i="6"/>
  <c r="AF356" i="6"/>
  <c r="AF355" i="6"/>
  <c r="AF354" i="6"/>
  <c r="AF353" i="6"/>
  <c r="AF352" i="6"/>
  <c r="AF351" i="6"/>
  <c r="AF350" i="6"/>
  <c r="AF349" i="6"/>
  <c r="AF348" i="6"/>
  <c r="AF347" i="6"/>
  <c r="AF346" i="6"/>
  <c r="AF345" i="6"/>
  <c r="AF344" i="6"/>
  <c r="AF343" i="6"/>
  <c r="AF342" i="6"/>
  <c r="AF341" i="6"/>
  <c r="AF340" i="6"/>
  <c r="AF339" i="6"/>
  <c r="AF338" i="6"/>
  <c r="AF337" i="6"/>
  <c r="AF336" i="6"/>
  <c r="AF335" i="6"/>
  <c r="AF334" i="6"/>
  <c r="AF333" i="6"/>
  <c r="AF332" i="6"/>
  <c r="AF331" i="6"/>
  <c r="AF330" i="6"/>
  <c r="AF329" i="6"/>
  <c r="AF328" i="6"/>
  <c r="AF327" i="6"/>
  <c r="AF326" i="6"/>
  <c r="AF325" i="6"/>
  <c r="AF324" i="6"/>
  <c r="AF323" i="6"/>
  <c r="AF322" i="6"/>
  <c r="AF321" i="6"/>
  <c r="AF320" i="6"/>
  <c r="AF319" i="6"/>
  <c r="AF318" i="6"/>
  <c r="AF317" i="6"/>
  <c r="AF316" i="6"/>
  <c r="AF315" i="6"/>
  <c r="AF314" i="6"/>
  <c r="AF313" i="6"/>
  <c r="AF312" i="6"/>
  <c r="AF311" i="6"/>
  <c r="AF310" i="6"/>
  <c r="AF309" i="6"/>
  <c r="AF308" i="6"/>
  <c r="AF307" i="6"/>
  <c r="AF306" i="6"/>
  <c r="AF305" i="6"/>
  <c r="AF304" i="6"/>
  <c r="AF303" i="6"/>
  <c r="AF302" i="6"/>
  <c r="AF301" i="6"/>
  <c r="AF300" i="6"/>
  <c r="AF299" i="6"/>
  <c r="AF298" i="6"/>
  <c r="AF297" i="6"/>
  <c r="AF296" i="6"/>
  <c r="AF295" i="6"/>
  <c r="AF294" i="6"/>
  <c r="AF293" i="6"/>
  <c r="AF292" i="6"/>
  <c r="AF291" i="6"/>
  <c r="AF290" i="6"/>
  <c r="AF289" i="6"/>
  <c r="AF288" i="6"/>
  <c r="AF287" i="6"/>
  <c r="AF286" i="6"/>
  <c r="AF285" i="6"/>
  <c r="AF284" i="6"/>
  <c r="AF283" i="6"/>
  <c r="AF282" i="6"/>
  <c r="AF281" i="6"/>
  <c r="AF280" i="6"/>
  <c r="AF279" i="6"/>
  <c r="AF278" i="6"/>
  <c r="AF277" i="6"/>
  <c r="AF276" i="6"/>
  <c r="AF275" i="6"/>
  <c r="AF274" i="6"/>
  <c r="AF273" i="6"/>
  <c r="AF272" i="6"/>
  <c r="AF271" i="6"/>
  <c r="AF270" i="6"/>
  <c r="AF269" i="6"/>
  <c r="AF268" i="6"/>
  <c r="AF267" i="6"/>
  <c r="AF266" i="6"/>
  <c r="AF265" i="6"/>
  <c r="AF264" i="6"/>
  <c r="AF263" i="6"/>
  <c r="AF262" i="6"/>
  <c r="AF261" i="6"/>
  <c r="AF260" i="6"/>
  <c r="AF259" i="6"/>
  <c r="AF258" i="6"/>
  <c r="AF257" i="6"/>
  <c r="AF256" i="6"/>
  <c r="AF255" i="6"/>
  <c r="AF254" i="6"/>
  <c r="AF253" i="6"/>
  <c r="AF252" i="6"/>
  <c r="AF251" i="6"/>
  <c r="AF250" i="6"/>
  <c r="AF249" i="6"/>
  <c r="AF248" i="6"/>
  <c r="AF247" i="6"/>
  <c r="AF246" i="6"/>
  <c r="AF245" i="6"/>
  <c r="AF244" i="6"/>
  <c r="AF243" i="6"/>
  <c r="AF242" i="6"/>
  <c r="AF241" i="6"/>
  <c r="AF240" i="6"/>
  <c r="AF239" i="6"/>
  <c r="AF238" i="6"/>
  <c r="AF237" i="6"/>
  <c r="AF236" i="6"/>
  <c r="AF235" i="6"/>
  <c r="AF234" i="6"/>
  <c r="AF233" i="6"/>
  <c r="AF232" i="6"/>
  <c r="AF231" i="6"/>
  <c r="AF230" i="6"/>
  <c r="AF229" i="6"/>
  <c r="AF228" i="6"/>
  <c r="AF227" i="6"/>
  <c r="AF226" i="6"/>
  <c r="AF225" i="6"/>
  <c r="AF224" i="6"/>
  <c r="AF223" i="6"/>
  <c r="AF222" i="6"/>
  <c r="AF221" i="6"/>
  <c r="AF220" i="6"/>
  <c r="AF219" i="6"/>
  <c r="AF218" i="6"/>
  <c r="AF217" i="6"/>
  <c r="AF216" i="6"/>
  <c r="AF215" i="6"/>
  <c r="AF214" i="6"/>
  <c r="AF213" i="6"/>
  <c r="AF212" i="6"/>
  <c r="AF211" i="6"/>
  <c r="AF210" i="6"/>
  <c r="AF209" i="6"/>
  <c r="AF208" i="6"/>
  <c r="AF207" i="6"/>
  <c r="AF206" i="6"/>
  <c r="AF205" i="6"/>
  <c r="AF204" i="6"/>
  <c r="AF203" i="6"/>
  <c r="AF202" i="6"/>
  <c r="AF201" i="6"/>
  <c r="AF200" i="6"/>
  <c r="AF199" i="6"/>
  <c r="AF198" i="6"/>
  <c r="AF197" i="6"/>
  <c r="AF196" i="6"/>
  <c r="AF195" i="6"/>
  <c r="AF194" i="6"/>
  <c r="AF193" i="6"/>
  <c r="AF192" i="6"/>
  <c r="AF191" i="6"/>
  <c r="AF190" i="6"/>
  <c r="AF189" i="6"/>
  <c r="AF188" i="6"/>
  <c r="AF187" i="6"/>
  <c r="AF186" i="6"/>
  <c r="AF185" i="6"/>
  <c r="AF184" i="6"/>
  <c r="AF183" i="6"/>
  <c r="AF182" i="6"/>
  <c r="AF181" i="6"/>
  <c r="AF180" i="6"/>
  <c r="AF179" i="6"/>
  <c r="AF178" i="6"/>
  <c r="AF177" i="6"/>
  <c r="AF176" i="6"/>
  <c r="AF175" i="6"/>
  <c r="AF174" i="6"/>
  <c r="AF173" i="6"/>
  <c r="AF172" i="6"/>
  <c r="AF171" i="6"/>
  <c r="AF170" i="6"/>
  <c r="AF169" i="6"/>
  <c r="AF168" i="6"/>
  <c r="AF167" i="6"/>
  <c r="AF166" i="6"/>
  <c r="AF165" i="6"/>
  <c r="AF164" i="6"/>
  <c r="AF163" i="6"/>
  <c r="AF162" i="6"/>
  <c r="AF161" i="6"/>
  <c r="AF160" i="6"/>
  <c r="AF159" i="6"/>
  <c r="AF158" i="6"/>
  <c r="AF157" i="6"/>
  <c r="AF156" i="6"/>
  <c r="AF155" i="6"/>
  <c r="AF154" i="6"/>
  <c r="AF153" i="6"/>
  <c r="AF152" i="6"/>
  <c r="AF151" i="6"/>
  <c r="AF150" i="6"/>
  <c r="AF149" i="6"/>
  <c r="AF148" i="6"/>
  <c r="AF147" i="6"/>
  <c r="AF146" i="6"/>
  <c r="AF145" i="6"/>
  <c r="AF144" i="6"/>
  <c r="AF143" i="6"/>
  <c r="AF142" i="6"/>
  <c r="AF141" i="6"/>
  <c r="AF140" i="6"/>
  <c r="AF139" i="6"/>
  <c r="AF138" i="6"/>
  <c r="AF137" i="6"/>
  <c r="AF136" i="6"/>
  <c r="AF135" i="6"/>
  <c r="AF134" i="6"/>
  <c r="AF133" i="6"/>
  <c r="AF132" i="6"/>
  <c r="AF131" i="6"/>
  <c r="AF130" i="6"/>
  <c r="AF129" i="6"/>
  <c r="AF128" i="6"/>
  <c r="AF127" i="6"/>
  <c r="AF126" i="6"/>
  <c r="AF125" i="6"/>
  <c r="AF124" i="6"/>
  <c r="AF123" i="6"/>
  <c r="AF122" i="6"/>
  <c r="AF121" i="6"/>
  <c r="AF120" i="6"/>
  <c r="AF119" i="6"/>
  <c r="AF118" i="6"/>
  <c r="AF117" i="6"/>
  <c r="AF116" i="6"/>
  <c r="AF115" i="6"/>
  <c r="AF114" i="6"/>
  <c r="AF113" i="6"/>
  <c r="AF112" i="6"/>
  <c r="AF111" i="6"/>
  <c r="AF110" i="6"/>
  <c r="AF109" i="6"/>
  <c r="AF108" i="6"/>
  <c r="AF107" i="6"/>
  <c r="AF106" i="6"/>
  <c r="AF105" i="6"/>
  <c r="AF104" i="6"/>
  <c r="AF103" i="6"/>
  <c r="AF102" i="6"/>
  <c r="AF101" i="6"/>
  <c r="AF100" i="6"/>
  <c r="AF99" i="6"/>
  <c r="AF98" i="6"/>
  <c r="AF97" i="6"/>
  <c r="AF96" i="6"/>
  <c r="AF95" i="6"/>
  <c r="AF94" i="6"/>
  <c r="AF93" i="6"/>
  <c r="AF92" i="6"/>
  <c r="AF91" i="6"/>
  <c r="AF90" i="6"/>
  <c r="AF89" i="6"/>
  <c r="AF88" i="6"/>
  <c r="AF87" i="6"/>
  <c r="AF86" i="6"/>
  <c r="AF85" i="6"/>
  <c r="AF84" i="6"/>
  <c r="AF83" i="6"/>
  <c r="AF82" i="6"/>
  <c r="AF81" i="6"/>
  <c r="AF80" i="6"/>
  <c r="AF79" i="6"/>
  <c r="AF78" i="6"/>
  <c r="AF77" i="6"/>
  <c r="AF76" i="6"/>
  <c r="AF75" i="6"/>
  <c r="AF74" i="6"/>
  <c r="AF73" i="6"/>
  <c r="AF72" i="6"/>
  <c r="AF71" i="6"/>
  <c r="AF70" i="6"/>
  <c r="AF69" i="6"/>
  <c r="AF68" i="6"/>
  <c r="AF67" i="6"/>
  <c r="AF66" i="6"/>
  <c r="AF65" i="6"/>
  <c r="AF64" i="6"/>
  <c r="AF63" i="6"/>
  <c r="AF62" i="6"/>
  <c r="AF61" i="6"/>
  <c r="AF60" i="6"/>
  <c r="AF59" i="6"/>
  <c r="AF58" i="6"/>
  <c r="AF57" i="6"/>
  <c r="AF56" i="6"/>
  <c r="AF55" i="6"/>
  <c r="AF54" i="6"/>
  <c r="AF53" i="6"/>
  <c r="AF52" i="6"/>
  <c r="AF51" i="6"/>
  <c r="AF50" i="6"/>
  <c r="AF49" i="6"/>
  <c r="AF48" i="6"/>
  <c r="AF47" i="6"/>
  <c r="AF46" i="6"/>
  <c r="AF45" i="6"/>
  <c r="AF44" i="6"/>
  <c r="AF43" i="6"/>
  <c r="AF42" i="6"/>
  <c r="AF41" i="6"/>
  <c r="AF40" i="6"/>
  <c r="AF39" i="6"/>
  <c r="AF38" i="6"/>
  <c r="AF37" i="6"/>
  <c r="AF36" i="6"/>
  <c r="AF35" i="6"/>
  <c r="AF34" i="6"/>
  <c r="AF33" i="6"/>
  <c r="AF32" i="6"/>
  <c r="AF31" i="6"/>
  <c r="AF30" i="6"/>
  <c r="AF29" i="6"/>
  <c r="AF28" i="6"/>
  <c r="AF27" i="6"/>
  <c r="AF26" i="6"/>
  <c r="AF25" i="6"/>
  <c r="AF24" i="6"/>
  <c r="AF23" i="6"/>
  <c r="AF22" i="6"/>
  <c r="AF21" i="6"/>
  <c r="AF20" i="6"/>
  <c r="AF19" i="6"/>
  <c r="AF18" i="6"/>
  <c r="AF17" i="6"/>
  <c r="AF16" i="6"/>
  <c r="AF15" i="6"/>
  <c r="AF14" i="6"/>
  <c r="AF13" i="6"/>
  <c r="AF12" i="6"/>
  <c r="AF11" i="6"/>
  <c r="AF10" i="6"/>
  <c r="AF9" i="6"/>
  <c r="AF8" i="6"/>
  <c r="AF7" i="6"/>
  <c r="AF6" i="6"/>
  <c r="W99" i="9" l="1"/>
  <c r="X99" i="9" s="1"/>
  <c r="Y99" i="9" s="1"/>
  <c r="W98" i="9"/>
  <c r="X98" i="9" s="1"/>
  <c r="Y98" i="9" s="1"/>
  <c r="W97" i="9"/>
  <c r="X97" i="9" s="1"/>
  <c r="Y97" i="9" s="1"/>
  <c r="W96" i="9"/>
  <c r="X96" i="9" s="1"/>
  <c r="Y96" i="9" s="1"/>
  <c r="W95" i="9"/>
  <c r="X95" i="9" s="1"/>
  <c r="Y95" i="9" s="1"/>
  <c r="W94" i="9"/>
  <c r="X94" i="9" s="1"/>
  <c r="Y94" i="9" s="1"/>
  <c r="W93" i="9"/>
  <c r="X93" i="9" s="1"/>
  <c r="Y93" i="9" s="1"/>
  <c r="W92" i="9"/>
  <c r="X92" i="9" s="1"/>
  <c r="Y92" i="9" s="1"/>
  <c r="W91" i="9"/>
  <c r="X91" i="9" s="1"/>
  <c r="Y91" i="9" s="1"/>
  <c r="W90" i="9"/>
  <c r="X90" i="9" s="1"/>
  <c r="Y90" i="9" s="1"/>
  <c r="W89" i="9"/>
  <c r="X89" i="9" s="1"/>
  <c r="Y89" i="9" s="1"/>
  <c r="W88" i="9"/>
  <c r="X88" i="9" s="1"/>
  <c r="Y88" i="9" s="1"/>
  <c r="W87" i="9"/>
  <c r="X87" i="9" s="1"/>
  <c r="Y87" i="9" s="1"/>
  <c r="W86" i="9"/>
  <c r="X86" i="9" s="1"/>
  <c r="Y86" i="9" s="1"/>
  <c r="W85" i="9"/>
  <c r="X85" i="9" s="1"/>
  <c r="Y85" i="9" s="1"/>
  <c r="W84" i="9"/>
  <c r="X84" i="9" s="1"/>
  <c r="Y84" i="9" s="1"/>
  <c r="W83" i="9"/>
  <c r="X83" i="9" s="1"/>
  <c r="Y83" i="9" s="1"/>
  <c r="W82" i="9"/>
  <c r="X82" i="9" s="1"/>
  <c r="Y82" i="9" s="1"/>
  <c r="W81" i="9"/>
  <c r="X81" i="9" s="1"/>
  <c r="Y81" i="9" s="1"/>
  <c r="W80" i="9"/>
  <c r="X80" i="9" s="1"/>
  <c r="Y80" i="9" s="1"/>
  <c r="W79" i="9"/>
  <c r="X79" i="9" s="1"/>
  <c r="Y79" i="9" s="1"/>
  <c r="W78" i="9"/>
  <c r="X78" i="9" s="1"/>
  <c r="Y78" i="9" s="1"/>
  <c r="W77" i="9"/>
  <c r="X77" i="9" s="1"/>
  <c r="Y77" i="9" s="1"/>
  <c r="W76" i="9"/>
  <c r="X76" i="9" s="1"/>
  <c r="Y76" i="9" s="1"/>
  <c r="W75" i="9"/>
  <c r="X75" i="9" s="1"/>
  <c r="Y75" i="9" s="1"/>
  <c r="W74" i="9"/>
  <c r="X74" i="9" s="1"/>
  <c r="Y74" i="9" s="1"/>
  <c r="W73" i="9"/>
  <c r="X73" i="9" s="1"/>
  <c r="Y73" i="9" s="1"/>
  <c r="W72" i="9"/>
  <c r="X72" i="9" s="1"/>
  <c r="Y72" i="9" s="1"/>
  <c r="W71" i="9"/>
  <c r="X71" i="9" s="1"/>
  <c r="Y71" i="9" s="1"/>
  <c r="W70" i="9"/>
  <c r="X70" i="9" s="1"/>
  <c r="Y70" i="9" s="1"/>
  <c r="W69" i="9"/>
  <c r="X69" i="9" s="1"/>
  <c r="Y69" i="9" s="1"/>
  <c r="W68" i="9"/>
  <c r="X68" i="9" s="1"/>
  <c r="Y68" i="9" s="1"/>
  <c r="W67" i="9"/>
  <c r="X67" i="9" s="1"/>
  <c r="Y67" i="9" s="1"/>
  <c r="W66" i="9"/>
  <c r="X66" i="9" s="1"/>
  <c r="Y66" i="9" s="1"/>
  <c r="W65" i="9"/>
  <c r="X65" i="9" s="1"/>
  <c r="Y65" i="9" s="1"/>
  <c r="W64" i="9"/>
  <c r="X64" i="9" s="1"/>
  <c r="Y64" i="9" s="1"/>
  <c r="W63" i="9"/>
  <c r="X63" i="9" s="1"/>
  <c r="Y63" i="9" s="1"/>
  <c r="W62" i="9"/>
  <c r="X62" i="9" s="1"/>
  <c r="Y62" i="9" s="1"/>
  <c r="W61" i="9"/>
  <c r="X61" i="9" s="1"/>
  <c r="Y61" i="9" s="1"/>
  <c r="W60" i="9"/>
  <c r="X60" i="9" s="1"/>
  <c r="Y60" i="9" s="1"/>
  <c r="W59" i="9"/>
  <c r="X59" i="9" s="1"/>
  <c r="Y59" i="9" s="1"/>
  <c r="W58" i="9"/>
  <c r="X58" i="9" s="1"/>
  <c r="Y58" i="9" s="1"/>
  <c r="T91" i="9" l="1"/>
  <c r="L52" i="6"/>
  <c r="K52" i="6"/>
  <c r="K51" i="6"/>
  <c r="L51" i="6"/>
  <c r="J55" i="1"/>
  <c r="J56" i="1"/>
  <c r="J57" i="1"/>
  <c r="J58" i="1"/>
  <c r="J59" i="1"/>
  <c r="J60" i="1"/>
  <c r="Z91" i="9" l="1"/>
  <c r="T37" i="3"/>
  <c r="O73" i="6"/>
  <c r="O72" i="6"/>
  <c r="V34" i="24" s="1"/>
  <c r="O80" i="6"/>
  <c r="O81" i="6"/>
  <c r="O71" i="6"/>
  <c r="V33" i="24" s="1"/>
  <c r="O76" i="6"/>
  <c r="O77" i="6"/>
  <c r="O78" i="6"/>
  <c r="O75" i="6"/>
  <c r="O79" i="6"/>
  <c r="V32" i="24"/>
  <c r="O74" i="6"/>
  <c r="L38" i="6"/>
  <c r="F66" i="1"/>
  <c r="G66" i="1" s="1"/>
  <c r="F67" i="1"/>
  <c r="G67" i="1" s="1"/>
  <c r="F68" i="1"/>
  <c r="G68" i="1" s="1"/>
  <c r="F69" i="1"/>
  <c r="G69" i="1" s="1"/>
  <c r="F70" i="1"/>
  <c r="G70" i="1" s="1"/>
  <c r="F71" i="1"/>
  <c r="G71" i="1" s="1"/>
  <c r="F72" i="1"/>
  <c r="G72" i="1" s="1"/>
  <c r="F73" i="1"/>
  <c r="G73" i="1" s="1"/>
  <c r="F74" i="1"/>
  <c r="G74" i="1" s="1"/>
  <c r="F55" i="1"/>
  <c r="F56" i="1"/>
  <c r="F57" i="1"/>
  <c r="F58" i="1"/>
  <c r="F59" i="1"/>
  <c r="F54" i="1"/>
  <c r="V37" i="24" l="1"/>
  <c r="P37" i="3"/>
  <c r="Q37" i="3" s="1"/>
  <c r="M37" i="3"/>
  <c r="R37" i="3"/>
  <c r="AF37" i="3"/>
  <c r="AS37" i="3"/>
  <c r="AG37" i="3"/>
  <c r="V36" i="24"/>
  <c r="J66" i="1"/>
  <c r="V39" i="24"/>
  <c r="D66" i="1"/>
  <c r="V38" i="24"/>
  <c r="V41" i="24"/>
  <c r="V35" i="24"/>
  <c r="V40" i="24"/>
  <c r="V42" i="24"/>
  <c r="V44" i="24"/>
  <c r="V43" i="24"/>
  <c r="V45" i="24"/>
  <c r="L50" i="6"/>
  <c r="K40" i="6"/>
  <c r="L39" i="6"/>
  <c r="K49" i="6"/>
  <c r="K45" i="6"/>
  <c r="L41" i="6"/>
  <c r="K39" i="6"/>
  <c r="K38" i="6"/>
  <c r="K47" i="6"/>
  <c r="L47" i="6"/>
  <c r="L44" i="6"/>
  <c r="K43" i="6"/>
  <c r="L40" i="6"/>
  <c r="K44" i="6"/>
  <c r="K48" i="6"/>
  <c r="L48" i="6"/>
  <c r="L37" i="6"/>
  <c r="L42" i="6"/>
  <c r="L46" i="6"/>
  <c r="K41" i="6"/>
  <c r="K50" i="6"/>
  <c r="K37" i="6"/>
  <c r="L45" i="6"/>
  <c r="K46" i="6"/>
  <c r="L49" i="6"/>
  <c r="K42" i="6"/>
  <c r="L43" i="6"/>
  <c r="AI198" i="6"/>
  <c r="AI197" i="6"/>
  <c r="AI196" i="6"/>
  <c r="AI195" i="6"/>
  <c r="AI194" i="6"/>
  <c r="AI193" i="6"/>
  <c r="AI192" i="6"/>
  <c r="AI191" i="6"/>
  <c r="AI190" i="6"/>
  <c r="AI189" i="6"/>
  <c r="AI188" i="6"/>
  <c r="AI187" i="6"/>
  <c r="N37" i="3" l="1"/>
  <c r="O37" i="3"/>
  <c r="BG37" i="3"/>
  <c r="BH37" i="3"/>
  <c r="C13" i="6"/>
  <c r="AI199" i="6" l="1"/>
  <c r="AI200" i="6" l="1"/>
  <c r="C7" i="1"/>
  <c r="C6" i="1" s="1"/>
  <c r="AI201" i="6" l="1"/>
  <c r="AI202" i="6" l="1"/>
  <c r="F41" i="1"/>
  <c r="AI203" i="6" l="1"/>
  <c r="C5" i="1"/>
  <c r="AI204" i="6" l="1"/>
  <c r="B10" i="1"/>
  <c r="AI205" i="6" l="1"/>
  <c r="H1" i="9"/>
  <c r="I1" i="9"/>
  <c r="M1" i="9" s="1"/>
  <c r="O1" i="9"/>
  <c r="P1" i="9"/>
  <c r="Q1" i="9"/>
  <c r="C2" i="9"/>
  <c r="E2" i="9" s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AB58" i="9"/>
  <c r="AC58" i="9"/>
  <c r="AD58" i="9"/>
  <c r="AE58" i="9"/>
  <c r="AF58" i="9"/>
  <c r="AG58" i="9"/>
  <c r="AH58" i="9"/>
  <c r="B59" i="9"/>
  <c r="AB59" i="9"/>
  <c r="AC59" i="9"/>
  <c r="AD59" i="9"/>
  <c r="AE59" i="9"/>
  <c r="AF59" i="9"/>
  <c r="AG59" i="9"/>
  <c r="AH59" i="9"/>
  <c r="BN59" i="9"/>
  <c r="BC59" i="9"/>
  <c r="BB59" i="9"/>
  <c r="BF59" i="9"/>
  <c r="BD59" i="9"/>
  <c r="BK59" i="9"/>
  <c r="BH59" i="9"/>
  <c r="BP59" i="9"/>
  <c r="BQ59" i="9"/>
  <c r="BI59" i="9"/>
  <c r="BL59" i="9"/>
  <c r="AI206" i="6" l="1"/>
  <c r="C3" i="9"/>
  <c r="D2" i="9"/>
  <c r="O2" i="9"/>
  <c r="A2" i="9"/>
  <c r="L1" i="9"/>
  <c r="K1" i="9"/>
  <c r="J1" i="9"/>
  <c r="B60" i="9"/>
  <c r="AB60" i="9"/>
  <c r="AC60" i="9"/>
  <c r="AD60" i="9"/>
  <c r="AE60" i="9"/>
  <c r="AF60" i="9"/>
  <c r="AG60" i="9"/>
  <c r="AH60" i="9"/>
  <c r="B61" i="9"/>
  <c r="AB61" i="9"/>
  <c r="AC61" i="9"/>
  <c r="AD61" i="9"/>
  <c r="AE61" i="9"/>
  <c r="AF61" i="9"/>
  <c r="AG61" i="9"/>
  <c r="AH61" i="9"/>
  <c r="B62" i="9"/>
  <c r="AB62" i="9"/>
  <c r="AC62" i="9"/>
  <c r="AD62" i="9"/>
  <c r="AE62" i="9"/>
  <c r="AF62" i="9"/>
  <c r="AG62" i="9"/>
  <c r="AH62" i="9"/>
  <c r="B63" i="9"/>
  <c r="AB63" i="9"/>
  <c r="AC63" i="9"/>
  <c r="AD63" i="9"/>
  <c r="AE63" i="9"/>
  <c r="AF63" i="9"/>
  <c r="AG63" i="9"/>
  <c r="AH63" i="9"/>
  <c r="B64" i="9"/>
  <c r="AB64" i="9"/>
  <c r="AC64" i="9"/>
  <c r="AD64" i="9"/>
  <c r="AE64" i="9"/>
  <c r="AF64" i="9"/>
  <c r="AG64" i="9"/>
  <c r="AH64" i="9"/>
  <c r="B65" i="9"/>
  <c r="AB65" i="9"/>
  <c r="AC65" i="9"/>
  <c r="AD65" i="9"/>
  <c r="AE65" i="9"/>
  <c r="AF65" i="9"/>
  <c r="AG65" i="9"/>
  <c r="AH65" i="9"/>
  <c r="B66" i="9"/>
  <c r="AB66" i="9"/>
  <c r="AC66" i="9"/>
  <c r="AD66" i="9"/>
  <c r="AE66" i="9"/>
  <c r="AF66" i="9"/>
  <c r="AG66" i="9"/>
  <c r="AH66" i="9"/>
  <c r="B67" i="9"/>
  <c r="AB67" i="9"/>
  <c r="AC67" i="9"/>
  <c r="AD67" i="9"/>
  <c r="AE67" i="9"/>
  <c r="AF67" i="9"/>
  <c r="AG67" i="9"/>
  <c r="AH67" i="9"/>
  <c r="B68" i="9"/>
  <c r="AI207" i="6" l="1"/>
  <c r="I2" i="9"/>
  <c r="A3" i="9"/>
  <c r="H2" i="9"/>
  <c r="G2" i="9" s="1"/>
  <c r="D3" i="9"/>
  <c r="O3" i="9"/>
  <c r="E3" i="9"/>
  <c r="C4" i="9"/>
  <c r="AB68" i="9"/>
  <c r="AC68" i="9"/>
  <c r="AD68" i="9"/>
  <c r="AE68" i="9"/>
  <c r="AF68" i="9"/>
  <c r="AG68" i="9"/>
  <c r="AH68" i="9"/>
  <c r="B69" i="9"/>
  <c r="AI208" i="6" l="1"/>
  <c r="I3" i="9"/>
  <c r="A4" i="9"/>
  <c r="H3" i="9"/>
  <c r="G3" i="9" s="1"/>
  <c r="M2" i="9"/>
  <c r="K2" i="9"/>
  <c r="L2" i="9"/>
  <c r="N2" i="9"/>
  <c r="J2" i="9"/>
  <c r="D4" i="9"/>
  <c r="O4" i="9"/>
  <c r="E4" i="9"/>
  <c r="C5" i="9"/>
  <c r="Q2" i="9"/>
  <c r="P2" i="9"/>
  <c r="AB69" i="9"/>
  <c r="AC69" i="9"/>
  <c r="AD69" i="9"/>
  <c r="AE69" i="9"/>
  <c r="AF69" i="9"/>
  <c r="AG69" i="9"/>
  <c r="AH69" i="9"/>
  <c r="B70" i="9"/>
  <c r="AI209" i="6" l="1"/>
  <c r="D5" i="9"/>
  <c r="O5" i="9"/>
  <c r="E5" i="9"/>
  <c r="C6" i="9"/>
  <c r="I4" i="9"/>
  <c r="H4" i="9"/>
  <c r="G4" i="9" s="1"/>
  <c r="A5" i="9"/>
  <c r="Q3" i="9"/>
  <c r="P3" i="9"/>
  <c r="M3" i="9"/>
  <c r="L3" i="9"/>
  <c r="K3" i="9"/>
  <c r="J3" i="9"/>
  <c r="N3" i="9"/>
  <c r="AB70" i="9"/>
  <c r="AC70" i="9"/>
  <c r="AD70" i="9"/>
  <c r="AE70" i="9"/>
  <c r="AF70" i="9"/>
  <c r="AG70" i="9"/>
  <c r="AH70" i="9"/>
  <c r="B71" i="9"/>
  <c r="AI210" i="6" l="1"/>
  <c r="M4" i="9"/>
  <c r="L4" i="9"/>
  <c r="K4" i="9"/>
  <c r="J4" i="9"/>
  <c r="N4" i="9"/>
  <c r="Q4" i="9"/>
  <c r="P4" i="9"/>
  <c r="I5" i="9"/>
  <c r="A6" i="9"/>
  <c r="H5" i="9"/>
  <c r="G5" i="9" s="1"/>
  <c r="D6" i="9"/>
  <c r="O6" i="9"/>
  <c r="C7" i="9"/>
  <c r="E6" i="9"/>
  <c r="AB71" i="9"/>
  <c r="AC71" i="9"/>
  <c r="AD71" i="9"/>
  <c r="AE71" i="9"/>
  <c r="AF71" i="9"/>
  <c r="AG71" i="9"/>
  <c r="AH71" i="9"/>
  <c r="B72" i="9"/>
  <c r="AI211" i="6" l="1"/>
  <c r="M5" i="9"/>
  <c r="L5" i="9"/>
  <c r="K5" i="9"/>
  <c r="N5" i="9"/>
  <c r="J5" i="9"/>
  <c r="Q5" i="9"/>
  <c r="P5" i="9"/>
  <c r="I6" i="9"/>
  <c r="A7" i="9"/>
  <c r="H6" i="9"/>
  <c r="G6" i="9" s="1"/>
  <c r="D7" i="9"/>
  <c r="O7" i="9"/>
  <c r="E7" i="9"/>
  <c r="C8" i="9"/>
  <c r="AB72" i="9"/>
  <c r="AC72" i="9"/>
  <c r="AD72" i="9"/>
  <c r="AE72" i="9"/>
  <c r="AF72" i="9"/>
  <c r="AG72" i="9"/>
  <c r="AH72" i="9"/>
  <c r="B73" i="9"/>
  <c r="AI212" i="6" l="1"/>
  <c r="Q6" i="9"/>
  <c r="P6" i="9"/>
  <c r="I7" i="9"/>
  <c r="A8" i="9"/>
  <c r="H7" i="9"/>
  <c r="G7" i="9" s="1"/>
  <c r="D8" i="9"/>
  <c r="O8" i="9"/>
  <c r="E8" i="9"/>
  <c r="C9" i="9"/>
  <c r="M6" i="9"/>
  <c r="K6" i="9"/>
  <c r="L6" i="9"/>
  <c r="N6" i="9"/>
  <c r="J6" i="9"/>
  <c r="AB73" i="9"/>
  <c r="AC73" i="9"/>
  <c r="AD73" i="9"/>
  <c r="AE73" i="9"/>
  <c r="AF73" i="9"/>
  <c r="AG73" i="9"/>
  <c r="AH73" i="9"/>
  <c r="B74" i="9"/>
  <c r="AI213" i="6" l="1"/>
  <c r="Q7" i="9"/>
  <c r="P7" i="9"/>
  <c r="D9" i="9"/>
  <c r="O9" i="9"/>
  <c r="C10" i="9"/>
  <c r="E9" i="9"/>
  <c r="M7" i="9"/>
  <c r="L7" i="9"/>
  <c r="K7" i="9"/>
  <c r="J7" i="9"/>
  <c r="N7" i="9"/>
  <c r="I8" i="9"/>
  <c r="H8" i="9"/>
  <c r="G8" i="9" s="1"/>
  <c r="A9" i="9"/>
  <c r="AB74" i="9"/>
  <c r="AC74" i="9"/>
  <c r="AD74" i="9"/>
  <c r="AE74" i="9"/>
  <c r="AF74" i="9"/>
  <c r="AG74" i="9"/>
  <c r="AH74" i="9"/>
  <c r="B75" i="9"/>
  <c r="AI214" i="6" l="1"/>
  <c r="D10" i="9"/>
  <c r="O10" i="9"/>
  <c r="E10" i="9"/>
  <c r="C11" i="9"/>
  <c r="I9" i="9"/>
  <c r="H9" i="9"/>
  <c r="G9" i="9" s="1"/>
  <c r="A10" i="9"/>
  <c r="Q8" i="9"/>
  <c r="P8" i="9"/>
  <c r="M8" i="9"/>
  <c r="K8" i="9"/>
  <c r="L8" i="9"/>
  <c r="N8" i="9"/>
  <c r="J8" i="9"/>
  <c r="AB75" i="9"/>
  <c r="AC75" i="9"/>
  <c r="AD75" i="9"/>
  <c r="AE75" i="9"/>
  <c r="AF75" i="9"/>
  <c r="AG75" i="9"/>
  <c r="AH75" i="9"/>
  <c r="B76" i="9"/>
  <c r="AG216" i="6" l="1"/>
  <c r="AI215" i="6"/>
  <c r="Q9" i="9"/>
  <c r="P9" i="9"/>
  <c r="I10" i="9"/>
  <c r="H10" i="9"/>
  <c r="G10" i="9" s="1"/>
  <c r="A11" i="9"/>
  <c r="D11" i="9"/>
  <c r="O11" i="9"/>
  <c r="E11" i="9"/>
  <c r="C12" i="9"/>
  <c r="M9" i="9"/>
  <c r="L9" i="9"/>
  <c r="K9" i="9"/>
  <c r="N9" i="9"/>
  <c r="J9" i="9"/>
  <c r="AB76" i="9"/>
  <c r="AC76" i="9"/>
  <c r="AD76" i="9"/>
  <c r="AE76" i="9"/>
  <c r="AF76" i="9"/>
  <c r="AG76" i="9"/>
  <c r="AH76" i="9"/>
  <c r="B77" i="9"/>
  <c r="AG217" i="6" l="1"/>
  <c r="AI216" i="6"/>
  <c r="Q10" i="9"/>
  <c r="P10" i="9"/>
  <c r="M10" i="9"/>
  <c r="K10" i="9"/>
  <c r="L10" i="9"/>
  <c r="J10" i="9"/>
  <c r="N10" i="9"/>
  <c r="I11" i="9"/>
  <c r="A12" i="9"/>
  <c r="H11" i="9"/>
  <c r="G11" i="9" s="1"/>
  <c r="D12" i="9"/>
  <c r="O12" i="9"/>
  <c r="C13" i="9"/>
  <c r="E12" i="9"/>
  <c r="AB77" i="9"/>
  <c r="AC77" i="9"/>
  <c r="AD77" i="9"/>
  <c r="AE77" i="9"/>
  <c r="AF77" i="9"/>
  <c r="AG77" i="9"/>
  <c r="AH77" i="9"/>
  <c r="B78" i="9"/>
  <c r="AG218" i="6" l="1"/>
  <c r="AI217" i="6"/>
  <c r="Q11" i="9"/>
  <c r="P11" i="9"/>
  <c r="D13" i="9"/>
  <c r="O13" i="9"/>
  <c r="C14" i="9"/>
  <c r="E13" i="9"/>
  <c r="M11" i="9"/>
  <c r="L11" i="9"/>
  <c r="K11" i="9"/>
  <c r="N11" i="9"/>
  <c r="J11" i="9"/>
  <c r="I12" i="9"/>
  <c r="A13" i="9"/>
  <c r="H12" i="9"/>
  <c r="G12" i="9" s="1"/>
  <c r="AB78" i="9"/>
  <c r="AC78" i="9"/>
  <c r="AD78" i="9"/>
  <c r="AE78" i="9"/>
  <c r="AF78" i="9"/>
  <c r="AG78" i="9"/>
  <c r="AH78" i="9"/>
  <c r="B79" i="9"/>
  <c r="AG219" i="6" l="1"/>
  <c r="AI218" i="6"/>
  <c r="Q12" i="9"/>
  <c r="P12" i="9"/>
  <c r="M12" i="9"/>
  <c r="K12" i="9"/>
  <c r="L12" i="9"/>
  <c r="J12" i="9"/>
  <c r="N12" i="9"/>
  <c r="D14" i="9"/>
  <c r="O14" i="9"/>
  <c r="C15" i="9"/>
  <c r="E14" i="9"/>
  <c r="I13" i="9"/>
  <c r="A14" i="9"/>
  <c r="H13" i="9"/>
  <c r="G13" i="9" s="1"/>
  <c r="AB79" i="9"/>
  <c r="AC79" i="9"/>
  <c r="AD79" i="9"/>
  <c r="AE79" i="9"/>
  <c r="AF79" i="9"/>
  <c r="AG79" i="9"/>
  <c r="AH79" i="9"/>
  <c r="B80" i="9"/>
  <c r="AG220" i="6" l="1"/>
  <c r="AI219" i="6"/>
  <c r="Q13" i="9"/>
  <c r="P13" i="9"/>
  <c r="D15" i="9"/>
  <c r="O15" i="9"/>
  <c r="E15" i="9"/>
  <c r="C16" i="9"/>
  <c r="M13" i="9"/>
  <c r="L13" i="9"/>
  <c r="K13" i="9"/>
  <c r="N13" i="9"/>
  <c r="J13" i="9"/>
  <c r="I14" i="9"/>
  <c r="A15" i="9"/>
  <c r="H14" i="9"/>
  <c r="G14" i="9" s="1"/>
  <c r="AB80" i="9"/>
  <c r="AC80" i="9"/>
  <c r="AD80" i="9"/>
  <c r="AE80" i="9"/>
  <c r="AF80" i="9"/>
  <c r="AG80" i="9"/>
  <c r="AH80" i="9"/>
  <c r="B81" i="9"/>
  <c r="AG221" i="6" l="1"/>
  <c r="AI220" i="6"/>
  <c r="Q14" i="9"/>
  <c r="P14" i="9"/>
  <c r="M14" i="9"/>
  <c r="K14" i="9"/>
  <c r="L14" i="9"/>
  <c r="J14" i="9"/>
  <c r="N14" i="9"/>
  <c r="I15" i="9"/>
  <c r="A16" i="9"/>
  <c r="H15" i="9"/>
  <c r="G15" i="9" s="1"/>
  <c r="D16" i="9"/>
  <c r="O16" i="9"/>
  <c r="C17" i="9"/>
  <c r="E16" i="9"/>
  <c r="AB81" i="9"/>
  <c r="AC81" i="9"/>
  <c r="AD81" i="9"/>
  <c r="AE81" i="9"/>
  <c r="AF81" i="9"/>
  <c r="AG81" i="9"/>
  <c r="AH81" i="9"/>
  <c r="B82" i="9"/>
  <c r="AG222" i="6" l="1"/>
  <c r="AI221" i="6"/>
  <c r="D17" i="9"/>
  <c r="O17" i="9"/>
  <c r="C18" i="9"/>
  <c r="E17" i="9"/>
  <c r="M15" i="9"/>
  <c r="L15" i="9"/>
  <c r="K15" i="9"/>
  <c r="N15" i="9"/>
  <c r="J15" i="9"/>
  <c r="I16" i="9"/>
  <c r="A17" i="9"/>
  <c r="H16" i="9"/>
  <c r="G16" i="9" s="1"/>
  <c r="Q15" i="9"/>
  <c r="P15" i="9"/>
  <c r="AB82" i="9"/>
  <c r="AC82" i="9"/>
  <c r="AD82" i="9"/>
  <c r="AE82" i="9"/>
  <c r="AF82" i="9"/>
  <c r="AG82" i="9"/>
  <c r="AH82" i="9"/>
  <c r="B83" i="9"/>
  <c r="AG223" i="6" l="1"/>
  <c r="AI222" i="6"/>
  <c r="I17" i="9"/>
  <c r="A18" i="9"/>
  <c r="H17" i="9"/>
  <c r="G17" i="9" s="1"/>
  <c r="M16" i="9"/>
  <c r="L16" i="9"/>
  <c r="K16" i="9"/>
  <c r="N16" i="9"/>
  <c r="J16" i="9"/>
  <c r="Q16" i="9"/>
  <c r="P16" i="9"/>
  <c r="D18" i="9"/>
  <c r="O18" i="9"/>
  <c r="C19" i="9"/>
  <c r="E18" i="9"/>
  <c r="AB83" i="9"/>
  <c r="AC83" i="9"/>
  <c r="AD83" i="9"/>
  <c r="AE83" i="9"/>
  <c r="AF83" i="9"/>
  <c r="AG83" i="9"/>
  <c r="AH83" i="9"/>
  <c r="B84" i="9"/>
  <c r="AG224" i="6" l="1"/>
  <c r="AI223" i="6"/>
  <c r="M17" i="9"/>
  <c r="K17" i="9"/>
  <c r="L17" i="9"/>
  <c r="N17" i="9"/>
  <c r="J17" i="9"/>
  <c r="I18" i="9"/>
  <c r="A19" i="9"/>
  <c r="H18" i="9"/>
  <c r="G18" i="9" s="1"/>
  <c r="D19" i="9"/>
  <c r="O19" i="9"/>
  <c r="E19" i="9"/>
  <c r="C20" i="9"/>
  <c r="Q17" i="9"/>
  <c r="P17" i="9"/>
  <c r="AB84" i="9"/>
  <c r="AC84" i="9"/>
  <c r="AD84" i="9"/>
  <c r="AE84" i="9"/>
  <c r="AF84" i="9"/>
  <c r="AG84" i="9"/>
  <c r="AH84" i="9"/>
  <c r="B85" i="9"/>
  <c r="AG225" i="6" l="1"/>
  <c r="AI224" i="6"/>
  <c r="I19" i="9"/>
  <c r="A20" i="9"/>
  <c r="H19" i="9"/>
  <c r="G19" i="9" s="1"/>
  <c r="D20" i="9"/>
  <c r="O20" i="9"/>
  <c r="E20" i="9"/>
  <c r="C21" i="9"/>
  <c r="Q18" i="9"/>
  <c r="P18" i="9"/>
  <c r="M18" i="9"/>
  <c r="L18" i="9"/>
  <c r="K18" i="9"/>
  <c r="N18" i="9"/>
  <c r="J18" i="9"/>
  <c r="AB85" i="9"/>
  <c r="AC85" i="9"/>
  <c r="AD85" i="9"/>
  <c r="AE85" i="9"/>
  <c r="AF85" i="9"/>
  <c r="AG85" i="9"/>
  <c r="AH85" i="9"/>
  <c r="B86" i="9"/>
  <c r="AG226" i="6" l="1"/>
  <c r="AI225" i="6"/>
  <c r="Q19" i="9"/>
  <c r="P19" i="9"/>
  <c r="M19" i="9"/>
  <c r="L19" i="9"/>
  <c r="K19" i="9"/>
  <c r="J19" i="9"/>
  <c r="N19" i="9"/>
  <c r="D21" i="9"/>
  <c r="O21" i="9"/>
  <c r="E21" i="9"/>
  <c r="C22" i="9"/>
  <c r="I20" i="9"/>
  <c r="H20" i="9"/>
  <c r="G20" i="9" s="1"/>
  <c r="A21" i="9"/>
  <c r="AB86" i="9"/>
  <c r="AC86" i="9"/>
  <c r="AD86" i="9"/>
  <c r="AE86" i="9"/>
  <c r="AF86" i="9"/>
  <c r="AG86" i="9"/>
  <c r="AH86" i="9"/>
  <c r="B87" i="9"/>
  <c r="AG227" i="6" l="1"/>
  <c r="AI226" i="6"/>
  <c r="Q20" i="9"/>
  <c r="P20" i="9"/>
  <c r="M20" i="9"/>
  <c r="K20" i="9"/>
  <c r="L20" i="9"/>
  <c r="N20" i="9"/>
  <c r="J20" i="9"/>
  <c r="I21" i="9"/>
  <c r="H21" i="9"/>
  <c r="G21" i="9" s="1"/>
  <c r="A22" i="9"/>
  <c r="D22" i="9"/>
  <c r="O22" i="9"/>
  <c r="E22" i="9"/>
  <c r="C23" i="9"/>
  <c r="AB87" i="9"/>
  <c r="AC87" i="9"/>
  <c r="AD87" i="9"/>
  <c r="AE87" i="9"/>
  <c r="AF87" i="9"/>
  <c r="AG87" i="9"/>
  <c r="AH87" i="9"/>
  <c r="B88" i="9"/>
  <c r="AG228" i="6" l="1"/>
  <c r="AI227" i="6"/>
  <c r="Q21" i="9"/>
  <c r="P21" i="9"/>
  <c r="M21" i="9"/>
  <c r="L21" i="9"/>
  <c r="K21" i="9"/>
  <c r="N21" i="9"/>
  <c r="J21" i="9"/>
  <c r="D23" i="9"/>
  <c r="O23" i="9"/>
  <c r="E23" i="9"/>
  <c r="C24" i="9"/>
  <c r="I22" i="9"/>
  <c r="H22" i="9"/>
  <c r="G22" i="9" s="1"/>
  <c r="A23" i="9"/>
  <c r="AB88" i="9"/>
  <c r="AC88" i="9"/>
  <c r="AD88" i="9"/>
  <c r="AE88" i="9"/>
  <c r="AF88" i="9"/>
  <c r="AG88" i="9"/>
  <c r="AH88" i="9"/>
  <c r="B89" i="9"/>
  <c r="AC89" i="9"/>
  <c r="AD89" i="9"/>
  <c r="AE89" i="9"/>
  <c r="AF89" i="9"/>
  <c r="AG89" i="9"/>
  <c r="AH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C176" i="9"/>
  <c r="B176" i="9"/>
  <c r="C177" i="9"/>
  <c r="B177" i="9"/>
  <c r="C178" i="9"/>
  <c r="B178" i="9"/>
  <c r="C179" i="9"/>
  <c r="B179" i="9"/>
  <c r="C180" i="9"/>
  <c r="B180" i="9"/>
  <c r="C181" i="9"/>
  <c r="B181" i="9"/>
  <c r="C182" i="9"/>
  <c r="B182" i="9"/>
  <c r="C183" i="9"/>
  <c r="B183" i="9"/>
  <c r="C184" i="9"/>
  <c r="B184" i="9"/>
  <c r="C185" i="9"/>
  <c r="B185" i="9"/>
  <c r="C186" i="9"/>
  <c r="B186" i="9"/>
  <c r="C187" i="9"/>
  <c r="B187" i="9"/>
  <c r="C188" i="9"/>
  <c r="B188" i="9"/>
  <c r="C189" i="9"/>
  <c r="B189" i="9"/>
  <c r="C190" i="9"/>
  <c r="B190" i="9"/>
  <c r="C191" i="9"/>
  <c r="B191" i="9"/>
  <c r="C192" i="9"/>
  <c r="B192" i="9"/>
  <c r="C193" i="9"/>
  <c r="B193" i="9"/>
  <c r="C194" i="9"/>
  <c r="C195" i="9" s="1"/>
  <c r="B194" i="9"/>
  <c r="B195" i="9"/>
  <c r="B196" i="9"/>
  <c r="B197" i="9"/>
  <c r="B198" i="9"/>
  <c r="B199" i="9"/>
  <c r="B200" i="9"/>
  <c r="B201" i="9"/>
  <c r="C202" i="9"/>
  <c r="B202" i="9"/>
  <c r="C203" i="9"/>
  <c r="B203" i="9"/>
  <c r="C204" i="9"/>
  <c r="B204" i="9"/>
  <c r="C205" i="9"/>
  <c r="B205" i="9"/>
  <c r="C206" i="9"/>
  <c r="B206" i="9"/>
  <c r="C207" i="9"/>
  <c r="B207" i="9"/>
  <c r="C208" i="9"/>
  <c r="B208" i="9"/>
  <c r="C209" i="9"/>
  <c r="B209" i="9"/>
  <c r="C210" i="9"/>
  <c r="B210" i="9"/>
  <c r="C211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B876" i="9"/>
  <c r="B877" i="9"/>
  <c r="B878" i="9"/>
  <c r="B879" i="9"/>
  <c r="B880" i="9"/>
  <c r="B881" i="9"/>
  <c r="B882" i="9"/>
  <c r="B883" i="9"/>
  <c r="B884" i="9"/>
  <c r="B885" i="9"/>
  <c r="B886" i="9"/>
  <c r="B887" i="9"/>
  <c r="B888" i="9"/>
  <c r="B889" i="9"/>
  <c r="B890" i="9"/>
  <c r="B891" i="9"/>
  <c r="B892" i="9"/>
  <c r="B893" i="9"/>
  <c r="B894" i="9"/>
  <c r="B895" i="9"/>
  <c r="B896" i="9"/>
  <c r="B897" i="9"/>
  <c r="B898" i="9"/>
  <c r="B899" i="9"/>
  <c r="B900" i="9"/>
  <c r="B901" i="9"/>
  <c r="B902" i="9"/>
  <c r="B903" i="9"/>
  <c r="B904" i="9"/>
  <c r="B905" i="9"/>
  <c r="B906" i="9"/>
  <c r="B907" i="9"/>
  <c r="B908" i="9"/>
  <c r="B909" i="9"/>
  <c r="B910" i="9"/>
  <c r="B911" i="9"/>
  <c r="B912" i="9"/>
  <c r="B913" i="9"/>
  <c r="B914" i="9"/>
  <c r="B915" i="9"/>
  <c r="B916" i="9"/>
  <c r="B917" i="9"/>
  <c r="B918" i="9"/>
  <c r="B919" i="9"/>
  <c r="B920" i="9"/>
  <c r="B921" i="9"/>
  <c r="B922" i="9"/>
  <c r="B923" i="9"/>
  <c r="B924" i="9"/>
  <c r="B925" i="9"/>
  <c r="B926" i="9"/>
  <c r="B927" i="9"/>
  <c r="B928" i="9"/>
  <c r="B929" i="9"/>
  <c r="B930" i="9"/>
  <c r="B931" i="9"/>
  <c r="B932" i="9"/>
  <c r="B933" i="9"/>
  <c r="B934" i="9"/>
  <c r="B935" i="9"/>
  <c r="B936" i="9"/>
  <c r="B937" i="9"/>
  <c r="B938" i="9"/>
  <c r="B939" i="9"/>
  <c r="B940" i="9"/>
  <c r="B941" i="9"/>
  <c r="B942" i="9"/>
  <c r="B943" i="9"/>
  <c r="B944" i="9"/>
  <c r="B945" i="9"/>
  <c r="B946" i="9"/>
  <c r="B947" i="9"/>
  <c r="B948" i="9"/>
  <c r="B949" i="9"/>
  <c r="B950" i="9"/>
  <c r="B951" i="9"/>
  <c r="B952" i="9"/>
  <c r="B953" i="9"/>
  <c r="B954" i="9"/>
  <c r="B955" i="9"/>
  <c r="B956" i="9"/>
  <c r="B957" i="9"/>
  <c r="B958" i="9"/>
  <c r="B959" i="9"/>
  <c r="B960" i="9"/>
  <c r="B961" i="9"/>
  <c r="B962" i="9"/>
  <c r="B963" i="9"/>
  <c r="B964" i="9"/>
  <c r="B965" i="9"/>
  <c r="B966" i="9"/>
  <c r="B967" i="9"/>
  <c r="B968" i="9"/>
  <c r="B969" i="9"/>
  <c r="B970" i="9"/>
  <c r="B971" i="9"/>
  <c r="B972" i="9"/>
  <c r="B973" i="9"/>
  <c r="B974" i="9"/>
  <c r="B975" i="9"/>
  <c r="B976" i="9"/>
  <c r="B977" i="9"/>
  <c r="B978" i="9"/>
  <c r="B979" i="9"/>
  <c r="B980" i="9"/>
  <c r="B981" i="9"/>
  <c r="B982" i="9"/>
  <c r="B983" i="9"/>
  <c r="B984" i="9"/>
  <c r="B985" i="9"/>
  <c r="B986" i="9"/>
  <c r="B987" i="9"/>
  <c r="B988" i="9"/>
  <c r="B989" i="9"/>
  <c r="B990" i="9"/>
  <c r="B991" i="9"/>
  <c r="B992" i="9"/>
  <c r="B993" i="9"/>
  <c r="B994" i="9"/>
  <c r="B995" i="9"/>
  <c r="B996" i="9"/>
  <c r="B997" i="9"/>
  <c r="B998" i="9"/>
  <c r="B999" i="9"/>
  <c r="B1000" i="9"/>
  <c r="B1001" i="9"/>
  <c r="B1002" i="9"/>
  <c r="B1003" i="9"/>
  <c r="B1004" i="9"/>
  <c r="B1005" i="9"/>
  <c r="B1006" i="9"/>
  <c r="B1007" i="9"/>
  <c r="B1008" i="9"/>
  <c r="B1009" i="9"/>
  <c r="B1010" i="9"/>
  <c r="B1011" i="9"/>
  <c r="B1012" i="9"/>
  <c r="B1013" i="9"/>
  <c r="B1014" i="9"/>
  <c r="B1015" i="9"/>
  <c r="B1016" i="9"/>
  <c r="B1017" i="9"/>
  <c r="B1018" i="9"/>
  <c r="B1019" i="9"/>
  <c r="B1020" i="9"/>
  <c r="B1021" i="9"/>
  <c r="B1022" i="9"/>
  <c r="B1023" i="9"/>
  <c r="B1024" i="9"/>
  <c r="B1025" i="9"/>
  <c r="B1026" i="9"/>
  <c r="B1027" i="9"/>
  <c r="B1028" i="9"/>
  <c r="B1029" i="9"/>
  <c r="B1030" i="9"/>
  <c r="B1031" i="9"/>
  <c r="B1032" i="9"/>
  <c r="B1033" i="9"/>
  <c r="B1034" i="9"/>
  <c r="B1035" i="9"/>
  <c r="B1036" i="9"/>
  <c r="B1037" i="9"/>
  <c r="B1038" i="9"/>
  <c r="B1039" i="9"/>
  <c r="B1040" i="9"/>
  <c r="B1041" i="9"/>
  <c r="B1042" i="9"/>
  <c r="B1043" i="9"/>
  <c r="B1044" i="9"/>
  <c r="B1045" i="9"/>
  <c r="B1046" i="9"/>
  <c r="B1047" i="9"/>
  <c r="B1048" i="9"/>
  <c r="B1049" i="9"/>
  <c r="B1050" i="9"/>
  <c r="B1051" i="9"/>
  <c r="B1052" i="9"/>
  <c r="B1053" i="9"/>
  <c r="B1054" i="9"/>
  <c r="B1055" i="9"/>
  <c r="B1056" i="9"/>
  <c r="B1057" i="9"/>
  <c r="B1058" i="9"/>
  <c r="B1059" i="9"/>
  <c r="B1060" i="9"/>
  <c r="B1061" i="9"/>
  <c r="B1062" i="9"/>
  <c r="B1063" i="9"/>
  <c r="B1064" i="9"/>
  <c r="B1065" i="9"/>
  <c r="B1066" i="9"/>
  <c r="B1067" i="9"/>
  <c r="B1068" i="9"/>
  <c r="B1069" i="9"/>
  <c r="B1070" i="9"/>
  <c r="B1071" i="9"/>
  <c r="B1072" i="9"/>
  <c r="B1073" i="9"/>
  <c r="B1074" i="9"/>
  <c r="B1075" i="9"/>
  <c r="B1076" i="9"/>
  <c r="B1077" i="9"/>
  <c r="B1078" i="9"/>
  <c r="B1079" i="9"/>
  <c r="B1080" i="9"/>
  <c r="B1081" i="9"/>
  <c r="B1082" i="9"/>
  <c r="B1083" i="9"/>
  <c r="B1084" i="9"/>
  <c r="B1085" i="9"/>
  <c r="B1086" i="9"/>
  <c r="B1087" i="9"/>
  <c r="B1088" i="9"/>
  <c r="B1089" i="9"/>
  <c r="B1090" i="9"/>
  <c r="B1091" i="9"/>
  <c r="B1092" i="9"/>
  <c r="B1093" i="9"/>
  <c r="B1094" i="9"/>
  <c r="B1095" i="9"/>
  <c r="B1096" i="9"/>
  <c r="B1097" i="9"/>
  <c r="B1098" i="9"/>
  <c r="B1099" i="9"/>
  <c r="B1100" i="9"/>
  <c r="B1101" i="9"/>
  <c r="B1102" i="9"/>
  <c r="B1103" i="9"/>
  <c r="B1104" i="9"/>
  <c r="B1105" i="9"/>
  <c r="B1106" i="9"/>
  <c r="B1107" i="9"/>
  <c r="B1108" i="9"/>
  <c r="B1109" i="9"/>
  <c r="B1110" i="9"/>
  <c r="B1111" i="9"/>
  <c r="B1112" i="9"/>
  <c r="B1113" i="9"/>
  <c r="B1114" i="9"/>
  <c r="B1115" i="9"/>
  <c r="B1116" i="9"/>
  <c r="B1117" i="9"/>
  <c r="B1118" i="9"/>
  <c r="B1119" i="9"/>
  <c r="B1120" i="9"/>
  <c r="B1121" i="9"/>
  <c r="B1122" i="9"/>
  <c r="B1123" i="9"/>
  <c r="B1124" i="9"/>
  <c r="B1125" i="9"/>
  <c r="B1126" i="9"/>
  <c r="B1127" i="9"/>
  <c r="B1128" i="9"/>
  <c r="B1129" i="9"/>
  <c r="B1130" i="9"/>
  <c r="B1131" i="9"/>
  <c r="B1132" i="9"/>
  <c r="B1133" i="9"/>
  <c r="B1134" i="9"/>
  <c r="B1135" i="9"/>
  <c r="B1136" i="9"/>
  <c r="B1137" i="9"/>
  <c r="B1138" i="9"/>
  <c r="B1139" i="9"/>
  <c r="B1140" i="9"/>
  <c r="B1141" i="9"/>
  <c r="B1142" i="9"/>
  <c r="B1143" i="9"/>
  <c r="B1144" i="9"/>
  <c r="B1145" i="9"/>
  <c r="B1146" i="9"/>
  <c r="B1147" i="9"/>
  <c r="B1148" i="9"/>
  <c r="B1149" i="9"/>
  <c r="B1150" i="9"/>
  <c r="B1151" i="9"/>
  <c r="B1152" i="9"/>
  <c r="B1153" i="9"/>
  <c r="B1154" i="9"/>
  <c r="B1155" i="9"/>
  <c r="B1156" i="9"/>
  <c r="B1157" i="9"/>
  <c r="B1158" i="9"/>
  <c r="B1159" i="9"/>
  <c r="B1160" i="9"/>
  <c r="B1161" i="9"/>
  <c r="B1162" i="9"/>
  <c r="B1163" i="9"/>
  <c r="B1164" i="9"/>
  <c r="B1165" i="9"/>
  <c r="B1166" i="9"/>
  <c r="B1167" i="9"/>
  <c r="B1168" i="9"/>
  <c r="B1169" i="9"/>
  <c r="B1170" i="9"/>
  <c r="B1171" i="9"/>
  <c r="B1172" i="9"/>
  <c r="B1173" i="9"/>
  <c r="B1174" i="9"/>
  <c r="B1175" i="9"/>
  <c r="B1176" i="9"/>
  <c r="B1177" i="9"/>
  <c r="B1178" i="9"/>
  <c r="B1179" i="9"/>
  <c r="B1180" i="9"/>
  <c r="B1181" i="9"/>
  <c r="B1182" i="9"/>
  <c r="B1183" i="9"/>
  <c r="B1184" i="9"/>
  <c r="B1185" i="9"/>
  <c r="B1186" i="9"/>
  <c r="B1187" i="9"/>
  <c r="B1188" i="9"/>
  <c r="B1189" i="9"/>
  <c r="B1190" i="9"/>
  <c r="B1191" i="9"/>
  <c r="B1192" i="9"/>
  <c r="B1193" i="9"/>
  <c r="B1194" i="9"/>
  <c r="B1195" i="9"/>
  <c r="B1196" i="9"/>
  <c r="B1197" i="9"/>
  <c r="B1198" i="9"/>
  <c r="B1199" i="9"/>
  <c r="B1200" i="9"/>
  <c r="B1201" i="9"/>
  <c r="B1202" i="9"/>
  <c r="B1203" i="9"/>
  <c r="B1204" i="9"/>
  <c r="B1205" i="9"/>
  <c r="B1206" i="9"/>
  <c r="B1207" i="9"/>
  <c r="B1208" i="9"/>
  <c r="B1209" i="9"/>
  <c r="B1210" i="9"/>
  <c r="B1211" i="9"/>
  <c r="B1212" i="9"/>
  <c r="B1213" i="9"/>
  <c r="B1214" i="9"/>
  <c r="B1215" i="9"/>
  <c r="B1216" i="9"/>
  <c r="B1217" i="9"/>
  <c r="B1218" i="9"/>
  <c r="B1219" i="9"/>
  <c r="B1220" i="9"/>
  <c r="B1221" i="9"/>
  <c r="B1222" i="9"/>
  <c r="B1223" i="9"/>
  <c r="B1224" i="9"/>
  <c r="B1225" i="9"/>
  <c r="B1226" i="9"/>
  <c r="B1227" i="9"/>
  <c r="B1228" i="9"/>
  <c r="B1229" i="9"/>
  <c r="B1230" i="9"/>
  <c r="B1231" i="9"/>
  <c r="B1232" i="9"/>
  <c r="B1233" i="9"/>
  <c r="B1234" i="9"/>
  <c r="B1235" i="9"/>
  <c r="B1236" i="9"/>
  <c r="B1237" i="9"/>
  <c r="B1238" i="9"/>
  <c r="B1239" i="9"/>
  <c r="B1240" i="9"/>
  <c r="B1241" i="9"/>
  <c r="B1242" i="9"/>
  <c r="B1243" i="9"/>
  <c r="B1244" i="9"/>
  <c r="B1245" i="9"/>
  <c r="B1246" i="9"/>
  <c r="B1247" i="9"/>
  <c r="B1248" i="9"/>
  <c r="B1249" i="9"/>
  <c r="B1250" i="9"/>
  <c r="B1251" i="9"/>
  <c r="B1252" i="9"/>
  <c r="B1253" i="9"/>
  <c r="B1254" i="9"/>
  <c r="B1255" i="9"/>
  <c r="B1256" i="9"/>
  <c r="B1257" i="9"/>
  <c r="B1258" i="9"/>
  <c r="B1259" i="9"/>
  <c r="B1260" i="9"/>
  <c r="B1261" i="9"/>
  <c r="B1262" i="9"/>
  <c r="B1263" i="9"/>
  <c r="B1264" i="9"/>
  <c r="B1265" i="9"/>
  <c r="B1266" i="9"/>
  <c r="B1267" i="9"/>
  <c r="B1268" i="9"/>
  <c r="B1269" i="9"/>
  <c r="B1270" i="9"/>
  <c r="B1271" i="9"/>
  <c r="B1272" i="9"/>
  <c r="B1273" i="9"/>
  <c r="B1274" i="9"/>
  <c r="B1275" i="9"/>
  <c r="B1276" i="9"/>
  <c r="B1277" i="9"/>
  <c r="B1278" i="9"/>
  <c r="B1279" i="9"/>
  <c r="B1280" i="9"/>
  <c r="B1281" i="9"/>
  <c r="B1282" i="9"/>
  <c r="B1283" i="9"/>
  <c r="B1284" i="9"/>
  <c r="B1285" i="9"/>
  <c r="B1286" i="9"/>
  <c r="B1287" i="9"/>
  <c r="B1288" i="9"/>
  <c r="B1289" i="9"/>
  <c r="B1290" i="9"/>
  <c r="B1291" i="9"/>
  <c r="B1292" i="9"/>
  <c r="B1293" i="9"/>
  <c r="B1294" i="9"/>
  <c r="B1295" i="9"/>
  <c r="B1296" i="9"/>
  <c r="B1297" i="9"/>
  <c r="B1298" i="9"/>
  <c r="B1299" i="9"/>
  <c r="B1300" i="9"/>
  <c r="B1301" i="9"/>
  <c r="B1302" i="9"/>
  <c r="B1303" i="9"/>
  <c r="B1304" i="9"/>
  <c r="B1305" i="9"/>
  <c r="B1306" i="9"/>
  <c r="B1307" i="9"/>
  <c r="B1308" i="9"/>
  <c r="B1309" i="9"/>
  <c r="B1310" i="9"/>
  <c r="B1311" i="9"/>
  <c r="B1312" i="9"/>
  <c r="B1313" i="9"/>
  <c r="B1314" i="9"/>
  <c r="B1315" i="9"/>
  <c r="B1316" i="9"/>
  <c r="B1317" i="9"/>
  <c r="B1318" i="9"/>
  <c r="B1319" i="9"/>
  <c r="B1320" i="9"/>
  <c r="B1321" i="9"/>
  <c r="B1322" i="9"/>
  <c r="B1323" i="9"/>
  <c r="B1324" i="9"/>
  <c r="B1325" i="9"/>
  <c r="B1326" i="9"/>
  <c r="B1327" i="9"/>
  <c r="B1328" i="9"/>
  <c r="B1329" i="9"/>
  <c r="B1330" i="9"/>
  <c r="B1331" i="9"/>
  <c r="B1332" i="9"/>
  <c r="B1333" i="9"/>
  <c r="B1334" i="9"/>
  <c r="B1335" i="9"/>
  <c r="B1336" i="9"/>
  <c r="B1337" i="9"/>
  <c r="B1338" i="9"/>
  <c r="B1339" i="9"/>
  <c r="B1340" i="9"/>
  <c r="B1341" i="9"/>
  <c r="B1342" i="9"/>
  <c r="B1343" i="9"/>
  <c r="B1344" i="9"/>
  <c r="B1345" i="9"/>
  <c r="B1346" i="9"/>
  <c r="B1347" i="9"/>
  <c r="B1348" i="9"/>
  <c r="B1349" i="9"/>
  <c r="B1350" i="9"/>
  <c r="B1351" i="9"/>
  <c r="B1352" i="9"/>
  <c r="B1353" i="9"/>
  <c r="B1354" i="9"/>
  <c r="B1355" i="9"/>
  <c r="B1356" i="9"/>
  <c r="B1357" i="9"/>
  <c r="B1358" i="9"/>
  <c r="B1359" i="9"/>
  <c r="B1360" i="9"/>
  <c r="B1361" i="9"/>
  <c r="B1362" i="9"/>
  <c r="B1363" i="9"/>
  <c r="B1364" i="9"/>
  <c r="B1365" i="9"/>
  <c r="B1366" i="9"/>
  <c r="B1367" i="9"/>
  <c r="B1368" i="9"/>
  <c r="B1369" i="9"/>
  <c r="B1370" i="9"/>
  <c r="B1371" i="9"/>
  <c r="B1372" i="9"/>
  <c r="B1373" i="9"/>
  <c r="B1374" i="9"/>
  <c r="B1375" i="9"/>
  <c r="B1376" i="9"/>
  <c r="B1377" i="9"/>
  <c r="B1378" i="9"/>
  <c r="B1379" i="9"/>
  <c r="B1380" i="9"/>
  <c r="B1381" i="9"/>
  <c r="B1382" i="9"/>
  <c r="B1383" i="9"/>
  <c r="B1384" i="9"/>
  <c r="B1385" i="9"/>
  <c r="B1386" i="9"/>
  <c r="B1387" i="9"/>
  <c r="B1388" i="9"/>
  <c r="B1389" i="9"/>
  <c r="B1390" i="9"/>
  <c r="B1391" i="9"/>
  <c r="B1392" i="9"/>
  <c r="B1393" i="9"/>
  <c r="B1394" i="9"/>
  <c r="B1395" i="9"/>
  <c r="B1396" i="9"/>
  <c r="B1397" i="9"/>
  <c r="B1398" i="9"/>
  <c r="B1399" i="9"/>
  <c r="B1400" i="9"/>
  <c r="B1401" i="9"/>
  <c r="B1402" i="9"/>
  <c r="B1403" i="9"/>
  <c r="B1404" i="9"/>
  <c r="B1405" i="9"/>
  <c r="B1406" i="9"/>
  <c r="B1407" i="9"/>
  <c r="B1408" i="9"/>
  <c r="B1409" i="9"/>
  <c r="B1410" i="9"/>
  <c r="B1411" i="9"/>
  <c r="B1412" i="9"/>
  <c r="B1413" i="9"/>
  <c r="B1414" i="9"/>
  <c r="B1415" i="9"/>
  <c r="B1416" i="9"/>
  <c r="B1417" i="9"/>
  <c r="B1418" i="9"/>
  <c r="B1419" i="9"/>
  <c r="B1420" i="9"/>
  <c r="B1421" i="9"/>
  <c r="B1422" i="9"/>
  <c r="B1423" i="9"/>
  <c r="B1424" i="9"/>
  <c r="B1425" i="9"/>
  <c r="B1426" i="9"/>
  <c r="B1427" i="9"/>
  <c r="B1428" i="9"/>
  <c r="B1429" i="9"/>
  <c r="B1430" i="9"/>
  <c r="AG229" i="6" l="1"/>
  <c r="AI228" i="6"/>
  <c r="D211" i="9"/>
  <c r="O211" i="9"/>
  <c r="E211" i="9"/>
  <c r="D209" i="9"/>
  <c r="O209" i="9"/>
  <c r="E209" i="9"/>
  <c r="D207" i="9"/>
  <c r="O207" i="9"/>
  <c r="E207" i="9"/>
  <c r="D205" i="9"/>
  <c r="O205" i="9"/>
  <c r="E205" i="9"/>
  <c r="D203" i="9"/>
  <c r="O203" i="9"/>
  <c r="E203" i="9"/>
  <c r="D195" i="9"/>
  <c r="O195" i="9"/>
  <c r="E195" i="9"/>
  <c r="D193" i="9"/>
  <c r="O193" i="9"/>
  <c r="E193" i="9"/>
  <c r="D191" i="9"/>
  <c r="O191" i="9"/>
  <c r="E191" i="9"/>
  <c r="D189" i="9"/>
  <c r="O189" i="9"/>
  <c r="E189" i="9"/>
  <c r="D187" i="9"/>
  <c r="O187" i="9"/>
  <c r="E187" i="9"/>
  <c r="D185" i="9"/>
  <c r="O185" i="9"/>
  <c r="E185" i="9"/>
  <c r="D183" i="9"/>
  <c r="O183" i="9"/>
  <c r="E183" i="9"/>
  <c r="D181" i="9"/>
  <c r="O181" i="9"/>
  <c r="E181" i="9"/>
  <c r="D179" i="9"/>
  <c r="O179" i="9"/>
  <c r="E179" i="9"/>
  <c r="D177" i="9"/>
  <c r="O177" i="9"/>
  <c r="E177" i="9"/>
  <c r="D210" i="9"/>
  <c r="O210" i="9"/>
  <c r="E210" i="9"/>
  <c r="D208" i="9"/>
  <c r="O208" i="9"/>
  <c r="E208" i="9"/>
  <c r="D206" i="9"/>
  <c r="O206" i="9"/>
  <c r="E206" i="9"/>
  <c r="D204" i="9"/>
  <c r="O204" i="9"/>
  <c r="E204" i="9"/>
  <c r="D202" i="9"/>
  <c r="O202" i="9"/>
  <c r="E202" i="9"/>
  <c r="D194" i="9"/>
  <c r="O194" i="9"/>
  <c r="E194" i="9"/>
  <c r="D192" i="9"/>
  <c r="O192" i="9"/>
  <c r="E192" i="9"/>
  <c r="D190" i="9"/>
  <c r="O190" i="9"/>
  <c r="E190" i="9"/>
  <c r="D188" i="9"/>
  <c r="O188" i="9"/>
  <c r="E188" i="9"/>
  <c r="D186" i="9"/>
  <c r="O186" i="9"/>
  <c r="E186" i="9"/>
  <c r="D184" i="9"/>
  <c r="O184" i="9"/>
  <c r="E184" i="9"/>
  <c r="D182" i="9"/>
  <c r="O182" i="9"/>
  <c r="E182" i="9"/>
  <c r="D180" i="9"/>
  <c r="O180" i="9"/>
  <c r="E180" i="9"/>
  <c r="D178" i="9"/>
  <c r="O178" i="9"/>
  <c r="E178" i="9"/>
  <c r="D176" i="9"/>
  <c r="O176" i="9"/>
  <c r="E176" i="9"/>
  <c r="C212" i="9"/>
  <c r="C196" i="9"/>
  <c r="I23" i="9"/>
  <c r="A24" i="9"/>
  <c r="H23" i="9"/>
  <c r="G23" i="9" s="1"/>
  <c r="Q22" i="9"/>
  <c r="P22" i="9"/>
  <c r="M22" i="9"/>
  <c r="K22" i="9"/>
  <c r="L22" i="9"/>
  <c r="N22" i="9"/>
  <c r="J22" i="9"/>
  <c r="D24" i="9"/>
  <c r="O24" i="9"/>
  <c r="E24" i="9"/>
  <c r="C25" i="9"/>
  <c r="AG230" i="6" l="1"/>
  <c r="AI229" i="6"/>
  <c r="D212" i="9"/>
  <c r="O212" i="9"/>
  <c r="E212" i="9"/>
  <c r="C213" i="9"/>
  <c r="D196" i="9"/>
  <c r="O196" i="9"/>
  <c r="E196" i="9"/>
  <c r="C197" i="9"/>
  <c r="I24" i="9"/>
  <c r="A25" i="9"/>
  <c r="H24" i="9"/>
  <c r="G24" i="9" s="1"/>
  <c r="M23" i="9"/>
  <c r="L23" i="9"/>
  <c r="K23" i="9"/>
  <c r="N23" i="9"/>
  <c r="J23" i="9"/>
  <c r="Q23" i="9"/>
  <c r="P23" i="9"/>
  <c r="D25" i="9"/>
  <c r="O25" i="9"/>
  <c r="C26" i="9"/>
  <c r="E25" i="9"/>
  <c r="AG231" i="6" l="1"/>
  <c r="AI230" i="6"/>
  <c r="D197" i="9"/>
  <c r="O197" i="9"/>
  <c r="E197" i="9"/>
  <c r="C198" i="9"/>
  <c r="D213" i="9"/>
  <c r="O213" i="9"/>
  <c r="E213" i="9"/>
  <c r="C214" i="9"/>
  <c r="M24" i="9"/>
  <c r="L24" i="9"/>
  <c r="K24" i="9"/>
  <c r="J24" i="9"/>
  <c r="N24" i="9"/>
  <c r="D26" i="9"/>
  <c r="O26" i="9"/>
  <c r="C27" i="9"/>
  <c r="E26" i="9"/>
  <c r="Q24" i="9"/>
  <c r="P24" i="9"/>
  <c r="I25" i="9"/>
  <c r="H25" i="9"/>
  <c r="G25" i="9" s="1"/>
  <c r="A26" i="9"/>
  <c r="AG232" i="6" l="1"/>
  <c r="AI231" i="6"/>
  <c r="D214" i="9"/>
  <c r="O214" i="9"/>
  <c r="E214" i="9"/>
  <c r="C215" i="9"/>
  <c r="D198" i="9"/>
  <c r="O198" i="9"/>
  <c r="E198" i="9"/>
  <c r="C199" i="9"/>
  <c r="Q25" i="9"/>
  <c r="P25" i="9"/>
  <c r="I26" i="9"/>
  <c r="A27" i="9"/>
  <c r="H26" i="9"/>
  <c r="G26" i="9" s="1"/>
  <c r="D27" i="9"/>
  <c r="O27" i="9"/>
  <c r="E27" i="9"/>
  <c r="C28" i="9"/>
  <c r="M25" i="9"/>
  <c r="L25" i="9"/>
  <c r="K25" i="9"/>
  <c r="N25" i="9"/>
  <c r="J25" i="9"/>
  <c r="AG233" i="6" l="1"/>
  <c r="AI232" i="6"/>
  <c r="D199" i="9"/>
  <c r="O199" i="9"/>
  <c r="E199" i="9"/>
  <c r="C200" i="9"/>
  <c r="D215" i="9"/>
  <c r="O215" i="9"/>
  <c r="E215" i="9"/>
  <c r="C216" i="9"/>
  <c r="Q26" i="9"/>
  <c r="P26" i="9"/>
  <c r="D28" i="9"/>
  <c r="O28" i="9"/>
  <c r="C29" i="9"/>
  <c r="E28" i="9"/>
  <c r="M26" i="9"/>
  <c r="L26" i="9"/>
  <c r="K26" i="9"/>
  <c r="N26" i="9"/>
  <c r="J26" i="9"/>
  <c r="I27" i="9"/>
  <c r="A28" i="9"/>
  <c r="H27" i="9"/>
  <c r="G27" i="9" s="1"/>
  <c r="AG234" i="6" l="1"/>
  <c r="AI233" i="6"/>
  <c r="D216" i="9"/>
  <c r="O216" i="9"/>
  <c r="E216" i="9"/>
  <c r="C217" i="9"/>
  <c r="D200" i="9"/>
  <c r="O200" i="9"/>
  <c r="E200" i="9"/>
  <c r="C201" i="9"/>
  <c r="Q27" i="9"/>
  <c r="P27" i="9"/>
  <c r="I28" i="9"/>
  <c r="A29" i="9"/>
  <c r="H28" i="9"/>
  <c r="G28" i="9" s="1"/>
  <c r="D29" i="9"/>
  <c r="O29" i="9"/>
  <c r="C30" i="9"/>
  <c r="E29" i="9"/>
  <c r="M27" i="9"/>
  <c r="L27" i="9"/>
  <c r="K27" i="9"/>
  <c r="J27" i="9"/>
  <c r="N27" i="9"/>
  <c r="AG235" i="6" l="1"/>
  <c r="AI234" i="6"/>
  <c r="D201" i="9"/>
  <c r="O201" i="9"/>
  <c r="E201" i="9"/>
  <c r="D217" i="9"/>
  <c r="O217" i="9"/>
  <c r="E217" i="9"/>
  <c r="C218" i="9"/>
  <c r="Q28" i="9"/>
  <c r="P28" i="9"/>
  <c r="M28" i="9"/>
  <c r="L28" i="9"/>
  <c r="K28" i="9"/>
  <c r="J28" i="9"/>
  <c r="N28" i="9"/>
  <c r="I29" i="9"/>
  <c r="H29" i="9"/>
  <c r="G29" i="9" s="1"/>
  <c r="A30" i="9"/>
  <c r="D30" i="9"/>
  <c r="O30" i="9"/>
  <c r="E30" i="9"/>
  <c r="C31" i="9"/>
  <c r="AG236" i="6" l="1"/>
  <c r="AI235" i="6"/>
  <c r="D218" i="9"/>
  <c r="O218" i="9"/>
  <c r="E218" i="9"/>
  <c r="C219" i="9"/>
  <c r="Q29" i="9"/>
  <c r="P29" i="9"/>
  <c r="D31" i="9"/>
  <c r="O31" i="9"/>
  <c r="E31" i="9"/>
  <c r="C32" i="9"/>
  <c r="M29" i="9"/>
  <c r="K29" i="9"/>
  <c r="L29" i="9"/>
  <c r="N29" i="9"/>
  <c r="J29" i="9"/>
  <c r="I30" i="9"/>
  <c r="A31" i="9"/>
  <c r="H30" i="9"/>
  <c r="G30" i="9" s="1"/>
  <c r="AG237" i="6" l="1"/>
  <c r="AG238" i="6" s="1"/>
  <c r="AG239" i="6" s="1"/>
  <c r="AG240" i="6" s="1"/>
  <c r="AG241" i="6" s="1"/>
  <c r="AG242" i="6" s="1"/>
  <c r="AG243" i="6" s="1"/>
  <c r="AG244" i="6" s="1"/>
  <c r="AG245" i="6" s="1"/>
  <c r="AG246" i="6" s="1"/>
  <c r="AG247" i="6" s="1"/>
  <c r="AG248" i="6" s="1"/>
  <c r="AG249" i="6" s="1"/>
  <c r="AG250" i="6" s="1"/>
  <c r="AG251" i="6" s="1"/>
  <c r="AG252" i="6" s="1"/>
  <c r="AG253" i="6" s="1"/>
  <c r="AG254" i="6" s="1"/>
  <c r="AG255" i="6" s="1"/>
  <c r="AG256" i="6" s="1"/>
  <c r="AG257" i="6" s="1"/>
  <c r="AG258" i="6" s="1"/>
  <c r="AG259" i="6" s="1"/>
  <c r="AG260" i="6" s="1"/>
  <c r="AG261" i="6" s="1"/>
  <c r="AG262" i="6" s="1"/>
  <c r="AG263" i="6" s="1"/>
  <c r="AG264" i="6" s="1"/>
  <c r="AG265" i="6" s="1"/>
  <c r="AG266" i="6" s="1"/>
  <c r="AG267" i="6" s="1"/>
  <c r="AG268" i="6" s="1"/>
  <c r="AG269" i="6" s="1"/>
  <c r="AG270" i="6" s="1"/>
  <c r="AG271" i="6" s="1"/>
  <c r="AG272" i="6" s="1"/>
  <c r="AG273" i="6" s="1"/>
  <c r="AG274" i="6" s="1"/>
  <c r="AG275" i="6" s="1"/>
  <c r="AG276" i="6" s="1"/>
  <c r="AG277" i="6" s="1"/>
  <c r="AG278" i="6" s="1"/>
  <c r="AG279" i="6" s="1"/>
  <c r="AG280" i="6" s="1"/>
  <c r="AG281" i="6" s="1"/>
  <c r="AG282" i="6" s="1"/>
  <c r="AG283" i="6" s="1"/>
  <c r="AG284" i="6" s="1"/>
  <c r="AG285" i="6" s="1"/>
  <c r="AG286" i="6" s="1"/>
  <c r="AG287" i="6" s="1"/>
  <c r="AG288" i="6" s="1"/>
  <c r="AG289" i="6" s="1"/>
  <c r="AG290" i="6" s="1"/>
  <c r="AG291" i="6" s="1"/>
  <c r="AG292" i="6" s="1"/>
  <c r="AG293" i="6" s="1"/>
  <c r="AG294" i="6" s="1"/>
  <c r="AG295" i="6" s="1"/>
  <c r="AG296" i="6" s="1"/>
  <c r="AG297" i="6" s="1"/>
  <c r="AG298" i="6" s="1"/>
  <c r="AG299" i="6" s="1"/>
  <c r="AG300" i="6" s="1"/>
  <c r="AG301" i="6" s="1"/>
  <c r="AG302" i="6" s="1"/>
  <c r="AG303" i="6" s="1"/>
  <c r="AG304" i="6" s="1"/>
  <c r="AG305" i="6" s="1"/>
  <c r="AG306" i="6" s="1"/>
  <c r="AG307" i="6" s="1"/>
  <c r="AG308" i="6" s="1"/>
  <c r="AG309" i="6" s="1"/>
  <c r="AG310" i="6" s="1"/>
  <c r="AG311" i="6" s="1"/>
  <c r="AG312" i="6" s="1"/>
  <c r="AG313" i="6" s="1"/>
  <c r="AG314" i="6" s="1"/>
  <c r="AG315" i="6" s="1"/>
  <c r="AG316" i="6" s="1"/>
  <c r="AG317" i="6" s="1"/>
  <c r="AG318" i="6" s="1"/>
  <c r="AG319" i="6" s="1"/>
  <c r="AG320" i="6" s="1"/>
  <c r="AG321" i="6" s="1"/>
  <c r="AG322" i="6" s="1"/>
  <c r="AG323" i="6" s="1"/>
  <c r="AG324" i="6" s="1"/>
  <c r="AG325" i="6" s="1"/>
  <c r="AG326" i="6" s="1"/>
  <c r="AG327" i="6" s="1"/>
  <c r="AG328" i="6" s="1"/>
  <c r="AG329" i="6" s="1"/>
  <c r="AG330" i="6" s="1"/>
  <c r="AG331" i="6" s="1"/>
  <c r="AG332" i="6" s="1"/>
  <c r="AG333" i="6" s="1"/>
  <c r="AG334" i="6" s="1"/>
  <c r="AG335" i="6" s="1"/>
  <c r="AG336" i="6" s="1"/>
  <c r="AG337" i="6" s="1"/>
  <c r="AG338" i="6" s="1"/>
  <c r="AG339" i="6" s="1"/>
  <c r="AG340" i="6" s="1"/>
  <c r="AG341" i="6" s="1"/>
  <c r="AG342" i="6" s="1"/>
  <c r="AG343" i="6" s="1"/>
  <c r="AG344" i="6" s="1"/>
  <c r="AG345" i="6" s="1"/>
  <c r="AG346" i="6" s="1"/>
  <c r="AG347" i="6" s="1"/>
  <c r="AG348" i="6" s="1"/>
  <c r="AG349" i="6" s="1"/>
  <c r="AG350" i="6" s="1"/>
  <c r="AG351" i="6" s="1"/>
  <c r="AG352" i="6" s="1"/>
  <c r="AG353" i="6" s="1"/>
  <c r="AG354" i="6" s="1"/>
  <c r="AG355" i="6" s="1"/>
  <c r="AG356" i="6" s="1"/>
  <c r="AG357" i="6" s="1"/>
  <c r="AG358" i="6" s="1"/>
  <c r="AG359" i="6" s="1"/>
  <c r="AG360" i="6" s="1"/>
  <c r="AG361" i="6" s="1"/>
  <c r="AG362" i="6" s="1"/>
  <c r="AG363" i="6" s="1"/>
  <c r="AG364" i="6" s="1"/>
  <c r="AG365" i="6" s="1"/>
  <c r="AG366" i="6" s="1"/>
  <c r="AG367" i="6" s="1"/>
  <c r="AG368" i="6" s="1"/>
  <c r="AG369" i="6" s="1"/>
  <c r="AG370" i="6" s="1"/>
  <c r="AG371" i="6" s="1"/>
  <c r="AG372" i="6" s="1"/>
  <c r="AG373" i="6" s="1"/>
  <c r="AG374" i="6" s="1"/>
  <c r="AG375" i="6" s="1"/>
  <c r="AG376" i="6" s="1"/>
  <c r="AG377" i="6" s="1"/>
  <c r="AG378" i="6" s="1"/>
  <c r="AG379" i="6" s="1"/>
  <c r="AG380" i="6" s="1"/>
  <c r="AI236" i="6"/>
  <c r="D219" i="9"/>
  <c r="O219" i="9"/>
  <c r="E219" i="9"/>
  <c r="C220" i="9"/>
  <c r="Q30" i="9"/>
  <c r="P30" i="9"/>
  <c r="I31" i="9"/>
  <c r="H31" i="9"/>
  <c r="G31" i="9" s="1"/>
  <c r="A32" i="9"/>
  <c r="D32" i="9"/>
  <c r="O32" i="9"/>
  <c r="E32" i="9"/>
  <c r="C33" i="9"/>
  <c r="M30" i="9"/>
  <c r="L30" i="9"/>
  <c r="K30" i="9"/>
  <c r="J30" i="9"/>
  <c r="N30" i="9"/>
  <c r="D220" i="9" l="1"/>
  <c r="O220" i="9"/>
  <c r="E220" i="9"/>
  <c r="C221" i="9"/>
  <c r="Q31" i="9"/>
  <c r="P31" i="9"/>
  <c r="D33" i="9"/>
  <c r="O33" i="9"/>
  <c r="C34" i="9"/>
  <c r="E33" i="9"/>
  <c r="M31" i="9"/>
  <c r="K31" i="9"/>
  <c r="L31" i="9"/>
  <c r="N31" i="9"/>
  <c r="J31" i="9"/>
  <c r="I32" i="9"/>
  <c r="A33" i="9"/>
  <c r="H32" i="9"/>
  <c r="G32" i="9" s="1"/>
  <c r="D221" i="9" l="1"/>
  <c r="O221" i="9"/>
  <c r="E221" i="9"/>
  <c r="C222" i="9"/>
  <c r="I33" i="9"/>
  <c r="H33" i="9"/>
  <c r="G33" i="9" s="1"/>
  <c r="A34" i="9"/>
  <c r="D34" i="9"/>
  <c r="O34" i="9"/>
  <c r="C35" i="9"/>
  <c r="E34" i="9"/>
  <c r="M32" i="9"/>
  <c r="L32" i="9"/>
  <c r="K32" i="9"/>
  <c r="J32" i="9"/>
  <c r="N32" i="9"/>
  <c r="Q32" i="9"/>
  <c r="P32" i="9"/>
  <c r="D222" i="9" l="1"/>
  <c r="O222" i="9"/>
  <c r="E222" i="9"/>
  <c r="C223" i="9"/>
  <c r="Q33" i="9"/>
  <c r="P33" i="9"/>
  <c r="M33" i="9"/>
  <c r="L33" i="9"/>
  <c r="K33" i="9"/>
  <c r="N33" i="9"/>
  <c r="J33" i="9"/>
  <c r="D35" i="9"/>
  <c r="O35" i="9"/>
  <c r="E35" i="9"/>
  <c r="C36" i="9"/>
  <c r="I34" i="9"/>
  <c r="A35" i="9"/>
  <c r="H34" i="9"/>
  <c r="G34" i="9" s="1"/>
  <c r="D223" i="9" l="1"/>
  <c r="O223" i="9"/>
  <c r="E223" i="9"/>
  <c r="C224" i="9"/>
  <c r="Q34" i="9"/>
  <c r="P34" i="9"/>
  <c r="M34" i="9"/>
  <c r="L34" i="9"/>
  <c r="K34" i="9"/>
  <c r="J34" i="9"/>
  <c r="N34" i="9"/>
  <c r="I35" i="9"/>
  <c r="H35" i="9"/>
  <c r="G35" i="9" s="1"/>
  <c r="A36" i="9"/>
  <c r="D36" i="9"/>
  <c r="O36" i="9"/>
  <c r="C37" i="9"/>
  <c r="E36" i="9"/>
  <c r="D224" i="9" l="1"/>
  <c r="O224" i="9"/>
  <c r="E224" i="9"/>
  <c r="C225" i="9"/>
  <c r="Q35" i="9"/>
  <c r="P35" i="9"/>
  <c r="D37" i="9"/>
  <c r="O37" i="9"/>
  <c r="E37" i="9"/>
  <c r="C38" i="9"/>
  <c r="M35" i="9"/>
  <c r="L35" i="9"/>
  <c r="K35" i="9"/>
  <c r="J35" i="9"/>
  <c r="N35" i="9"/>
  <c r="I36" i="9"/>
  <c r="H36" i="9"/>
  <c r="G36" i="9" s="1"/>
  <c r="A37" i="9"/>
  <c r="D225" i="9" l="1"/>
  <c r="O225" i="9"/>
  <c r="E225" i="9"/>
  <c r="C226" i="9"/>
  <c r="Q36" i="9"/>
  <c r="P36" i="9"/>
  <c r="I37" i="9"/>
  <c r="A38" i="9"/>
  <c r="H37" i="9"/>
  <c r="G37" i="9" s="1"/>
  <c r="D38" i="9"/>
  <c r="O38" i="9"/>
  <c r="E38" i="9"/>
  <c r="C39" i="9"/>
  <c r="M36" i="9"/>
  <c r="K36" i="9"/>
  <c r="L36" i="9"/>
  <c r="N36" i="9"/>
  <c r="J36" i="9"/>
  <c r="D226" i="9" l="1"/>
  <c r="O226" i="9"/>
  <c r="E226" i="9"/>
  <c r="C227" i="9"/>
  <c r="Q37" i="9"/>
  <c r="P37" i="9"/>
  <c r="M37" i="9"/>
  <c r="L37" i="9"/>
  <c r="K37" i="9"/>
  <c r="N37" i="9"/>
  <c r="J37" i="9"/>
  <c r="I38" i="9"/>
  <c r="A39" i="9"/>
  <c r="H38" i="9"/>
  <c r="G38" i="9" s="1"/>
  <c r="D39" i="9"/>
  <c r="O39" i="9"/>
  <c r="E39" i="9"/>
  <c r="C40" i="9"/>
  <c r="D227" i="9" l="1"/>
  <c r="O227" i="9"/>
  <c r="E227" i="9"/>
  <c r="C228" i="9"/>
  <c r="Q38" i="9"/>
  <c r="P38" i="9"/>
  <c r="M38" i="9"/>
  <c r="K38" i="9"/>
  <c r="L38" i="9"/>
  <c r="N38" i="9"/>
  <c r="J38" i="9"/>
  <c r="I39" i="9"/>
  <c r="A40" i="9"/>
  <c r="H39" i="9"/>
  <c r="G39" i="9" s="1"/>
  <c r="D40" i="9"/>
  <c r="O40" i="9"/>
  <c r="C41" i="9"/>
  <c r="E40" i="9"/>
  <c r="D228" i="9" l="1"/>
  <c r="O228" i="9"/>
  <c r="E228" i="9"/>
  <c r="C229" i="9"/>
  <c r="Q39" i="9"/>
  <c r="P39" i="9"/>
  <c r="I40" i="9"/>
  <c r="H40" i="9"/>
  <c r="G40" i="9" s="1"/>
  <c r="A41" i="9"/>
  <c r="D41" i="9"/>
  <c r="O41" i="9"/>
  <c r="C42" i="9"/>
  <c r="E41" i="9"/>
  <c r="M39" i="9"/>
  <c r="L39" i="9"/>
  <c r="K39" i="9"/>
  <c r="N39" i="9"/>
  <c r="J39" i="9"/>
  <c r="D229" i="9" l="1"/>
  <c r="O229" i="9"/>
  <c r="E229" i="9"/>
  <c r="C230" i="9"/>
  <c r="Q40" i="9"/>
  <c r="P40" i="9"/>
  <c r="M40" i="9"/>
  <c r="L40" i="9"/>
  <c r="K40" i="9"/>
  <c r="J40" i="9"/>
  <c r="N40" i="9"/>
  <c r="D42" i="9"/>
  <c r="O42" i="9"/>
  <c r="C43" i="9"/>
  <c r="E42" i="9"/>
  <c r="I41" i="9"/>
  <c r="H41" i="9"/>
  <c r="G41" i="9" s="1"/>
  <c r="A42" i="9"/>
  <c r="D230" i="9" l="1"/>
  <c r="O230" i="9"/>
  <c r="E230" i="9"/>
  <c r="C231" i="9"/>
  <c r="Q41" i="9"/>
  <c r="P41" i="9"/>
  <c r="M41" i="9"/>
  <c r="K41" i="9"/>
  <c r="L41" i="9"/>
  <c r="N41" i="9"/>
  <c r="J41" i="9"/>
  <c r="I42" i="9"/>
  <c r="H42" i="9"/>
  <c r="G42" i="9" s="1"/>
  <c r="A43" i="9"/>
  <c r="D43" i="9"/>
  <c r="O43" i="9"/>
  <c r="E43" i="9"/>
  <c r="C44" i="9"/>
  <c r="D231" i="9" l="1"/>
  <c r="O231" i="9"/>
  <c r="E231" i="9"/>
  <c r="C232" i="9"/>
  <c r="Q42" i="9"/>
  <c r="P42" i="9"/>
  <c r="D44" i="9"/>
  <c r="O44" i="9"/>
  <c r="E44" i="9"/>
  <c r="C45" i="9"/>
  <c r="I43" i="9"/>
  <c r="A44" i="9"/>
  <c r="H43" i="9"/>
  <c r="G43" i="9" s="1"/>
  <c r="M42" i="9"/>
  <c r="L42" i="9"/>
  <c r="K42" i="9"/>
  <c r="J42" i="9"/>
  <c r="N42" i="9"/>
  <c r="D232" i="9" l="1"/>
  <c r="O232" i="9"/>
  <c r="E232" i="9"/>
  <c r="C233" i="9"/>
  <c r="Q43" i="9"/>
  <c r="P43" i="9"/>
  <c r="M43" i="9"/>
  <c r="L43" i="9"/>
  <c r="K43" i="9"/>
  <c r="J43" i="9"/>
  <c r="N43" i="9"/>
  <c r="I44" i="9"/>
  <c r="H44" i="9"/>
  <c r="G44" i="9" s="1"/>
  <c r="A45" i="9"/>
  <c r="D45" i="9"/>
  <c r="O45" i="9"/>
  <c r="C46" i="9"/>
  <c r="E45" i="9"/>
  <c r="D233" i="9" l="1"/>
  <c r="O233" i="9"/>
  <c r="E233" i="9"/>
  <c r="C234" i="9"/>
  <c r="Q44" i="9"/>
  <c r="P44" i="9"/>
  <c r="M44" i="9"/>
  <c r="L44" i="9"/>
  <c r="K44" i="9"/>
  <c r="J44" i="9"/>
  <c r="N44" i="9"/>
  <c r="D46" i="9"/>
  <c r="O46" i="9"/>
  <c r="E46" i="9"/>
  <c r="C47" i="9"/>
  <c r="I45" i="9"/>
  <c r="H45" i="9"/>
  <c r="G45" i="9" s="1"/>
  <c r="A46" i="9"/>
  <c r="D234" i="9" l="1"/>
  <c r="O234" i="9"/>
  <c r="E234" i="9"/>
  <c r="C235" i="9"/>
  <c r="Q45" i="9"/>
  <c r="P45" i="9"/>
  <c r="D47" i="9"/>
  <c r="O47" i="9"/>
  <c r="E47" i="9"/>
  <c r="C48" i="9"/>
  <c r="M45" i="9"/>
  <c r="K45" i="9"/>
  <c r="L45" i="9"/>
  <c r="N45" i="9"/>
  <c r="J45" i="9"/>
  <c r="I46" i="9"/>
  <c r="H46" i="9"/>
  <c r="G46" i="9" s="1"/>
  <c r="A47" i="9"/>
  <c r="D235" i="9" l="1"/>
  <c r="O235" i="9"/>
  <c r="E235" i="9"/>
  <c r="C236" i="9"/>
  <c r="Q46" i="9"/>
  <c r="P46" i="9"/>
  <c r="M46" i="9"/>
  <c r="K46" i="9"/>
  <c r="L46" i="9"/>
  <c r="N46" i="9"/>
  <c r="J46" i="9"/>
  <c r="I47" i="9"/>
  <c r="A48" i="9"/>
  <c r="H47" i="9"/>
  <c r="G47" i="9" s="1"/>
  <c r="D48" i="9"/>
  <c r="O48" i="9"/>
  <c r="E48" i="9"/>
  <c r="C49" i="9"/>
  <c r="D236" i="9" l="1"/>
  <c r="O236" i="9"/>
  <c r="E236" i="9"/>
  <c r="C237" i="9"/>
  <c r="Q47" i="9"/>
  <c r="P47" i="9"/>
  <c r="D49" i="9"/>
  <c r="O49" i="9"/>
  <c r="C50" i="9"/>
  <c r="E49" i="9"/>
  <c r="M47" i="9"/>
  <c r="L47" i="9"/>
  <c r="K47" i="9"/>
  <c r="N47" i="9"/>
  <c r="J47" i="9"/>
  <c r="I48" i="9"/>
  <c r="H48" i="9"/>
  <c r="G48" i="9" s="1"/>
  <c r="A49" i="9"/>
  <c r="D237" i="9" l="1"/>
  <c r="O237" i="9"/>
  <c r="E237" i="9"/>
  <c r="C238" i="9"/>
  <c r="D50" i="9"/>
  <c r="O50" i="9"/>
  <c r="C51" i="9"/>
  <c r="E50" i="9"/>
  <c r="Q48" i="9"/>
  <c r="P48" i="9"/>
  <c r="I49" i="9"/>
  <c r="A50" i="9"/>
  <c r="H49" i="9"/>
  <c r="G49" i="9" s="1"/>
  <c r="M48" i="9"/>
  <c r="K48" i="9"/>
  <c r="L48" i="9"/>
  <c r="J48" i="9"/>
  <c r="N48" i="9"/>
  <c r="D238" i="9" l="1"/>
  <c r="O238" i="9"/>
  <c r="E238" i="9"/>
  <c r="C239" i="9"/>
  <c r="Q49" i="9"/>
  <c r="P49" i="9"/>
  <c r="M49" i="9"/>
  <c r="L49" i="9"/>
  <c r="K49" i="9"/>
  <c r="N49" i="9"/>
  <c r="J49" i="9"/>
  <c r="D51" i="9"/>
  <c r="O51" i="9"/>
  <c r="E51" i="9"/>
  <c r="C52" i="9"/>
  <c r="I50" i="9"/>
  <c r="A51" i="9"/>
  <c r="H50" i="9"/>
  <c r="G50" i="9" s="1"/>
  <c r="D239" i="9" l="1"/>
  <c r="O239" i="9"/>
  <c r="E239" i="9"/>
  <c r="C240" i="9"/>
  <c r="I51" i="9"/>
  <c r="A52" i="9"/>
  <c r="H51" i="9"/>
  <c r="G51" i="9" s="1"/>
  <c r="D52" i="9"/>
  <c r="O52" i="9"/>
  <c r="C53" i="9"/>
  <c r="E52" i="9"/>
  <c r="Q50" i="9"/>
  <c r="P50" i="9"/>
  <c r="M50" i="9"/>
  <c r="L50" i="9"/>
  <c r="K50" i="9"/>
  <c r="N50" i="9"/>
  <c r="J50" i="9"/>
  <c r="D240" i="9" l="1"/>
  <c r="O240" i="9"/>
  <c r="E240" i="9"/>
  <c r="C241" i="9"/>
  <c r="Q51" i="9"/>
  <c r="P51" i="9"/>
  <c r="M51" i="9"/>
  <c r="K51" i="9"/>
  <c r="L51" i="9"/>
  <c r="N51" i="9"/>
  <c r="J51" i="9"/>
  <c r="D53" i="9"/>
  <c r="O53" i="9"/>
  <c r="E53" i="9"/>
  <c r="C54" i="9"/>
  <c r="I52" i="9"/>
  <c r="A53" i="9"/>
  <c r="H52" i="9"/>
  <c r="G52" i="9" s="1"/>
  <c r="D241" i="9" l="1"/>
  <c r="O241" i="9"/>
  <c r="E241" i="9"/>
  <c r="C242" i="9"/>
  <c r="Q52" i="9"/>
  <c r="P52" i="9"/>
  <c r="D54" i="9"/>
  <c r="O54" i="9"/>
  <c r="E54" i="9"/>
  <c r="C55" i="9"/>
  <c r="I53" i="9"/>
  <c r="A54" i="9"/>
  <c r="H53" i="9"/>
  <c r="G53" i="9" s="1"/>
  <c r="M52" i="9"/>
  <c r="L52" i="9"/>
  <c r="K52" i="9"/>
  <c r="N52" i="9"/>
  <c r="J52" i="9"/>
  <c r="D242" i="9" l="1"/>
  <c r="O242" i="9"/>
  <c r="E242" i="9"/>
  <c r="C243" i="9"/>
  <c r="I54" i="9"/>
  <c r="H54" i="9"/>
  <c r="G54" i="9" s="1"/>
  <c r="A55" i="9"/>
  <c r="Q53" i="9"/>
  <c r="P53" i="9"/>
  <c r="M53" i="9"/>
  <c r="K53" i="9"/>
  <c r="L53" i="9"/>
  <c r="N53" i="9"/>
  <c r="J53" i="9"/>
  <c r="D55" i="9"/>
  <c r="O55" i="9"/>
  <c r="E55" i="9"/>
  <c r="C56" i="9"/>
  <c r="D243" i="9" l="1"/>
  <c r="O243" i="9"/>
  <c r="E243" i="9"/>
  <c r="C244" i="9"/>
  <c r="M54" i="9"/>
  <c r="K54" i="9"/>
  <c r="L54" i="9"/>
  <c r="N54" i="9"/>
  <c r="J54" i="9"/>
  <c r="D56" i="9"/>
  <c r="O56" i="9"/>
  <c r="E56" i="9"/>
  <c r="C57" i="9"/>
  <c r="Q54" i="9"/>
  <c r="P54" i="9"/>
  <c r="I55" i="9"/>
  <c r="A56" i="9"/>
  <c r="H55" i="9"/>
  <c r="G55" i="9" s="1"/>
  <c r="D244" i="9" l="1"/>
  <c r="O244" i="9"/>
  <c r="E244" i="9"/>
  <c r="C245" i="9"/>
  <c r="Q55" i="9"/>
  <c r="P55" i="9"/>
  <c r="M55" i="9"/>
  <c r="L55" i="9"/>
  <c r="K55" i="9"/>
  <c r="N55" i="9"/>
  <c r="J55" i="9"/>
  <c r="D57" i="9"/>
  <c r="C58" i="9"/>
  <c r="E57" i="9"/>
  <c r="I56" i="9"/>
  <c r="A57" i="9"/>
  <c r="H56" i="9"/>
  <c r="G56" i="9" s="1"/>
  <c r="D245" i="9" l="1"/>
  <c r="O245" i="9"/>
  <c r="E245" i="9"/>
  <c r="C246" i="9"/>
  <c r="Q56" i="9"/>
  <c r="P56" i="9"/>
  <c r="I57" i="9"/>
  <c r="A58" i="9"/>
  <c r="H57" i="9"/>
  <c r="G57" i="9" s="1"/>
  <c r="M56" i="9"/>
  <c r="L56" i="9"/>
  <c r="K56" i="9"/>
  <c r="J56" i="9"/>
  <c r="N56" i="9"/>
  <c r="D58" i="9"/>
  <c r="C59" i="9"/>
  <c r="E58" i="9"/>
  <c r="D246" i="9" l="1"/>
  <c r="O246" i="9"/>
  <c r="E246" i="9"/>
  <c r="C247" i="9"/>
  <c r="I58" i="9"/>
  <c r="A59" i="9"/>
  <c r="H58" i="9"/>
  <c r="E59" i="9"/>
  <c r="D59" i="9"/>
  <c r="C60" i="9"/>
  <c r="Q57" i="9"/>
  <c r="P57" i="9"/>
  <c r="K57" i="9"/>
  <c r="J57" i="9"/>
  <c r="L57" i="9" l="1"/>
  <c r="M57" i="9" s="1"/>
  <c r="G58" i="9"/>
  <c r="P58" i="9" s="1"/>
  <c r="D247" i="9"/>
  <c r="O247" i="9"/>
  <c r="E247" i="9"/>
  <c r="C248" i="9"/>
  <c r="I59" i="9"/>
  <c r="H59" i="9"/>
  <c r="A60" i="9"/>
  <c r="C61" i="9"/>
  <c r="E60" i="9"/>
  <c r="D60" i="9"/>
  <c r="K58" i="9"/>
  <c r="J58" i="9"/>
  <c r="L58" i="9" s="1"/>
  <c r="M58" i="9" s="1"/>
  <c r="Q58" i="9" l="1"/>
  <c r="G59" i="9"/>
  <c r="Q59" i="9" s="1"/>
  <c r="D248" i="9"/>
  <c r="O248" i="9"/>
  <c r="E248" i="9"/>
  <c r="C249" i="9"/>
  <c r="J59" i="9"/>
  <c r="K59" i="9"/>
  <c r="E61" i="9"/>
  <c r="D61" i="9"/>
  <c r="C62" i="9"/>
  <c r="H60" i="9"/>
  <c r="I60" i="9"/>
  <c r="A61" i="9"/>
  <c r="L59" i="9" l="1"/>
  <c r="M59" i="9" s="1"/>
  <c r="G60" i="9"/>
  <c r="P60" i="9" s="1"/>
  <c r="P59" i="9"/>
  <c r="D249" i="9"/>
  <c r="O249" i="9"/>
  <c r="E249" i="9"/>
  <c r="C250" i="9"/>
  <c r="K60" i="9"/>
  <c r="J60" i="9"/>
  <c r="I61" i="9"/>
  <c r="A62" i="9"/>
  <c r="H61" i="9"/>
  <c r="D62" i="9"/>
  <c r="C63" i="9"/>
  <c r="E62" i="9"/>
  <c r="L60" i="9" l="1"/>
  <c r="M60" i="9" s="1"/>
  <c r="G61" i="9"/>
  <c r="P61" i="9" s="1"/>
  <c r="Q60" i="9"/>
  <c r="D250" i="9"/>
  <c r="O250" i="9"/>
  <c r="E250" i="9"/>
  <c r="C251" i="9"/>
  <c r="J61" i="9"/>
  <c r="K61" i="9"/>
  <c r="C64" i="9"/>
  <c r="E63" i="9"/>
  <c r="D63" i="9"/>
  <c r="I62" i="9"/>
  <c r="A63" i="9"/>
  <c r="H62" i="9"/>
  <c r="L61" i="9" l="1"/>
  <c r="M61" i="9" s="1"/>
  <c r="Q61" i="9"/>
  <c r="G62" i="9"/>
  <c r="P62" i="9" s="1"/>
  <c r="D251" i="9"/>
  <c r="O251" i="9"/>
  <c r="E251" i="9"/>
  <c r="C252" i="9"/>
  <c r="H63" i="9"/>
  <c r="I63" i="9"/>
  <c r="A64" i="9"/>
  <c r="C65" i="9"/>
  <c r="D64" i="9"/>
  <c r="E64" i="9"/>
  <c r="K62" i="9"/>
  <c r="J62" i="9"/>
  <c r="G63" i="9" l="1"/>
  <c r="Q63" i="9" s="1"/>
  <c r="Q62" i="9"/>
  <c r="L62" i="9"/>
  <c r="M62" i="9" s="1"/>
  <c r="D252" i="9"/>
  <c r="O252" i="9"/>
  <c r="E252" i="9"/>
  <c r="C253" i="9"/>
  <c r="E65" i="9"/>
  <c r="D65" i="9"/>
  <c r="C66" i="9"/>
  <c r="K63" i="9"/>
  <c r="J63" i="9"/>
  <c r="H64" i="9"/>
  <c r="I64" i="9"/>
  <c r="A65" i="9"/>
  <c r="G64" i="9" l="1"/>
  <c r="P64" i="9" s="1"/>
  <c r="P63" i="9"/>
  <c r="L63" i="9"/>
  <c r="M63" i="9" s="1"/>
  <c r="D253" i="9"/>
  <c r="O253" i="9"/>
  <c r="E253" i="9"/>
  <c r="C254" i="9"/>
  <c r="I65" i="9"/>
  <c r="A66" i="9"/>
  <c r="H65" i="9"/>
  <c r="K64" i="9"/>
  <c r="J64" i="9"/>
  <c r="D66" i="9"/>
  <c r="C67" i="9"/>
  <c r="E66" i="9"/>
  <c r="Q64" i="9" l="1"/>
  <c r="G65" i="9"/>
  <c r="Q65" i="9" s="1"/>
  <c r="L64" i="9"/>
  <c r="M64" i="9" s="1"/>
  <c r="D254" i="9"/>
  <c r="O254" i="9"/>
  <c r="E254" i="9"/>
  <c r="C255" i="9"/>
  <c r="J65" i="9"/>
  <c r="K65" i="9"/>
  <c r="C68" i="9"/>
  <c r="E67" i="9"/>
  <c r="D67" i="9"/>
  <c r="I66" i="9"/>
  <c r="A67" i="9"/>
  <c r="H66" i="9"/>
  <c r="P65" i="9" l="1"/>
  <c r="G66" i="9"/>
  <c r="P66" i="9" s="1"/>
  <c r="L65" i="9"/>
  <c r="M65" i="9" s="1"/>
  <c r="D255" i="9"/>
  <c r="O255" i="9"/>
  <c r="E255" i="9"/>
  <c r="C256" i="9"/>
  <c r="A68" i="9"/>
  <c r="H67" i="9"/>
  <c r="I67" i="9"/>
  <c r="J66" i="9"/>
  <c r="K66" i="9"/>
  <c r="C69" i="9"/>
  <c r="E68" i="9"/>
  <c r="D68" i="9"/>
  <c r="Q66" i="9" l="1"/>
  <c r="G67" i="9"/>
  <c r="P67" i="9" s="1"/>
  <c r="L66" i="9"/>
  <c r="M66" i="9" s="1"/>
  <c r="D256" i="9"/>
  <c r="O256" i="9"/>
  <c r="E256" i="9"/>
  <c r="C257" i="9"/>
  <c r="K67" i="9"/>
  <c r="J67" i="9"/>
  <c r="C70" i="9"/>
  <c r="E69" i="9"/>
  <c r="D69" i="9"/>
  <c r="H68" i="9"/>
  <c r="I68" i="9"/>
  <c r="A69" i="9"/>
  <c r="Q67" i="9" l="1"/>
  <c r="G68" i="9"/>
  <c r="P68" i="9" s="1"/>
  <c r="L67" i="9"/>
  <c r="M67" i="9" s="1"/>
  <c r="D257" i="9"/>
  <c r="O257" i="9"/>
  <c r="E257" i="9"/>
  <c r="C258" i="9"/>
  <c r="K68" i="9"/>
  <c r="J68" i="9"/>
  <c r="A70" i="9"/>
  <c r="I69" i="9"/>
  <c r="H69" i="9"/>
  <c r="C71" i="9"/>
  <c r="E70" i="9"/>
  <c r="D70" i="9"/>
  <c r="G69" i="9" l="1"/>
  <c r="P69" i="9" s="1"/>
  <c r="Q68" i="9"/>
  <c r="D258" i="9"/>
  <c r="O258" i="9"/>
  <c r="E258" i="9"/>
  <c r="C259" i="9"/>
  <c r="L68" i="9"/>
  <c r="M68" i="9" s="1"/>
  <c r="C72" i="9"/>
  <c r="E71" i="9"/>
  <c r="D71" i="9"/>
  <c r="I70" i="9"/>
  <c r="A71" i="9"/>
  <c r="H70" i="9"/>
  <c r="K69" i="9"/>
  <c r="J69" i="9"/>
  <c r="Q69" i="9" l="1"/>
  <c r="G70" i="9"/>
  <c r="P70" i="9" s="1"/>
  <c r="L69" i="9"/>
  <c r="M69" i="9" s="1"/>
  <c r="D259" i="9"/>
  <c r="O259" i="9"/>
  <c r="E259" i="9"/>
  <c r="C260" i="9"/>
  <c r="C73" i="9"/>
  <c r="E72" i="9"/>
  <c r="D72" i="9"/>
  <c r="I71" i="9"/>
  <c r="A72" i="9"/>
  <c r="H71" i="9"/>
  <c r="K70" i="9"/>
  <c r="J70" i="9"/>
  <c r="Q70" i="9" l="1"/>
  <c r="G71" i="9"/>
  <c r="P71" i="9" s="1"/>
  <c r="L70" i="9"/>
  <c r="M70" i="9" s="1"/>
  <c r="D260" i="9"/>
  <c r="O260" i="9"/>
  <c r="E260" i="9"/>
  <c r="C261" i="9"/>
  <c r="K71" i="9"/>
  <c r="J71" i="9"/>
  <c r="C74" i="9"/>
  <c r="E73" i="9"/>
  <c r="D73" i="9"/>
  <c r="I72" i="9"/>
  <c r="A73" i="9"/>
  <c r="H72" i="9"/>
  <c r="G72" i="9" l="1"/>
  <c r="Q72" i="9" s="1"/>
  <c r="Q71" i="9"/>
  <c r="L71" i="9"/>
  <c r="M71" i="9" s="1"/>
  <c r="D261" i="9"/>
  <c r="O261" i="9"/>
  <c r="E261" i="9"/>
  <c r="C262" i="9"/>
  <c r="K72" i="9"/>
  <c r="J72" i="9"/>
  <c r="C75" i="9"/>
  <c r="E74" i="9"/>
  <c r="D74" i="9"/>
  <c r="I73" i="9"/>
  <c r="A74" i="9"/>
  <c r="H73" i="9"/>
  <c r="G73" i="9" l="1"/>
  <c r="Q73" i="9" s="1"/>
  <c r="P72" i="9"/>
  <c r="L72" i="9"/>
  <c r="M72" i="9" s="1"/>
  <c r="D262" i="9"/>
  <c r="O262" i="9"/>
  <c r="E262" i="9"/>
  <c r="C263" i="9"/>
  <c r="J73" i="9"/>
  <c r="K73" i="9"/>
  <c r="C76" i="9"/>
  <c r="E75" i="9"/>
  <c r="D75" i="9"/>
  <c r="A75" i="9"/>
  <c r="I74" i="9"/>
  <c r="H74" i="9"/>
  <c r="G74" i="9" l="1"/>
  <c r="Q74" i="9" s="1"/>
  <c r="P73" i="9"/>
  <c r="L73" i="9"/>
  <c r="M73" i="9" s="1"/>
  <c r="D263" i="9"/>
  <c r="O263" i="9"/>
  <c r="E263" i="9"/>
  <c r="C264" i="9"/>
  <c r="J74" i="9"/>
  <c r="K74" i="9"/>
  <c r="E76" i="9"/>
  <c r="C77" i="9"/>
  <c r="D76" i="9"/>
  <c r="A76" i="9"/>
  <c r="I75" i="9"/>
  <c r="H75" i="9"/>
  <c r="G75" i="9" l="1"/>
  <c r="P75" i="9" s="1"/>
  <c r="P74" i="9"/>
  <c r="L74" i="9"/>
  <c r="M74" i="9" s="1"/>
  <c r="D264" i="9"/>
  <c r="O264" i="9"/>
  <c r="E264" i="9"/>
  <c r="C265" i="9"/>
  <c r="J75" i="9"/>
  <c r="K75" i="9"/>
  <c r="C78" i="9"/>
  <c r="E77" i="9"/>
  <c r="D77" i="9"/>
  <c r="I76" i="9"/>
  <c r="A77" i="9"/>
  <c r="H76" i="9"/>
  <c r="G76" i="9" l="1"/>
  <c r="Q76" i="9" s="1"/>
  <c r="Q75" i="9"/>
  <c r="L75" i="9"/>
  <c r="M75" i="9" s="1"/>
  <c r="D265" i="9"/>
  <c r="O265" i="9"/>
  <c r="E265" i="9"/>
  <c r="C266" i="9"/>
  <c r="K76" i="9"/>
  <c r="J76" i="9"/>
  <c r="I77" i="9"/>
  <c r="A78" i="9"/>
  <c r="H77" i="9"/>
  <c r="E78" i="9"/>
  <c r="C79" i="9"/>
  <c r="D78" i="9"/>
  <c r="P76" i="9" l="1"/>
  <c r="G77" i="9"/>
  <c r="Q77" i="9" s="1"/>
  <c r="L76" i="9"/>
  <c r="M76" i="9" s="1"/>
  <c r="D266" i="9"/>
  <c r="O266" i="9"/>
  <c r="E266" i="9"/>
  <c r="C267" i="9"/>
  <c r="K77" i="9"/>
  <c r="J77" i="9"/>
  <c r="C80" i="9"/>
  <c r="E79" i="9"/>
  <c r="D79" i="9"/>
  <c r="I78" i="9"/>
  <c r="A79" i="9"/>
  <c r="H78" i="9"/>
  <c r="G78" i="9" l="1"/>
  <c r="P78" i="9" s="1"/>
  <c r="P77" i="9"/>
  <c r="L77" i="9"/>
  <c r="M77" i="9" s="1"/>
  <c r="D267" i="9"/>
  <c r="O267" i="9"/>
  <c r="E267" i="9"/>
  <c r="C268" i="9"/>
  <c r="I79" i="9"/>
  <c r="A80" i="9"/>
  <c r="H79" i="9"/>
  <c r="C81" i="9"/>
  <c r="E80" i="9"/>
  <c r="D80" i="9"/>
  <c r="K78" i="9"/>
  <c r="J78" i="9"/>
  <c r="G79" i="9" l="1"/>
  <c r="P79" i="9" s="1"/>
  <c r="Q78" i="9"/>
  <c r="L78" i="9"/>
  <c r="M78" i="9" s="1"/>
  <c r="D268" i="9"/>
  <c r="O268" i="9"/>
  <c r="E268" i="9"/>
  <c r="C269" i="9"/>
  <c r="C82" i="9"/>
  <c r="E81" i="9"/>
  <c r="D81" i="9"/>
  <c r="I80" i="9"/>
  <c r="A81" i="9"/>
  <c r="H80" i="9"/>
  <c r="K79" i="9"/>
  <c r="J79" i="9"/>
  <c r="G80" i="9" l="1"/>
  <c r="Q80" i="9" s="1"/>
  <c r="Q79" i="9"/>
  <c r="L79" i="9"/>
  <c r="M79" i="9" s="1"/>
  <c r="D269" i="9"/>
  <c r="O269" i="9"/>
  <c r="E269" i="9"/>
  <c r="C270" i="9"/>
  <c r="K80" i="9"/>
  <c r="J80" i="9"/>
  <c r="E82" i="9"/>
  <c r="C83" i="9"/>
  <c r="D82" i="9"/>
  <c r="A82" i="9"/>
  <c r="I81" i="9"/>
  <c r="H81" i="9"/>
  <c r="G81" i="9" l="1"/>
  <c r="Q81" i="9" s="1"/>
  <c r="P80" i="9"/>
  <c r="L80" i="9"/>
  <c r="M80" i="9" s="1"/>
  <c r="D270" i="9"/>
  <c r="O270" i="9"/>
  <c r="E270" i="9"/>
  <c r="C271" i="9"/>
  <c r="K81" i="9"/>
  <c r="J81" i="9"/>
  <c r="I82" i="9"/>
  <c r="A83" i="9"/>
  <c r="H82" i="9"/>
  <c r="C84" i="9"/>
  <c r="E83" i="9"/>
  <c r="D83" i="9"/>
  <c r="P81" i="9" l="1"/>
  <c r="G82" i="9"/>
  <c r="P82" i="9" s="1"/>
  <c r="L81" i="9"/>
  <c r="M81" i="9" s="1"/>
  <c r="D271" i="9"/>
  <c r="O271" i="9"/>
  <c r="E271" i="9"/>
  <c r="C272" i="9"/>
  <c r="J82" i="9"/>
  <c r="K82" i="9"/>
  <c r="I83" i="9"/>
  <c r="A84" i="9"/>
  <c r="H83" i="9"/>
  <c r="E84" i="9"/>
  <c r="C85" i="9"/>
  <c r="D84" i="9"/>
  <c r="G83" i="9" l="1"/>
  <c r="P83" i="9" s="1"/>
  <c r="Q82" i="9"/>
  <c r="L82" i="9"/>
  <c r="M82" i="9" s="1"/>
  <c r="D272" i="9"/>
  <c r="O272" i="9"/>
  <c r="E272" i="9"/>
  <c r="C273" i="9"/>
  <c r="C86" i="9"/>
  <c r="E85" i="9"/>
  <c r="D85" i="9"/>
  <c r="K83" i="9"/>
  <c r="J83" i="9"/>
  <c r="I84" i="9"/>
  <c r="A85" i="9"/>
  <c r="H84" i="9"/>
  <c r="Q83" i="9" l="1"/>
  <c r="G84" i="9"/>
  <c r="P84" i="9" s="1"/>
  <c r="L83" i="9"/>
  <c r="M83" i="9" s="1"/>
  <c r="D273" i="9"/>
  <c r="O273" i="9"/>
  <c r="E273" i="9"/>
  <c r="C274" i="9"/>
  <c r="C87" i="9"/>
  <c r="E86" i="9"/>
  <c r="D86" i="9"/>
  <c r="A86" i="9"/>
  <c r="I85" i="9"/>
  <c r="H85" i="9"/>
  <c r="K84" i="9"/>
  <c r="J84" i="9"/>
  <c r="Q84" i="9" l="1"/>
  <c r="G85" i="9"/>
  <c r="P85" i="9" s="1"/>
  <c r="L84" i="9"/>
  <c r="M84" i="9" s="1"/>
  <c r="D274" i="9"/>
  <c r="O274" i="9"/>
  <c r="E274" i="9"/>
  <c r="C275" i="9"/>
  <c r="A87" i="9"/>
  <c r="I86" i="9"/>
  <c r="H86" i="9"/>
  <c r="C88" i="9"/>
  <c r="E87" i="9"/>
  <c r="D87" i="9"/>
  <c r="K85" i="9"/>
  <c r="J85" i="9"/>
  <c r="Q85" i="9" l="1"/>
  <c r="G86" i="9"/>
  <c r="P86" i="9" s="1"/>
  <c r="L85" i="9"/>
  <c r="M85" i="9" s="1"/>
  <c r="D275" i="9"/>
  <c r="O275" i="9"/>
  <c r="E275" i="9"/>
  <c r="C276" i="9"/>
  <c r="E88" i="9"/>
  <c r="C89" i="9"/>
  <c r="D88" i="9"/>
  <c r="I87" i="9"/>
  <c r="A88" i="9"/>
  <c r="H87" i="9"/>
  <c r="K86" i="9"/>
  <c r="J86" i="9"/>
  <c r="Q86" i="9" l="1"/>
  <c r="G87" i="9"/>
  <c r="P87" i="9" s="1"/>
  <c r="L86" i="9"/>
  <c r="M86" i="9" s="1"/>
  <c r="D276" i="9"/>
  <c r="O276" i="9"/>
  <c r="E276" i="9"/>
  <c r="C277" i="9"/>
  <c r="K87" i="9"/>
  <c r="J87" i="9"/>
  <c r="I88" i="9"/>
  <c r="A89" i="9"/>
  <c r="H88" i="9"/>
  <c r="C90" i="9"/>
  <c r="E89" i="9"/>
  <c r="D89" i="9"/>
  <c r="G88" i="9" l="1"/>
  <c r="Q88" i="9" s="1"/>
  <c r="Q87" i="9"/>
  <c r="L87" i="9"/>
  <c r="M87" i="9" s="1"/>
  <c r="D277" i="9"/>
  <c r="O277" i="9"/>
  <c r="E277" i="9"/>
  <c r="C278" i="9"/>
  <c r="E90" i="9"/>
  <c r="C91" i="9"/>
  <c r="D90" i="9"/>
  <c r="K88" i="9"/>
  <c r="J88" i="9"/>
  <c r="A90" i="9"/>
  <c r="I89" i="9"/>
  <c r="H89" i="9"/>
  <c r="G89" i="9" l="1"/>
  <c r="Q89" i="9" s="1"/>
  <c r="P88" i="9"/>
  <c r="L88" i="9"/>
  <c r="M88" i="9" s="1"/>
  <c r="D278" i="9"/>
  <c r="O278" i="9"/>
  <c r="E278" i="9"/>
  <c r="C279" i="9"/>
  <c r="J89" i="9"/>
  <c r="K89" i="9"/>
  <c r="A91" i="9"/>
  <c r="I90" i="9"/>
  <c r="H90" i="9"/>
  <c r="C92" i="9"/>
  <c r="E91" i="9"/>
  <c r="D91" i="9"/>
  <c r="P89" i="9" l="1"/>
  <c r="G90" i="9"/>
  <c r="P90" i="9" s="1"/>
  <c r="D279" i="9"/>
  <c r="O279" i="9"/>
  <c r="E279" i="9"/>
  <c r="C280" i="9"/>
  <c r="L89" i="9"/>
  <c r="M89" i="9" s="1"/>
  <c r="C93" i="9"/>
  <c r="E92" i="9"/>
  <c r="D92" i="9"/>
  <c r="I91" i="9"/>
  <c r="A92" i="9"/>
  <c r="H91" i="9"/>
  <c r="J90" i="9"/>
  <c r="K90" i="9"/>
  <c r="Q90" i="9" l="1"/>
  <c r="G91" i="9"/>
  <c r="P91" i="9" s="1"/>
  <c r="D280" i="9"/>
  <c r="O280" i="9"/>
  <c r="E280" i="9"/>
  <c r="C281" i="9"/>
  <c r="L90" i="9"/>
  <c r="M90" i="9" s="1"/>
  <c r="I92" i="9"/>
  <c r="A93" i="9"/>
  <c r="H92" i="9"/>
  <c r="C94" i="9"/>
  <c r="E93" i="9"/>
  <c r="D93" i="9"/>
  <c r="J91" i="9"/>
  <c r="K91" i="9"/>
  <c r="G92" i="9" l="1"/>
  <c r="Q92" i="9" s="1"/>
  <c r="Q91" i="9"/>
  <c r="L91" i="9"/>
  <c r="M91" i="9" s="1"/>
  <c r="D281" i="9"/>
  <c r="O281" i="9"/>
  <c r="E281" i="9"/>
  <c r="C282" i="9"/>
  <c r="K92" i="9"/>
  <c r="J92" i="9"/>
  <c r="E94" i="9"/>
  <c r="C95" i="9"/>
  <c r="D94" i="9"/>
  <c r="A94" i="9"/>
  <c r="I93" i="9"/>
  <c r="H93" i="9"/>
  <c r="G93" i="9" l="1"/>
  <c r="Q93" i="9" s="1"/>
  <c r="P92" i="9"/>
  <c r="L92" i="9"/>
  <c r="M92" i="9" s="1"/>
  <c r="D282" i="9"/>
  <c r="O282" i="9"/>
  <c r="E282" i="9"/>
  <c r="C283" i="9"/>
  <c r="K93" i="9"/>
  <c r="J93" i="9"/>
  <c r="I94" i="9"/>
  <c r="A95" i="9"/>
  <c r="H94" i="9"/>
  <c r="C96" i="9"/>
  <c r="E95" i="9"/>
  <c r="D95" i="9"/>
  <c r="G94" i="9" l="1"/>
  <c r="Q94" i="9" s="1"/>
  <c r="P93" i="9"/>
  <c r="L93" i="9"/>
  <c r="M93" i="9" s="1"/>
  <c r="D283" i="9"/>
  <c r="O283" i="9"/>
  <c r="E283" i="9"/>
  <c r="C284" i="9"/>
  <c r="I95" i="9"/>
  <c r="A96" i="9"/>
  <c r="H95" i="9"/>
  <c r="C97" i="9"/>
  <c r="E96" i="9"/>
  <c r="D96" i="9"/>
  <c r="J94" i="9"/>
  <c r="K94" i="9"/>
  <c r="P94" i="9" l="1"/>
  <c r="G95" i="9"/>
  <c r="P95" i="9" s="1"/>
  <c r="D284" i="9"/>
  <c r="O284" i="9"/>
  <c r="E284" i="9"/>
  <c r="C285" i="9"/>
  <c r="L94" i="9"/>
  <c r="M94" i="9" s="1"/>
  <c r="I96" i="9"/>
  <c r="A97" i="9"/>
  <c r="H96" i="9"/>
  <c r="K95" i="9"/>
  <c r="J95" i="9"/>
  <c r="C98" i="9"/>
  <c r="E97" i="9"/>
  <c r="D97" i="9"/>
  <c r="G96" i="9" l="1"/>
  <c r="Q96" i="9" s="1"/>
  <c r="Q95" i="9"/>
  <c r="L95" i="9"/>
  <c r="M95" i="9" s="1"/>
  <c r="D285" i="9"/>
  <c r="O285" i="9"/>
  <c r="E285" i="9"/>
  <c r="C286" i="9"/>
  <c r="C99" i="9"/>
  <c r="C100" i="9" s="1"/>
  <c r="C101" i="9" s="1"/>
  <c r="C102" i="9" s="1"/>
  <c r="E98" i="9"/>
  <c r="D98" i="9"/>
  <c r="I97" i="9"/>
  <c r="A98" i="9"/>
  <c r="H97" i="9"/>
  <c r="K96" i="9"/>
  <c r="J96" i="9"/>
  <c r="P96" i="9" l="1"/>
  <c r="G97" i="9"/>
  <c r="P97" i="9" s="1"/>
  <c r="E102" i="9"/>
  <c r="C103" i="9"/>
  <c r="D102" i="9"/>
  <c r="E101" i="9"/>
  <c r="D101" i="9"/>
  <c r="D100" i="9"/>
  <c r="E100" i="9"/>
  <c r="L96" i="9"/>
  <c r="M96" i="9" s="1"/>
  <c r="D286" i="9"/>
  <c r="O286" i="9"/>
  <c r="E286" i="9"/>
  <c r="C287" i="9"/>
  <c r="I98" i="9"/>
  <c r="A99" i="9"/>
  <c r="H98" i="9"/>
  <c r="K97" i="9"/>
  <c r="J97" i="9"/>
  <c r="E99" i="9"/>
  <c r="D99" i="9"/>
  <c r="G98" i="9" l="1"/>
  <c r="P98" i="9" s="1"/>
  <c r="Q97" i="9"/>
  <c r="C104" i="9"/>
  <c r="D103" i="9"/>
  <c r="E103" i="9"/>
  <c r="L97" i="9"/>
  <c r="M97" i="9" s="1"/>
  <c r="D287" i="9"/>
  <c r="O287" i="9"/>
  <c r="E287" i="9"/>
  <c r="C288" i="9"/>
  <c r="I99" i="9"/>
  <c r="A100" i="9"/>
  <c r="H99" i="9"/>
  <c r="K98" i="9"/>
  <c r="J98" i="9"/>
  <c r="G99" i="9" l="1"/>
  <c r="P99" i="9" s="1"/>
  <c r="Q98" i="9"/>
  <c r="C105" i="9"/>
  <c r="D104" i="9"/>
  <c r="E104" i="9"/>
  <c r="L98" i="9"/>
  <c r="M98" i="9" s="1"/>
  <c r="D288" i="9"/>
  <c r="O288" i="9"/>
  <c r="E288" i="9"/>
  <c r="C289" i="9"/>
  <c r="J99" i="9"/>
  <c r="K99" i="9"/>
  <c r="I100" i="9"/>
  <c r="A101" i="9"/>
  <c r="H100" i="9"/>
  <c r="G100" i="9" l="1"/>
  <c r="Q100" i="9" s="1"/>
  <c r="Q99" i="9"/>
  <c r="E105" i="9"/>
  <c r="C106" i="9"/>
  <c r="D105" i="9"/>
  <c r="L99" i="9"/>
  <c r="M99" i="9" s="1"/>
  <c r="D289" i="9"/>
  <c r="O289" i="9"/>
  <c r="E289" i="9"/>
  <c r="C290" i="9"/>
  <c r="K100" i="9"/>
  <c r="J100" i="9"/>
  <c r="I101" i="9"/>
  <c r="H101" i="9"/>
  <c r="A102" i="9"/>
  <c r="G101" i="9" l="1"/>
  <c r="P101" i="9" s="1"/>
  <c r="P100" i="9"/>
  <c r="E106" i="9"/>
  <c r="C107" i="9"/>
  <c r="D106" i="9"/>
  <c r="L100" i="9"/>
  <c r="M100" i="9" s="1"/>
  <c r="D290" i="9"/>
  <c r="O290" i="9"/>
  <c r="E290" i="9"/>
  <c r="C291" i="9"/>
  <c r="I102" i="9"/>
  <c r="A103" i="9"/>
  <c r="H102" i="9"/>
  <c r="K101" i="9"/>
  <c r="J101" i="9"/>
  <c r="G102" i="9" l="1"/>
  <c r="P102" i="9" s="1"/>
  <c r="Q101" i="9"/>
  <c r="L101" i="9"/>
  <c r="M101" i="9" s="1"/>
  <c r="E107" i="9"/>
  <c r="C108" i="9"/>
  <c r="D107" i="9"/>
  <c r="D291" i="9"/>
  <c r="O291" i="9"/>
  <c r="E291" i="9"/>
  <c r="C292" i="9"/>
  <c r="I103" i="9"/>
  <c r="A104" i="9"/>
  <c r="H103" i="9"/>
  <c r="K102" i="9"/>
  <c r="J102" i="9"/>
  <c r="Q102" i="9" l="1"/>
  <c r="G103" i="9"/>
  <c r="P103" i="9" s="1"/>
  <c r="L102" i="9"/>
  <c r="M102" i="9" s="1"/>
  <c r="E108" i="9"/>
  <c r="C109" i="9"/>
  <c r="D108" i="9"/>
  <c r="D292" i="9"/>
  <c r="O292" i="9"/>
  <c r="E292" i="9"/>
  <c r="C293" i="9"/>
  <c r="K103" i="9"/>
  <c r="J103" i="9"/>
  <c r="I104" i="9"/>
  <c r="A105" i="9"/>
  <c r="H104" i="9"/>
  <c r="Q103" i="9" l="1"/>
  <c r="G104" i="9"/>
  <c r="Q104" i="9" s="1"/>
  <c r="L103" i="9"/>
  <c r="M103" i="9" s="1"/>
  <c r="C110" i="9"/>
  <c r="D109" i="9"/>
  <c r="E109" i="9"/>
  <c r="D293" i="9"/>
  <c r="O293" i="9"/>
  <c r="E293" i="9"/>
  <c r="C294" i="9"/>
  <c r="I105" i="9"/>
  <c r="A106" i="9"/>
  <c r="H105" i="9"/>
  <c r="K104" i="9"/>
  <c r="J104" i="9"/>
  <c r="P104" i="9" l="1"/>
  <c r="G105" i="9"/>
  <c r="Q105" i="9" s="1"/>
  <c r="L104" i="9"/>
  <c r="M104" i="9" s="1"/>
  <c r="D110" i="9"/>
  <c r="E110" i="9"/>
  <c r="C111" i="9"/>
  <c r="D294" i="9"/>
  <c r="O294" i="9"/>
  <c r="E294" i="9"/>
  <c r="C295" i="9"/>
  <c r="I106" i="9"/>
  <c r="A107" i="9"/>
  <c r="H106" i="9"/>
  <c r="K105" i="9"/>
  <c r="J105" i="9"/>
  <c r="P105" i="9" l="1"/>
  <c r="G106" i="9"/>
  <c r="P106" i="9" s="1"/>
  <c r="L105" i="9"/>
  <c r="M105" i="9" s="1"/>
  <c r="D111" i="9"/>
  <c r="E111" i="9"/>
  <c r="C112" i="9"/>
  <c r="D295" i="9"/>
  <c r="O295" i="9"/>
  <c r="E295" i="9"/>
  <c r="C296" i="9"/>
  <c r="K106" i="9"/>
  <c r="J106" i="9"/>
  <c r="I107" i="9"/>
  <c r="A108" i="9"/>
  <c r="H107" i="9"/>
  <c r="G107" i="9" l="1"/>
  <c r="P107" i="9" s="1"/>
  <c r="L106" i="9"/>
  <c r="M106" i="9" s="1"/>
  <c r="Q106" i="9"/>
  <c r="D112" i="9"/>
  <c r="E112" i="9"/>
  <c r="C113" i="9"/>
  <c r="D296" i="9"/>
  <c r="O296" i="9"/>
  <c r="E296" i="9"/>
  <c r="C297" i="9"/>
  <c r="I108" i="9"/>
  <c r="A109" i="9"/>
  <c r="H108" i="9"/>
  <c r="K107" i="9"/>
  <c r="J107" i="9"/>
  <c r="L107" i="9" l="1"/>
  <c r="M107" i="9" s="1"/>
  <c r="G108" i="9"/>
  <c r="P108" i="9" s="1"/>
  <c r="Q107" i="9"/>
  <c r="D113" i="9"/>
  <c r="E113" i="9"/>
  <c r="C114" i="9"/>
  <c r="D297" i="9"/>
  <c r="O297" i="9"/>
  <c r="E297" i="9"/>
  <c r="C298" i="9"/>
  <c r="K108" i="9"/>
  <c r="J108" i="9"/>
  <c r="I109" i="9"/>
  <c r="A110" i="9"/>
  <c r="H109" i="9"/>
  <c r="L108" i="9" l="1"/>
  <c r="M108" i="9" s="1"/>
  <c r="Q108" i="9"/>
  <c r="G109" i="9"/>
  <c r="P109" i="9" s="1"/>
  <c r="D114" i="9"/>
  <c r="E114" i="9"/>
  <c r="C115" i="9"/>
  <c r="D298" i="9"/>
  <c r="O298" i="9"/>
  <c r="E298" i="9"/>
  <c r="C299" i="9"/>
  <c r="K109" i="9"/>
  <c r="J109" i="9"/>
  <c r="I110" i="9"/>
  <c r="A111" i="9"/>
  <c r="H110" i="9"/>
  <c r="L109" i="9" l="1"/>
  <c r="M109" i="9" s="1"/>
  <c r="Q109" i="9"/>
  <c r="G110" i="9"/>
  <c r="P110" i="9" s="1"/>
  <c r="D115" i="9"/>
  <c r="E115" i="9"/>
  <c r="C116" i="9"/>
  <c r="D299" i="9"/>
  <c r="O299" i="9"/>
  <c r="E299" i="9"/>
  <c r="C300" i="9"/>
  <c r="I111" i="9"/>
  <c r="A112" i="9"/>
  <c r="H111" i="9"/>
  <c r="K110" i="9"/>
  <c r="J110" i="9"/>
  <c r="L110" i="9" l="1"/>
  <c r="M110" i="9" s="1"/>
  <c r="G111" i="9"/>
  <c r="P111" i="9" s="1"/>
  <c r="Q110" i="9"/>
  <c r="D116" i="9"/>
  <c r="E116" i="9"/>
  <c r="C117" i="9"/>
  <c r="D300" i="9"/>
  <c r="O300" i="9"/>
  <c r="E300" i="9"/>
  <c r="C301" i="9"/>
  <c r="I112" i="9"/>
  <c r="A113" i="9"/>
  <c r="H112" i="9"/>
  <c r="K111" i="9"/>
  <c r="J111" i="9"/>
  <c r="G112" i="9" l="1"/>
  <c r="Q112" i="9" s="1"/>
  <c r="L111" i="9"/>
  <c r="M111" i="9" s="1"/>
  <c r="Q111" i="9"/>
  <c r="D117" i="9"/>
  <c r="E117" i="9"/>
  <c r="C118" i="9"/>
  <c r="D301" i="9"/>
  <c r="O301" i="9"/>
  <c r="E301" i="9"/>
  <c r="C302" i="9"/>
  <c r="I113" i="9"/>
  <c r="A114" i="9"/>
  <c r="H113" i="9"/>
  <c r="K112" i="9"/>
  <c r="J112" i="9"/>
  <c r="P112" i="9" l="1"/>
  <c r="G113" i="9"/>
  <c r="Q113" i="9" s="1"/>
  <c r="L112" i="9"/>
  <c r="M112" i="9" s="1"/>
  <c r="D118" i="9"/>
  <c r="E118" i="9"/>
  <c r="C119" i="9"/>
  <c r="D302" i="9"/>
  <c r="O302" i="9"/>
  <c r="E302" i="9"/>
  <c r="C303" i="9"/>
  <c r="K113" i="9"/>
  <c r="J113" i="9"/>
  <c r="I114" i="9"/>
  <c r="A115" i="9"/>
  <c r="H114" i="9"/>
  <c r="L113" i="9" l="1"/>
  <c r="M113" i="9" s="1"/>
  <c r="N113" i="9" s="1"/>
  <c r="O113" i="9" s="1"/>
  <c r="G114" i="9"/>
  <c r="P114" i="9" s="1"/>
  <c r="P113" i="9"/>
  <c r="D119" i="9"/>
  <c r="C120" i="9"/>
  <c r="E119" i="9"/>
  <c r="D303" i="9"/>
  <c r="O303" i="9"/>
  <c r="E303" i="9"/>
  <c r="C304" i="9"/>
  <c r="I115" i="9"/>
  <c r="A116" i="9"/>
  <c r="H115" i="9"/>
  <c r="K114" i="9"/>
  <c r="J114" i="9"/>
  <c r="L114" i="9" l="1"/>
  <c r="M114" i="9" s="1"/>
  <c r="N114" i="9" s="1"/>
  <c r="O114" i="9" s="1"/>
  <c r="G115" i="9"/>
  <c r="P115" i="9" s="1"/>
  <c r="Q114" i="9"/>
  <c r="D120" i="9"/>
  <c r="E120" i="9"/>
  <c r="C121" i="9"/>
  <c r="D304" i="9"/>
  <c r="O304" i="9"/>
  <c r="E304" i="9"/>
  <c r="C305" i="9"/>
  <c r="I116" i="9"/>
  <c r="A117" i="9"/>
  <c r="H116" i="9"/>
  <c r="K115" i="9"/>
  <c r="J115" i="9"/>
  <c r="L115" i="9" l="1"/>
  <c r="M115" i="9" s="1"/>
  <c r="N115" i="9" s="1"/>
  <c r="O115" i="9" s="1"/>
  <c r="G116" i="9"/>
  <c r="Q116" i="9" s="1"/>
  <c r="Q115" i="9"/>
  <c r="D121" i="9"/>
  <c r="O121" i="9"/>
  <c r="E121" i="9"/>
  <c r="C122" i="9"/>
  <c r="D305" i="9"/>
  <c r="O305" i="9"/>
  <c r="E305" i="9"/>
  <c r="C306" i="9"/>
  <c r="K116" i="9"/>
  <c r="J116" i="9"/>
  <c r="I117" i="9"/>
  <c r="A118" i="9"/>
  <c r="H117" i="9"/>
  <c r="L116" i="9" l="1"/>
  <c r="M116" i="9" s="1"/>
  <c r="N116" i="9" s="1"/>
  <c r="O116" i="9" s="1"/>
  <c r="G117" i="9"/>
  <c r="Q117" i="9" s="1"/>
  <c r="P116" i="9"/>
  <c r="D122" i="9"/>
  <c r="O122" i="9"/>
  <c r="E122" i="9"/>
  <c r="C123" i="9"/>
  <c r="D306" i="9"/>
  <c r="O306" i="9"/>
  <c r="E306" i="9"/>
  <c r="C307" i="9"/>
  <c r="I118" i="9"/>
  <c r="A119" i="9"/>
  <c r="H118" i="9"/>
  <c r="K117" i="9"/>
  <c r="J117" i="9"/>
  <c r="L117" i="9" l="1"/>
  <c r="M117" i="9" s="1"/>
  <c r="N117" i="9" s="1"/>
  <c r="O117" i="9" s="1"/>
  <c r="G118" i="9"/>
  <c r="Q118" i="9" s="1"/>
  <c r="P117" i="9"/>
  <c r="D123" i="9"/>
  <c r="E123" i="9"/>
  <c r="O123" i="9"/>
  <c r="C124" i="9"/>
  <c r="D307" i="9"/>
  <c r="O307" i="9"/>
  <c r="E307" i="9"/>
  <c r="C308" i="9"/>
  <c r="K118" i="9"/>
  <c r="J118" i="9"/>
  <c r="I119" i="9"/>
  <c r="A120" i="9"/>
  <c r="H119" i="9"/>
  <c r="L118" i="9" l="1"/>
  <c r="M118" i="9" s="1"/>
  <c r="N118" i="9" s="1"/>
  <c r="O118" i="9" s="1"/>
  <c r="G119" i="9"/>
  <c r="Q119" i="9" s="1"/>
  <c r="P118" i="9"/>
  <c r="D124" i="9"/>
  <c r="E124" i="9"/>
  <c r="O124" i="9"/>
  <c r="C125" i="9"/>
  <c r="D308" i="9"/>
  <c r="O308" i="9"/>
  <c r="E308" i="9"/>
  <c r="C309" i="9"/>
  <c r="K119" i="9"/>
  <c r="J119" i="9"/>
  <c r="I120" i="9"/>
  <c r="A121" i="9"/>
  <c r="H120" i="9"/>
  <c r="L119" i="9" l="1"/>
  <c r="M119" i="9" s="1"/>
  <c r="N119" i="9" s="1"/>
  <c r="O119" i="9" s="1"/>
  <c r="G120" i="9"/>
  <c r="Q120" i="9" s="1"/>
  <c r="P119" i="9"/>
  <c r="D125" i="9"/>
  <c r="E125" i="9"/>
  <c r="O125" i="9"/>
  <c r="C126" i="9"/>
  <c r="D309" i="9"/>
  <c r="O309" i="9"/>
  <c r="E309" i="9"/>
  <c r="C310" i="9"/>
  <c r="K120" i="9"/>
  <c r="J120" i="9"/>
  <c r="I121" i="9"/>
  <c r="A122" i="9"/>
  <c r="H121" i="9"/>
  <c r="L120" i="9" l="1"/>
  <c r="M120" i="9" s="1"/>
  <c r="N120" i="9" s="1"/>
  <c r="O120" i="9" s="1"/>
  <c r="G121" i="9"/>
  <c r="P121" i="9" s="1"/>
  <c r="P120" i="9"/>
  <c r="D126" i="9"/>
  <c r="O126" i="9"/>
  <c r="E126" i="9"/>
  <c r="C127" i="9"/>
  <c r="D310" i="9"/>
  <c r="O310" i="9"/>
  <c r="E310" i="9"/>
  <c r="C311" i="9"/>
  <c r="I122" i="9"/>
  <c r="A123" i="9"/>
  <c r="H122" i="9"/>
  <c r="M121" i="9"/>
  <c r="L121" i="9"/>
  <c r="K121" i="9"/>
  <c r="J121" i="9"/>
  <c r="N121" i="9"/>
  <c r="Q121" i="9" l="1"/>
  <c r="G122" i="9"/>
  <c r="P122" i="9" s="1"/>
  <c r="D127" i="9"/>
  <c r="E127" i="9"/>
  <c r="O127" i="9"/>
  <c r="C128" i="9"/>
  <c r="D311" i="9"/>
  <c r="O311" i="9"/>
  <c r="E311" i="9"/>
  <c r="C312" i="9"/>
  <c r="M122" i="9"/>
  <c r="L122" i="9"/>
  <c r="K122" i="9"/>
  <c r="J122" i="9"/>
  <c r="N122" i="9"/>
  <c r="I123" i="9"/>
  <c r="A124" i="9"/>
  <c r="H123" i="9"/>
  <c r="Q122" i="9" l="1"/>
  <c r="G123" i="9"/>
  <c r="P123" i="9" s="1"/>
  <c r="D128" i="9"/>
  <c r="O128" i="9"/>
  <c r="C129" i="9"/>
  <c r="E128" i="9"/>
  <c r="D312" i="9"/>
  <c r="O312" i="9"/>
  <c r="E312" i="9"/>
  <c r="C313" i="9"/>
  <c r="M123" i="9"/>
  <c r="L123" i="9"/>
  <c r="K123" i="9"/>
  <c r="J123" i="9"/>
  <c r="N123" i="9"/>
  <c r="I124" i="9"/>
  <c r="A125" i="9"/>
  <c r="H124" i="9"/>
  <c r="G124" i="9" l="1"/>
  <c r="Q124" i="9" s="1"/>
  <c r="Q123" i="9"/>
  <c r="D129" i="9"/>
  <c r="O129" i="9"/>
  <c r="C130" i="9"/>
  <c r="E129" i="9"/>
  <c r="D313" i="9"/>
  <c r="O313" i="9"/>
  <c r="E313" i="9"/>
  <c r="C314" i="9"/>
  <c r="M124" i="9"/>
  <c r="L124" i="9"/>
  <c r="K124" i="9"/>
  <c r="J124" i="9"/>
  <c r="N124" i="9"/>
  <c r="I125" i="9"/>
  <c r="A126" i="9"/>
  <c r="H125" i="9"/>
  <c r="P124" i="9" l="1"/>
  <c r="G125" i="9"/>
  <c r="Q125" i="9" s="1"/>
  <c r="C131" i="9"/>
  <c r="O130" i="9"/>
  <c r="E130" i="9"/>
  <c r="D130" i="9"/>
  <c r="D314" i="9"/>
  <c r="O314" i="9"/>
  <c r="E314" i="9"/>
  <c r="C315" i="9"/>
  <c r="M125" i="9"/>
  <c r="L125" i="9"/>
  <c r="K125" i="9"/>
  <c r="J125" i="9"/>
  <c r="N125" i="9"/>
  <c r="I126" i="9"/>
  <c r="A127" i="9"/>
  <c r="H126" i="9"/>
  <c r="G126" i="9" l="1"/>
  <c r="Q126" i="9" s="1"/>
  <c r="P125" i="9"/>
  <c r="C132" i="9"/>
  <c r="O131" i="9"/>
  <c r="D131" i="9"/>
  <c r="E131" i="9"/>
  <c r="D315" i="9"/>
  <c r="O315" i="9"/>
  <c r="E315" i="9"/>
  <c r="C316" i="9"/>
  <c r="I127" i="9"/>
  <c r="A128" i="9"/>
  <c r="H127" i="9"/>
  <c r="M126" i="9"/>
  <c r="L126" i="9"/>
  <c r="K126" i="9"/>
  <c r="J126" i="9"/>
  <c r="N126" i="9"/>
  <c r="G127" i="9" l="1"/>
  <c r="Q127" i="9" s="1"/>
  <c r="P126" i="9"/>
  <c r="D132" i="9"/>
  <c r="O132" i="9"/>
  <c r="C133" i="9"/>
  <c r="E132" i="9"/>
  <c r="D316" i="9"/>
  <c r="O316" i="9"/>
  <c r="E316" i="9"/>
  <c r="C317" i="9"/>
  <c r="M127" i="9"/>
  <c r="L127" i="9"/>
  <c r="K127" i="9"/>
  <c r="J127" i="9"/>
  <c r="N127" i="9"/>
  <c r="I128" i="9"/>
  <c r="A129" i="9"/>
  <c r="H128" i="9"/>
  <c r="O4" i="1"/>
  <c r="R4" i="1" s="1"/>
  <c r="G128" i="9" l="1"/>
  <c r="Q128" i="9" s="1"/>
  <c r="P127" i="9"/>
  <c r="D133" i="9"/>
  <c r="O133" i="9"/>
  <c r="E133" i="9"/>
  <c r="C134" i="9"/>
  <c r="D317" i="9"/>
  <c r="O317" i="9"/>
  <c r="E317" i="9"/>
  <c r="C318" i="9"/>
  <c r="I129" i="9"/>
  <c r="A130" i="9"/>
  <c r="H129" i="9"/>
  <c r="M128" i="9"/>
  <c r="L128" i="9"/>
  <c r="K128" i="9"/>
  <c r="J128" i="9"/>
  <c r="N128" i="9"/>
  <c r="P4" i="1"/>
  <c r="U3" i="1"/>
  <c r="V3" i="1"/>
  <c r="G129" i="9" l="1"/>
  <c r="Q129" i="9" s="1"/>
  <c r="P128" i="9"/>
  <c r="E134" i="9"/>
  <c r="D134" i="9"/>
  <c r="C135" i="9"/>
  <c r="O134" i="9"/>
  <c r="D318" i="9"/>
  <c r="O318" i="9"/>
  <c r="E318" i="9"/>
  <c r="C319" i="9"/>
  <c r="M129" i="9"/>
  <c r="L129" i="9"/>
  <c r="K129" i="9"/>
  <c r="J129" i="9"/>
  <c r="N129" i="9"/>
  <c r="I130" i="9"/>
  <c r="A131" i="9"/>
  <c r="H130" i="9"/>
  <c r="G130" i="9" l="1"/>
  <c r="Q130" i="9" s="1"/>
  <c r="P129" i="9"/>
  <c r="C136" i="9"/>
  <c r="D135" i="9"/>
  <c r="O135" i="9"/>
  <c r="E135" i="9"/>
  <c r="D319" i="9"/>
  <c r="O319" i="9"/>
  <c r="E319" i="9"/>
  <c r="C320" i="9"/>
  <c r="M130" i="9"/>
  <c r="L130" i="9"/>
  <c r="K130" i="9"/>
  <c r="J130" i="9"/>
  <c r="N130" i="9"/>
  <c r="I131" i="9"/>
  <c r="A132" i="9"/>
  <c r="H131" i="9"/>
  <c r="P130" i="9" l="1"/>
  <c r="G131" i="9"/>
  <c r="Q131" i="9" s="1"/>
  <c r="D136" i="9"/>
  <c r="E136" i="9"/>
  <c r="C137" i="9"/>
  <c r="O136" i="9"/>
  <c r="D320" i="9"/>
  <c r="O320" i="9"/>
  <c r="E320" i="9"/>
  <c r="C321" i="9"/>
  <c r="I132" i="9"/>
  <c r="A133" i="9"/>
  <c r="H132" i="9"/>
  <c r="M131" i="9"/>
  <c r="L131" i="9"/>
  <c r="K131" i="9"/>
  <c r="J131" i="9"/>
  <c r="N131" i="9"/>
  <c r="G132" i="9" l="1"/>
  <c r="Q132" i="9" s="1"/>
  <c r="P131" i="9"/>
  <c r="C138" i="9"/>
  <c r="D137" i="9"/>
  <c r="O137" i="9"/>
  <c r="E137" i="9"/>
  <c r="D321" i="9"/>
  <c r="O321" i="9"/>
  <c r="E321" i="9"/>
  <c r="C322" i="9"/>
  <c r="I133" i="9"/>
  <c r="A134" i="9"/>
  <c r="H133" i="9"/>
  <c r="M132" i="9"/>
  <c r="L132" i="9"/>
  <c r="K132" i="9"/>
  <c r="J132" i="9"/>
  <c r="N132" i="9"/>
  <c r="G133" i="9" l="1"/>
  <c r="Q133" i="9" s="1"/>
  <c r="P132" i="9"/>
  <c r="E138" i="9"/>
  <c r="C139" i="9"/>
  <c r="O138" i="9"/>
  <c r="D138" i="9"/>
  <c r="D322" i="9"/>
  <c r="O322" i="9"/>
  <c r="E322" i="9"/>
  <c r="C323" i="9"/>
  <c r="I134" i="9"/>
  <c r="A135" i="9"/>
  <c r="H134" i="9"/>
  <c r="M133" i="9"/>
  <c r="L133" i="9"/>
  <c r="K133" i="9"/>
  <c r="J133" i="9"/>
  <c r="N133" i="9"/>
  <c r="G134" i="9" l="1"/>
  <c r="Q134" i="9" s="1"/>
  <c r="P133" i="9"/>
  <c r="O139" i="9"/>
  <c r="D139" i="9"/>
  <c r="C140" i="9"/>
  <c r="E139" i="9"/>
  <c r="D323" i="9"/>
  <c r="O323" i="9"/>
  <c r="E323" i="9"/>
  <c r="C324" i="9"/>
  <c r="M134" i="9"/>
  <c r="L134" i="9"/>
  <c r="K134" i="9"/>
  <c r="J134" i="9"/>
  <c r="N134" i="9"/>
  <c r="I135" i="9"/>
  <c r="A136" i="9"/>
  <c r="H135" i="9"/>
  <c r="P134" i="9" l="1"/>
  <c r="G135" i="9"/>
  <c r="Q135" i="9" s="1"/>
  <c r="O140" i="9"/>
  <c r="E140" i="9"/>
  <c r="C141" i="9"/>
  <c r="D140" i="9"/>
  <c r="D324" i="9"/>
  <c r="O324" i="9"/>
  <c r="E324" i="9"/>
  <c r="C325" i="9"/>
  <c r="M135" i="9"/>
  <c r="L135" i="9"/>
  <c r="K135" i="9"/>
  <c r="J135" i="9"/>
  <c r="N135" i="9"/>
  <c r="I136" i="9"/>
  <c r="A137" i="9"/>
  <c r="H136" i="9"/>
  <c r="G136" i="9" l="1"/>
  <c r="Q136" i="9" s="1"/>
  <c r="P135" i="9"/>
  <c r="C142" i="9"/>
  <c r="D141" i="9"/>
  <c r="O141" i="9"/>
  <c r="E141" i="9"/>
  <c r="D325" i="9"/>
  <c r="O325" i="9"/>
  <c r="E325" i="9"/>
  <c r="C326" i="9"/>
  <c r="M136" i="9"/>
  <c r="L136" i="9"/>
  <c r="K136" i="9"/>
  <c r="J136" i="9"/>
  <c r="N136" i="9"/>
  <c r="I137" i="9"/>
  <c r="A138" i="9"/>
  <c r="H137" i="9"/>
  <c r="G137" i="9" l="1"/>
  <c r="Q137" i="9" s="1"/>
  <c r="P136" i="9"/>
  <c r="D142" i="9"/>
  <c r="O142" i="9"/>
  <c r="C143" i="9"/>
  <c r="E142" i="9"/>
  <c r="D326" i="9"/>
  <c r="O326" i="9"/>
  <c r="E326" i="9"/>
  <c r="C327" i="9"/>
  <c r="M137" i="9"/>
  <c r="L137" i="9"/>
  <c r="K137" i="9"/>
  <c r="J137" i="9"/>
  <c r="N137" i="9"/>
  <c r="I138" i="9"/>
  <c r="A139" i="9"/>
  <c r="H138" i="9"/>
  <c r="G138" i="9" l="1"/>
  <c r="Q138" i="9" s="1"/>
  <c r="P137" i="9"/>
  <c r="O143" i="9"/>
  <c r="E143" i="9"/>
  <c r="C144" i="9"/>
  <c r="D143" i="9"/>
  <c r="D327" i="9"/>
  <c r="O327" i="9"/>
  <c r="E327" i="9"/>
  <c r="C328" i="9"/>
  <c r="M138" i="9"/>
  <c r="L138" i="9"/>
  <c r="K138" i="9"/>
  <c r="J138" i="9"/>
  <c r="N138" i="9"/>
  <c r="I139" i="9"/>
  <c r="A140" i="9"/>
  <c r="H139" i="9"/>
  <c r="P138" i="9" l="1"/>
  <c r="G139" i="9"/>
  <c r="Q139" i="9" s="1"/>
  <c r="D144" i="9"/>
  <c r="O144" i="9"/>
  <c r="E144" i="9"/>
  <c r="C145" i="9"/>
  <c r="D328" i="9"/>
  <c r="O328" i="9"/>
  <c r="E328" i="9"/>
  <c r="C329" i="9"/>
  <c r="M139" i="9"/>
  <c r="L139" i="9"/>
  <c r="K139" i="9"/>
  <c r="J139" i="9"/>
  <c r="N139" i="9"/>
  <c r="I140" i="9"/>
  <c r="A141" i="9"/>
  <c r="H140" i="9"/>
  <c r="B16" i="1"/>
  <c r="G140" i="9" l="1"/>
  <c r="Q140" i="9" s="1"/>
  <c r="P139" i="9"/>
  <c r="D145" i="9"/>
  <c r="O145" i="9"/>
  <c r="C146" i="9"/>
  <c r="E145" i="9"/>
  <c r="D329" i="9"/>
  <c r="O329" i="9"/>
  <c r="E329" i="9"/>
  <c r="C330" i="9"/>
  <c r="M140" i="9"/>
  <c r="L140" i="9"/>
  <c r="K140" i="9"/>
  <c r="J140" i="9"/>
  <c r="N140" i="9"/>
  <c r="I141" i="9"/>
  <c r="A142" i="9"/>
  <c r="H141" i="9"/>
  <c r="B17" i="1"/>
  <c r="G141" i="9" l="1"/>
  <c r="P141" i="9" s="1"/>
  <c r="P140" i="9"/>
  <c r="O146" i="9"/>
  <c r="D146" i="9"/>
  <c r="E146" i="9"/>
  <c r="C147" i="9"/>
  <c r="D330" i="9"/>
  <c r="O330" i="9"/>
  <c r="E330" i="9"/>
  <c r="C331" i="9"/>
  <c r="M141" i="9"/>
  <c r="L141" i="9"/>
  <c r="K141" i="9"/>
  <c r="J141" i="9"/>
  <c r="N141" i="9"/>
  <c r="I142" i="9"/>
  <c r="A143" i="9"/>
  <c r="H142" i="9"/>
  <c r="Q141" i="9" l="1"/>
  <c r="G142" i="9"/>
  <c r="P142" i="9" s="1"/>
  <c r="D147" i="9"/>
  <c r="O147" i="9"/>
  <c r="C148" i="9"/>
  <c r="E147" i="9"/>
  <c r="D331" i="9"/>
  <c r="O331" i="9"/>
  <c r="E331" i="9"/>
  <c r="C332" i="9"/>
  <c r="I143" i="9"/>
  <c r="A144" i="9"/>
  <c r="H143" i="9"/>
  <c r="M142" i="9"/>
  <c r="L142" i="9"/>
  <c r="K142" i="9"/>
  <c r="J142" i="9"/>
  <c r="N142" i="9"/>
  <c r="Q142" i="9" l="1"/>
  <c r="G143" i="9"/>
  <c r="P143" i="9" s="1"/>
  <c r="O148" i="9"/>
  <c r="E148" i="9"/>
  <c r="D148" i="9"/>
  <c r="C149" i="9"/>
  <c r="D332" i="9"/>
  <c r="O332" i="9"/>
  <c r="E332" i="9"/>
  <c r="C333" i="9"/>
  <c r="I144" i="9"/>
  <c r="A145" i="9"/>
  <c r="H144" i="9"/>
  <c r="M143" i="9"/>
  <c r="L143" i="9"/>
  <c r="K143" i="9"/>
  <c r="J143" i="9"/>
  <c r="N143" i="9"/>
  <c r="Q143" i="9" l="1"/>
  <c r="G144" i="9"/>
  <c r="P144" i="9" s="1"/>
  <c r="D149" i="9"/>
  <c r="O149" i="9"/>
  <c r="E149" i="9"/>
  <c r="C150" i="9"/>
  <c r="D333" i="9"/>
  <c r="O333" i="9"/>
  <c r="E333" i="9"/>
  <c r="C334" i="9"/>
  <c r="M144" i="9"/>
  <c r="L144" i="9"/>
  <c r="K144" i="9"/>
  <c r="J144" i="9"/>
  <c r="N144" i="9"/>
  <c r="I145" i="9"/>
  <c r="A146" i="9"/>
  <c r="H145" i="9"/>
  <c r="Q144" i="9" l="1"/>
  <c r="G145" i="9"/>
  <c r="Q145" i="9" s="1"/>
  <c r="E150" i="9"/>
  <c r="C151" i="9"/>
  <c r="D150" i="9"/>
  <c r="O150" i="9"/>
  <c r="D334" i="9"/>
  <c r="O334" i="9"/>
  <c r="E334" i="9"/>
  <c r="C335" i="9"/>
  <c r="M145" i="9"/>
  <c r="L145" i="9"/>
  <c r="K145" i="9"/>
  <c r="J145" i="9"/>
  <c r="N145" i="9"/>
  <c r="I146" i="9"/>
  <c r="A147" i="9"/>
  <c r="H146" i="9"/>
  <c r="G146" i="9" l="1"/>
  <c r="P146" i="9" s="1"/>
  <c r="P145" i="9"/>
  <c r="E151" i="9"/>
  <c r="O151" i="9"/>
  <c r="C152" i="9"/>
  <c r="D151" i="9"/>
  <c r="D335" i="9"/>
  <c r="O335" i="9"/>
  <c r="E335" i="9"/>
  <c r="C336" i="9"/>
  <c r="M146" i="9"/>
  <c r="L146" i="9"/>
  <c r="K146" i="9"/>
  <c r="J146" i="9"/>
  <c r="N146" i="9"/>
  <c r="I147" i="9"/>
  <c r="A148" i="9"/>
  <c r="H147" i="9"/>
  <c r="Q146" i="9" l="1"/>
  <c r="G147" i="9"/>
  <c r="Q147" i="9" s="1"/>
  <c r="D152" i="9"/>
  <c r="O152" i="9"/>
  <c r="C153" i="9"/>
  <c r="E152" i="9"/>
  <c r="D336" i="9"/>
  <c r="O336" i="9"/>
  <c r="E336" i="9"/>
  <c r="C337" i="9"/>
  <c r="I148" i="9"/>
  <c r="A149" i="9"/>
  <c r="H148" i="9"/>
  <c r="M147" i="9"/>
  <c r="L147" i="9"/>
  <c r="K147" i="9"/>
  <c r="J147" i="9"/>
  <c r="N147" i="9"/>
  <c r="G148" i="9" l="1"/>
  <c r="Q148" i="9" s="1"/>
  <c r="P147" i="9"/>
  <c r="E153" i="9"/>
  <c r="C154" i="9"/>
  <c r="D153" i="9"/>
  <c r="O153" i="9"/>
  <c r="D337" i="9"/>
  <c r="O337" i="9"/>
  <c r="E337" i="9"/>
  <c r="C338" i="9"/>
  <c r="I149" i="9"/>
  <c r="A150" i="9"/>
  <c r="H149" i="9"/>
  <c r="M148" i="9"/>
  <c r="L148" i="9"/>
  <c r="K148" i="9"/>
  <c r="J148" i="9"/>
  <c r="N148" i="9"/>
  <c r="G149" i="9" l="1"/>
  <c r="Q149" i="9" s="1"/>
  <c r="P148" i="9"/>
  <c r="D154" i="9"/>
  <c r="O154" i="9"/>
  <c r="E154" i="9"/>
  <c r="C155" i="9"/>
  <c r="D338" i="9"/>
  <c r="O338" i="9"/>
  <c r="E338" i="9"/>
  <c r="C339" i="9"/>
  <c r="M149" i="9"/>
  <c r="L149" i="9"/>
  <c r="K149" i="9"/>
  <c r="J149" i="9"/>
  <c r="N149" i="9"/>
  <c r="I150" i="9"/>
  <c r="A151" i="9"/>
  <c r="H150" i="9"/>
  <c r="B26" i="1"/>
  <c r="C26" i="1"/>
  <c r="G150" i="9" l="1"/>
  <c r="Q150" i="9" s="1"/>
  <c r="P149" i="9"/>
  <c r="D155" i="9"/>
  <c r="E155" i="9"/>
  <c r="C156" i="9"/>
  <c r="O155" i="9"/>
  <c r="D339" i="9"/>
  <c r="O339" i="9"/>
  <c r="E339" i="9"/>
  <c r="C340" i="9"/>
  <c r="I151" i="9"/>
  <c r="A152" i="9"/>
  <c r="H151" i="9"/>
  <c r="M150" i="9"/>
  <c r="L150" i="9"/>
  <c r="K150" i="9"/>
  <c r="J150" i="9"/>
  <c r="N150" i="9"/>
  <c r="G151" i="9" l="1"/>
  <c r="Q151" i="9" s="1"/>
  <c r="P150" i="9"/>
  <c r="C157" i="9"/>
  <c r="O156" i="9"/>
  <c r="D156" i="9"/>
  <c r="E156" i="9"/>
  <c r="D340" i="9"/>
  <c r="O340" i="9"/>
  <c r="E340" i="9"/>
  <c r="C341" i="9"/>
  <c r="M151" i="9"/>
  <c r="L151" i="9"/>
  <c r="K151" i="9"/>
  <c r="J151" i="9"/>
  <c r="N151" i="9"/>
  <c r="I152" i="9"/>
  <c r="A153" i="9"/>
  <c r="H152" i="9"/>
  <c r="G152" i="9" l="1"/>
  <c r="Q152" i="9" s="1"/>
  <c r="P151" i="9"/>
  <c r="E157" i="9"/>
  <c r="C158" i="9"/>
  <c r="D157" i="9"/>
  <c r="O157" i="9"/>
  <c r="D341" i="9"/>
  <c r="O341" i="9"/>
  <c r="E341" i="9"/>
  <c r="C342" i="9"/>
  <c r="I153" i="9"/>
  <c r="A154" i="9"/>
  <c r="H153" i="9"/>
  <c r="M152" i="9"/>
  <c r="L152" i="9"/>
  <c r="K152" i="9"/>
  <c r="J152" i="9"/>
  <c r="N152" i="9"/>
  <c r="G153" i="9" l="1"/>
  <c r="Q153" i="9" s="1"/>
  <c r="P152" i="9"/>
  <c r="C159" i="9"/>
  <c r="D158" i="9"/>
  <c r="O158" i="9"/>
  <c r="E158" i="9"/>
  <c r="D342" i="9"/>
  <c r="O342" i="9"/>
  <c r="E342" i="9"/>
  <c r="C343" i="9"/>
  <c r="I154" i="9"/>
  <c r="A155" i="9"/>
  <c r="H154" i="9"/>
  <c r="M153" i="9"/>
  <c r="L153" i="9"/>
  <c r="K153" i="9"/>
  <c r="J153" i="9"/>
  <c r="N153" i="9"/>
  <c r="G154" i="9" l="1"/>
  <c r="Q154" i="9" s="1"/>
  <c r="P153" i="9"/>
  <c r="D159" i="9"/>
  <c r="O159" i="9"/>
  <c r="E159" i="9"/>
  <c r="C160" i="9"/>
  <c r="D343" i="9"/>
  <c r="O343" i="9"/>
  <c r="E343" i="9"/>
  <c r="C344" i="9"/>
  <c r="I155" i="9"/>
  <c r="A156" i="9"/>
  <c r="H155" i="9"/>
  <c r="M154" i="9"/>
  <c r="L154" i="9"/>
  <c r="K154" i="9"/>
  <c r="J154" i="9"/>
  <c r="N154" i="9"/>
  <c r="G155" i="9" l="1"/>
  <c r="Q155" i="9" s="1"/>
  <c r="P154" i="9"/>
  <c r="E160" i="9"/>
  <c r="C161" i="9"/>
  <c r="O160" i="9"/>
  <c r="D160" i="9"/>
  <c r="D344" i="9"/>
  <c r="O344" i="9"/>
  <c r="E344" i="9"/>
  <c r="C345" i="9"/>
  <c r="I156" i="9"/>
  <c r="A157" i="9"/>
  <c r="H156" i="9"/>
  <c r="M155" i="9"/>
  <c r="L155" i="9"/>
  <c r="K155" i="9"/>
  <c r="J155" i="9"/>
  <c r="N155" i="9"/>
  <c r="G156" i="9" l="1"/>
  <c r="Q156" i="9" s="1"/>
  <c r="P155" i="9"/>
  <c r="E161" i="9"/>
  <c r="C162" i="9"/>
  <c r="D161" i="9"/>
  <c r="O161" i="9"/>
  <c r="D345" i="9"/>
  <c r="O345" i="9"/>
  <c r="E345" i="9"/>
  <c r="C346" i="9"/>
  <c r="I157" i="9"/>
  <c r="A158" i="9"/>
  <c r="H157" i="9"/>
  <c r="M156" i="9"/>
  <c r="L156" i="9"/>
  <c r="K156" i="9"/>
  <c r="J156" i="9"/>
  <c r="N156" i="9"/>
  <c r="P156" i="9" l="1"/>
  <c r="G157" i="9"/>
  <c r="Q157" i="9" s="1"/>
  <c r="E162" i="9"/>
  <c r="C163" i="9"/>
  <c r="D162" i="9"/>
  <c r="O162" i="9"/>
  <c r="D346" i="9"/>
  <c r="O346" i="9"/>
  <c r="E346" i="9"/>
  <c r="C347" i="9"/>
  <c r="I158" i="9"/>
  <c r="A159" i="9"/>
  <c r="H158" i="9"/>
  <c r="M157" i="9"/>
  <c r="L157" i="9"/>
  <c r="K157" i="9"/>
  <c r="J157" i="9"/>
  <c r="N157" i="9"/>
  <c r="G158" i="9" l="1"/>
  <c r="P158" i="9" s="1"/>
  <c r="P157" i="9"/>
  <c r="D163" i="9"/>
  <c r="E163" i="9"/>
  <c r="C164" i="9"/>
  <c r="O163" i="9"/>
  <c r="D347" i="9"/>
  <c r="O347" i="9"/>
  <c r="E347" i="9"/>
  <c r="C348" i="9"/>
  <c r="M158" i="9"/>
  <c r="L158" i="9"/>
  <c r="K158" i="9"/>
  <c r="J158" i="9"/>
  <c r="N158" i="9"/>
  <c r="I159" i="9"/>
  <c r="A160" i="9"/>
  <c r="H159" i="9"/>
  <c r="G159" i="9" l="1"/>
  <c r="Q159" i="9" s="1"/>
  <c r="Q158" i="9"/>
  <c r="D164" i="9"/>
  <c r="O164" i="9"/>
  <c r="C165" i="9"/>
  <c r="E164" i="9"/>
  <c r="D348" i="9"/>
  <c r="O348" i="9"/>
  <c r="E348" i="9"/>
  <c r="C349" i="9"/>
  <c r="M159" i="9"/>
  <c r="L159" i="9"/>
  <c r="K159" i="9"/>
  <c r="J159" i="9"/>
  <c r="N159" i="9"/>
  <c r="I160" i="9"/>
  <c r="A161" i="9"/>
  <c r="H160" i="9"/>
  <c r="G160" i="9" l="1"/>
  <c r="Q160" i="9" s="1"/>
  <c r="P159" i="9"/>
  <c r="O165" i="9"/>
  <c r="C166" i="9"/>
  <c r="E165" i="9"/>
  <c r="D165" i="9"/>
  <c r="D349" i="9"/>
  <c r="O349" i="9"/>
  <c r="E349" i="9"/>
  <c r="C350" i="9"/>
  <c r="I161" i="9"/>
  <c r="A162" i="9"/>
  <c r="H161" i="9"/>
  <c r="M160" i="9"/>
  <c r="L160" i="9"/>
  <c r="K160" i="9"/>
  <c r="J160" i="9"/>
  <c r="N160" i="9"/>
  <c r="P160" i="9" l="1"/>
  <c r="G161" i="9"/>
  <c r="Q161" i="9" s="1"/>
  <c r="D166" i="9"/>
  <c r="O166" i="9"/>
  <c r="E166" i="9"/>
  <c r="C167" i="9"/>
  <c r="D350" i="9"/>
  <c r="O350" i="9"/>
  <c r="E350" i="9"/>
  <c r="C351" i="9"/>
  <c r="I162" i="9"/>
  <c r="A163" i="9"/>
  <c r="H162" i="9"/>
  <c r="M161" i="9"/>
  <c r="L161" i="9"/>
  <c r="K161" i="9"/>
  <c r="J161" i="9"/>
  <c r="N161" i="9"/>
  <c r="P161" i="9" l="1"/>
  <c r="G162" i="9"/>
  <c r="Q162" i="9" s="1"/>
  <c r="O167" i="9"/>
  <c r="E167" i="9"/>
  <c r="C168" i="9"/>
  <c r="D167" i="9"/>
  <c r="D351" i="9"/>
  <c r="O351" i="9"/>
  <c r="E351" i="9"/>
  <c r="C352" i="9"/>
  <c r="M162" i="9"/>
  <c r="L162" i="9"/>
  <c r="K162" i="9"/>
  <c r="J162" i="9"/>
  <c r="N162" i="9"/>
  <c r="I163" i="9"/>
  <c r="A164" i="9"/>
  <c r="H163" i="9"/>
  <c r="G163" i="9" l="1"/>
  <c r="Q163" i="9" s="1"/>
  <c r="P162" i="9"/>
  <c r="C169" i="9"/>
  <c r="D168" i="9"/>
  <c r="O168" i="9"/>
  <c r="E168" i="9"/>
  <c r="D352" i="9"/>
  <c r="O352" i="9"/>
  <c r="E352" i="9"/>
  <c r="C353" i="9"/>
  <c r="M163" i="9"/>
  <c r="L163" i="9"/>
  <c r="K163" i="9"/>
  <c r="J163" i="9"/>
  <c r="N163" i="9"/>
  <c r="I164" i="9"/>
  <c r="A165" i="9"/>
  <c r="H164" i="9"/>
  <c r="P163" i="9" l="1"/>
  <c r="G164" i="9"/>
  <c r="P164" i="9" s="1"/>
  <c r="E169" i="9"/>
  <c r="C170" i="9"/>
  <c r="D169" i="9"/>
  <c r="O169" i="9"/>
  <c r="D353" i="9"/>
  <c r="E353" i="9"/>
  <c r="O353" i="9"/>
  <c r="C354" i="9"/>
  <c r="I165" i="9"/>
  <c r="A166" i="9"/>
  <c r="H165" i="9"/>
  <c r="M164" i="9"/>
  <c r="L164" i="9"/>
  <c r="K164" i="9"/>
  <c r="J164" i="9"/>
  <c r="N164" i="9"/>
  <c r="Q164" i="9" l="1"/>
  <c r="G165" i="9"/>
  <c r="P165" i="9" s="1"/>
  <c r="C171" i="9"/>
  <c r="O170" i="9"/>
  <c r="D170" i="9"/>
  <c r="E170" i="9"/>
  <c r="D354" i="9"/>
  <c r="O354" i="9"/>
  <c r="E354" i="9"/>
  <c r="C355" i="9"/>
  <c r="M165" i="9"/>
  <c r="L165" i="9"/>
  <c r="K165" i="9"/>
  <c r="J165" i="9"/>
  <c r="N165" i="9"/>
  <c r="I166" i="9"/>
  <c r="A167" i="9"/>
  <c r="H166" i="9"/>
  <c r="Q165" i="9" l="1"/>
  <c r="G166" i="9"/>
  <c r="Q166" i="9" s="1"/>
  <c r="D171" i="9"/>
  <c r="E171" i="9"/>
  <c r="O171" i="9"/>
  <c r="C172" i="9"/>
  <c r="D355" i="9"/>
  <c r="O355" i="9"/>
  <c r="E355" i="9"/>
  <c r="C356" i="9"/>
  <c r="I167" i="9"/>
  <c r="A168" i="9"/>
  <c r="H167" i="9"/>
  <c r="M166" i="9"/>
  <c r="L166" i="9"/>
  <c r="K166" i="9"/>
  <c r="J166" i="9"/>
  <c r="N166" i="9"/>
  <c r="G167" i="9" l="1"/>
  <c r="Q167" i="9" s="1"/>
  <c r="P166" i="9"/>
  <c r="C173" i="9"/>
  <c r="E172" i="9"/>
  <c r="D172" i="9"/>
  <c r="O172" i="9"/>
  <c r="D356" i="9"/>
  <c r="O356" i="9"/>
  <c r="E356" i="9"/>
  <c r="C357" i="9"/>
  <c r="M167" i="9"/>
  <c r="L167" i="9"/>
  <c r="K167" i="9"/>
  <c r="J167" i="9"/>
  <c r="N167" i="9"/>
  <c r="I168" i="9"/>
  <c r="A169" i="9"/>
  <c r="H168" i="9"/>
  <c r="G168" i="9" l="1"/>
  <c r="Q168" i="9" s="1"/>
  <c r="P167" i="9"/>
  <c r="D173" i="9"/>
  <c r="O173" i="9"/>
  <c r="E173" i="9"/>
  <c r="C174" i="9"/>
  <c r="D357" i="9"/>
  <c r="O357" i="9"/>
  <c r="E357" i="9"/>
  <c r="C358" i="9"/>
  <c r="M168" i="9"/>
  <c r="L168" i="9"/>
  <c r="K168" i="9"/>
  <c r="J168" i="9"/>
  <c r="N168" i="9"/>
  <c r="I169" i="9"/>
  <c r="A170" i="9"/>
  <c r="H169" i="9"/>
  <c r="G169" i="9" l="1"/>
  <c r="Q169" i="9" s="1"/>
  <c r="P168" i="9"/>
  <c r="D174" i="9"/>
  <c r="O174" i="9"/>
  <c r="E174" i="9"/>
  <c r="C175" i="9"/>
  <c r="D358" i="9"/>
  <c r="O358" i="9"/>
  <c r="E358" i="9"/>
  <c r="C359" i="9"/>
  <c r="I170" i="9"/>
  <c r="A171" i="9"/>
  <c r="H170" i="9"/>
  <c r="M169" i="9"/>
  <c r="L169" i="9"/>
  <c r="K169" i="9"/>
  <c r="J169" i="9"/>
  <c r="N169" i="9"/>
  <c r="P169" i="9" l="1"/>
  <c r="G170" i="9"/>
  <c r="P170" i="9" s="1"/>
  <c r="D175" i="9"/>
  <c r="O175" i="9"/>
  <c r="E175" i="9"/>
  <c r="D359" i="9"/>
  <c r="O359" i="9"/>
  <c r="E359" i="9"/>
  <c r="C360" i="9"/>
  <c r="I171" i="9"/>
  <c r="A172" i="9"/>
  <c r="H171" i="9"/>
  <c r="M170" i="9"/>
  <c r="L170" i="9"/>
  <c r="K170" i="9"/>
  <c r="J170" i="9"/>
  <c r="N170" i="9"/>
  <c r="Q170" i="9" l="1"/>
  <c r="G171" i="9"/>
  <c r="P171" i="9" s="1"/>
  <c r="D360" i="9"/>
  <c r="O360" i="9"/>
  <c r="E360" i="9"/>
  <c r="C361" i="9"/>
  <c r="M171" i="9"/>
  <c r="L171" i="9"/>
  <c r="K171" i="9"/>
  <c r="J171" i="9"/>
  <c r="N171" i="9"/>
  <c r="I172" i="9"/>
  <c r="A173" i="9"/>
  <c r="H172" i="9"/>
  <c r="Q171" i="9" l="1"/>
  <c r="G172" i="9"/>
  <c r="Q172" i="9" s="1"/>
  <c r="D361" i="9"/>
  <c r="O361" i="9"/>
  <c r="E361" i="9"/>
  <c r="C362" i="9"/>
  <c r="M172" i="9"/>
  <c r="L172" i="9"/>
  <c r="K172" i="9"/>
  <c r="J172" i="9"/>
  <c r="N172" i="9"/>
  <c r="I173" i="9"/>
  <c r="A174" i="9"/>
  <c r="H173" i="9"/>
  <c r="P172" i="9" l="1"/>
  <c r="G173" i="9"/>
  <c r="P173" i="9" s="1"/>
  <c r="D362" i="9"/>
  <c r="O362" i="9"/>
  <c r="E362" i="9"/>
  <c r="C363" i="9"/>
  <c r="I174" i="9"/>
  <c r="A175" i="9"/>
  <c r="H174" i="9"/>
  <c r="M173" i="9"/>
  <c r="L173" i="9"/>
  <c r="K173" i="9"/>
  <c r="J173" i="9"/>
  <c r="N173" i="9"/>
  <c r="Q173" i="9" l="1"/>
  <c r="G174" i="9"/>
  <c r="P174" i="9" s="1"/>
  <c r="D363" i="9"/>
  <c r="O363" i="9"/>
  <c r="E363" i="9"/>
  <c r="C364" i="9"/>
  <c r="I175" i="9"/>
  <c r="H175" i="9"/>
  <c r="A176" i="9"/>
  <c r="M174" i="9"/>
  <c r="L174" i="9"/>
  <c r="K174" i="9"/>
  <c r="J174" i="9"/>
  <c r="N174" i="9"/>
  <c r="G175" i="9" l="1"/>
  <c r="Q175" i="9" s="1"/>
  <c r="Q174" i="9"/>
  <c r="D364" i="9"/>
  <c r="O364" i="9"/>
  <c r="E364" i="9"/>
  <c r="C365" i="9"/>
  <c r="M175" i="9"/>
  <c r="L175" i="9"/>
  <c r="K175" i="9"/>
  <c r="J175" i="9"/>
  <c r="N175" i="9"/>
  <c r="I176" i="9"/>
  <c r="H176" i="9"/>
  <c r="A177" i="9"/>
  <c r="P175" i="9" l="1"/>
  <c r="G176" i="9"/>
  <c r="G177" i="9" s="1"/>
  <c r="D365" i="9"/>
  <c r="O365" i="9"/>
  <c r="E365" i="9"/>
  <c r="C366" i="9"/>
  <c r="I177" i="9"/>
  <c r="H177" i="9"/>
  <c r="A178" i="9"/>
  <c r="M176" i="9"/>
  <c r="L176" i="9"/>
  <c r="K176" i="9"/>
  <c r="J176" i="9"/>
  <c r="N176" i="9"/>
  <c r="P176" i="9" l="1"/>
  <c r="Q176" i="9"/>
  <c r="D366" i="9"/>
  <c r="O366" i="9"/>
  <c r="E366" i="9"/>
  <c r="C367" i="9"/>
  <c r="M177" i="9"/>
  <c r="L177" i="9"/>
  <c r="K177" i="9"/>
  <c r="J177" i="9"/>
  <c r="N177" i="9"/>
  <c r="I178" i="9"/>
  <c r="H178" i="9"/>
  <c r="A179" i="9"/>
  <c r="Q177" i="9"/>
  <c r="P177" i="9"/>
  <c r="G178" i="9"/>
  <c r="D367" i="9" l="1"/>
  <c r="O367" i="9"/>
  <c r="E367" i="9"/>
  <c r="C368" i="9"/>
  <c r="M178" i="9"/>
  <c r="L178" i="9"/>
  <c r="K178" i="9"/>
  <c r="J178" i="9"/>
  <c r="N178" i="9"/>
  <c r="Q178" i="9"/>
  <c r="P178" i="9"/>
  <c r="G179" i="9"/>
  <c r="I179" i="9"/>
  <c r="H179" i="9"/>
  <c r="A180" i="9"/>
  <c r="D368" i="9" l="1"/>
  <c r="O368" i="9"/>
  <c r="E368" i="9"/>
  <c r="C369" i="9"/>
  <c r="I180" i="9"/>
  <c r="H180" i="9"/>
  <c r="A181" i="9"/>
  <c r="Q179" i="9"/>
  <c r="P179" i="9"/>
  <c r="G180" i="9"/>
  <c r="M179" i="9"/>
  <c r="L179" i="9"/>
  <c r="K179" i="9"/>
  <c r="J179" i="9"/>
  <c r="N179" i="9"/>
  <c r="D369" i="9" l="1"/>
  <c r="O369" i="9"/>
  <c r="E369" i="9"/>
  <c r="C370" i="9"/>
  <c r="M180" i="9"/>
  <c r="L180" i="9"/>
  <c r="K180" i="9"/>
  <c r="J180" i="9"/>
  <c r="N180" i="9"/>
  <c r="Q180" i="9"/>
  <c r="P180" i="9"/>
  <c r="G181" i="9"/>
  <c r="I181" i="9"/>
  <c r="H181" i="9"/>
  <c r="A182" i="9"/>
  <c r="D370" i="9" l="1"/>
  <c r="O370" i="9"/>
  <c r="E370" i="9"/>
  <c r="C371" i="9"/>
  <c r="M181" i="9"/>
  <c r="L181" i="9"/>
  <c r="K181" i="9"/>
  <c r="J181" i="9"/>
  <c r="N181" i="9"/>
  <c r="Q181" i="9"/>
  <c r="P181" i="9"/>
  <c r="G182" i="9"/>
  <c r="I182" i="9"/>
  <c r="H182" i="9"/>
  <c r="A183" i="9"/>
  <c r="D371" i="9" l="1"/>
  <c r="O371" i="9"/>
  <c r="E371" i="9"/>
  <c r="C372" i="9"/>
  <c r="M182" i="9"/>
  <c r="L182" i="9"/>
  <c r="K182" i="9"/>
  <c r="J182" i="9"/>
  <c r="N182" i="9"/>
  <c r="I183" i="9"/>
  <c r="H183" i="9"/>
  <c r="A184" i="9"/>
  <c r="Q182" i="9"/>
  <c r="P182" i="9"/>
  <c r="G183" i="9"/>
  <c r="D372" i="9" l="1"/>
  <c r="O372" i="9"/>
  <c r="E372" i="9"/>
  <c r="C373" i="9"/>
  <c r="Q183" i="9"/>
  <c r="P183" i="9"/>
  <c r="G184" i="9"/>
  <c r="I184" i="9"/>
  <c r="H184" i="9"/>
  <c r="A185" i="9"/>
  <c r="M183" i="9"/>
  <c r="L183" i="9"/>
  <c r="K183" i="9"/>
  <c r="J183" i="9"/>
  <c r="N183" i="9"/>
  <c r="D373" i="9" l="1"/>
  <c r="O373" i="9"/>
  <c r="E373" i="9"/>
  <c r="C374" i="9"/>
  <c r="I185" i="9"/>
  <c r="H185" i="9"/>
  <c r="A186" i="9"/>
  <c r="Q184" i="9"/>
  <c r="P184" i="9"/>
  <c r="G185" i="9"/>
  <c r="M184" i="9"/>
  <c r="L184" i="9"/>
  <c r="K184" i="9"/>
  <c r="J184" i="9"/>
  <c r="N184" i="9"/>
  <c r="D374" i="9" l="1"/>
  <c r="O374" i="9"/>
  <c r="E374" i="9"/>
  <c r="C375" i="9"/>
  <c r="M185" i="9"/>
  <c r="L185" i="9"/>
  <c r="K185" i="9"/>
  <c r="J185" i="9"/>
  <c r="N185" i="9"/>
  <c r="Q185" i="9"/>
  <c r="P185" i="9"/>
  <c r="G186" i="9"/>
  <c r="I186" i="9"/>
  <c r="H186" i="9"/>
  <c r="A187" i="9"/>
  <c r="D375" i="9" l="1"/>
  <c r="O375" i="9"/>
  <c r="E375" i="9"/>
  <c r="C376" i="9"/>
  <c r="I187" i="9"/>
  <c r="H187" i="9"/>
  <c r="A188" i="9"/>
  <c r="Q186" i="9"/>
  <c r="P186" i="9"/>
  <c r="G187" i="9"/>
  <c r="M186" i="9"/>
  <c r="L186" i="9"/>
  <c r="K186" i="9"/>
  <c r="J186" i="9"/>
  <c r="N186" i="9"/>
  <c r="D376" i="9" l="1"/>
  <c r="O376" i="9"/>
  <c r="E376" i="9"/>
  <c r="C377" i="9"/>
  <c r="M187" i="9"/>
  <c r="L187" i="9"/>
  <c r="K187" i="9"/>
  <c r="J187" i="9"/>
  <c r="N187" i="9"/>
  <c r="Q187" i="9"/>
  <c r="P187" i="9"/>
  <c r="G188" i="9"/>
  <c r="I188" i="9"/>
  <c r="H188" i="9"/>
  <c r="A189" i="9"/>
  <c r="D377" i="9" l="1"/>
  <c r="O377" i="9"/>
  <c r="E377" i="9"/>
  <c r="C378" i="9"/>
  <c r="M188" i="9"/>
  <c r="L188" i="9"/>
  <c r="K188" i="9"/>
  <c r="J188" i="9"/>
  <c r="N188" i="9"/>
  <c r="Q188" i="9"/>
  <c r="P188" i="9"/>
  <c r="G189" i="9"/>
  <c r="I189" i="9"/>
  <c r="H189" i="9"/>
  <c r="A190" i="9"/>
  <c r="D378" i="9" l="1"/>
  <c r="O378" i="9"/>
  <c r="E378" i="9"/>
  <c r="C379" i="9"/>
  <c r="I190" i="9"/>
  <c r="H190" i="9"/>
  <c r="A191" i="9"/>
  <c r="Q189" i="9"/>
  <c r="P189" i="9"/>
  <c r="G190" i="9"/>
  <c r="M189" i="9"/>
  <c r="L189" i="9"/>
  <c r="K189" i="9"/>
  <c r="J189" i="9"/>
  <c r="N189" i="9"/>
  <c r="D379" i="9" l="1"/>
  <c r="O379" i="9"/>
  <c r="E379" i="9"/>
  <c r="C380" i="9"/>
  <c r="I191" i="9"/>
  <c r="H191" i="9"/>
  <c r="A192" i="9"/>
  <c r="Q190" i="9"/>
  <c r="P190" i="9"/>
  <c r="G191" i="9"/>
  <c r="M190" i="9"/>
  <c r="L190" i="9"/>
  <c r="K190" i="9"/>
  <c r="J190" i="9"/>
  <c r="N190" i="9"/>
  <c r="D380" i="9" l="1"/>
  <c r="O380" i="9"/>
  <c r="E380" i="9"/>
  <c r="C381" i="9"/>
  <c r="Q191" i="9"/>
  <c r="P191" i="9"/>
  <c r="G192" i="9"/>
  <c r="I192" i="9"/>
  <c r="H192" i="9"/>
  <c r="A193" i="9"/>
  <c r="M191" i="9"/>
  <c r="L191" i="9"/>
  <c r="K191" i="9"/>
  <c r="J191" i="9"/>
  <c r="N191" i="9"/>
  <c r="D381" i="9" l="1"/>
  <c r="O381" i="9"/>
  <c r="E381" i="9"/>
  <c r="C382" i="9"/>
  <c r="I193" i="9"/>
  <c r="H193" i="9"/>
  <c r="A194" i="9"/>
  <c r="Q192" i="9"/>
  <c r="P192" i="9"/>
  <c r="G193" i="9"/>
  <c r="M192" i="9"/>
  <c r="L192" i="9"/>
  <c r="K192" i="9"/>
  <c r="J192" i="9"/>
  <c r="N192" i="9"/>
  <c r="D382" i="9" l="1"/>
  <c r="O382" i="9"/>
  <c r="E382" i="9"/>
  <c r="C383" i="9"/>
  <c r="I194" i="9"/>
  <c r="H194" i="9"/>
  <c r="A195" i="9"/>
  <c r="Q193" i="9"/>
  <c r="P193" i="9"/>
  <c r="G194" i="9"/>
  <c r="M193" i="9"/>
  <c r="L193" i="9"/>
  <c r="K193" i="9"/>
  <c r="J193" i="9"/>
  <c r="N193" i="9"/>
  <c r="D383" i="9" l="1"/>
  <c r="O383" i="9"/>
  <c r="E383" i="9"/>
  <c r="C384" i="9"/>
  <c r="Q194" i="9"/>
  <c r="P194" i="9"/>
  <c r="G195" i="9"/>
  <c r="M194" i="9"/>
  <c r="L194" i="9"/>
  <c r="K194" i="9"/>
  <c r="J194" i="9"/>
  <c r="N194" i="9"/>
  <c r="I195" i="9"/>
  <c r="H195" i="9"/>
  <c r="A196" i="9"/>
  <c r="D384" i="9" l="1"/>
  <c r="O384" i="9"/>
  <c r="E384" i="9"/>
  <c r="C385" i="9"/>
  <c r="I196" i="9"/>
  <c r="H196" i="9"/>
  <c r="A197" i="9"/>
  <c r="Q195" i="9"/>
  <c r="P195" i="9"/>
  <c r="G196" i="9"/>
  <c r="M195" i="9"/>
  <c r="L195" i="9"/>
  <c r="K195" i="9"/>
  <c r="J195" i="9"/>
  <c r="N195" i="9"/>
  <c r="D385" i="9" l="1"/>
  <c r="O385" i="9"/>
  <c r="E385" i="9"/>
  <c r="C386" i="9"/>
  <c r="Q196" i="9"/>
  <c r="P196" i="9"/>
  <c r="G197" i="9"/>
  <c r="I197" i="9"/>
  <c r="H197" i="9"/>
  <c r="A198" i="9"/>
  <c r="M196" i="9"/>
  <c r="L196" i="9"/>
  <c r="K196" i="9"/>
  <c r="J196" i="9"/>
  <c r="N196" i="9"/>
  <c r="D386" i="9" l="1"/>
  <c r="O386" i="9"/>
  <c r="E386" i="9"/>
  <c r="C387" i="9"/>
  <c r="I198" i="9"/>
  <c r="H198" i="9"/>
  <c r="A199" i="9"/>
  <c r="M197" i="9"/>
  <c r="L197" i="9"/>
  <c r="K197" i="9"/>
  <c r="J197" i="9"/>
  <c r="N197" i="9"/>
  <c r="Q197" i="9"/>
  <c r="P197" i="9"/>
  <c r="G198" i="9"/>
  <c r="D387" i="9" l="1"/>
  <c r="O387" i="9"/>
  <c r="E387" i="9"/>
  <c r="C388" i="9"/>
  <c r="Q198" i="9"/>
  <c r="P198" i="9"/>
  <c r="G199" i="9"/>
  <c r="I199" i="9"/>
  <c r="H199" i="9"/>
  <c r="A200" i="9"/>
  <c r="M198" i="9"/>
  <c r="L198" i="9"/>
  <c r="K198" i="9"/>
  <c r="J198" i="9"/>
  <c r="N198" i="9"/>
  <c r="D388" i="9" l="1"/>
  <c r="O388" i="9"/>
  <c r="E388" i="9"/>
  <c r="C389" i="9"/>
  <c r="I200" i="9"/>
  <c r="H200" i="9"/>
  <c r="A201" i="9"/>
  <c r="M199" i="9"/>
  <c r="L199" i="9"/>
  <c r="K199" i="9"/>
  <c r="J199" i="9"/>
  <c r="N199" i="9"/>
  <c r="Q199" i="9"/>
  <c r="P199" i="9"/>
  <c r="G200" i="9"/>
  <c r="D389" i="9" l="1"/>
  <c r="O389" i="9"/>
  <c r="E389" i="9"/>
  <c r="C390" i="9"/>
  <c r="Q200" i="9"/>
  <c r="P200" i="9"/>
  <c r="G201" i="9"/>
  <c r="I201" i="9"/>
  <c r="H201" i="9"/>
  <c r="A202" i="9"/>
  <c r="M200" i="9"/>
  <c r="L200" i="9"/>
  <c r="K200" i="9"/>
  <c r="J200" i="9"/>
  <c r="N200" i="9"/>
  <c r="D390" i="9" l="1"/>
  <c r="O390" i="9"/>
  <c r="E390" i="9"/>
  <c r="C391" i="9"/>
  <c r="Q201" i="9"/>
  <c r="P201" i="9"/>
  <c r="G202" i="9"/>
  <c r="I202" i="9"/>
  <c r="H202" i="9"/>
  <c r="A203" i="9"/>
  <c r="M201" i="9"/>
  <c r="L201" i="9"/>
  <c r="K201" i="9"/>
  <c r="J201" i="9"/>
  <c r="N201" i="9"/>
  <c r="D391" i="9" l="1"/>
  <c r="O391" i="9"/>
  <c r="E391" i="9"/>
  <c r="C392" i="9"/>
  <c r="I203" i="9"/>
  <c r="H203" i="9"/>
  <c r="A204" i="9"/>
  <c r="M202" i="9"/>
  <c r="L202" i="9"/>
  <c r="K202" i="9"/>
  <c r="J202" i="9"/>
  <c r="N202" i="9"/>
  <c r="Q202" i="9"/>
  <c r="P202" i="9"/>
  <c r="G203" i="9"/>
  <c r="D392" i="9" l="1"/>
  <c r="O392" i="9"/>
  <c r="E392" i="9"/>
  <c r="C393" i="9"/>
  <c r="I204" i="9"/>
  <c r="H204" i="9"/>
  <c r="A205" i="9"/>
  <c r="Q203" i="9"/>
  <c r="P203" i="9"/>
  <c r="G204" i="9"/>
  <c r="M203" i="9"/>
  <c r="L203" i="9"/>
  <c r="K203" i="9"/>
  <c r="J203" i="9"/>
  <c r="N203" i="9"/>
  <c r="D393" i="9" l="1"/>
  <c r="O393" i="9"/>
  <c r="E393" i="9"/>
  <c r="C394" i="9"/>
  <c r="I205" i="9"/>
  <c r="H205" i="9"/>
  <c r="A206" i="9"/>
  <c r="M204" i="9"/>
  <c r="L204" i="9"/>
  <c r="K204" i="9"/>
  <c r="J204" i="9"/>
  <c r="N204" i="9"/>
  <c r="Q204" i="9"/>
  <c r="P204" i="9"/>
  <c r="G205" i="9"/>
  <c r="D394" i="9" l="1"/>
  <c r="O394" i="9"/>
  <c r="E394" i="9"/>
  <c r="C395" i="9"/>
  <c r="I206" i="9"/>
  <c r="H206" i="9"/>
  <c r="A207" i="9"/>
  <c r="M205" i="9"/>
  <c r="L205" i="9"/>
  <c r="K205" i="9"/>
  <c r="J205" i="9"/>
  <c r="N205" i="9"/>
  <c r="Q205" i="9"/>
  <c r="P205" i="9"/>
  <c r="G206" i="9"/>
  <c r="D395" i="9" l="1"/>
  <c r="O395" i="9"/>
  <c r="E395" i="9"/>
  <c r="C396" i="9"/>
  <c r="Q206" i="9"/>
  <c r="P206" i="9"/>
  <c r="G207" i="9"/>
  <c r="I207" i="9"/>
  <c r="H207" i="9"/>
  <c r="A208" i="9"/>
  <c r="M206" i="9"/>
  <c r="L206" i="9"/>
  <c r="K206" i="9"/>
  <c r="J206" i="9"/>
  <c r="N206" i="9"/>
  <c r="D396" i="9" l="1"/>
  <c r="O396" i="9"/>
  <c r="E396" i="9"/>
  <c r="C397" i="9"/>
  <c r="I208" i="9"/>
  <c r="H208" i="9"/>
  <c r="A209" i="9"/>
  <c r="M207" i="9"/>
  <c r="L207" i="9"/>
  <c r="K207" i="9"/>
  <c r="J207" i="9"/>
  <c r="N207" i="9"/>
  <c r="Q207" i="9"/>
  <c r="P207" i="9"/>
  <c r="G208" i="9"/>
  <c r="D397" i="9" l="1"/>
  <c r="O397" i="9"/>
  <c r="E397" i="9"/>
  <c r="C398" i="9"/>
  <c r="I209" i="9"/>
  <c r="H209" i="9"/>
  <c r="A210" i="9"/>
  <c r="M208" i="9"/>
  <c r="L208" i="9"/>
  <c r="K208" i="9"/>
  <c r="J208" i="9"/>
  <c r="N208" i="9"/>
  <c r="Q208" i="9"/>
  <c r="P208" i="9"/>
  <c r="G209" i="9"/>
  <c r="D398" i="9" l="1"/>
  <c r="O398" i="9"/>
  <c r="E398" i="9"/>
  <c r="C399" i="9"/>
  <c r="Q209" i="9"/>
  <c r="P209" i="9"/>
  <c r="G210" i="9"/>
  <c r="I210" i="9"/>
  <c r="H210" i="9"/>
  <c r="A211" i="9"/>
  <c r="M209" i="9"/>
  <c r="L209" i="9"/>
  <c r="K209" i="9"/>
  <c r="J209" i="9"/>
  <c r="N209" i="9"/>
  <c r="D399" i="9" l="1"/>
  <c r="O399" i="9"/>
  <c r="E399" i="9"/>
  <c r="C400" i="9"/>
  <c r="M210" i="9"/>
  <c r="L210" i="9"/>
  <c r="K210" i="9"/>
  <c r="J210" i="9"/>
  <c r="N210" i="9"/>
  <c r="I211" i="9"/>
  <c r="H211" i="9"/>
  <c r="A212" i="9"/>
  <c r="Q210" i="9"/>
  <c r="P210" i="9"/>
  <c r="G211" i="9"/>
  <c r="D400" i="9" l="1"/>
  <c r="O400" i="9"/>
  <c r="E400" i="9"/>
  <c r="C401" i="9"/>
  <c r="M211" i="9"/>
  <c r="L211" i="9"/>
  <c r="K211" i="9"/>
  <c r="J211" i="9"/>
  <c r="N211" i="9"/>
  <c r="I212" i="9"/>
  <c r="H212" i="9"/>
  <c r="A213" i="9"/>
  <c r="Q211" i="9"/>
  <c r="P211" i="9"/>
  <c r="G212" i="9"/>
  <c r="D401" i="9" l="1"/>
  <c r="O401" i="9"/>
  <c r="E401" i="9"/>
  <c r="C402" i="9"/>
  <c r="M212" i="9"/>
  <c r="L212" i="9"/>
  <c r="K212" i="9"/>
  <c r="J212" i="9"/>
  <c r="N212" i="9"/>
  <c r="Q212" i="9"/>
  <c r="P212" i="9"/>
  <c r="G213" i="9"/>
  <c r="I213" i="9"/>
  <c r="H213" i="9"/>
  <c r="A214" i="9"/>
  <c r="D402" i="9" l="1"/>
  <c r="O402" i="9"/>
  <c r="E402" i="9"/>
  <c r="C403" i="9"/>
  <c r="I214" i="9"/>
  <c r="H214" i="9"/>
  <c r="A215" i="9"/>
  <c r="M213" i="9"/>
  <c r="L213" i="9"/>
  <c r="K213" i="9"/>
  <c r="J213" i="9"/>
  <c r="N213" i="9"/>
  <c r="Q213" i="9"/>
  <c r="P213" i="9"/>
  <c r="G214" i="9"/>
  <c r="D403" i="9" l="1"/>
  <c r="O403" i="9"/>
  <c r="E403" i="9"/>
  <c r="C404" i="9"/>
  <c r="M214" i="9"/>
  <c r="L214" i="9"/>
  <c r="K214" i="9"/>
  <c r="J214" i="9"/>
  <c r="N214" i="9"/>
  <c r="I215" i="9"/>
  <c r="H215" i="9"/>
  <c r="A216" i="9"/>
  <c r="Q214" i="9"/>
  <c r="P214" i="9"/>
  <c r="G215" i="9"/>
  <c r="D404" i="9" l="1"/>
  <c r="O404" i="9"/>
  <c r="E404" i="9"/>
  <c r="C405" i="9"/>
  <c r="M215" i="9"/>
  <c r="L215" i="9"/>
  <c r="K215" i="9"/>
  <c r="J215" i="9"/>
  <c r="N215" i="9"/>
  <c r="Q215" i="9"/>
  <c r="P215" i="9"/>
  <c r="G216" i="9"/>
  <c r="I216" i="9"/>
  <c r="H216" i="9"/>
  <c r="A217" i="9"/>
  <c r="D405" i="9" l="1"/>
  <c r="O405" i="9"/>
  <c r="E405" i="9"/>
  <c r="C406" i="9"/>
  <c r="M216" i="9"/>
  <c r="L216" i="9"/>
  <c r="K216" i="9"/>
  <c r="J216" i="9"/>
  <c r="N216" i="9"/>
  <c r="I217" i="9"/>
  <c r="H217" i="9"/>
  <c r="A218" i="9"/>
  <c r="Q216" i="9"/>
  <c r="P216" i="9"/>
  <c r="G217" i="9"/>
  <c r="D406" i="9" l="1"/>
  <c r="O406" i="9"/>
  <c r="E406" i="9"/>
  <c r="C407" i="9"/>
  <c r="I218" i="9"/>
  <c r="H218" i="9"/>
  <c r="A219" i="9"/>
  <c r="Q217" i="9"/>
  <c r="P217" i="9"/>
  <c r="G218" i="9"/>
  <c r="M217" i="9"/>
  <c r="L217" i="9"/>
  <c r="K217" i="9"/>
  <c r="J217" i="9"/>
  <c r="N217" i="9"/>
  <c r="D407" i="9" l="1"/>
  <c r="O407" i="9"/>
  <c r="E407" i="9"/>
  <c r="C408" i="9"/>
  <c r="Q218" i="9"/>
  <c r="P218" i="9"/>
  <c r="G219" i="9"/>
  <c r="M218" i="9"/>
  <c r="L218" i="9"/>
  <c r="K218" i="9"/>
  <c r="J218" i="9"/>
  <c r="N218" i="9"/>
  <c r="I219" i="9"/>
  <c r="H219" i="9"/>
  <c r="A220" i="9"/>
  <c r="D408" i="9" l="1"/>
  <c r="O408" i="9"/>
  <c r="E408" i="9"/>
  <c r="C409" i="9"/>
  <c r="I220" i="9"/>
  <c r="H220" i="9"/>
  <c r="A221" i="9"/>
  <c r="M219" i="9"/>
  <c r="L219" i="9"/>
  <c r="K219" i="9"/>
  <c r="J219" i="9"/>
  <c r="N219" i="9"/>
  <c r="Q219" i="9"/>
  <c r="P219" i="9"/>
  <c r="G220" i="9"/>
  <c r="D409" i="9" l="1"/>
  <c r="O409" i="9"/>
  <c r="E409" i="9"/>
  <c r="C410" i="9"/>
  <c r="Q220" i="9"/>
  <c r="P220" i="9"/>
  <c r="G221" i="9"/>
  <c r="I221" i="9"/>
  <c r="H221" i="9"/>
  <c r="A222" i="9"/>
  <c r="M220" i="9"/>
  <c r="L220" i="9"/>
  <c r="K220" i="9"/>
  <c r="J220" i="9"/>
  <c r="N220" i="9"/>
  <c r="D410" i="9" l="1"/>
  <c r="O410" i="9"/>
  <c r="E410" i="9"/>
  <c r="C411" i="9"/>
  <c r="I222" i="9"/>
  <c r="H222" i="9"/>
  <c r="A223" i="9"/>
  <c r="M221" i="9"/>
  <c r="L221" i="9"/>
  <c r="K221" i="9"/>
  <c r="J221" i="9"/>
  <c r="N221" i="9"/>
  <c r="Q221" i="9"/>
  <c r="P221" i="9"/>
  <c r="G222" i="9"/>
  <c r="D411" i="9" l="1"/>
  <c r="O411" i="9"/>
  <c r="E411" i="9"/>
  <c r="C412" i="9"/>
  <c r="I223" i="9"/>
  <c r="H223" i="9"/>
  <c r="A224" i="9"/>
  <c r="Q222" i="9"/>
  <c r="P222" i="9"/>
  <c r="G223" i="9"/>
  <c r="M222" i="9"/>
  <c r="L222" i="9"/>
  <c r="K222" i="9"/>
  <c r="J222" i="9"/>
  <c r="N222" i="9"/>
  <c r="D412" i="9" l="1"/>
  <c r="O412" i="9"/>
  <c r="E412" i="9"/>
  <c r="C413" i="9"/>
  <c r="Q223" i="9"/>
  <c r="P223" i="9"/>
  <c r="G224" i="9"/>
  <c r="I224" i="9"/>
  <c r="H224" i="9"/>
  <c r="A225" i="9"/>
  <c r="M223" i="9"/>
  <c r="L223" i="9"/>
  <c r="K223" i="9"/>
  <c r="J223" i="9"/>
  <c r="N223" i="9"/>
  <c r="D413" i="9" l="1"/>
  <c r="O413" i="9"/>
  <c r="E413" i="9"/>
  <c r="C414" i="9"/>
  <c r="Q224" i="9"/>
  <c r="P224" i="9"/>
  <c r="G225" i="9"/>
  <c r="M224" i="9"/>
  <c r="L224" i="9"/>
  <c r="K224" i="9"/>
  <c r="J224" i="9"/>
  <c r="N224" i="9"/>
  <c r="I225" i="9"/>
  <c r="H225" i="9"/>
  <c r="A226" i="9"/>
  <c r="D414" i="9" l="1"/>
  <c r="O414" i="9"/>
  <c r="E414" i="9"/>
  <c r="C415" i="9"/>
  <c r="M225" i="9"/>
  <c r="L225" i="9"/>
  <c r="K225" i="9"/>
  <c r="J225" i="9"/>
  <c r="N225" i="9"/>
  <c r="I226" i="9"/>
  <c r="H226" i="9"/>
  <c r="A227" i="9"/>
  <c r="Q225" i="9"/>
  <c r="P225" i="9"/>
  <c r="G226" i="9"/>
  <c r="D415" i="9" l="1"/>
  <c r="O415" i="9"/>
  <c r="E415" i="9"/>
  <c r="C416" i="9"/>
  <c r="M226" i="9"/>
  <c r="L226" i="9"/>
  <c r="K226" i="9"/>
  <c r="J226" i="9"/>
  <c r="N226" i="9"/>
  <c r="Q226" i="9"/>
  <c r="P226" i="9"/>
  <c r="G227" i="9"/>
  <c r="I227" i="9"/>
  <c r="H227" i="9"/>
  <c r="A228" i="9"/>
  <c r="D416" i="9" l="1"/>
  <c r="O416" i="9"/>
  <c r="E416" i="9"/>
  <c r="C417" i="9"/>
  <c r="M227" i="9"/>
  <c r="L227" i="9"/>
  <c r="K227" i="9"/>
  <c r="J227" i="9"/>
  <c r="N227" i="9"/>
  <c r="I228" i="9"/>
  <c r="H228" i="9"/>
  <c r="A229" i="9"/>
  <c r="Q227" i="9"/>
  <c r="P227" i="9"/>
  <c r="G228" i="9"/>
  <c r="D417" i="9" l="1"/>
  <c r="O417" i="9"/>
  <c r="E417" i="9"/>
  <c r="C418" i="9"/>
  <c r="Q228" i="9"/>
  <c r="P228" i="9"/>
  <c r="G229" i="9"/>
  <c r="I229" i="9"/>
  <c r="H229" i="9"/>
  <c r="A230" i="9"/>
  <c r="M228" i="9"/>
  <c r="L228" i="9"/>
  <c r="K228" i="9"/>
  <c r="J228" i="9"/>
  <c r="N228" i="9"/>
  <c r="D418" i="9" l="1"/>
  <c r="O418" i="9"/>
  <c r="E418" i="9"/>
  <c r="C419" i="9"/>
  <c r="I230" i="9"/>
  <c r="H230" i="9"/>
  <c r="A231" i="9"/>
  <c r="M229" i="9"/>
  <c r="L229" i="9"/>
  <c r="K229" i="9"/>
  <c r="J229" i="9"/>
  <c r="N229" i="9"/>
  <c r="Q229" i="9"/>
  <c r="P229" i="9"/>
  <c r="G230" i="9"/>
  <c r="D419" i="9" l="1"/>
  <c r="O419" i="9"/>
  <c r="E419" i="9"/>
  <c r="C420" i="9"/>
  <c r="Q230" i="9"/>
  <c r="P230" i="9"/>
  <c r="G231" i="9"/>
  <c r="M230" i="9"/>
  <c r="L230" i="9"/>
  <c r="K230" i="9"/>
  <c r="J230" i="9"/>
  <c r="N230" i="9"/>
  <c r="I231" i="9"/>
  <c r="H231" i="9"/>
  <c r="A232" i="9"/>
  <c r="D420" i="9" l="1"/>
  <c r="O420" i="9"/>
  <c r="E420" i="9"/>
  <c r="C421" i="9"/>
  <c r="M231" i="9"/>
  <c r="L231" i="9"/>
  <c r="K231" i="9"/>
  <c r="J231" i="9"/>
  <c r="N231" i="9"/>
  <c r="I232" i="9"/>
  <c r="H232" i="9"/>
  <c r="A233" i="9"/>
  <c r="Q231" i="9"/>
  <c r="P231" i="9"/>
  <c r="G232" i="9"/>
  <c r="D421" i="9" l="1"/>
  <c r="O421" i="9"/>
  <c r="E421" i="9"/>
  <c r="C422" i="9"/>
  <c r="Q232" i="9"/>
  <c r="P232" i="9"/>
  <c r="G233" i="9"/>
  <c r="I233" i="9"/>
  <c r="H233" i="9"/>
  <c r="A234" i="9"/>
  <c r="M232" i="9"/>
  <c r="L232" i="9"/>
  <c r="K232" i="9"/>
  <c r="J232" i="9"/>
  <c r="N232" i="9"/>
  <c r="D422" i="9" l="1"/>
  <c r="O422" i="9"/>
  <c r="E422" i="9"/>
  <c r="C423" i="9"/>
  <c r="I234" i="9"/>
  <c r="H234" i="9"/>
  <c r="A235" i="9"/>
  <c r="M233" i="9"/>
  <c r="L233" i="9"/>
  <c r="K233" i="9"/>
  <c r="J233" i="9"/>
  <c r="N233" i="9"/>
  <c r="Q233" i="9"/>
  <c r="P233" i="9"/>
  <c r="G234" i="9"/>
  <c r="D423" i="9" l="1"/>
  <c r="O423" i="9"/>
  <c r="E423" i="9"/>
  <c r="C424" i="9"/>
  <c r="M234" i="9"/>
  <c r="L234" i="9"/>
  <c r="K234" i="9"/>
  <c r="J234" i="9"/>
  <c r="N234" i="9"/>
  <c r="Q234" i="9"/>
  <c r="P234" i="9"/>
  <c r="G235" i="9"/>
  <c r="I235" i="9"/>
  <c r="H235" i="9"/>
  <c r="A236" i="9"/>
  <c r="D424" i="9" l="1"/>
  <c r="O424" i="9"/>
  <c r="E424" i="9"/>
  <c r="C425" i="9"/>
  <c r="M235" i="9"/>
  <c r="L235" i="9"/>
  <c r="K235" i="9"/>
  <c r="J235" i="9"/>
  <c r="N235" i="9"/>
  <c r="Q235" i="9"/>
  <c r="P235" i="9"/>
  <c r="G236" i="9"/>
  <c r="I236" i="9"/>
  <c r="H236" i="9"/>
  <c r="A237" i="9"/>
  <c r="D425" i="9" l="1"/>
  <c r="O425" i="9"/>
  <c r="E425" i="9"/>
  <c r="C426" i="9"/>
  <c r="I237" i="9"/>
  <c r="H237" i="9"/>
  <c r="A238" i="9"/>
  <c r="M236" i="9"/>
  <c r="L236" i="9"/>
  <c r="K236" i="9"/>
  <c r="J236" i="9"/>
  <c r="N236" i="9"/>
  <c r="Q236" i="9"/>
  <c r="P236" i="9"/>
  <c r="G237" i="9"/>
  <c r="D426" i="9" l="1"/>
  <c r="O426" i="9"/>
  <c r="E426" i="9"/>
  <c r="C427" i="9"/>
  <c r="M237" i="9"/>
  <c r="L237" i="9"/>
  <c r="K237" i="9"/>
  <c r="J237" i="9"/>
  <c r="N237" i="9"/>
  <c r="Q237" i="9"/>
  <c r="P237" i="9"/>
  <c r="G238" i="9"/>
  <c r="I238" i="9"/>
  <c r="H238" i="9"/>
  <c r="A239" i="9"/>
  <c r="D427" i="9" l="1"/>
  <c r="O427" i="9"/>
  <c r="E427" i="9"/>
  <c r="C428" i="9"/>
  <c r="Q238" i="9"/>
  <c r="P238" i="9"/>
  <c r="G239" i="9"/>
  <c r="I239" i="9"/>
  <c r="H239" i="9"/>
  <c r="A240" i="9"/>
  <c r="M238" i="9"/>
  <c r="L238" i="9"/>
  <c r="K238" i="9"/>
  <c r="J238" i="9"/>
  <c r="N238" i="9"/>
  <c r="D428" i="9" l="1"/>
  <c r="O428" i="9"/>
  <c r="E428" i="9"/>
  <c r="C429" i="9"/>
  <c r="M239" i="9"/>
  <c r="L239" i="9"/>
  <c r="K239" i="9"/>
  <c r="J239" i="9"/>
  <c r="N239" i="9"/>
  <c r="Q239" i="9"/>
  <c r="P239" i="9"/>
  <c r="G240" i="9"/>
  <c r="I240" i="9"/>
  <c r="H240" i="9"/>
  <c r="A241" i="9"/>
  <c r="D429" i="9" l="1"/>
  <c r="O429" i="9"/>
  <c r="E429" i="9"/>
  <c r="C430" i="9"/>
  <c r="I241" i="9"/>
  <c r="H241" i="9"/>
  <c r="A242" i="9"/>
  <c r="Q240" i="9"/>
  <c r="P240" i="9"/>
  <c r="G241" i="9"/>
  <c r="M240" i="9"/>
  <c r="L240" i="9"/>
  <c r="K240" i="9"/>
  <c r="J240" i="9"/>
  <c r="N240" i="9"/>
  <c r="D430" i="9" l="1"/>
  <c r="O430" i="9"/>
  <c r="E430" i="9"/>
  <c r="C431" i="9"/>
  <c r="Q241" i="9"/>
  <c r="P241" i="9"/>
  <c r="G242" i="9"/>
  <c r="I242" i="9"/>
  <c r="H242" i="9"/>
  <c r="A243" i="9"/>
  <c r="M241" i="9"/>
  <c r="L241" i="9"/>
  <c r="K241" i="9"/>
  <c r="J241" i="9"/>
  <c r="N241" i="9"/>
  <c r="D431" i="9" l="1"/>
  <c r="O431" i="9"/>
  <c r="E431" i="9"/>
  <c r="C432" i="9"/>
  <c r="M242" i="9"/>
  <c r="L242" i="9"/>
  <c r="K242" i="9"/>
  <c r="J242" i="9"/>
  <c r="N242" i="9"/>
  <c r="Q242" i="9"/>
  <c r="P242" i="9"/>
  <c r="G243" i="9"/>
  <c r="I243" i="9"/>
  <c r="H243" i="9"/>
  <c r="A244" i="9"/>
  <c r="D432" i="9" l="1"/>
  <c r="O432" i="9"/>
  <c r="E432" i="9"/>
  <c r="C433" i="9"/>
  <c r="M243" i="9"/>
  <c r="L243" i="9"/>
  <c r="K243" i="9"/>
  <c r="J243" i="9"/>
  <c r="N243" i="9"/>
  <c r="Q243" i="9"/>
  <c r="P243" i="9"/>
  <c r="G244" i="9"/>
  <c r="I244" i="9"/>
  <c r="H244" i="9"/>
  <c r="A245" i="9"/>
  <c r="D433" i="9" l="1"/>
  <c r="O433" i="9"/>
  <c r="E433" i="9"/>
  <c r="C434" i="9"/>
  <c r="I245" i="9"/>
  <c r="H245" i="9"/>
  <c r="A246" i="9"/>
  <c r="Q244" i="9"/>
  <c r="P244" i="9"/>
  <c r="G245" i="9"/>
  <c r="M244" i="9"/>
  <c r="L244" i="9"/>
  <c r="K244" i="9"/>
  <c r="J244" i="9"/>
  <c r="N244" i="9"/>
  <c r="D434" i="9" l="1"/>
  <c r="O434" i="9"/>
  <c r="E434" i="9"/>
  <c r="C435" i="9"/>
  <c r="M245" i="9"/>
  <c r="L245" i="9"/>
  <c r="K245" i="9"/>
  <c r="J245" i="9"/>
  <c r="N245" i="9"/>
  <c r="Q245" i="9"/>
  <c r="P245" i="9"/>
  <c r="G246" i="9"/>
  <c r="I246" i="9"/>
  <c r="H246" i="9"/>
  <c r="A247" i="9"/>
  <c r="D435" i="9" l="1"/>
  <c r="O435" i="9"/>
  <c r="E435" i="9"/>
  <c r="C436" i="9"/>
  <c r="I247" i="9"/>
  <c r="H247" i="9"/>
  <c r="A248" i="9"/>
  <c r="M246" i="9"/>
  <c r="L246" i="9"/>
  <c r="K246" i="9"/>
  <c r="J246" i="9"/>
  <c r="N246" i="9"/>
  <c r="Q246" i="9"/>
  <c r="P246" i="9"/>
  <c r="G247" i="9"/>
  <c r="D436" i="9" l="1"/>
  <c r="O436" i="9"/>
  <c r="E436" i="9"/>
  <c r="C437" i="9"/>
  <c r="Q247" i="9"/>
  <c r="P247" i="9"/>
  <c r="G248" i="9"/>
  <c r="M247" i="9"/>
  <c r="L247" i="9"/>
  <c r="K247" i="9"/>
  <c r="J247" i="9"/>
  <c r="N247" i="9"/>
  <c r="I248" i="9"/>
  <c r="H248" i="9"/>
  <c r="A249" i="9"/>
  <c r="D437" i="9" l="1"/>
  <c r="O437" i="9"/>
  <c r="E437" i="9"/>
  <c r="C438" i="9"/>
  <c r="Q248" i="9"/>
  <c r="P248" i="9"/>
  <c r="G249" i="9"/>
  <c r="I249" i="9"/>
  <c r="H249" i="9"/>
  <c r="A250" i="9"/>
  <c r="M248" i="9"/>
  <c r="L248" i="9"/>
  <c r="K248" i="9"/>
  <c r="J248" i="9"/>
  <c r="N248" i="9"/>
  <c r="D438" i="9" l="1"/>
  <c r="O438" i="9"/>
  <c r="E438" i="9"/>
  <c r="C439" i="9"/>
  <c r="M249" i="9"/>
  <c r="L249" i="9"/>
  <c r="K249" i="9"/>
  <c r="J249" i="9"/>
  <c r="N249" i="9"/>
  <c r="I250" i="9"/>
  <c r="H250" i="9"/>
  <c r="A251" i="9"/>
  <c r="Q249" i="9"/>
  <c r="P249" i="9"/>
  <c r="G250" i="9"/>
  <c r="D439" i="9" l="1"/>
  <c r="O439" i="9"/>
  <c r="E439" i="9"/>
  <c r="C440" i="9"/>
  <c r="M250" i="9"/>
  <c r="L250" i="9"/>
  <c r="K250" i="9"/>
  <c r="J250" i="9"/>
  <c r="N250" i="9"/>
  <c r="I251" i="9"/>
  <c r="H251" i="9"/>
  <c r="A252" i="9"/>
  <c r="Q250" i="9"/>
  <c r="P250" i="9"/>
  <c r="G251" i="9"/>
  <c r="D440" i="9" l="1"/>
  <c r="O440" i="9"/>
  <c r="E440" i="9"/>
  <c r="C441" i="9"/>
  <c r="M251" i="9"/>
  <c r="L251" i="9"/>
  <c r="K251" i="9"/>
  <c r="J251" i="9"/>
  <c r="N251" i="9"/>
  <c r="Q251" i="9"/>
  <c r="P251" i="9"/>
  <c r="G252" i="9"/>
  <c r="I252" i="9"/>
  <c r="H252" i="9"/>
  <c r="A253" i="9"/>
  <c r="D441" i="9" l="1"/>
  <c r="O441" i="9"/>
  <c r="E441" i="9"/>
  <c r="C442" i="9"/>
  <c r="I253" i="9"/>
  <c r="H253" i="9"/>
  <c r="A254" i="9"/>
  <c r="Q252" i="9"/>
  <c r="P252" i="9"/>
  <c r="G253" i="9"/>
  <c r="M252" i="9"/>
  <c r="L252" i="9"/>
  <c r="K252" i="9"/>
  <c r="J252" i="9"/>
  <c r="N252" i="9"/>
  <c r="D442" i="9" l="1"/>
  <c r="O442" i="9"/>
  <c r="E442" i="9"/>
  <c r="C443" i="9"/>
  <c r="I254" i="9"/>
  <c r="H254" i="9"/>
  <c r="A255" i="9"/>
  <c r="M253" i="9"/>
  <c r="L253" i="9"/>
  <c r="K253" i="9"/>
  <c r="J253" i="9"/>
  <c r="N253" i="9"/>
  <c r="Q253" i="9"/>
  <c r="P253" i="9"/>
  <c r="G254" i="9"/>
  <c r="D443" i="9" l="1"/>
  <c r="O443" i="9"/>
  <c r="E443" i="9"/>
  <c r="C444" i="9"/>
  <c r="Q254" i="9"/>
  <c r="P254" i="9"/>
  <c r="G255" i="9"/>
  <c r="I255" i="9"/>
  <c r="H255" i="9"/>
  <c r="A256" i="9"/>
  <c r="M254" i="9"/>
  <c r="L254" i="9"/>
  <c r="K254" i="9"/>
  <c r="J254" i="9"/>
  <c r="N254" i="9"/>
  <c r="D444" i="9" l="1"/>
  <c r="O444" i="9"/>
  <c r="E444" i="9"/>
  <c r="C445" i="9"/>
  <c r="M255" i="9"/>
  <c r="L255" i="9"/>
  <c r="K255" i="9"/>
  <c r="J255" i="9"/>
  <c r="N255" i="9"/>
  <c r="Q255" i="9"/>
  <c r="P255" i="9"/>
  <c r="G256" i="9"/>
  <c r="I256" i="9"/>
  <c r="H256" i="9"/>
  <c r="A257" i="9"/>
  <c r="D445" i="9" l="1"/>
  <c r="O445" i="9"/>
  <c r="E445" i="9"/>
  <c r="C446" i="9"/>
  <c r="M256" i="9"/>
  <c r="L256" i="9"/>
  <c r="K256" i="9"/>
  <c r="J256" i="9"/>
  <c r="N256" i="9"/>
  <c r="I257" i="9"/>
  <c r="H257" i="9"/>
  <c r="A258" i="9"/>
  <c r="Q256" i="9"/>
  <c r="P256" i="9"/>
  <c r="G257" i="9"/>
  <c r="D446" i="9" l="1"/>
  <c r="O446" i="9"/>
  <c r="E446" i="9"/>
  <c r="C447" i="9"/>
  <c r="M257" i="9"/>
  <c r="L257" i="9"/>
  <c r="K257" i="9"/>
  <c r="J257" i="9"/>
  <c r="N257" i="9"/>
  <c r="Q257" i="9"/>
  <c r="P257" i="9"/>
  <c r="G258" i="9"/>
  <c r="I258" i="9"/>
  <c r="H258" i="9"/>
  <c r="A259" i="9"/>
  <c r="D447" i="9" l="1"/>
  <c r="O447" i="9"/>
  <c r="E447" i="9"/>
  <c r="C448" i="9"/>
  <c r="Q258" i="9"/>
  <c r="P258" i="9"/>
  <c r="G259" i="9"/>
  <c r="I259" i="9"/>
  <c r="H259" i="9"/>
  <c r="A260" i="9"/>
  <c r="M258" i="9"/>
  <c r="L258" i="9"/>
  <c r="K258" i="9"/>
  <c r="J258" i="9"/>
  <c r="N258" i="9"/>
  <c r="D448" i="9" l="1"/>
  <c r="O448" i="9"/>
  <c r="E448" i="9"/>
  <c r="C449" i="9"/>
  <c r="M259" i="9"/>
  <c r="L259" i="9"/>
  <c r="K259" i="9"/>
  <c r="J259" i="9"/>
  <c r="N259" i="9"/>
  <c r="I260" i="9"/>
  <c r="H260" i="9"/>
  <c r="A261" i="9"/>
  <c r="Q259" i="9"/>
  <c r="P259" i="9"/>
  <c r="G260" i="9"/>
  <c r="D449" i="9" l="1"/>
  <c r="O449" i="9"/>
  <c r="E449" i="9"/>
  <c r="C450" i="9"/>
  <c r="Q260" i="9"/>
  <c r="P260" i="9"/>
  <c r="G261" i="9"/>
  <c r="M260" i="9"/>
  <c r="L260" i="9"/>
  <c r="K260" i="9"/>
  <c r="J260" i="9"/>
  <c r="N260" i="9"/>
  <c r="I261" i="9"/>
  <c r="H261" i="9"/>
  <c r="A262" i="9"/>
  <c r="D450" i="9" l="1"/>
  <c r="O450" i="9"/>
  <c r="E450" i="9"/>
  <c r="C451" i="9"/>
  <c r="M261" i="9"/>
  <c r="L261" i="9"/>
  <c r="K261" i="9"/>
  <c r="J261" i="9"/>
  <c r="N261" i="9"/>
  <c r="I262" i="9"/>
  <c r="H262" i="9"/>
  <c r="A263" i="9"/>
  <c r="Q261" i="9"/>
  <c r="P261" i="9"/>
  <c r="G262" i="9"/>
  <c r="D451" i="9" l="1"/>
  <c r="O451" i="9"/>
  <c r="E451" i="9"/>
  <c r="C452" i="9"/>
  <c r="Q262" i="9"/>
  <c r="P262" i="9"/>
  <c r="G263" i="9"/>
  <c r="M262" i="9"/>
  <c r="L262" i="9"/>
  <c r="K262" i="9"/>
  <c r="J262" i="9"/>
  <c r="N262" i="9"/>
  <c r="I263" i="9"/>
  <c r="H263" i="9"/>
  <c r="A264" i="9"/>
  <c r="D452" i="9" l="1"/>
  <c r="O452" i="9"/>
  <c r="E452" i="9"/>
  <c r="C453" i="9"/>
  <c r="M263" i="9"/>
  <c r="L263" i="9"/>
  <c r="K263" i="9"/>
  <c r="J263" i="9"/>
  <c r="N263" i="9"/>
  <c r="I264" i="9"/>
  <c r="H264" i="9"/>
  <c r="A265" i="9"/>
  <c r="Q263" i="9"/>
  <c r="P263" i="9"/>
  <c r="G264" i="9"/>
  <c r="D453" i="9" l="1"/>
  <c r="O453" i="9"/>
  <c r="E453" i="9"/>
  <c r="C454" i="9"/>
  <c r="Q264" i="9"/>
  <c r="P264" i="9"/>
  <c r="G265" i="9"/>
  <c r="I265" i="9"/>
  <c r="H265" i="9"/>
  <c r="A266" i="9"/>
  <c r="M264" i="9"/>
  <c r="L264" i="9"/>
  <c r="K264" i="9"/>
  <c r="J264" i="9"/>
  <c r="N264" i="9"/>
  <c r="D454" i="9" l="1"/>
  <c r="O454" i="9"/>
  <c r="E454" i="9"/>
  <c r="C455" i="9"/>
  <c r="Q265" i="9"/>
  <c r="P265" i="9"/>
  <c r="G266" i="9"/>
  <c r="M265" i="9"/>
  <c r="L265" i="9"/>
  <c r="K265" i="9"/>
  <c r="J265" i="9"/>
  <c r="N265" i="9"/>
  <c r="I266" i="9"/>
  <c r="H266" i="9"/>
  <c r="A267" i="9"/>
  <c r="D455" i="9" l="1"/>
  <c r="O455" i="9"/>
  <c r="E455" i="9"/>
  <c r="C456" i="9"/>
  <c r="I267" i="9"/>
  <c r="H267" i="9"/>
  <c r="A268" i="9"/>
  <c r="Q266" i="9"/>
  <c r="P266" i="9"/>
  <c r="G267" i="9"/>
  <c r="M266" i="9"/>
  <c r="L266" i="9"/>
  <c r="K266" i="9"/>
  <c r="J266" i="9"/>
  <c r="N266" i="9"/>
  <c r="D456" i="9" l="1"/>
  <c r="O456" i="9"/>
  <c r="E456" i="9"/>
  <c r="C457" i="9"/>
  <c r="M267" i="9"/>
  <c r="L267" i="9"/>
  <c r="K267" i="9"/>
  <c r="J267" i="9"/>
  <c r="N267" i="9"/>
  <c r="Q267" i="9"/>
  <c r="P267" i="9"/>
  <c r="G268" i="9"/>
  <c r="I268" i="9"/>
  <c r="H268" i="9"/>
  <c r="A269" i="9"/>
  <c r="D457" i="9" l="1"/>
  <c r="O457" i="9"/>
  <c r="E457" i="9"/>
  <c r="C458" i="9"/>
  <c r="M268" i="9"/>
  <c r="L268" i="9"/>
  <c r="K268" i="9"/>
  <c r="J268" i="9"/>
  <c r="N268" i="9"/>
  <c r="I269" i="9"/>
  <c r="H269" i="9"/>
  <c r="A270" i="9"/>
  <c r="Q268" i="9"/>
  <c r="P268" i="9"/>
  <c r="G269" i="9"/>
  <c r="D458" i="9" l="1"/>
  <c r="O458" i="9"/>
  <c r="E458" i="9"/>
  <c r="C459" i="9"/>
  <c r="Q269" i="9"/>
  <c r="P269" i="9"/>
  <c r="G270" i="9"/>
  <c r="I270" i="9"/>
  <c r="H270" i="9"/>
  <c r="A271" i="9"/>
  <c r="M269" i="9"/>
  <c r="L269" i="9"/>
  <c r="K269" i="9"/>
  <c r="J269" i="9"/>
  <c r="N269" i="9"/>
  <c r="D459" i="9" l="1"/>
  <c r="O459" i="9"/>
  <c r="E459" i="9"/>
  <c r="C460" i="9"/>
  <c r="Q270" i="9"/>
  <c r="P270" i="9"/>
  <c r="G271" i="9"/>
  <c r="M270" i="9"/>
  <c r="L270" i="9"/>
  <c r="K270" i="9"/>
  <c r="J270" i="9"/>
  <c r="N270" i="9"/>
  <c r="I271" i="9"/>
  <c r="H271" i="9"/>
  <c r="A272" i="9"/>
  <c r="D460" i="9" l="1"/>
  <c r="O460" i="9"/>
  <c r="E460" i="9"/>
  <c r="C461" i="9"/>
  <c r="M271" i="9"/>
  <c r="L271" i="9"/>
  <c r="K271" i="9"/>
  <c r="J271" i="9"/>
  <c r="N271" i="9"/>
  <c r="Q271" i="9"/>
  <c r="P271" i="9"/>
  <c r="G272" i="9"/>
  <c r="I272" i="9"/>
  <c r="H272" i="9"/>
  <c r="A273" i="9"/>
  <c r="D461" i="9" l="1"/>
  <c r="O461" i="9"/>
  <c r="E461" i="9"/>
  <c r="C462" i="9"/>
  <c r="M272" i="9"/>
  <c r="L272" i="9"/>
  <c r="K272" i="9"/>
  <c r="J272" i="9"/>
  <c r="N272" i="9"/>
  <c r="Q272" i="9"/>
  <c r="P272" i="9"/>
  <c r="G273" i="9"/>
  <c r="I273" i="9"/>
  <c r="H273" i="9"/>
  <c r="A274" i="9"/>
  <c r="D462" i="9" l="1"/>
  <c r="O462" i="9"/>
  <c r="E462" i="9"/>
  <c r="C463" i="9"/>
  <c r="I274" i="9"/>
  <c r="H274" i="9"/>
  <c r="A275" i="9"/>
  <c r="M273" i="9"/>
  <c r="L273" i="9"/>
  <c r="K273" i="9"/>
  <c r="J273" i="9"/>
  <c r="N273" i="9"/>
  <c r="Q273" i="9"/>
  <c r="P273" i="9"/>
  <c r="G274" i="9"/>
  <c r="D463" i="9" l="1"/>
  <c r="O463" i="9"/>
  <c r="E463" i="9"/>
  <c r="C464" i="9"/>
  <c r="Q274" i="9"/>
  <c r="P274" i="9"/>
  <c r="G275" i="9"/>
  <c r="M274" i="9"/>
  <c r="L274" i="9"/>
  <c r="K274" i="9"/>
  <c r="J274" i="9"/>
  <c r="N274" i="9"/>
  <c r="I275" i="9"/>
  <c r="H275" i="9"/>
  <c r="A276" i="9"/>
  <c r="D464" i="9" l="1"/>
  <c r="O464" i="9"/>
  <c r="E464" i="9"/>
  <c r="C465" i="9"/>
  <c r="M275" i="9"/>
  <c r="L275" i="9"/>
  <c r="K275" i="9"/>
  <c r="J275" i="9"/>
  <c r="N275" i="9"/>
  <c r="I276" i="9"/>
  <c r="H276" i="9"/>
  <c r="A277" i="9"/>
  <c r="Q275" i="9"/>
  <c r="P275" i="9"/>
  <c r="G276" i="9"/>
  <c r="D465" i="9" l="1"/>
  <c r="O465" i="9"/>
  <c r="E465" i="9"/>
  <c r="C466" i="9"/>
  <c r="Q276" i="9"/>
  <c r="P276" i="9"/>
  <c r="G277" i="9"/>
  <c r="I277" i="9"/>
  <c r="H277" i="9"/>
  <c r="A278" i="9"/>
  <c r="M276" i="9"/>
  <c r="L276" i="9"/>
  <c r="K276" i="9"/>
  <c r="J276" i="9"/>
  <c r="N276" i="9"/>
  <c r="D466" i="9" l="1"/>
  <c r="O466" i="9"/>
  <c r="E466" i="9"/>
  <c r="C467" i="9"/>
  <c r="I278" i="9"/>
  <c r="H278" i="9"/>
  <c r="A279" i="9"/>
  <c r="Q277" i="9"/>
  <c r="P277" i="9"/>
  <c r="G278" i="9"/>
  <c r="M277" i="9"/>
  <c r="L277" i="9"/>
  <c r="K277" i="9"/>
  <c r="J277" i="9"/>
  <c r="N277" i="9"/>
  <c r="D467" i="9" l="1"/>
  <c r="O467" i="9"/>
  <c r="E467" i="9"/>
  <c r="C468" i="9"/>
  <c r="Q278" i="9"/>
  <c r="P278" i="9"/>
  <c r="G279" i="9"/>
  <c r="M278" i="9"/>
  <c r="L278" i="9"/>
  <c r="K278" i="9"/>
  <c r="J278" i="9"/>
  <c r="N278" i="9"/>
  <c r="I279" i="9"/>
  <c r="H279" i="9"/>
  <c r="A280" i="9"/>
  <c r="D468" i="9" l="1"/>
  <c r="O468" i="9"/>
  <c r="E468" i="9"/>
  <c r="C469" i="9"/>
  <c r="Q279" i="9"/>
  <c r="P279" i="9"/>
  <c r="G280" i="9"/>
  <c r="I280" i="9"/>
  <c r="H280" i="9"/>
  <c r="A281" i="9"/>
  <c r="M279" i="9"/>
  <c r="L279" i="9"/>
  <c r="K279" i="9"/>
  <c r="J279" i="9"/>
  <c r="N279" i="9"/>
  <c r="D469" i="9" l="1"/>
  <c r="O469" i="9"/>
  <c r="E469" i="9"/>
  <c r="C470" i="9"/>
  <c r="M280" i="9"/>
  <c r="L280" i="9"/>
  <c r="K280" i="9"/>
  <c r="J280" i="9"/>
  <c r="N280" i="9"/>
  <c r="I281" i="9"/>
  <c r="H281" i="9"/>
  <c r="A282" i="9"/>
  <c r="Q280" i="9"/>
  <c r="P280" i="9"/>
  <c r="G281" i="9"/>
  <c r="D470" i="9" l="1"/>
  <c r="O470" i="9"/>
  <c r="E470" i="9"/>
  <c r="C471" i="9"/>
  <c r="I282" i="9"/>
  <c r="H282" i="9"/>
  <c r="A283" i="9"/>
  <c r="Q281" i="9"/>
  <c r="P281" i="9"/>
  <c r="G282" i="9"/>
  <c r="M281" i="9"/>
  <c r="L281" i="9"/>
  <c r="K281" i="9"/>
  <c r="J281" i="9"/>
  <c r="N281" i="9"/>
  <c r="D471" i="9" l="1"/>
  <c r="O471" i="9"/>
  <c r="E471" i="9"/>
  <c r="C472" i="9"/>
  <c r="Q282" i="9"/>
  <c r="P282" i="9"/>
  <c r="G283" i="9"/>
  <c r="M282" i="9"/>
  <c r="L282" i="9"/>
  <c r="K282" i="9"/>
  <c r="J282" i="9"/>
  <c r="N282" i="9"/>
  <c r="I283" i="9"/>
  <c r="H283" i="9"/>
  <c r="A284" i="9"/>
  <c r="D472" i="9" l="1"/>
  <c r="O472" i="9"/>
  <c r="E472" i="9"/>
  <c r="C473" i="9"/>
  <c r="I284" i="9"/>
  <c r="H284" i="9"/>
  <c r="A285" i="9"/>
  <c r="M283" i="9"/>
  <c r="L283" i="9"/>
  <c r="K283" i="9"/>
  <c r="J283" i="9"/>
  <c r="N283" i="9"/>
  <c r="Q283" i="9"/>
  <c r="P283" i="9"/>
  <c r="G284" i="9"/>
  <c r="D473" i="9" l="1"/>
  <c r="O473" i="9"/>
  <c r="E473" i="9"/>
  <c r="C474" i="9"/>
  <c r="Q284" i="9"/>
  <c r="P284" i="9"/>
  <c r="G285" i="9"/>
  <c r="M284" i="9"/>
  <c r="L284" i="9"/>
  <c r="K284" i="9"/>
  <c r="J284" i="9"/>
  <c r="N284" i="9"/>
  <c r="I285" i="9"/>
  <c r="H285" i="9"/>
  <c r="A286" i="9"/>
  <c r="D474" i="9" l="1"/>
  <c r="O474" i="9"/>
  <c r="E474" i="9"/>
  <c r="C475" i="9"/>
  <c r="M285" i="9"/>
  <c r="L285" i="9"/>
  <c r="K285" i="9"/>
  <c r="J285" i="9"/>
  <c r="N285" i="9"/>
  <c r="I286" i="9"/>
  <c r="H286" i="9"/>
  <c r="A287" i="9"/>
  <c r="Q285" i="9"/>
  <c r="P285" i="9"/>
  <c r="G286" i="9"/>
  <c r="D475" i="9" l="1"/>
  <c r="O475" i="9"/>
  <c r="E475" i="9"/>
  <c r="C476" i="9"/>
  <c r="M286" i="9"/>
  <c r="L286" i="9"/>
  <c r="K286" i="9"/>
  <c r="J286" i="9"/>
  <c r="N286" i="9"/>
  <c r="Q286" i="9"/>
  <c r="P286" i="9"/>
  <c r="G287" i="9"/>
  <c r="I287" i="9"/>
  <c r="H287" i="9"/>
  <c r="A288" i="9"/>
  <c r="D476" i="9" l="1"/>
  <c r="O476" i="9"/>
  <c r="E476" i="9"/>
  <c r="C477" i="9"/>
  <c r="M287" i="9"/>
  <c r="L287" i="9"/>
  <c r="K287" i="9"/>
  <c r="J287" i="9"/>
  <c r="N287" i="9"/>
  <c r="I288" i="9"/>
  <c r="H288" i="9"/>
  <c r="A289" i="9"/>
  <c r="Q287" i="9"/>
  <c r="P287" i="9"/>
  <c r="G288" i="9"/>
  <c r="D477" i="9" l="1"/>
  <c r="O477" i="9"/>
  <c r="E477" i="9"/>
  <c r="C478" i="9"/>
  <c r="M288" i="9"/>
  <c r="L288" i="9"/>
  <c r="K288" i="9"/>
  <c r="J288" i="9"/>
  <c r="N288" i="9"/>
  <c r="I289" i="9"/>
  <c r="H289" i="9"/>
  <c r="A290" i="9"/>
  <c r="Q288" i="9"/>
  <c r="P288" i="9"/>
  <c r="G289" i="9"/>
  <c r="D478" i="9" l="1"/>
  <c r="O478" i="9"/>
  <c r="E478" i="9"/>
  <c r="C479" i="9"/>
  <c r="Q289" i="9"/>
  <c r="P289" i="9"/>
  <c r="G290" i="9"/>
  <c r="I290" i="9"/>
  <c r="H290" i="9"/>
  <c r="A291" i="9"/>
  <c r="M289" i="9"/>
  <c r="L289" i="9"/>
  <c r="K289" i="9"/>
  <c r="J289" i="9"/>
  <c r="N289" i="9"/>
  <c r="D479" i="9" l="1"/>
  <c r="O479" i="9"/>
  <c r="E479" i="9"/>
  <c r="C480" i="9"/>
  <c r="M290" i="9"/>
  <c r="L290" i="9"/>
  <c r="K290" i="9"/>
  <c r="J290" i="9"/>
  <c r="N290" i="9"/>
  <c r="Q290" i="9"/>
  <c r="P290" i="9"/>
  <c r="G291" i="9"/>
  <c r="I291" i="9"/>
  <c r="H291" i="9"/>
  <c r="A292" i="9"/>
  <c r="D480" i="9" l="1"/>
  <c r="O480" i="9"/>
  <c r="E480" i="9"/>
  <c r="C481" i="9"/>
  <c r="I292" i="9"/>
  <c r="H292" i="9"/>
  <c r="A293" i="9"/>
  <c r="M291" i="9"/>
  <c r="L291" i="9"/>
  <c r="K291" i="9"/>
  <c r="J291" i="9"/>
  <c r="N291" i="9"/>
  <c r="Q291" i="9"/>
  <c r="P291" i="9"/>
  <c r="G292" i="9"/>
  <c r="D481" i="9" l="1"/>
  <c r="O481" i="9"/>
  <c r="E481" i="9"/>
  <c r="C482" i="9"/>
  <c r="M292" i="9"/>
  <c r="L292" i="9"/>
  <c r="K292" i="9"/>
  <c r="J292" i="9"/>
  <c r="N292" i="9"/>
  <c r="Q292" i="9"/>
  <c r="P292" i="9"/>
  <c r="G293" i="9"/>
  <c r="I293" i="9"/>
  <c r="H293" i="9"/>
  <c r="A294" i="9"/>
  <c r="D482" i="9" l="1"/>
  <c r="O482" i="9"/>
  <c r="E482" i="9"/>
  <c r="C483" i="9"/>
  <c r="Q293" i="9"/>
  <c r="P293" i="9"/>
  <c r="G294" i="9"/>
  <c r="I294" i="9"/>
  <c r="H294" i="9"/>
  <c r="A295" i="9"/>
  <c r="M293" i="9"/>
  <c r="L293" i="9"/>
  <c r="K293" i="9"/>
  <c r="J293" i="9"/>
  <c r="N293" i="9"/>
  <c r="D483" i="9" l="1"/>
  <c r="O483" i="9"/>
  <c r="E483" i="9"/>
  <c r="C484" i="9"/>
  <c r="M294" i="9"/>
  <c r="L294" i="9"/>
  <c r="K294" i="9"/>
  <c r="J294" i="9"/>
  <c r="N294" i="9"/>
  <c r="Q294" i="9"/>
  <c r="P294" i="9"/>
  <c r="G295" i="9"/>
  <c r="I295" i="9"/>
  <c r="H295" i="9"/>
  <c r="A296" i="9"/>
  <c r="D484" i="9" l="1"/>
  <c r="O484" i="9"/>
  <c r="E484" i="9"/>
  <c r="C485" i="9"/>
  <c r="I296" i="9"/>
  <c r="H296" i="9"/>
  <c r="A297" i="9"/>
  <c r="Q295" i="9"/>
  <c r="P295" i="9"/>
  <c r="G296" i="9"/>
  <c r="M295" i="9"/>
  <c r="L295" i="9"/>
  <c r="K295" i="9"/>
  <c r="J295" i="9"/>
  <c r="N295" i="9"/>
  <c r="D485" i="9" l="1"/>
  <c r="O485" i="9"/>
  <c r="E485" i="9"/>
  <c r="C486" i="9"/>
  <c r="M296" i="9"/>
  <c r="L296" i="9"/>
  <c r="K296" i="9"/>
  <c r="J296" i="9"/>
  <c r="N296" i="9"/>
  <c r="Q296" i="9"/>
  <c r="P296" i="9"/>
  <c r="G297" i="9"/>
  <c r="I297" i="9"/>
  <c r="H297" i="9"/>
  <c r="A298" i="9"/>
  <c r="D486" i="9" l="1"/>
  <c r="O486" i="9"/>
  <c r="E486" i="9"/>
  <c r="C487" i="9"/>
  <c r="M297" i="9"/>
  <c r="L297" i="9"/>
  <c r="K297" i="9"/>
  <c r="J297" i="9"/>
  <c r="N297" i="9"/>
  <c r="I298" i="9"/>
  <c r="H298" i="9"/>
  <c r="A299" i="9"/>
  <c r="Q297" i="9"/>
  <c r="P297" i="9"/>
  <c r="G298" i="9"/>
  <c r="D487" i="9" l="1"/>
  <c r="O487" i="9"/>
  <c r="E487" i="9"/>
  <c r="C488" i="9"/>
  <c r="I299" i="9"/>
  <c r="H299" i="9"/>
  <c r="A300" i="9"/>
  <c r="M298" i="9"/>
  <c r="L298" i="9"/>
  <c r="K298" i="9"/>
  <c r="J298" i="9"/>
  <c r="N298" i="9"/>
  <c r="Q298" i="9"/>
  <c r="P298" i="9"/>
  <c r="G299" i="9"/>
  <c r="D488" i="9" l="1"/>
  <c r="O488" i="9"/>
  <c r="E488" i="9"/>
  <c r="C489" i="9"/>
  <c r="Q299" i="9"/>
  <c r="P299" i="9"/>
  <c r="G300" i="9"/>
  <c r="M299" i="9"/>
  <c r="L299" i="9"/>
  <c r="K299" i="9"/>
  <c r="J299" i="9"/>
  <c r="N299" i="9"/>
  <c r="I300" i="9"/>
  <c r="H300" i="9"/>
  <c r="A301" i="9"/>
  <c r="D489" i="9" l="1"/>
  <c r="O489" i="9"/>
  <c r="E489" i="9"/>
  <c r="C490" i="9"/>
  <c r="Q300" i="9"/>
  <c r="P300" i="9"/>
  <c r="G301" i="9"/>
  <c r="M300" i="9"/>
  <c r="L300" i="9"/>
  <c r="K300" i="9"/>
  <c r="J300" i="9"/>
  <c r="N300" i="9"/>
  <c r="I301" i="9"/>
  <c r="H301" i="9"/>
  <c r="A302" i="9"/>
  <c r="D490" i="9" l="1"/>
  <c r="O490" i="9"/>
  <c r="E490" i="9"/>
  <c r="C491" i="9"/>
  <c r="M301" i="9"/>
  <c r="L301" i="9"/>
  <c r="K301" i="9"/>
  <c r="J301" i="9"/>
  <c r="N301" i="9"/>
  <c r="I302" i="9"/>
  <c r="H302" i="9"/>
  <c r="A303" i="9"/>
  <c r="Q301" i="9"/>
  <c r="P301" i="9"/>
  <c r="G302" i="9"/>
  <c r="D491" i="9" l="1"/>
  <c r="O491" i="9"/>
  <c r="E491" i="9"/>
  <c r="C492" i="9"/>
  <c r="I303" i="9"/>
  <c r="H303" i="9"/>
  <c r="A304" i="9"/>
  <c r="M302" i="9"/>
  <c r="L302" i="9"/>
  <c r="K302" i="9"/>
  <c r="J302" i="9"/>
  <c r="N302" i="9"/>
  <c r="Q302" i="9"/>
  <c r="P302" i="9"/>
  <c r="G303" i="9"/>
  <c r="D492" i="9" l="1"/>
  <c r="O492" i="9"/>
  <c r="E492" i="9"/>
  <c r="C493" i="9"/>
  <c r="Q303" i="9"/>
  <c r="P303" i="9"/>
  <c r="G304" i="9"/>
  <c r="I304" i="9"/>
  <c r="H304" i="9"/>
  <c r="A305" i="9"/>
  <c r="M303" i="9"/>
  <c r="L303" i="9"/>
  <c r="K303" i="9"/>
  <c r="J303" i="9"/>
  <c r="N303" i="9"/>
  <c r="D493" i="9" l="1"/>
  <c r="O493" i="9"/>
  <c r="E493" i="9"/>
  <c r="C494" i="9"/>
  <c r="I305" i="9"/>
  <c r="H305" i="9"/>
  <c r="A306" i="9"/>
  <c r="M304" i="9"/>
  <c r="L304" i="9"/>
  <c r="K304" i="9"/>
  <c r="J304" i="9"/>
  <c r="N304" i="9"/>
  <c r="Q304" i="9"/>
  <c r="P304" i="9"/>
  <c r="G305" i="9"/>
  <c r="D494" i="9" l="1"/>
  <c r="O494" i="9"/>
  <c r="E494" i="9"/>
  <c r="C495" i="9"/>
  <c r="M305" i="9"/>
  <c r="L305" i="9"/>
  <c r="K305" i="9"/>
  <c r="J305" i="9"/>
  <c r="N305" i="9"/>
  <c r="Q305" i="9"/>
  <c r="P305" i="9"/>
  <c r="G306" i="9"/>
  <c r="I306" i="9"/>
  <c r="H306" i="9"/>
  <c r="A307" i="9"/>
  <c r="D495" i="9" l="1"/>
  <c r="O495" i="9"/>
  <c r="E495" i="9"/>
  <c r="C496" i="9"/>
  <c r="M306" i="9"/>
  <c r="L306" i="9"/>
  <c r="K306" i="9"/>
  <c r="J306" i="9"/>
  <c r="N306" i="9"/>
  <c r="Q306" i="9"/>
  <c r="P306" i="9"/>
  <c r="G307" i="9"/>
  <c r="I307" i="9"/>
  <c r="H307" i="9"/>
  <c r="A308" i="9"/>
  <c r="D496" i="9" l="1"/>
  <c r="O496" i="9"/>
  <c r="E496" i="9"/>
  <c r="C497" i="9"/>
  <c r="I308" i="9"/>
  <c r="H308" i="9"/>
  <c r="A309" i="9"/>
  <c r="M307" i="9"/>
  <c r="L307" i="9"/>
  <c r="K307" i="9"/>
  <c r="J307" i="9"/>
  <c r="N307" i="9"/>
  <c r="Q307" i="9"/>
  <c r="P307" i="9"/>
  <c r="G308" i="9"/>
  <c r="D497" i="9" l="1"/>
  <c r="O497" i="9"/>
  <c r="E497" i="9"/>
  <c r="C498" i="9"/>
  <c r="I309" i="9"/>
  <c r="H309" i="9"/>
  <c r="A310" i="9"/>
  <c r="M308" i="9"/>
  <c r="L308" i="9"/>
  <c r="K308" i="9"/>
  <c r="J308" i="9"/>
  <c r="N308" i="9"/>
  <c r="Q308" i="9"/>
  <c r="P308" i="9"/>
  <c r="G309" i="9"/>
  <c r="D498" i="9" l="1"/>
  <c r="O498" i="9"/>
  <c r="E498" i="9"/>
  <c r="C499" i="9"/>
  <c r="M309" i="9"/>
  <c r="L309" i="9"/>
  <c r="K309" i="9"/>
  <c r="J309" i="9"/>
  <c r="N309" i="9"/>
  <c r="Q309" i="9"/>
  <c r="P309" i="9"/>
  <c r="G310" i="9"/>
  <c r="I310" i="9"/>
  <c r="H310" i="9"/>
  <c r="A311" i="9"/>
  <c r="D499" i="9" l="1"/>
  <c r="O499" i="9"/>
  <c r="E499" i="9"/>
  <c r="C500" i="9"/>
  <c r="Q310" i="9"/>
  <c r="P310" i="9"/>
  <c r="G311" i="9"/>
  <c r="M310" i="9"/>
  <c r="L310" i="9"/>
  <c r="K310" i="9"/>
  <c r="J310" i="9"/>
  <c r="N310" i="9"/>
  <c r="I311" i="9"/>
  <c r="H311" i="9"/>
  <c r="A312" i="9"/>
  <c r="D500" i="9" l="1"/>
  <c r="O500" i="9"/>
  <c r="E500" i="9"/>
  <c r="C501" i="9"/>
  <c r="M311" i="9"/>
  <c r="L311" i="9"/>
  <c r="K311" i="9"/>
  <c r="J311" i="9"/>
  <c r="N311" i="9"/>
  <c r="I312" i="9"/>
  <c r="H312" i="9"/>
  <c r="A313" i="9"/>
  <c r="Q311" i="9"/>
  <c r="P311" i="9"/>
  <c r="G312" i="9"/>
  <c r="D501" i="9" l="1"/>
  <c r="O501" i="9"/>
  <c r="E501" i="9"/>
  <c r="C502" i="9"/>
  <c r="Q312" i="9"/>
  <c r="P312" i="9"/>
  <c r="G313" i="9"/>
  <c r="I313" i="9"/>
  <c r="H313" i="9"/>
  <c r="A314" i="9"/>
  <c r="M312" i="9"/>
  <c r="L312" i="9"/>
  <c r="K312" i="9"/>
  <c r="J312" i="9"/>
  <c r="N312" i="9"/>
  <c r="D502" i="9" l="1"/>
  <c r="O502" i="9"/>
  <c r="E502" i="9"/>
  <c r="C503" i="9"/>
  <c r="M313" i="9"/>
  <c r="L313" i="9"/>
  <c r="K313" i="9"/>
  <c r="J313" i="9"/>
  <c r="N313" i="9"/>
  <c r="Q313" i="9"/>
  <c r="P313" i="9"/>
  <c r="G314" i="9"/>
  <c r="I314" i="9"/>
  <c r="H314" i="9"/>
  <c r="A315" i="9"/>
  <c r="D503" i="9" l="1"/>
  <c r="O503" i="9"/>
  <c r="E503" i="9"/>
  <c r="C504" i="9"/>
  <c r="I315" i="9"/>
  <c r="H315" i="9"/>
  <c r="A316" i="9"/>
  <c r="Q314" i="9"/>
  <c r="P314" i="9"/>
  <c r="G315" i="9"/>
  <c r="M314" i="9"/>
  <c r="L314" i="9"/>
  <c r="K314" i="9"/>
  <c r="J314" i="9"/>
  <c r="N314" i="9"/>
  <c r="D504" i="9" l="1"/>
  <c r="O504" i="9"/>
  <c r="E504" i="9"/>
  <c r="C505" i="9"/>
  <c r="I316" i="9"/>
  <c r="H316" i="9"/>
  <c r="A317" i="9"/>
  <c r="Q315" i="9"/>
  <c r="P315" i="9"/>
  <c r="G316" i="9"/>
  <c r="M315" i="9"/>
  <c r="L315" i="9"/>
  <c r="K315" i="9"/>
  <c r="J315" i="9"/>
  <c r="N315" i="9"/>
  <c r="D505" i="9" l="1"/>
  <c r="O505" i="9"/>
  <c r="E505" i="9"/>
  <c r="C506" i="9"/>
  <c r="Q316" i="9"/>
  <c r="P316" i="9"/>
  <c r="G317" i="9"/>
  <c r="I317" i="9"/>
  <c r="H317" i="9"/>
  <c r="A318" i="9"/>
  <c r="M316" i="9"/>
  <c r="L316" i="9"/>
  <c r="K316" i="9"/>
  <c r="J316" i="9"/>
  <c r="N316" i="9"/>
  <c r="D506" i="9" l="1"/>
  <c r="O506" i="9"/>
  <c r="E506" i="9"/>
  <c r="C507" i="9"/>
  <c r="M317" i="9"/>
  <c r="L317" i="9"/>
  <c r="K317" i="9"/>
  <c r="J317" i="9"/>
  <c r="N317" i="9"/>
  <c r="I318" i="9"/>
  <c r="H318" i="9"/>
  <c r="A319" i="9"/>
  <c r="Q317" i="9"/>
  <c r="P317" i="9"/>
  <c r="G318" i="9"/>
  <c r="D507" i="9" l="1"/>
  <c r="O507" i="9"/>
  <c r="E507" i="9"/>
  <c r="C508" i="9"/>
  <c r="I319" i="9"/>
  <c r="H319" i="9"/>
  <c r="A320" i="9"/>
  <c r="Q318" i="9"/>
  <c r="P318" i="9"/>
  <c r="G319" i="9"/>
  <c r="M318" i="9"/>
  <c r="L318" i="9"/>
  <c r="K318" i="9"/>
  <c r="J318" i="9"/>
  <c r="N318" i="9"/>
  <c r="D508" i="9" l="1"/>
  <c r="O508" i="9"/>
  <c r="E508" i="9"/>
  <c r="C509" i="9"/>
  <c r="M319" i="9"/>
  <c r="L319" i="9"/>
  <c r="K319" i="9"/>
  <c r="J319" i="9"/>
  <c r="N319" i="9"/>
  <c r="Q319" i="9"/>
  <c r="P319" i="9"/>
  <c r="G320" i="9"/>
  <c r="I320" i="9"/>
  <c r="H320" i="9"/>
  <c r="A321" i="9"/>
  <c r="D509" i="9" l="1"/>
  <c r="O509" i="9"/>
  <c r="E509" i="9"/>
  <c r="C510" i="9"/>
  <c r="I321" i="9"/>
  <c r="H321" i="9"/>
  <c r="A322" i="9"/>
  <c r="Q320" i="9"/>
  <c r="P320" i="9"/>
  <c r="G321" i="9"/>
  <c r="M320" i="9"/>
  <c r="L320" i="9"/>
  <c r="K320" i="9"/>
  <c r="J320" i="9"/>
  <c r="N320" i="9"/>
  <c r="D510" i="9" l="1"/>
  <c r="O510" i="9"/>
  <c r="E510" i="9"/>
  <c r="C511" i="9"/>
  <c r="M321" i="9"/>
  <c r="L321" i="9"/>
  <c r="K321" i="9"/>
  <c r="J321" i="9"/>
  <c r="N321" i="9"/>
  <c r="Q321" i="9"/>
  <c r="P321" i="9"/>
  <c r="G322" i="9"/>
  <c r="I322" i="9"/>
  <c r="H322" i="9"/>
  <c r="A323" i="9"/>
  <c r="D511" i="9" l="1"/>
  <c r="O511" i="9"/>
  <c r="E511" i="9"/>
  <c r="C512" i="9"/>
  <c r="I323" i="9"/>
  <c r="H323" i="9"/>
  <c r="A324" i="9"/>
  <c r="M322" i="9"/>
  <c r="L322" i="9"/>
  <c r="K322" i="9"/>
  <c r="J322" i="9"/>
  <c r="N322" i="9"/>
  <c r="Q322" i="9"/>
  <c r="P322" i="9"/>
  <c r="G323" i="9"/>
  <c r="D512" i="9" l="1"/>
  <c r="E512" i="9"/>
  <c r="O512" i="9"/>
  <c r="C513" i="9"/>
  <c r="M323" i="9"/>
  <c r="L323" i="9"/>
  <c r="K323" i="9"/>
  <c r="J323" i="9"/>
  <c r="N323" i="9"/>
  <c r="Q323" i="9"/>
  <c r="P323" i="9"/>
  <c r="G324" i="9"/>
  <c r="I324" i="9"/>
  <c r="H324" i="9"/>
  <c r="A325" i="9"/>
  <c r="D513" i="9" l="1"/>
  <c r="E513" i="9"/>
  <c r="C514" i="9"/>
  <c r="O513" i="9"/>
  <c r="Q324" i="9"/>
  <c r="P324" i="9"/>
  <c r="G325" i="9"/>
  <c r="M324" i="9"/>
  <c r="L324" i="9"/>
  <c r="K324" i="9"/>
  <c r="J324" i="9"/>
  <c r="N324" i="9"/>
  <c r="I325" i="9"/>
  <c r="H325" i="9"/>
  <c r="A326" i="9"/>
  <c r="D514" i="9" l="1"/>
  <c r="E514" i="9"/>
  <c r="C515" i="9"/>
  <c r="O514" i="9"/>
  <c r="I326" i="9"/>
  <c r="H326" i="9"/>
  <c r="A327" i="9"/>
  <c r="Q325" i="9"/>
  <c r="P325" i="9"/>
  <c r="G326" i="9"/>
  <c r="M325" i="9"/>
  <c r="L325" i="9"/>
  <c r="K325" i="9"/>
  <c r="J325" i="9"/>
  <c r="N325" i="9"/>
  <c r="D515" i="9" l="1"/>
  <c r="E515" i="9"/>
  <c r="C516" i="9"/>
  <c r="O515" i="9"/>
  <c r="Q326" i="9"/>
  <c r="P326" i="9"/>
  <c r="G327" i="9"/>
  <c r="M326" i="9"/>
  <c r="L326" i="9"/>
  <c r="K326" i="9"/>
  <c r="J326" i="9"/>
  <c r="N326" i="9"/>
  <c r="I327" i="9"/>
  <c r="H327" i="9"/>
  <c r="A328" i="9"/>
  <c r="D516" i="9" l="1"/>
  <c r="E516" i="9"/>
  <c r="O516" i="9"/>
  <c r="C517" i="9"/>
  <c r="M327" i="9"/>
  <c r="L327" i="9"/>
  <c r="K327" i="9"/>
  <c r="J327" i="9"/>
  <c r="N327" i="9"/>
  <c r="I328" i="9"/>
  <c r="H328" i="9"/>
  <c r="A329" i="9"/>
  <c r="Q327" i="9"/>
  <c r="P327" i="9"/>
  <c r="G328" i="9"/>
  <c r="D517" i="9" l="1"/>
  <c r="E517" i="9"/>
  <c r="C518" i="9"/>
  <c r="O517" i="9"/>
  <c r="Q328" i="9"/>
  <c r="P328" i="9"/>
  <c r="G329" i="9"/>
  <c r="M328" i="9"/>
  <c r="L328" i="9"/>
  <c r="K328" i="9"/>
  <c r="J328" i="9"/>
  <c r="N328" i="9"/>
  <c r="I329" i="9"/>
  <c r="H329" i="9"/>
  <c r="A330" i="9"/>
  <c r="D518" i="9" l="1"/>
  <c r="E518" i="9"/>
  <c r="C519" i="9"/>
  <c r="O518" i="9"/>
  <c r="M329" i="9"/>
  <c r="L329" i="9"/>
  <c r="K329" i="9"/>
  <c r="J329" i="9"/>
  <c r="N329" i="9"/>
  <c r="I330" i="9"/>
  <c r="H330" i="9"/>
  <c r="A331" i="9"/>
  <c r="Q329" i="9"/>
  <c r="P329" i="9"/>
  <c r="G330" i="9"/>
  <c r="D519" i="9" l="1"/>
  <c r="E519" i="9"/>
  <c r="C520" i="9"/>
  <c r="O519" i="9"/>
  <c r="Q330" i="9"/>
  <c r="P330" i="9"/>
  <c r="G331" i="9"/>
  <c r="I331" i="9"/>
  <c r="H331" i="9"/>
  <c r="A332" i="9"/>
  <c r="M330" i="9"/>
  <c r="L330" i="9"/>
  <c r="K330" i="9"/>
  <c r="J330" i="9"/>
  <c r="N330" i="9"/>
  <c r="D520" i="9" l="1"/>
  <c r="E520" i="9"/>
  <c r="O520" i="9"/>
  <c r="C521" i="9"/>
  <c r="Q331" i="9"/>
  <c r="P331" i="9"/>
  <c r="G332" i="9"/>
  <c r="M331" i="9"/>
  <c r="L331" i="9"/>
  <c r="K331" i="9"/>
  <c r="J331" i="9"/>
  <c r="N331" i="9"/>
  <c r="I332" i="9"/>
  <c r="H332" i="9"/>
  <c r="A333" i="9"/>
  <c r="D521" i="9" l="1"/>
  <c r="E521" i="9"/>
  <c r="C522" i="9"/>
  <c r="O521" i="9"/>
  <c r="Q332" i="9"/>
  <c r="P332" i="9"/>
  <c r="G333" i="9"/>
  <c r="M332" i="9"/>
  <c r="L332" i="9"/>
  <c r="K332" i="9"/>
  <c r="J332" i="9"/>
  <c r="N332" i="9"/>
  <c r="I333" i="9"/>
  <c r="H333" i="9"/>
  <c r="A334" i="9"/>
  <c r="D522" i="9" l="1"/>
  <c r="E522" i="9"/>
  <c r="C523" i="9"/>
  <c r="O522" i="9"/>
  <c r="M333" i="9"/>
  <c r="L333" i="9"/>
  <c r="K333" i="9"/>
  <c r="J333" i="9"/>
  <c r="N333" i="9"/>
  <c r="I334" i="9"/>
  <c r="H334" i="9"/>
  <c r="A335" i="9"/>
  <c r="Q333" i="9"/>
  <c r="P333" i="9"/>
  <c r="G334" i="9"/>
  <c r="D523" i="9" l="1"/>
  <c r="E523" i="9"/>
  <c r="C524" i="9"/>
  <c r="O523" i="9"/>
  <c r="M334" i="9"/>
  <c r="L334" i="9"/>
  <c r="K334" i="9"/>
  <c r="J334" i="9"/>
  <c r="N334" i="9"/>
  <c r="Q334" i="9"/>
  <c r="P334" i="9"/>
  <c r="G335" i="9"/>
  <c r="I335" i="9"/>
  <c r="H335" i="9"/>
  <c r="A336" i="9"/>
  <c r="D524" i="9" l="1"/>
  <c r="E524" i="9"/>
  <c r="O524" i="9"/>
  <c r="C525" i="9"/>
  <c r="Q335" i="9"/>
  <c r="P335" i="9"/>
  <c r="G336" i="9"/>
  <c r="M335" i="9"/>
  <c r="L335" i="9"/>
  <c r="K335" i="9"/>
  <c r="J335" i="9"/>
  <c r="N335" i="9"/>
  <c r="I336" i="9"/>
  <c r="H336" i="9"/>
  <c r="A337" i="9"/>
  <c r="D525" i="9" l="1"/>
  <c r="E525" i="9"/>
  <c r="C526" i="9"/>
  <c r="O525" i="9"/>
  <c r="I337" i="9"/>
  <c r="H337" i="9"/>
  <c r="A338" i="9"/>
  <c r="M336" i="9"/>
  <c r="L336" i="9"/>
  <c r="K336" i="9"/>
  <c r="J336" i="9"/>
  <c r="N336" i="9"/>
  <c r="Q336" i="9"/>
  <c r="P336" i="9"/>
  <c r="G337" i="9"/>
  <c r="D526" i="9" l="1"/>
  <c r="E526" i="9"/>
  <c r="C527" i="9"/>
  <c r="O526" i="9"/>
  <c r="I338" i="9"/>
  <c r="H338" i="9"/>
  <c r="A339" i="9"/>
  <c r="Q337" i="9"/>
  <c r="P337" i="9"/>
  <c r="G338" i="9"/>
  <c r="M337" i="9"/>
  <c r="L337" i="9"/>
  <c r="K337" i="9"/>
  <c r="J337" i="9"/>
  <c r="N337" i="9"/>
  <c r="D527" i="9" l="1"/>
  <c r="E527" i="9"/>
  <c r="C528" i="9"/>
  <c r="O527" i="9"/>
  <c r="Q338" i="9"/>
  <c r="P338" i="9"/>
  <c r="G339" i="9"/>
  <c r="M338" i="9"/>
  <c r="L338" i="9"/>
  <c r="K338" i="9"/>
  <c r="J338" i="9"/>
  <c r="N338" i="9"/>
  <c r="I339" i="9"/>
  <c r="H339" i="9"/>
  <c r="A340" i="9"/>
  <c r="D528" i="9" l="1"/>
  <c r="E528" i="9"/>
  <c r="O528" i="9"/>
  <c r="C529" i="9"/>
  <c r="I340" i="9"/>
  <c r="H340" i="9"/>
  <c r="A341" i="9"/>
  <c r="Q339" i="9"/>
  <c r="P339" i="9"/>
  <c r="G340" i="9"/>
  <c r="M339" i="9"/>
  <c r="L339" i="9"/>
  <c r="K339" i="9"/>
  <c r="J339" i="9"/>
  <c r="N339" i="9"/>
  <c r="D529" i="9" l="1"/>
  <c r="E529" i="9"/>
  <c r="C530" i="9"/>
  <c r="O529" i="9"/>
  <c r="I341" i="9"/>
  <c r="H341" i="9"/>
  <c r="A342" i="9"/>
  <c r="Q340" i="9"/>
  <c r="P340" i="9"/>
  <c r="G341" i="9"/>
  <c r="M340" i="9"/>
  <c r="L340" i="9"/>
  <c r="K340" i="9"/>
  <c r="J340" i="9"/>
  <c r="N340" i="9"/>
  <c r="D530" i="9" l="1"/>
  <c r="E530" i="9"/>
  <c r="C531" i="9"/>
  <c r="O530" i="9"/>
  <c r="M341" i="9"/>
  <c r="L341" i="9"/>
  <c r="K341" i="9"/>
  <c r="J341" i="9"/>
  <c r="N341" i="9"/>
  <c r="Q341" i="9"/>
  <c r="P341" i="9"/>
  <c r="G342" i="9"/>
  <c r="I342" i="9"/>
  <c r="H342" i="9"/>
  <c r="A343" i="9"/>
  <c r="D531" i="9" l="1"/>
  <c r="E531" i="9"/>
  <c r="C532" i="9"/>
  <c r="O531" i="9"/>
  <c r="M342" i="9"/>
  <c r="L342" i="9"/>
  <c r="K342" i="9"/>
  <c r="J342" i="9"/>
  <c r="N342" i="9"/>
  <c r="Q342" i="9"/>
  <c r="P342" i="9"/>
  <c r="G343" i="9"/>
  <c r="I343" i="9"/>
  <c r="H343" i="9"/>
  <c r="A344" i="9"/>
  <c r="D532" i="9" l="1"/>
  <c r="E532" i="9"/>
  <c r="O532" i="9"/>
  <c r="C533" i="9"/>
  <c r="M343" i="9"/>
  <c r="L343" i="9"/>
  <c r="K343" i="9"/>
  <c r="J343" i="9"/>
  <c r="N343" i="9"/>
  <c r="Q343" i="9"/>
  <c r="P343" i="9"/>
  <c r="G344" i="9"/>
  <c r="I344" i="9"/>
  <c r="H344" i="9"/>
  <c r="A345" i="9"/>
  <c r="D533" i="9" l="1"/>
  <c r="E533" i="9"/>
  <c r="C534" i="9"/>
  <c r="O533" i="9"/>
  <c r="I345" i="9"/>
  <c r="H345" i="9"/>
  <c r="A346" i="9"/>
  <c r="Q344" i="9"/>
  <c r="P344" i="9"/>
  <c r="G345" i="9"/>
  <c r="M344" i="9"/>
  <c r="L344" i="9"/>
  <c r="K344" i="9"/>
  <c r="J344" i="9"/>
  <c r="N344" i="9"/>
  <c r="D534" i="9" l="1"/>
  <c r="E534" i="9"/>
  <c r="C535" i="9"/>
  <c r="O534" i="9"/>
  <c r="Q345" i="9"/>
  <c r="P345" i="9"/>
  <c r="G346" i="9"/>
  <c r="M345" i="9"/>
  <c r="L345" i="9"/>
  <c r="K345" i="9"/>
  <c r="J345" i="9"/>
  <c r="N345" i="9"/>
  <c r="I346" i="9"/>
  <c r="H346" i="9"/>
  <c r="A347" i="9"/>
  <c r="D535" i="9" l="1"/>
  <c r="E535" i="9"/>
  <c r="C536" i="9"/>
  <c r="O535" i="9"/>
  <c r="I347" i="9"/>
  <c r="H347" i="9"/>
  <c r="A348" i="9"/>
  <c r="M346" i="9"/>
  <c r="L346" i="9"/>
  <c r="K346" i="9"/>
  <c r="J346" i="9"/>
  <c r="N346" i="9"/>
  <c r="Q346" i="9"/>
  <c r="P346" i="9"/>
  <c r="G347" i="9"/>
  <c r="D536" i="9" l="1"/>
  <c r="E536" i="9"/>
  <c r="O536" i="9"/>
  <c r="C537" i="9"/>
  <c r="M347" i="9"/>
  <c r="L347" i="9"/>
  <c r="K347" i="9"/>
  <c r="J347" i="9"/>
  <c r="N347" i="9"/>
  <c r="Q347" i="9"/>
  <c r="P347" i="9"/>
  <c r="G348" i="9"/>
  <c r="I348" i="9"/>
  <c r="H348" i="9"/>
  <c r="A349" i="9"/>
  <c r="D537" i="9" l="1"/>
  <c r="E537" i="9"/>
  <c r="C538" i="9"/>
  <c r="O537" i="9"/>
  <c r="I349" i="9"/>
  <c r="H349" i="9"/>
  <c r="A350" i="9"/>
  <c r="M348" i="9"/>
  <c r="L348" i="9"/>
  <c r="K348" i="9"/>
  <c r="J348" i="9"/>
  <c r="N348" i="9"/>
  <c r="Q348" i="9"/>
  <c r="P348" i="9"/>
  <c r="G349" i="9"/>
  <c r="D538" i="9" l="1"/>
  <c r="E538" i="9"/>
  <c r="C539" i="9"/>
  <c r="O538" i="9"/>
  <c r="M349" i="9"/>
  <c r="L349" i="9"/>
  <c r="K349" i="9"/>
  <c r="J349" i="9"/>
  <c r="N349" i="9"/>
  <c r="Q349" i="9"/>
  <c r="P349" i="9"/>
  <c r="G350" i="9"/>
  <c r="I350" i="9"/>
  <c r="H350" i="9"/>
  <c r="A351" i="9"/>
  <c r="D539" i="9" l="1"/>
  <c r="E539" i="9"/>
  <c r="C540" i="9"/>
  <c r="O539" i="9"/>
  <c r="Q350" i="9"/>
  <c r="P350" i="9"/>
  <c r="G351" i="9"/>
  <c r="M350" i="9"/>
  <c r="L350" i="9"/>
  <c r="K350" i="9"/>
  <c r="J350" i="9"/>
  <c r="N350" i="9"/>
  <c r="I351" i="9"/>
  <c r="H351" i="9"/>
  <c r="A352" i="9"/>
  <c r="D540" i="9" l="1"/>
  <c r="E540" i="9"/>
  <c r="O540" i="9"/>
  <c r="C541" i="9"/>
  <c r="Q351" i="9"/>
  <c r="P351" i="9"/>
  <c r="G352" i="9"/>
  <c r="I352" i="9"/>
  <c r="H352" i="9"/>
  <c r="A353" i="9"/>
  <c r="M351" i="9"/>
  <c r="L351" i="9"/>
  <c r="K351" i="9"/>
  <c r="J351" i="9"/>
  <c r="N351" i="9"/>
  <c r="D541" i="9" l="1"/>
  <c r="E541" i="9"/>
  <c r="C542" i="9"/>
  <c r="O541" i="9"/>
  <c r="Q352" i="9"/>
  <c r="P352" i="9"/>
  <c r="G353" i="9"/>
  <c r="M352" i="9"/>
  <c r="L352" i="9"/>
  <c r="K352" i="9"/>
  <c r="J352" i="9"/>
  <c r="N352" i="9"/>
  <c r="I353" i="9"/>
  <c r="H353" i="9"/>
  <c r="A354" i="9"/>
  <c r="D542" i="9" l="1"/>
  <c r="E542" i="9"/>
  <c r="C543" i="9"/>
  <c r="O542" i="9"/>
  <c r="Q353" i="9"/>
  <c r="P353" i="9"/>
  <c r="G354" i="9"/>
  <c r="I354" i="9"/>
  <c r="H354" i="9"/>
  <c r="A355" i="9"/>
  <c r="M353" i="9"/>
  <c r="L353" i="9"/>
  <c r="K353" i="9"/>
  <c r="J353" i="9"/>
  <c r="N353" i="9"/>
  <c r="D543" i="9" l="1"/>
  <c r="E543" i="9"/>
  <c r="C544" i="9"/>
  <c r="O543" i="9"/>
  <c r="M354" i="9"/>
  <c r="L354" i="9"/>
  <c r="K354" i="9"/>
  <c r="J354" i="9"/>
  <c r="N354" i="9"/>
  <c r="I355" i="9"/>
  <c r="H355" i="9"/>
  <c r="A356" i="9"/>
  <c r="Q354" i="9"/>
  <c r="P354" i="9"/>
  <c r="G355" i="9"/>
  <c r="D544" i="9" l="1"/>
  <c r="E544" i="9"/>
  <c r="O544" i="9"/>
  <c r="C545" i="9"/>
  <c r="Q355" i="9"/>
  <c r="P355" i="9"/>
  <c r="G356" i="9"/>
  <c r="M355" i="9"/>
  <c r="L355" i="9"/>
  <c r="K355" i="9"/>
  <c r="J355" i="9"/>
  <c r="N355" i="9"/>
  <c r="I356" i="9"/>
  <c r="H356" i="9"/>
  <c r="A357" i="9"/>
  <c r="D545" i="9" l="1"/>
  <c r="E545" i="9"/>
  <c r="C546" i="9"/>
  <c r="O545" i="9"/>
  <c r="Q356" i="9"/>
  <c r="P356" i="9"/>
  <c r="G357" i="9"/>
  <c r="I357" i="9"/>
  <c r="H357" i="9"/>
  <c r="A358" i="9"/>
  <c r="M356" i="9"/>
  <c r="L356" i="9"/>
  <c r="K356" i="9"/>
  <c r="J356" i="9"/>
  <c r="N356" i="9"/>
  <c r="D546" i="9" l="1"/>
  <c r="E546" i="9"/>
  <c r="C547" i="9"/>
  <c r="O546" i="9"/>
  <c r="Q357" i="9"/>
  <c r="P357" i="9"/>
  <c r="G358" i="9"/>
  <c r="M357" i="9"/>
  <c r="L357" i="9"/>
  <c r="K357" i="9"/>
  <c r="J357" i="9"/>
  <c r="N357" i="9"/>
  <c r="I358" i="9"/>
  <c r="H358" i="9"/>
  <c r="A359" i="9"/>
  <c r="D547" i="9" l="1"/>
  <c r="E547" i="9"/>
  <c r="C548" i="9"/>
  <c r="O547" i="9"/>
  <c r="M358" i="9"/>
  <c r="L358" i="9"/>
  <c r="K358" i="9"/>
  <c r="J358" i="9"/>
  <c r="N358" i="9"/>
  <c r="Q358" i="9"/>
  <c r="P358" i="9"/>
  <c r="G359" i="9"/>
  <c r="I359" i="9"/>
  <c r="H359" i="9"/>
  <c r="A360" i="9"/>
  <c r="D548" i="9" l="1"/>
  <c r="E548" i="9"/>
  <c r="O548" i="9"/>
  <c r="C549" i="9"/>
  <c r="I360" i="9"/>
  <c r="H360" i="9"/>
  <c r="A361" i="9"/>
  <c r="Q359" i="9"/>
  <c r="P359" i="9"/>
  <c r="G360" i="9"/>
  <c r="M359" i="9"/>
  <c r="L359" i="9"/>
  <c r="K359" i="9"/>
  <c r="J359" i="9"/>
  <c r="N359" i="9"/>
  <c r="D549" i="9" l="1"/>
  <c r="E549" i="9"/>
  <c r="C550" i="9"/>
  <c r="O549" i="9"/>
  <c r="I361" i="9"/>
  <c r="H361" i="9"/>
  <c r="A362" i="9"/>
  <c r="Q360" i="9"/>
  <c r="P360" i="9"/>
  <c r="G361" i="9"/>
  <c r="M360" i="9"/>
  <c r="L360" i="9"/>
  <c r="K360" i="9"/>
  <c r="J360" i="9"/>
  <c r="N360" i="9"/>
  <c r="D550" i="9" l="1"/>
  <c r="E550" i="9"/>
  <c r="C551" i="9"/>
  <c r="O550" i="9"/>
  <c r="M361" i="9"/>
  <c r="L361" i="9"/>
  <c r="K361" i="9"/>
  <c r="J361" i="9"/>
  <c r="N361" i="9"/>
  <c r="Q361" i="9"/>
  <c r="P361" i="9"/>
  <c r="G362" i="9"/>
  <c r="I362" i="9"/>
  <c r="H362" i="9"/>
  <c r="A363" i="9"/>
  <c r="D551" i="9" l="1"/>
  <c r="E551" i="9"/>
  <c r="C552" i="9"/>
  <c r="O551" i="9"/>
  <c r="I363" i="9"/>
  <c r="H363" i="9"/>
  <c r="A364" i="9"/>
  <c r="M362" i="9"/>
  <c r="L362" i="9"/>
  <c r="K362" i="9"/>
  <c r="J362" i="9"/>
  <c r="N362" i="9"/>
  <c r="Q362" i="9"/>
  <c r="P362" i="9"/>
  <c r="G363" i="9"/>
  <c r="D552" i="9" l="1"/>
  <c r="E552" i="9"/>
  <c r="O552" i="9"/>
  <c r="C553" i="9"/>
  <c r="M363" i="9"/>
  <c r="L363" i="9"/>
  <c r="K363" i="9"/>
  <c r="J363" i="9"/>
  <c r="N363" i="9"/>
  <c r="Q363" i="9"/>
  <c r="P363" i="9"/>
  <c r="G364" i="9"/>
  <c r="I364" i="9"/>
  <c r="H364" i="9"/>
  <c r="A365" i="9"/>
  <c r="D553" i="9" l="1"/>
  <c r="E553" i="9"/>
  <c r="C554" i="9"/>
  <c r="O553" i="9"/>
  <c r="Q364" i="9"/>
  <c r="P364" i="9"/>
  <c r="G365" i="9"/>
  <c r="M364" i="9"/>
  <c r="L364" i="9"/>
  <c r="K364" i="9"/>
  <c r="J364" i="9"/>
  <c r="N364" i="9"/>
  <c r="I365" i="9"/>
  <c r="H365" i="9"/>
  <c r="A366" i="9"/>
  <c r="D554" i="9" l="1"/>
  <c r="E554" i="9"/>
  <c r="C555" i="9"/>
  <c r="O554" i="9"/>
  <c r="M365" i="9"/>
  <c r="L365" i="9"/>
  <c r="K365" i="9"/>
  <c r="J365" i="9"/>
  <c r="N365" i="9"/>
  <c r="I366" i="9"/>
  <c r="H366" i="9"/>
  <c r="A367" i="9"/>
  <c r="Q365" i="9"/>
  <c r="P365" i="9"/>
  <c r="G366" i="9"/>
  <c r="D555" i="9" l="1"/>
  <c r="E555" i="9"/>
  <c r="C556" i="9"/>
  <c r="O555" i="9"/>
  <c r="M366" i="9"/>
  <c r="L366" i="9"/>
  <c r="K366" i="9"/>
  <c r="J366" i="9"/>
  <c r="N366" i="9"/>
  <c r="I367" i="9"/>
  <c r="H367" i="9"/>
  <c r="A368" i="9"/>
  <c r="Q366" i="9"/>
  <c r="P366" i="9"/>
  <c r="G367" i="9"/>
  <c r="D556" i="9" l="1"/>
  <c r="E556" i="9"/>
  <c r="O556" i="9"/>
  <c r="C557" i="9"/>
  <c r="I368" i="9"/>
  <c r="H368" i="9"/>
  <c r="A369" i="9"/>
  <c r="M367" i="9"/>
  <c r="L367" i="9"/>
  <c r="K367" i="9"/>
  <c r="J367" i="9"/>
  <c r="N367" i="9"/>
  <c r="Q367" i="9"/>
  <c r="P367" i="9"/>
  <c r="G368" i="9"/>
  <c r="D557" i="9" l="1"/>
  <c r="E557" i="9"/>
  <c r="O557" i="9"/>
  <c r="C558" i="9"/>
  <c r="Q368" i="9"/>
  <c r="P368" i="9"/>
  <c r="G369" i="9"/>
  <c r="I369" i="9"/>
  <c r="H369" i="9"/>
  <c r="A370" i="9"/>
  <c r="M368" i="9"/>
  <c r="L368" i="9"/>
  <c r="K368" i="9"/>
  <c r="J368" i="9"/>
  <c r="N368" i="9"/>
  <c r="D558" i="9" l="1"/>
  <c r="E558" i="9"/>
  <c r="C559" i="9"/>
  <c r="O558" i="9"/>
  <c r="M369" i="9"/>
  <c r="L369" i="9"/>
  <c r="K369" i="9"/>
  <c r="J369" i="9"/>
  <c r="N369" i="9"/>
  <c r="I370" i="9"/>
  <c r="H370" i="9"/>
  <c r="A371" i="9"/>
  <c r="Q369" i="9"/>
  <c r="P369" i="9"/>
  <c r="G370" i="9"/>
  <c r="D559" i="9" l="1"/>
  <c r="E559" i="9"/>
  <c r="C560" i="9"/>
  <c r="O559" i="9"/>
  <c r="M370" i="9"/>
  <c r="L370" i="9"/>
  <c r="K370" i="9"/>
  <c r="J370" i="9"/>
  <c r="N370" i="9"/>
  <c r="Q370" i="9"/>
  <c r="P370" i="9"/>
  <c r="G371" i="9"/>
  <c r="I371" i="9"/>
  <c r="H371" i="9"/>
  <c r="A372" i="9"/>
  <c r="D560" i="9" l="1"/>
  <c r="E560" i="9"/>
  <c r="O560" i="9"/>
  <c r="C561" i="9"/>
  <c r="I372" i="9"/>
  <c r="H372" i="9"/>
  <c r="A373" i="9"/>
  <c r="Q371" i="9"/>
  <c r="P371" i="9"/>
  <c r="G372" i="9"/>
  <c r="M371" i="9"/>
  <c r="L371" i="9"/>
  <c r="K371" i="9"/>
  <c r="J371" i="9"/>
  <c r="N371" i="9"/>
  <c r="D561" i="9" l="1"/>
  <c r="E561" i="9"/>
  <c r="O561" i="9"/>
  <c r="C562" i="9"/>
  <c r="Q372" i="9"/>
  <c r="P372" i="9"/>
  <c r="G373" i="9"/>
  <c r="M372" i="9"/>
  <c r="L372" i="9"/>
  <c r="K372" i="9"/>
  <c r="J372" i="9"/>
  <c r="N372" i="9"/>
  <c r="I373" i="9"/>
  <c r="H373" i="9"/>
  <c r="A374" i="9"/>
  <c r="D562" i="9" l="1"/>
  <c r="E562" i="9"/>
  <c r="C563" i="9"/>
  <c r="O562" i="9"/>
  <c r="Q373" i="9"/>
  <c r="P373" i="9"/>
  <c r="G374" i="9"/>
  <c r="I374" i="9"/>
  <c r="H374" i="9"/>
  <c r="A375" i="9"/>
  <c r="M373" i="9"/>
  <c r="L373" i="9"/>
  <c r="K373" i="9"/>
  <c r="J373" i="9"/>
  <c r="N373" i="9"/>
  <c r="D563" i="9" l="1"/>
  <c r="E563" i="9"/>
  <c r="C564" i="9"/>
  <c r="O563" i="9"/>
  <c r="M374" i="9"/>
  <c r="L374" i="9"/>
  <c r="K374" i="9"/>
  <c r="J374" i="9"/>
  <c r="N374" i="9"/>
  <c r="I375" i="9"/>
  <c r="H375" i="9"/>
  <c r="A376" i="9"/>
  <c r="Q374" i="9"/>
  <c r="P374" i="9"/>
  <c r="G375" i="9"/>
  <c r="D564" i="9" l="1"/>
  <c r="E564" i="9"/>
  <c r="O564" i="9"/>
  <c r="C565" i="9"/>
  <c r="M375" i="9"/>
  <c r="L375" i="9"/>
  <c r="K375" i="9"/>
  <c r="J375" i="9"/>
  <c r="N375" i="9"/>
  <c r="Q375" i="9"/>
  <c r="P375" i="9"/>
  <c r="G376" i="9"/>
  <c r="I376" i="9"/>
  <c r="H376" i="9"/>
  <c r="A377" i="9"/>
  <c r="D565" i="9" l="1"/>
  <c r="E565" i="9"/>
  <c r="O565" i="9"/>
  <c r="C566" i="9"/>
  <c r="I377" i="9"/>
  <c r="H377" i="9"/>
  <c r="A378" i="9"/>
  <c r="M376" i="9"/>
  <c r="L376" i="9"/>
  <c r="K376" i="9"/>
  <c r="J376" i="9"/>
  <c r="N376" i="9"/>
  <c r="Q376" i="9"/>
  <c r="P376" i="9"/>
  <c r="G377" i="9"/>
  <c r="D566" i="9" l="1"/>
  <c r="E566" i="9"/>
  <c r="C567" i="9"/>
  <c r="O566" i="9"/>
  <c r="M377" i="9"/>
  <c r="L377" i="9"/>
  <c r="K377" i="9"/>
  <c r="J377" i="9"/>
  <c r="N377" i="9"/>
  <c r="Q377" i="9"/>
  <c r="P377" i="9"/>
  <c r="G378" i="9"/>
  <c r="I378" i="9"/>
  <c r="H378" i="9"/>
  <c r="A379" i="9"/>
  <c r="D567" i="9" l="1"/>
  <c r="E567" i="9"/>
  <c r="C568" i="9"/>
  <c r="O567" i="9"/>
  <c r="Q378" i="9"/>
  <c r="P378" i="9"/>
  <c r="G379" i="9"/>
  <c r="M378" i="9"/>
  <c r="L378" i="9"/>
  <c r="K378" i="9"/>
  <c r="J378" i="9"/>
  <c r="N378" i="9"/>
  <c r="I379" i="9"/>
  <c r="H379" i="9"/>
  <c r="A380" i="9"/>
  <c r="D568" i="9" l="1"/>
  <c r="E568" i="9"/>
  <c r="O568" i="9"/>
  <c r="C569" i="9"/>
  <c r="I380" i="9"/>
  <c r="H380" i="9"/>
  <c r="A381" i="9"/>
  <c r="M379" i="9"/>
  <c r="L379" i="9"/>
  <c r="K379" i="9"/>
  <c r="J379" i="9"/>
  <c r="N379" i="9"/>
  <c r="Q379" i="9"/>
  <c r="P379" i="9"/>
  <c r="G380" i="9"/>
  <c r="D569" i="9" l="1"/>
  <c r="E569" i="9"/>
  <c r="C570" i="9"/>
  <c r="O569" i="9"/>
  <c r="I381" i="9"/>
  <c r="H381" i="9"/>
  <c r="A382" i="9"/>
  <c r="Q380" i="9"/>
  <c r="P380" i="9"/>
  <c r="G381" i="9"/>
  <c r="M380" i="9"/>
  <c r="L380" i="9"/>
  <c r="K380" i="9"/>
  <c r="J380" i="9"/>
  <c r="N380" i="9"/>
  <c r="D570" i="9" l="1"/>
  <c r="O570" i="9"/>
  <c r="E570" i="9"/>
  <c r="C571" i="9"/>
  <c r="I382" i="9"/>
  <c r="H382" i="9"/>
  <c r="A383" i="9"/>
  <c r="Q381" i="9"/>
  <c r="P381" i="9"/>
  <c r="G382" i="9"/>
  <c r="M381" i="9"/>
  <c r="L381" i="9"/>
  <c r="K381" i="9"/>
  <c r="J381" i="9"/>
  <c r="N381" i="9"/>
  <c r="D571" i="9" l="1"/>
  <c r="C572" i="9"/>
  <c r="O571" i="9"/>
  <c r="E571" i="9"/>
  <c r="M382" i="9"/>
  <c r="L382" i="9"/>
  <c r="K382" i="9"/>
  <c r="J382" i="9"/>
  <c r="N382" i="9"/>
  <c r="Q382" i="9"/>
  <c r="P382" i="9"/>
  <c r="G383" i="9"/>
  <c r="I383" i="9"/>
  <c r="H383" i="9"/>
  <c r="A384" i="9"/>
  <c r="D572" i="9" l="1"/>
  <c r="O572" i="9"/>
  <c r="E572" i="9"/>
  <c r="C573" i="9"/>
  <c r="M383" i="9"/>
  <c r="L383" i="9"/>
  <c r="K383" i="9"/>
  <c r="J383" i="9"/>
  <c r="N383" i="9"/>
  <c r="I384" i="9"/>
  <c r="H384" i="9"/>
  <c r="A385" i="9"/>
  <c r="Q383" i="9"/>
  <c r="P383" i="9"/>
  <c r="G384" i="9"/>
  <c r="D573" i="9" l="1"/>
  <c r="C574" i="9"/>
  <c r="O573" i="9"/>
  <c r="E573" i="9"/>
  <c r="I385" i="9"/>
  <c r="H385" i="9"/>
  <c r="A386" i="9"/>
  <c r="M384" i="9"/>
  <c r="L384" i="9"/>
  <c r="K384" i="9"/>
  <c r="J384" i="9"/>
  <c r="N384" i="9"/>
  <c r="Q384" i="9"/>
  <c r="P384" i="9"/>
  <c r="G385" i="9"/>
  <c r="D574" i="9" l="1"/>
  <c r="O574" i="9"/>
  <c r="E574" i="9"/>
  <c r="C575" i="9"/>
  <c r="Q385" i="9"/>
  <c r="P385" i="9"/>
  <c r="G386" i="9"/>
  <c r="M385" i="9"/>
  <c r="L385" i="9"/>
  <c r="K385" i="9"/>
  <c r="J385" i="9"/>
  <c r="N385" i="9"/>
  <c r="I386" i="9"/>
  <c r="H386" i="9"/>
  <c r="A387" i="9"/>
  <c r="D575" i="9" l="1"/>
  <c r="C576" i="9"/>
  <c r="O575" i="9"/>
  <c r="E575" i="9"/>
  <c r="I387" i="9"/>
  <c r="H387" i="9"/>
  <c r="A388" i="9"/>
  <c r="M386" i="9"/>
  <c r="L386" i="9"/>
  <c r="K386" i="9"/>
  <c r="J386" i="9"/>
  <c r="N386" i="9"/>
  <c r="Q386" i="9"/>
  <c r="P386" i="9"/>
  <c r="G387" i="9"/>
  <c r="D576" i="9" l="1"/>
  <c r="O576" i="9"/>
  <c r="E576" i="9"/>
  <c r="C577" i="9"/>
  <c r="Q387" i="9"/>
  <c r="P387" i="9"/>
  <c r="G388" i="9"/>
  <c r="I388" i="9"/>
  <c r="H388" i="9"/>
  <c r="A389" i="9"/>
  <c r="M387" i="9"/>
  <c r="L387" i="9"/>
  <c r="K387" i="9"/>
  <c r="J387" i="9"/>
  <c r="N387" i="9"/>
  <c r="D577" i="9" l="1"/>
  <c r="C578" i="9"/>
  <c r="O577" i="9"/>
  <c r="E577" i="9"/>
  <c r="Q388" i="9"/>
  <c r="P388" i="9"/>
  <c r="G389" i="9"/>
  <c r="I389" i="9"/>
  <c r="H389" i="9"/>
  <c r="A390" i="9"/>
  <c r="M388" i="9"/>
  <c r="L388" i="9"/>
  <c r="K388" i="9"/>
  <c r="J388" i="9"/>
  <c r="N388" i="9"/>
  <c r="D578" i="9" l="1"/>
  <c r="O578" i="9"/>
  <c r="E578" i="9"/>
  <c r="C579" i="9"/>
  <c r="I390" i="9"/>
  <c r="H390" i="9"/>
  <c r="A391" i="9"/>
  <c r="M389" i="9"/>
  <c r="L389" i="9"/>
  <c r="K389" i="9"/>
  <c r="J389" i="9"/>
  <c r="N389" i="9"/>
  <c r="Q389" i="9"/>
  <c r="P389" i="9"/>
  <c r="G390" i="9"/>
  <c r="D579" i="9" l="1"/>
  <c r="C580" i="9"/>
  <c r="O579" i="9"/>
  <c r="E579" i="9"/>
  <c r="I391" i="9"/>
  <c r="H391" i="9"/>
  <c r="A392" i="9"/>
  <c r="M390" i="9"/>
  <c r="L390" i="9"/>
  <c r="K390" i="9"/>
  <c r="J390" i="9"/>
  <c r="N390" i="9"/>
  <c r="Q390" i="9"/>
  <c r="P390" i="9"/>
  <c r="G391" i="9"/>
  <c r="D580" i="9" l="1"/>
  <c r="O580" i="9"/>
  <c r="E580" i="9"/>
  <c r="C581" i="9"/>
  <c r="M391" i="9"/>
  <c r="L391" i="9"/>
  <c r="K391" i="9"/>
  <c r="J391" i="9"/>
  <c r="N391" i="9"/>
  <c r="Q391" i="9"/>
  <c r="P391" i="9"/>
  <c r="G392" i="9"/>
  <c r="I392" i="9"/>
  <c r="H392" i="9"/>
  <c r="A393" i="9"/>
  <c r="D581" i="9" l="1"/>
  <c r="C582" i="9"/>
  <c r="O581" i="9"/>
  <c r="E581" i="9"/>
  <c r="Q392" i="9"/>
  <c r="P392" i="9"/>
  <c r="G393" i="9"/>
  <c r="M392" i="9"/>
  <c r="L392" i="9"/>
  <c r="K392" i="9"/>
  <c r="J392" i="9"/>
  <c r="N392" i="9"/>
  <c r="I393" i="9"/>
  <c r="H393" i="9"/>
  <c r="A394" i="9"/>
  <c r="D582" i="9" l="1"/>
  <c r="O582" i="9"/>
  <c r="E582" i="9"/>
  <c r="C583" i="9"/>
  <c r="M393" i="9"/>
  <c r="L393" i="9"/>
  <c r="K393" i="9"/>
  <c r="J393" i="9"/>
  <c r="N393" i="9"/>
  <c r="I394" i="9"/>
  <c r="H394" i="9"/>
  <c r="A395" i="9"/>
  <c r="Q393" i="9"/>
  <c r="P393" i="9"/>
  <c r="G394" i="9"/>
  <c r="D583" i="9" l="1"/>
  <c r="C584" i="9"/>
  <c r="O583" i="9"/>
  <c r="E583" i="9"/>
  <c r="M394" i="9"/>
  <c r="L394" i="9"/>
  <c r="K394" i="9"/>
  <c r="J394" i="9"/>
  <c r="N394" i="9"/>
  <c r="Q394" i="9"/>
  <c r="P394" i="9"/>
  <c r="G395" i="9"/>
  <c r="I395" i="9"/>
  <c r="H395" i="9"/>
  <c r="A396" i="9"/>
  <c r="D584" i="9" l="1"/>
  <c r="O584" i="9"/>
  <c r="E584" i="9"/>
  <c r="C585" i="9"/>
  <c r="M395" i="9"/>
  <c r="L395" i="9"/>
  <c r="K395" i="9"/>
  <c r="J395" i="9"/>
  <c r="N395" i="9"/>
  <c r="Q395" i="9"/>
  <c r="P395" i="9"/>
  <c r="G396" i="9"/>
  <c r="I396" i="9"/>
  <c r="H396" i="9"/>
  <c r="A397" i="9"/>
  <c r="D585" i="9" l="1"/>
  <c r="C586" i="9"/>
  <c r="O585" i="9"/>
  <c r="E585" i="9"/>
  <c r="I397" i="9"/>
  <c r="H397" i="9"/>
  <c r="A398" i="9"/>
  <c r="Q396" i="9"/>
  <c r="P396" i="9"/>
  <c r="G397" i="9"/>
  <c r="M396" i="9"/>
  <c r="L396" i="9"/>
  <c r="K396" i="9"/>
  <c r="J396" i="9"/>
  <c r="N396" i="9"/>
  <c r="D586" i="9" l="1"/>
  <c r="O586" i="9"/>
  <c r="E586" i="9"/>
  <c r="C587" i="9"/>
  <c r="M397" i="9"/>
  <c r="L397" i="9"/>
  <c r="K397" i="9"/>
  <c r="J397" i="9"/>
  <c r="N397" i="9"/>
  <c r="I398" i="9"/>
  <c r="H398" i="9"/>
  <c r="A399" i="9"/>
  <c r="Q397" i="9"/>
  <c r="P397" i="9"/>
  <c r="G398" i="9"/>
  <c r="D587" i="9" l="1"/>
  <c r="C588" i="9"/>
  <c r="O587" i="9"/>
  <c r="E587" i="9"/>
  <c r="I399" i="9"/>
  <c r="H399" i="9"/>
  <c r="A400" i="9"/>
  <c r="M398" i="9"/>
  <c r="L398" i="9"/>
  <c r="K398" i="9"/>
  <c r="J398" i="9"/>
  <c r="N398" i="9"/>
  <c r="Q398" i="9"/>
  <c r="P398" i="9"/>
  <c r="G399" i="9"/>
  <c r="D588" i="9" l="1"/>
  <c r="O588" i="9"/>
  <c r="E588" i="9"/>
  <c r="C589" i="9"/>
  <c r="Q399" i="9"/>
  <c r="P399" i="9"/>
  <c r="G400" i="9"/>
  <c r="I400" i="9"/>
  <c r="H400" i="9"/>
  <c r="A401" i="9"/>
  <c r="M399" i="9"/>
  <c r="L399" i="9"/>
  <c r="K399" i="9"/>
  <c r="J399" i="9"/>
  <c r="N399" i="9"/>
  <c r="D589" i="9" l="1"/>
  <c r="C590" i="9"/>
  <c r="O589" i="9"/>
  <c r="E589" i="9"/>
  <c r="Q400" i="9"/>
  <c r="P400" i="9"/>
  <c r="G401" i="9"/>
  <c r="M400" i="9"/>
  <c r="L400" i="9"/>
  <c r="K400" i="9"/>
  <c r="J400" i="9"/>
  <c r="N400" i="9"/>
  <c r="I401" i="9"/>
  <c r="H401" i="9"/>
  <c r="A402" i="9"/>
  <c r="D590" i="9" l="1"/>
  <c r="O590" i="9"/>
  <c r="E590" i="9"/>
  <c r="C591" i="9"/>
  <c r="M401" i="9"/>
  <c r="L401" i="9"/>
  <c r="K401" i="9"/>
  <c r="J401" i="9"/>
  <c r="N401" i="9"/>
  <c r="I402" i="9"/>
  <c r="H402" i="9"/>
  <c r="A403" i="9"/>
  <c r="Q401" i="9"/>
  <c r="P401" i="9"/>
  <c r="G402" i="9"/>
  <c r="D591" i="9" l="1"/>
  <c r="O591" i="9"/>
  <c r="E591" i="9"/>
  <c r="C592" i="9"/>
  <c r="M402" i="9"/>
  <c r="L402" i="9"/>
  <c r="K402" i="9"/>
  <c r="J402" i="9"/>
  <c r="N402" i="9"/>
  <c r="Q402" i="9"/>
  <c r="P402" i="9"/>
  <c r="G403" i="9"/>
  <c r="I403" i="9"/>
  <c r="H403" i="9"/>
  <c r="A404" i="9"/>
  <c r="D592" i="9" l="1"/>
  <c r="C593" i="9"/>
  <c r="O592" i="9"/>
  <c r="E592" i="9"/>
  <c r="M403" i="9"/>
  <c r="L403" i="9"/>
  <c r="K403" i="9"/>
  <c r="J403" i="9"/>
  <c r="N403" i="9"/>
  <c r="I404" i="9"/>
  <c r="H404" i="9"/>
  <c r="A405" i="9"/>
  <c r="Q403" i="9"/>
  <c r="P403" i="9"/>
  <c r="G404" i="9"/>
  <c r="D593" i="9" l="1"/>
  <c r="O593" i="9"/>
  <c r="E593" i="9"/>
  <c r="C594" i="9"/>
  <c r="I405" i="9"/>
  <c r="H405" i="9"/>
  <c r="A406" i="9"/>
  <c r="M404" i="9"/>
  <c r="L404" i="9"/>
  <c r="K404" i="9"/>
  <c r="J404" i="9"/>
  <c r="N404" i="9"/>
  <c r="Q404" i="9"/>
  <c r="P404" i="9"/>
  <c r="G405" i="9"/>
  <c r="C595" i="9" l="1"/>
  <c r="D594" i="9"/>
  <c r="E594" i="9"/>
  <c r="O594" i="9"/>
  <c r="M405" i="9"/>
  <c r="L405" i="9"/>
  <c r="K405" i="9"/>
  <c r="J405" i="9"/>
  <c r="N405" i="9"/>
  <c r="Q405" i="9"/>
  <c r="P405" i="9"/>
  <c r="G406" i="9"/>
  <c r="I406" i="9"/>
  <c r="H406" i="9"/>
  <c r="A407" i="9"/>
  <c r="O595" i="9" l="1"/>
  <c r="D595" i="9"/>
  <c r="C596" i="9"/>
  <c r="E595" i="9"/>
  <c r="Q406" i="9"/>
  <c r="P406" i="9"/>
  <c r="G407" i="9"/>
  <c r="M406" i="9"/>
  <c r="L406" i="9"/>
  <c r="K406" i="9"/>
  <c r="J406" i="9"/>
  <c r="N406" i="9"/>
  <c r="I407" i="9"/>
  <c r="H407" i="9"/>
  <c r="A408" i="9"/>
  <c r="E596" i="9" l="1"/>
  <c r="D596" i="9"/>
  <c r="O596" i="9"/>
  <c r="C597" i="9"/>
  <c r="M407" i="9"/>
  <c r="L407" i="9"/>
  <c r="K407" i="9"/>
  <c r="J407" i="9"/>
  <c r="N407" i="9"/>
  <c r="I408" i="9"/>
  <c r="H408" i="9"/>
  <c r="A409" i="9"/>
  <c r="Q407" i="9"/>
  <c r="P407" i="9"/>
  <c r="G408" i="9"/>
  <c r="D597" i="9" l="1"/>
  <c r="E597" i="9"/>
  <c r="O597" i="9"/>
  <c r="C598" i="9"/>
  <c r="Q408" i="9"/>
  <c r="P408" i="9"/>
  <c r="G409" i="9"/>
  <c r="I409" i="9"/>
  <c r="H409" i="9"/>
  <c r="A410" i="9"/>
  <c r="M408" i="9"/>
  <c r="L408" i="9"/>
  <c r="K408" i="9"/>
  <c r="J408" i="9"/>
  <c r="N408" i="9"/>
  <c r="E598" i="9" l="1"/>
  <c r="O598" i="9"/>
  <c r="C599" i="9"/>
  <c r="D598" i="9"/>
  <c r="I410" i="9"/>
  <c r="H410" i="9"/>
  <c r="A411" i="9"/>
  <c r="Q409" i="9"/>
  <c r="P409" i="9"/>
  <c r="G410" i="9"/>
  <c r="M409" i="9"/>
  <c r="L409" i="9"/>
  <c r="K409" i="9"/>
  <c r="J409" i="9"/>
  <c r="N409" i="9"/>
  <c r="E599" i="9" l="1"/>
  <c r="O599" i="9"/>
  <c r="C600" i="9"/>
  <c r="D599" i="9"/>
  <c r="Q410" i="9"/>
  <c r="P410" i="9"/>
  <c r="G411" i="9"/>
  <c r="M410" i="9"/>
  <c r="L410" i="9"/>
  <c r="K410" i="9"/>
  <c r="J410" i="9"/>
  <c r="N410" i="9"/>
  <c r="I411" i="9"/>
  <c r="H411" i="9"/>
  <c r="A412" i="9"/>
  <c r="E600" i="9" l="1"/>
  <c r="C601" i="9"/>
  <c r="D600" i="9"/>
  <c r="O600" i="9"/>
  <c r="I412" i="9"/>
  <c r="H412" i="9"/>
  <c r="A413" i="9"/>
  <c r="M411" i="9"/>
  <c r="L411" i="9"/>
  <c r="K411" i="9"/>
  <c r="J411" i="9"/>
  <c r="N411" i="9"/>
  <c r="Q411" i="9"/>
  <c r="P411" i="9"/>
  <c r="G412" i="9"/>
  <c r="O601" i="9" l="1"/>
  <c r="E601" i="9"/>
  <c r="C602" i="9"/>
  <c r="D601" i="9"/>
  <c r="I413" i="9"/>
  <c r="H413" i="9"/>
  <c r="A414" i="9"/>
  <c r="M412" i="9"/>
  <c r="L412" i="9"/>
  <c r="K412" i="9"/>
  <c r="J412" i="9"/>
  <c r="N412" i="9"/>
  <c r="Q412" i="9"/>
  <c r="P412" i="9"/>
  <c r="G413" i="9"/>
  <c r="D602" i="9" l="1"/>
  <c r="E602" i="9"/>
  <c r="O602" i="9"/>
  <c r="C603" i="9"/>
  <c r="Q413" i="9"/>
  <c r="P413" i="9"/>
  <c r="G414" i="9"/>
  <c r="M413" i="9"/>
  <c r="L413" i="9"/>
  <c r="K413" i="9"/>
  <c r="J413" i="9"/>
  <c r="N413" i="9"/>
  <c r="I414" i="9"/>
  <c r="H414" i="9"/>
  <c r="A415" i="9"/>
  <c r="O603" i="9" l="1"/>
  <c r="D603" i="9"/>
  <c r="E603" i="9"/>
  <c r="C604" i="9"/>
  <c r="I415" i="9"/>
  <c r="H415" i="9"/>
  <c r="A416" i="9"/>
  <c r="M414" i="9"/>
  <c r="L414" i="9"/>
  <c r="K414" i="9"/>
  <c r="J414" i="9"/>
  <c r="N414" i="9"/>
  <c r="Q414" i="9"/>
  <c r="P414" i="9"/>
  <c r="G415" i="9"/>
  <c r="C605" i="9" l="1"/>
  <c r="O604" i="9"/>
  <c r="D604" i="9"/>
  <c r="E604" i="9"/>
  <c r="I416" i="9"/>
  <c r="H416" i="9"/>
  <c r="A417" i="9"/>
  <c r="Q415" i="9"/>
  <c r="P415" i="9"/>
  <c r="G416" i="9"/>
  <c r="M415" i="9"/>
  <c r="L415" i="9"/>
  <c r="K415" i="9"/>
  <c r="J415" i="9"/>
  <c r="N415" i="9"/>
  <c r="E605" i="9" l="1"/>
  <c r="C606" i="9"/>
  <c r="D605" i="9"/>
  <c r="O605" i="9"/>
  <c r="M416" i="9"/>
  <c r="L416" i="9"/>
  <c r="K416" i="9"/>
  <c r="J416" i="9"/>
  <c r="N416" i="9"/>
  <c r="Q416" i="9"/>
  <c r="P416" i="9"/>
  <c r="G417" i="9"/>
  <c r="I417" i="9"/>
  <c r="H417" i="9"/>
  <c r="A418" i="9"/>
  <c r="E606" i="9" l="1"/>
  <c r="C607" i="9"/>
  <c r="O606" i="9"/>
  <c r="D606" i="9"/>
  <c r="I418" i="9"/>
  <c r="H418" i="9"/>
  <c r="A419" i="9"/>
  <c r="Q417" i="9"/>
  <c r="P417" i="9"/>
  <c r="G418" i="9"/>
  <c r="M417" i="9"/>
  <c r="L417" i="9"/>
  <c r="K417" i="9"/>
  <c r="J417" i="9"/>
  <c r="N417" i="9"/>
  <c r="C608" i="9" l="1"/>
  <c r="E607" i="9"/>
  <c r="O607" i="9"/>
  <c r="D607" i="9"/>
  <c r="Q418" i="9"/>
  <c r="P418" i="9"/>
  <c r="G419" i="9"/>
  <c r="M418" i="9"/>
  <c r="L418" i="9"/>
  <c r="K418" i="9"/>
  <c r="J418" i="9"/>
  <c r="N418" i="9"/>
  <c r="I419" i="9"/>
  <c r="H419" i="9"/>
  <c r="A420" i="9"/>
  <c r="C609" i="9" l="1"/>
  <c r="E608" i="9"/>
  <c r="D608" i="9"/>
  <c r="O608" i="9"/>
  <c r="M419" i="9"/>
  <c r="L419" i="9"/>
  <c r="K419" i="9"/>
  <c r="J419" i="9"/>
  <c r="N419" i="9"/>
  <c r="Q419" i="9"/>
  <c r="P419" i="9"/>
  <c r="G420" i="9"/>
  <c r="I420" i="9"/>
  <c r="H420" i="9"/>
  <c r="A421" i="9"/>
  <c r="D609" i="9" l="1"/>
  <c r="C610" i="9"/>
  <c r="E609" i="9"/>
  <c r="O609" i="9"/>
  <c r="M420" i="9"/>
  <c r="L420" i="9"/>
  <c r="K420" i="9"/>
  <c r="J420" i="9"/>
  <c r="N420" i="9"/>
  <c r="Q420" i="9"/>
  <c r="P420" i="9"/>
  <c r="G421" i="9"/>
  <c r="I421" i="9"/>
  <c r="H421" i="9"/>
  <c r="A422" i="9"/>
  <c r="O610" i="9" l="1"/>
  <c r="D610" i="9"/>
  <c r="E610" i="9"/>
  <c r="C611" i="9"/>
  <c r="M421" i="9"/>
  <c r="L421" i="9"/>
  <c r="K421" i="9"/>
  <c r="J421" i="9"/>
  <c r="N421" i="9"/>
  <c r="Q421" i="9"/>
  <c r="P421" i="9"/>
  <c r="G422" i="9"/>
  <c r="I422" i="9"/>
  <c r="H422" i="9"/>
  <c r="A423" i="9"/>
  <c r="O611" i="9" l="1"/>
  <c r="D611" i="9"/>
  <c r="C612" i="9"/>
  <c r="E611" i="9"/>
  <c r="M422" i="9"/>
  <c r="L422" i="9"/>
  <c r="K422" i="9"/>
  <c r="J422" i="9"/>
  <c r="N422" i="9"/>
  <c r="Q422" i="9"/>
  <c r="P422" i="9"/>
  <c r="G423" i="9"/>
  <c r="I423" i="9"/>
  <c r="H423" i="9"/>
  <c r="A424" i="9"/>
  <c r="C613" i="9" l="1"/>
  <c r="E612" i="9"/>
  <c r="D612" i="9"/>
  <c r="O612" i="9"/>
  <c r="M423" i="9"/>
  <c r="L423" i="9"/>
  <c r="K423" i="9"/>
  <c r="J423" i="9"/>
  <c r="N423" i="9"/>
  <c r="Q423" i="9"/>
  <c r="P423" i="9"/>
  <c r="G424" i="9"/>
  <c r="I424" i="9"/>
  <c r="H424" i="9"/>
  <c r="A425" i="9"/>
  <c r="O613" i="9" l="1"/>
  <c r="E613" i="9"/>
  <c r="D613" i="9"/>
  <c r="C614" i="9"/>
  <c r="I425" i="9"/>
  <c r="H425" i="9"/>
  <c r="A426" i="9"/>
  <c r="Q424" i="9"/>
  <c r="P424" i="9"/>
  <c r="G425" i="9"/>
  <c r="M424" i="9"/>
  <c r="L424" i="9"/>
  <c r="K424" i="9"/>
  <c r="J424" i="9"/>
  <c r="N424" i="9"/>
  <c r="E614" i="9" l="1"/>
  <c r="D614" i="9"/>
  <c r="C615" i="9"/>
  <c r="O614" i="9"/>
  <c r="Q425" i="9"/>
  <c r="P425" i="9"/>
  <c r="G426" i="9"/>
  <c r="I426" i="9"/>
  <c r="H426" i="9"/>
  <c r="A427" i="9"/>
  <c r="M425" i="9"/>
  <c r="L425" i="9"/>
  <c r="K425" i="9"/>
  <c r="J425" i="9"/>
  <c r="N425" i="9"/>
  <c r="D615" i="9" l="1"/>
  <c r="E615" i="9"/>
  <c r="O615" i="9"/>
  <c r="C616" i="9"/>
  <c r="Q426" i="9"/>
  <c r="P426" i="9"/>
  <c r="G427" i="9"/>
  <c r="M426" i="9"/>
  <c r="L426" i="9"/>
  <c r="K426" i="9"/>
  <c r="J426" i="9"/>
  <c r="N426" i="9"/>
  <c r="I427" i="9"/>
  <c r="H427" i="9"/>
  <c r="A428" i="9"/>
  <c r="C617" i="9" l="1"/>
  <c r="E616" i="9"/>
  <c r="O616" i="9"/>
  <c r="D616" i="9"/>
  <c r="M427" i="9"/>
  <c r="L427" i="9"/>
  <c r="K427" i="9"/>
  <c r="J427" i="9"/>
  <c r="N427" i="9"/>
  <c r="Q427" i="9"/>
  <c r="P427" i="9"/>
  <c r="G428" i="9"/>
  <c r="I428" i="9"/>
  <c r="H428" i="9"/>
  <c r="A429" i="9"/>
  <c r="D617" i="9" l="1"/>
  <c r="C618" i="9"/>
  <c r="E617" i="9"/>
  <c r="O617" i="9"/>
  <c r="M428" i="9"/>
  <c r="L428" i="9"/>
  <c r="K428" i="9"/>
  <c r="J428" i="9"/>
  <c r="N428" i="9"/>
  <c r="I429" i="9"/>
  <c r="H429" i="9"/>
  <c r="A430" i="9"/>
  <c r="Q428" i="9"/>
  <c r="P428" i="9"/>
  <c r="G429" i="9"/>
  <c r="C619" i="9" l="1"/>
  <c r="E618" i="9"/>
  <c r="O618" i="9"/>
  <c r="D618" i="9"/>
  <c r="M429" i="9"/>
  <c r="L429" i="9"/>
  <c r="K429" i="9"/>
  <c r="J429" i="9"/>
  <c r="N429" i="9"/>
  <c r="Q429" i="9"/>
  <c r="P429" i="9"/>
  <c r="G430" i="9"/>
  <c r="I430" i="9"/>
  <c r="H430" i="9"/>
  <c r="A431" i="9"/>
  <c r="O619" i="9" l="1"/>
  <c r="E619" i="9"/>
  <c r="D619" i="9"/>
  <c r="C620" i="9"/>
  <c r="Q430" i="9"/>
  <c r="P430" i="9"/>
  <c r="G431" i="9"/>
  <c r="I431" i="9"/>
  <c r="H431" i="9"/>
  <c r="A432" i="9"/>
  <c r="M430" i="9"/>
  <c r="L430" i="9"/>
  <c r="K430" i="9"/>
  <c r="J430" i="9"/>
  <c r="N430" i="9"/>
  <c r="D620" i="9" l="1"/>
  <c r="C621" i="9"/>
  <c r="E620" i="9"/>
  <c r="O620" i="9"/>
  <c r="I432" i="9"/>
  <c r="H432" i="9"/>
  <c r="A433" i="9"/>
  <c r="Q431" i="9"/>
  <c r="P431" i="9"/>
  <c r="G432" i="9"/>
  <c r="M431" i="9"/>
  <c r="L431" i="9"/>
  <c r="K431" i="9"/>
  <c r="J431" i="9"/>
  <c r="N431" i="9"/>
  <c r="O621" i="9" l="1"/>
  <c r="D621" i="9"/>
  <c r="E621" i="9"/>
  <c r="C622" i="9"/>
  <c r="M432" i="9"/>
  <c r="L432" i="9"/>
  <c r="K432" i="9"/>
  <c r="J432" i="9"/>
  <c r="N432" i="9"/>
  <c r="Q432" i="9"/>
  <c r="P432" i="9"/>
  <c r="G433" i="9"/>
  <c r="I433" i="9"/>
  <c r="H433" i="9"/>
  <c r="A434" i="9"/>
  <c r="O622" i="9" l="1"/>
  <c r="E622" i="9"/>
  <c r="D622" i="9"/>
  <c r="C623" i="9"/>
  <c r="M433" i="9"/>
  <c r="L433" i="9"/>
  <c r="K433" i="9"/>
  <c r="J433" i="9"/>
  <c r="N433" i="9"/>
  <c r="Q433" i="9"/>
  <c r="P433" i="9"/>
  <c r="G434" i="9"/>
  <c r="I434" i="9"/>
  <c r="H434" i="9"/>
  <c r="A435" i="9"/>
  <c r="E623" i="9" l="1"/>
  <c r="O623" i="9"/>
  <c r="D623" i="9"/>
  <c r="C624" i="9"/>
  <c r="I435" i="9"/>
  <c r="H435" i="9"/>
  <c r="A436" i="9"/>
  <c r="M434" i="9"/>
  <c r="L434" i="9"/>
  <c r="K434" i="9"/>
  <c r="J434" i="9"/>
  <c r="N434" i="9"/>
  <c r="Q434" i="9"/>
  <c r="P434" i="9"/>
  <c r="G435" i="9"/>
  <c r="O624" i="9" l="1"/>
  <c r="D624" i="9"/>
  <c r="C625" i="9"/>
  <c r="E624" i="9"/>
  <c r="I436" i="9"/>
  <c r="H436" i="9"/>
  <c r="A437" i="9"/>
  <c r="Q435" i="9"/>
  <c r="P435" i="9"/>
  <c r="G436" i="9"/>
  <c r="M435" i="9"/>
  <c r="L435" i="9"/>
  <c r="K435" i="9"/>
  <c r="J435" i="9"/>
  <c r="N435" i="9"/>
  <c r="O625" i="9" l="1"/>
  <c r="D625" i="9"/>
  <c r="C626" i="9"/>
  <c r="E625" i="9"/>
  <c r="Q436" i="9"/>
  <c r="P436" i="9"/>
  <c r="G437" i="9"/>
  <c r="I437" i="9"/>
  <c r="H437" i="9"/>
  <c r="A438" i="9"/>
  <c r="M436" i="9"/>
  <c r="L436" i="9"/>
  <c r="K436" i="9"/>
  <c r="J436" i="9"/>
  <c r="N436" i="9"/>
  <c r="O626" i="9" l="1"/>
  <c r="D626" i="9"/>
  <c r="C627" i="9"/>
  <c r="E626" i="9"/>
  <c r="M437" i="9"/>
  <c r="L437" i="9"/>
  <c r="K437" i="9"/>
  <c r="J437" i="9"/>
  <c r="N437" i="9"/>
  <c r="I438" i="9"/>
  <c r="H438" i="9"/>
  <c r="A439" i="9"/>
  <c r="Q437" i="9"/>
  <c r="P437" i="9"/>
  <c r="G438" i="9"/>
  <c r="C628" i="9" l="1"/>
  <c r="D627" i="9"/>
  <c r="E627" i="9"/>
  <c r="O627" i="9"/>
  <c r="M438" i="9"/>
  <c r="L438" i="9"/>
  <c r="K438" i="9"/>
  <c r="J438" i="9"/>
  <c r="N438" i="9"/>
  <c r="Q438" i="9"/>
  <c r="P438" i="9"/>
  <c r="G439" i="9"/>
  <c r="I439" i="9"/>
  <c r="H439" i="9"/>
  <c r="A440" i="9"/>
  <c r="E628" i="9" l="1"/>
  <c r="O628" i="9"/>
  <c r="D628" i="9"/>
  <c r="C629" i="9"/>
  <c r="Q439" i="9"/>
  <c r="P439" i="9"/>
  <c r="G440" i="9"/>
  <c r="M439" i="9"/>
  <c r="L439" i="9"/>
  <c r="K439" i="9"/>
  <c r="J439" i="9"/>
  <c r="N439" i="9"/>
  <c r="I440" i="9"/>
  <c r="H440" i="9"/>
  <c r="A441" i="9"/>
  <c r="C630" i="9" l="1"/>
  <c r="E629" i="9"/>
  <c r="D629" i="9"/>
  <c r="O629" i="9"/>
  <c r="I441" i="9"/>
  <c r="H441" i="9"/>
  <c r="A442" i="9"/>
  <c r="M440" i="9"/>
  <c r="L440" i="9"/>
  <c r="K440" i="9"/>
  <c r="J440" i="9"/>
  <c r="N440" i="9"/>
  <c r="Q440" i="9"/>
  <c r="P440" i="9"/>
  <c r="G441" i="9"/>
  <c r="O630" i="9" l="1"/>
  <c r="D630" i="9"/>
  <c r="E630" i="9"/>
  <c r="C631" i="9"/>
  <c r="M441" i="9"/>
  <c r="L441" i="9"/>
  <c r="K441" i="9"/>
  <c r="J441" i="9"/>
  <c r="N441" i="9"/>
  <c r="Q441" i="9"/>
  <c r="P441" i="9"/>
  <c r="G442" i="9"/>
  <c r="I442" i="9"/>
  <c r="H442" i="9"/>
  <c r="A443" i="9"/>
  <c r="O631" i="9" l="1"/>
  <c r="D631" i="9"/>
  <c r="E631" i="9"/>
  <c r="C632" i="9"/>
  <c r="I443" i="9"/>
  <c r="H443" i="9"/>
  <c r="A444" i="9"/>
  <c r="Q442" i="9"/>
  <c r="P442" i="9"/>
  <c r="G443" i="9"/>
  <c r="M442" i="9"/>
  <c r="L442" i="9"/>
  <c r="K442" i="9"/>
  <c r="J442" i="9"/>
  <c r="N442" i="9"/>
  <c r="C633" i="9" l="1"/>
  <c r="E632" i="9"/>
  <c r="O632" i="9"/>
  <c r="D632" i="9"/>
  <c r="M443" i="9"/>
  <c r="L443" i="9"/>
  <c r="K443" i="9"/>
  <c r="J443" i="9"/>
  <c r="N443" i="9"/>
  <c r="I444" i="9"/>
  <c r="H444" i="9"/>
  <c r="A445" i="9"/>
  <c r="Q443" i="9"/>
  <c r="P443" i="9"/>
  <c r="G444" i="9"/>
  <c r="C634" i="9" l="1"/>
  <c r="E633" i="9"/>
  <c r="D633" i="9"/>
  <c r="O633" i="9"/>
  <c r="M444" i="9"/>
  <c r="L444" i="9"/>
  <c r="K444" i="9"/>
  <c r="J444" i="9"/>
  <c r="N444" i="9"/>
  <c r="Q444" i="9"/>
  <c r="P444" i="9"/>
  <c r="G445" i="9"/>
  <c r="I445" i="9"/>
  <c r="H445" i="9"/>
  <c r="A446" i="9"/>
  <c r="O634" i="9" l="1"/>
  <c r="D634" i="9"/>
  <c r="C635" i="9"/>
  <c r="E634" i="9"/>
  <c r="M445" i="9"/>
  <c r="L445" i="9"/>
  <c r="K445" i="9"/>
  <c r="J445" i="9"/>
  <c r="N445" i="9"/>
  <c r="I446" i="9"/>
  <c r="H446" i="9"/>
  <c r="A447" i="9"/>
  <c r="Q445" i="9"/>
  <c r="P445" i="9"/>
  <c r="G446" i="9"/>
  <c r="D635" i="9" l="1"/>
  <c r="C636" i="9"/>
  <c r="E635" i="9"/>
  <c r="O635" i="9"/>
  <c r="M446" i="9"/>
  <c r="L446" i="9"/>
  <c r="K446" i="9"/>
  <c r="J446" i="9"/>
  <c r="N446" i="9"/>
  <c r="Q446" i="9"/>
  <c r="P446" i="9"/>
  <c r="G447" i="9"/>
  <c r="I447" i="9"/>
  <c r="H447" i="9"/>
  <c r="A448" i="9"/>
  <c r="D636" i="9" l="1"/>
  <c r="C637" i="9"/>
  <c r="E636" i="9"/>
  <c r="O636" i="9"/>
  <c r="Q447" i="9"/>
  <c r="P447" i="9"/>
  <c r="G448" i="9"/>
  <c r="I448" i="9"/>
  <c r="H448" i="9"/>
  <c r="A449" i="9"/>
  <c r="M447" i="9"/>
  <c r="L447" i="9"/>
  <c r="K447" i="9"/>
  <c r="J447" i="9"/>
  <c r="N447" i="9"/>
  <c r="D637" i="9" l="1"/>
  <c r="C638" i="9"/>
  <c r="E637" i="9"/>
  <c r="O637" i="9"/>
  <c r="I449" i="9"/>
  <c r="H449" i="9"/>
  <c r="A450" i="9"/>
  <c r="Q448" i="9"/>
  <c r="P448" i="9"/>
  <c r="G449" i="9"/>
  <c r="M448" i="9"/>
  <c r="L448" i="9"/>
  <c r="K448" i="9"/>
  <c r="J448" i="9"/>
  <c r="N448" i="9"/>
  <c r="E638" i="9" l="1"/>
  <c r="C639" i="9"/>
  <c r="O638" i="9"/>
  <c r="D638" i="9"/>
  <c r="M449" i="9"/>
  <c r="L449" i="9"/>
  <c r="K449" i="9"/>
  <c r="J449" i="9"/>
  <c r="N449" i="9"/>
  <c r="Q449" i="9"/>
  <c r="P449" i="9"/>
  <c r="G450" i="9"/>
  <c r="I450" i="9"/>
  <c r="H450" i="9"/>
  <c r="A451" i="9"/>
  <c r="C640" i="9" l="1"/>
  <c r="O639" i="9"/>
  <c r="D639" i="9"/>
  <c r="E639" i="9"/>
  <c r="Q450" i="9"/>
  <c r="P450" i="9"/>
  <c r="G451" i="9"/>
  <c r="M450" i="9"/>
  <c r="L450" i="9"/>
  <c r="K450" i="9"/>
  <c r="J450" i="9"/>
  <c r="N450" i="9"/>
  <c r="I451" i="9"/>
  <c r="H451" i="9"/>
  <c r="A452" i="9"/>
  <c r="O640" i="9" l="1"/>
  <c r="E640" i="9"/>
  <c r="D640" i="9"/>
  <c r="C641" i="9"/>
  <c r="I452" i="9"/>
  <c r="H452" i="9"/>
  <c r="A453" i="9"/>
  <c r="M451" i="9"/>
  <c r="L451" i="9"/>
  <c r="K451" i="9"/>
  <c r="J451" i="9"/>
  <c r="N451" i="9"/>
  <c r="Q451" i="9"/>
  <c r="P451" i="9"/>
  <c r="G452" i="9"/>
  <c r="D641" i="9" l="1"/>
  <c r="C642" i="9"/>
  <c r="E641" i="9"/>
  <c r="O641" i="9"/>
  <c r="Q452" i="9"/>
  <c r="P452" i="9"/>
  <c r="G453" i="9"/>
  <c r="I453" i="9"/>
  <c r="H453" i="9"/>
  <c r="A454" i="9"/>
  <c r="M452" i="9"/>
  <c r="L452" i="9"/>
  <c r="K452" i="9"/>
  <c r="J452" i="9"/>
  <c r="N452" i="9"/>
  <c r="O642" i="9" l="1"/>
  <c r="D642" i="9"/>
  <c r="C643" i="9"/>
  <c r="E642" i="9"/>
  <c r="M453" i="9"/>
  <c r="L453" i="9"/>
  <c r="K453" i="9"/>
  <c r="J453" i="9"/>
  <c r="N453" i="9"/>
  <c r="I454" i="9"/>
  <c r="H454" i="9"/>
  <c r="A455" i="9"/>
  <c r="Q453" i="9"/>
  <c r="P453" i="9"/>
  <c r="G454" i="9"/>
  <c r="D643" i="9" l="1"/>
  <c r="E643" i="9"/>
  <c r="O643" i="9"/>
  <c r="C644" i="9"/>
  <c r="I455" i="9"/>
  <c r="H455" i="9"/>
  <c r="A456" i="9"/>
  <c r="Q454" i="9"/>
  <c r="P454" i="9"/>
  <c r="G455" i="9"/>
  <c r="M454" i="9"/>
  <c r="L454" i="9"/>
  <c r="K454" i="9"/>
  <c r="J454" i="9"/>
  <c r="N454" i="9"/>
  <c r="E644" i="9" l="1"/>
  <c r="O644" i="9"/>
  <c r="C645" i="9"/>
  <c r="D644" i="9"/>
  <c r="Q455" i="9"/>
  <c r="P455" i="9"/>
  <c r="G456" i="9"/>
  <c r="M455" i="9"/>
  <c r="L455" i="9"/>
  <c r="K455" i="9"/>
  <c r="J455" i="9"/>
  <c r="N455" i="9"/>
  <c r="I456" i="9"/>
  <c r="H456" i="9"/>
  <c r="A457" i="9"/>
  <c r="C646" i="9" l="1"/>
  <c r="E645" i="9"/>
  <c r="D645" i="9"/>
  <c r="O645" i="9"/>
  <c r="Q456" i="9"/>
  <c r="P456" i="9"/>
  <c r="G457" i="9"/>
  <c r="I457" i="9"/>
  <c r="H457" i="9"/>
  <c r="A458" i="9"/>
  <c r="M456" i="9"/>
  <c r="L456" i="9"/>
  <c r="K456" i="9"/>
  <c r="J456" i="9"/>
  <c r="N456" i="9"/>
  <c r="C647" i="9" l="1"/>
  <c r="E646" i="9"/>
  <c r="O646" i="9"/>
  <c r="D646" i="9"/>
  <c r="Q457" i="9"/>
  <c r="P457" i="9"/>
  <c r="G458" i="9"/>
  <c r="I458" i="9"/>
  <c r="H458" i="9"/>
  <c r="A459" i="9"/>
  <c r="M457" i="9"/>
  <c r="L457" i="9"/>
  <c r="K457" i="9"/>
  <c r="J457" i="9"/>
  <c r="N457" i="9"/>
  <c r="E647" i="9" l="1"/>
  <c r="C648" i="9"/>
  <c r="O647" i="9"/>
  <c r="D647" i="9"/>
  <c r="M458" i="9"/>
  <c r="L458" i="9"/>
  <c r="K458" i="9"/>
  <c r="J458" i="9"/>
  <c r="N458" i="9"/>
  <c r="I459" i="9"/>
  <c r="H459" i="9"/>
  <c r="A460" i="9"/>
  <c r="Q458" i="9"/>
  <c r="P458" i="9"/>
  <c r="G459" i="9"/>
  <c r="C649" i="9" l="1"/>
  <c r="O648" i="9"/>
  <c r="D648" i="9"/>
  <c r="E648" i="9"/>
  <c r="I460" i="9"/>
  <c r="H460" i="9"/>
  <c r="A461" i="9"/>
  <c r="M459" i="9"/>
  <c r="L459" i="9"/>
  <c r="K459" i="9"/>
  <c r="J459" i="9"/>
  <c r="N459" i="9"/>
  <c r="Q459" i="9"/>
  <c r="P459" i="9"/>
  <c r="G460" i="9"/>
  <c r="E649" i="9" l="1"/>
  <c r="C650" i="9"/>
  <c r="O649" i="9"/>
  <c r="D649" i="9"/>
  <c r="Q460" i="9"/>
  <c r="P460" i="9"/>
  <c r="G461" i="9"/>
  <c r="M460" i="9"/>
  <c r="L460" i="9"/>
  <c r="K460" i="9"/>
  <c r="J460" i="9"/>
  <c r="N460" i="9"/>
  <c r="I461" i="9"/>
  <c r="H461" i="9"/>
  <c r="A462" i="9"/>
  <c r="E650" i="9" l="1"/>
  <c r="D650" i="9"/>
  <c r="O650" i="9"/>
  <c r="C651" i="9"/>
  <c r="I462" i="9"/>
  <c r="H462" i="9"/>
  <c r="A463" i="9"/>
  <c r="M461" i="9"/>
  <c r="L461" i="9"/>
  <c r="K461" i="9"/>
  <c r="J461" i="9"/>
  <c r="N461" i="9"/>
  <c r="Q461" i="9"/>
  <c r="P461" i="9"/>
  <c r="G462" i="9"/>
  <c r="C652" i="9" l="1"/>
  <c r="E651" i="9"/>
  <c r="O651" i="9"/>
  <c r="D651" i="9"/>
  <c r="M462" i="9"/>
  <c r="L462" i="9"/>
  <c r="K462" i="9"/>
  <c r="J462" i="9"/>
  <c r="N462" i="9"/>
  <c r="I463" i="9"/>
  <c r="H463" i="9"/>
  <c r="A464" i="9"/>
  <c r="Q462" i="9"/>
  <c r="P462" i="9"/>
  <c r="G463" i="9"/>
  <c r="C653" i="9" l="1"/>
  <c r="D652" i="9"/>
  <c r="E652" i="9"/>
  <c r="O652" i="9"/>
  <c r="I464" i="9"/>
  <c r="H464" i="9"/>
  <c r="A465" i="9"/>
  <c r="Q463" i="9"/>
  <c r="P463" i="9"/>
  <c r="G464" i="9"/>
  <c r="M463" i="9"/>
  <c r="L463" i="9"/>
  <c r="K463" i="9"/>
  <c r="J463" i="9"/>
  <c r="N463" i="9"/>
  <c r="C654" i="9" l="1"/>
  <c r="E653" i="9"/>
  <c r="O653" i="9"/>
  <c r="D653" i="9"/>
  <c r="M464" i="9"/>
  <c r="L464" i="9"/>
  <c r="K464" i="9"/>
  <c r="J464" i="9"/>
  <c r="N464" i="9"/>
  <c r="Q464" i="9"/>
  <c r="P464" i="9"/>
  <c r="G465" i="9"/>
  <c r="I465" i="9"/>
  <c r="H465" i="9"/>
  <c r="A466" i="9"/>
  <c r="C655" i="9" l="1"/>
  <c r="E654" i="9"/>
  <c r="D654" i="9"/>
  <c r="O654" i="9"/>
  <c r="M465" i="9"/>
  <c r="L465" i="9"/>
  <c r="K465" i="9"/>
  <c r="J465" i="9"/>
  <c r="N465" i="9"/>
  <c r="Q465" i="9"/>
  <c r="P465" i="9"/>
  <c r="G466" i="9"/>
  <c r="I466" i="9"/>
  <c r="H466" i="9"/>
  <c r="A467" i="9"/>
  <c r="O655" i="9" l="1"/>
  <c r="D655" i="9"/>
  <c r="C656" i="9"/>
  <c r="E655" i="9"/>
  <c r="M466" i="9"/>
  <c r="L466" i="9"/>
  <c r="K466" i="9"/>
  <c r="J466" i="9"/>
  <c r="N466" i="9"/>
  <c r="I467" i="9"/>
  <c r="H467" i="9"/>
  <c r="A468" i="9"/>
  <c r="Q466" i="9"/>
  <c r="P466" i="9"/>
  <c r="G467" i="9"/>
  <c r="C657" i="9" l="1"/>
  <c r="E656" i="9"/>
  <c r="O656" i="9"/>
  <c r="D656" i="9"/>
  <c r="M467" i="9"/>
  <c r="L467" i="9"/>
  <c r="K467" i="9"/>
  <c r="J467" i="9"/>
  <c r="N467" i="9"/>
  <c r="Q467" i="9"/>
  <c r="P467" i="9"/>
  <c r="G468" i="9"/>
  <c r="I468" i="9"/>
  <c r="H468" i="9"/>
  <c r="A469" i="9"/>
  <c r="C658" i="9" l="1"/>
  <c r="O657" i="9"/>
  <c r="D657" i="9"/>
  <c r="E657" i="9"/>
  <c r="I469" i="9"/>
  <c r="H469" i="9"/>
  <c r="A470" i="9"/>
  <c r="M468" i="9"/>
  <c r="L468" i="9"/>
  <c r="K468" i="9"/>
  <c r="J468" i="9"/>
  <c r="N468" i="9"/>
  <c r="Q468" i="9"/>
  <c r="P468" i="9"/>
  <c r="G469" i="9"/>
  <c r="E658" i="9" l="1"/>
  <c r="O658" i="9"/>
  <c r="D658" i="9"/>
  <c r="C659" i="9"/>
  <c r="Q469" i="9"/>
  <c r="P469" i="9"/>
  <c r="G470" i="9"/>
  <c r="I470" i="9"/>
  <c r="H470" i="9"/>
  <c r="A471" i="9"/>
  <c r="M469" i="9"/>
  <c r="L469" i="9"/>
  <c r="K469" i="9"/>
  <c r="J469" i="9"/>
  <c r="N469" i="9"/>
  <c r="C660" i="9" l="1"/>
  <c r="E659" i="9"/>
  <c r="O659" i="9"/>
  <c r="D659" i="9"/>
  <c r="I471" i="9"/>
  <c r="H471" i="9"/>
  <c r="A472" i="9"/>
  <c r="M470" i="9"/>
  <c r="L470" i="9"/>
  <c r="K470" i="9"/>
  <c r="J470" i="9"/>
  <c r="N470" i="9"/>
  <c r="Q470" i="9"/>
  <c r="P470" i="9"/>
  <c r="G471" i="9"/>
  <c r="D660" i="9" l="1"/>
  <c r="C661" i="9"/>
  <c r="E660" i="9"/>
  <c r="O660" i="9"/>
  <c r="I472" i="9"/>
  <c r="H472" i="9"/>
  <c r="A473" i="9"/>
  <c r="M471" i="9"/>
  <c r="L471" i="9"/>
  <c r="K471" i="9"/>
  <c r="J471" i="9"/>
  <c r="N471" i="9"/>
  <c r="Q471" i="9"/>
  <c r="P471" i="9"/>
  <c r="G472" i="9"/>
  <c r="D661" i="9" l="1"/>
  <c r="C662" i="9"/>
  <c r="E661" i="9"/>
  <c r="O661" i="9"/>
  <c r="Q472" i="9"/>
  <c r="P472" i="9"/>
  <c r="G473" i="9"/>
  <c r="M472" i="9"/>
  <c r="L472" i="9"/>
  <c r="K472" i="9"/>
  <c r="J472" i="9"/>
  <c r="N472" i="9"/>
  <c r="I473" i="9"/>
  <c r="H473" i="9"/>
  <c r="A474" i="9"/>
  <c r="E662" i="9" l="1"/>
  <c r="O662" i="9"/>
  <c r="D662" i="9"/>
  <c r="C663" i="9"/>
  <c r="M473" i="9"/>
  <c r="L473" i="9"/>
  <c r="K473" i="9"/>
  <c r="J473" i="9"/>
  <c r="N473" i="9"/>
  <c r="I474" i="9"/>
  <c r="H474" i="9"/>
  <c r="A475" i="9"/>
  <c r="Q473" i="9"/>
  <c r="P473" i="9"/>
  <c r="G474" i="9"/>
  <c r="D663" i="9" l="1"/>
  <c r="C664" i="9"/>
  <c r="O663" i="9"/>
  <c r="E663" i="9"/>
  <c r="Q474" i="9"/>
  <c r="P474" i="9"/>
  <c r="G475" i="9"/>
  <c r="I475" i="9"/>
  <c r="H475" i="9"/>
  <c r="A476" i="9"/>
  <c r="M474" i="9"/>
  <c r="L474" i="9"/>
  <c r="K474" i="9"/>
  <c r="J474" i="9"/>
  <c r="N474" i="9"/>
  <c r="D664" i="9" l="1"/>
  <c r="O664" i="9"/>
  <c r="C665" i="9"/>
  <c r="E664" i="9"/>
  <c r="M475" i="9"/>
  <c r="L475" i="9"/>
  <c r="K475" i="9"/>
  <c r="J475" i="9"/>
  <c r="N475" i="9"/>
  <c r="Q475" i="9"/>
  <c r="P475" i="9"/>
  <c r="G476" i="9"/>
  <c r="I476" i="9"/>
  <c r="H476" i="9"/>
  <c r="A477" i="9"/>
  <c r="D665" i="9" l="1"/>
  <c r="E665" i="9"/>
  <c r="O665" i="9"/>
  <c r="C666" i="9"/>
  <c r="M476" i="9"/>
  <c r="L476" i="9"/>
  <c r="K476" i="9"/>
  <c r="J476" i="9"/>
  <c r="N476" i="9"/>
  <c r="Q476" i="9"/>
  <c r="P476" i="9"/>
  <c r="G477" i="9"/>
  <c r="I477" i="9"/>
  <c r="H477" i="9"/>
  <c r="A478" i="9"/>
  <c r="O666" i="9" l="1"/>
  <c r="D666" i="9"/>
  <c r="C667" i="9"/>
  <c r="E666" i="9"/>
  <c r="M477" i="9"/>
  <c r="L477" i="9"/>
  <c r="K477" i="9"/>
  <c r="J477" i="9"/>
  <c r="N477" i="9"/>
  <c r="I478" i="9"/>
  <c r="H478" i="9"/>
  <c r="A479" i="9"/>
  <c r="Q477" i="9"/>
  <c r="P477" i="9"/>
  <c r="G478" i="9"/>
  <c r="E667" i="9" l="1"/>
  <c r="O667" i="9"/>
  <c r="D667" i="9"/>
  <c r="C668" i="9"/>
  <c r="M478" i="9"/>
  <c r="L478" i="9"/>
  <c r="K478" i="9"/>
  <c r="J478" i="9"/>
  <c r="N478" i="9"/>
  <c r="Q478" i="9"/>
  <c r="P478" i="9"/>
  <c r="G479" i="9"/>
  <c r="I479" i="9"/>
  <c r="H479" i="9"/>
  <c r="A480" i="9"/>
  <c r="E668" i="9" l="1"/>
  <c r="O668" i="9"/>
  <c r="D668" i="9"/>
  <c r="C669" i="9"/>
  <c r="M479" i="9"/>
  <c r="L479" i="9"/>
  <c r="K479" i="9"/>
  <c r="J479" i="9"/>
  <c r="N479" i="9"/>
  <c r="I480" i="9"/>
  <c r="H480" i="9"/>
  <c r="A481" i="9"/>
  <c r="Q479" i="9"/>
  <c r="P479" i="9"/>
  <c r="G480" i="9"/>
  <c r="O669" i="9" l="1"/>
  <c r="D669" i="9"/>
  <c r="C670" i="9"/>
  <c r="E669" i="9"/>
  <c r="M480" i="9"/>
  <c r="L480" i="9"/>
  <c r="K480" i="9"/>
  <c r="J480" i="9"/>
  <c r="N480" i="9"/>
  <c r="I481" i="9"/>
  <c r="H481" i="9"/>
  <c r="A482" i="9"/>
  <c r="Q480" i="9"/>
  <c r="P480" i="9"/>
  <c r="G481" i="9"/>
  <c r="E670" i="9" l="1"/>
  <c r="O670" i="9"/>
  <c r="D670" i="9"/>
  <c r="C671" i="9"/>
  <c r="I482" i="9"/>
  <c r="H482" i="9"/>
  <c r="A483" i="9"/>
  <c r="M481" i="9"/>
  <c r="L481" i="9"/>
  <c r="K481" i="9"/>
  <c r="J481" i="9"/>
  <c r="N481" i="9"/>
  <c r="Q481" i="9"/>
  <c r="P481" i="9"/>
  <c r="G482" i="9"/>
  <c r="E671" i="9" l="1"/>
  <c r="C672" i="9"/>
  <c r="O671" i="9"/>
  <c r="D671" i="9"/>
  <c r="Q482" i="9"/>
  <c r="P482" i="9"/>
  <c r="G483" i="9"/>
  <c r="I483" i="9"/>
  <c r="H483" i="9"/>
  <c r="A484" i="9"/>
  <c r="M482" i="9"/>
  <c r="L482" i="9"/>
  <c r="K482" i="9"/>
  <c r="J482" i="9"/>
  <c r="N482" i="9"/>
  <c r="E672" i="9" l="1"/>
  <c r="O672" i="9"/>
  <c r="C673" i="9"/>
  <c r="D672" i="9"/>
  <c r="I484" i="9"/>
  <c r="H484" i="9"/>
  <c r="A485" i="9"/>
  <c r="M483" i="9"/>
  <c r="L483" i="9"/>
  <c r="K483" i="9"/>
  <c r="J483" i="9"/>
  <c r="N483" i="9"/>
  <c r="Q483" i="9"/>
  <c r="P483" i="9"/>
  <c r="G484" i="9"/>
  <c r="O673" i="9" l="1"/>
  <c r="D673" i="9"/>
  <c r="C674" i="9"/>
  <c r="E673" i="9"/>
  <c r="I485" i="9"/>
  <c r="H485" i="9"/>
  <c r="A486" i="9"/>
  <c r="Q484" i="9"/>
  <c r="P484" i="9"/>
  <c r="G485" i="9"/>
  <c r="M484" i="9"/>
  <c r="L484" i="9"/>
  <c r="K484" i="9"/>
  <c r="J484" i="9"/>
  <c r="N484" i="9"/>
  <c r="O674" i="9" l="1"/>
  <c r="E674" i="9"/>
  <c r="D674" i="9"/>
  <c r="C675" i="9"/>
  <c r="M485" i="9"/>
  <c r="L485" i="9"/>
  <c r="K485" i="9"/>
  <c r="J485" i="9"/>
  <c r="N485" i="9"/>
  <c r="I486" i="9"/>
  <c r="H486" i="9"/>
  <c r="A487" i="9"/>
  <c r="Q485" i="9"/>
  <c r="P485" i="9"/>
  <c r="G486" i="9"/>
  <c r="E675" i="9" l="1"/>
  <c r="D675" i="9"/>
  <c r="C676" i="9"/>
  <c r="O675" i="9"/>
  <c r="I487" i="9"/>
  <c r="H487" i="9"/>
  <c r="A488" i="9"/>
  <c r="M486" i="9"/>
  <c r="L486" i="9"/>
  <c r="K486" i="9"/>
  <c r="J486" i="9"/>
  <c r="N486" i="9"/>
  <c r="Q486" i="9"/>
  <c r="P486" i="9"/>
  <c r="G487" i="9"/>
  <c r="O676" i="9" l="1"/>
  <c r="D676" i="9"/>
  <c r="C677" i="9"/>
  <c r="E676" i="9"/>
  <c r="Q487" i="9"/>
  <c r="P487" i="9"/>
  <c r="G488" i="9"/>
  <c r="M487" i="9"/>
  <c r="L487" i="9"/>
  <c r="K487" i="9"/>
  <c r="J487" i="9"/>
  <c r="N487" i="9"/>
  <c r="I488" i="9"/>
  <c r="H488" i="9"/>
  <c r="A489" i="9"/>
  <c r="E677" i="9" l="1"/>
  <c r="O677" i="9"/>
  <c r="D677" i="9"/>
  <c r="C678" i="9"/>
  <c r="Q488" i="9"/>
  <c r="P488" i="9"/>
  <c r="G489" i="9"/>
  <c r="I489" i="9"/>
  <c r="H489" i="9"/>
  <c r="A490" i="9"/>
  <c r="M488" i="9"/>
  <c r="L488" i="9"/>
  <c r="K488" i="9"/>
  <c r="J488" i="9"/>
  <c r="N488" i="9"/>
  <c r="E678" i="9" l="1"/>
  <c r="O678" i="9"/>
  <c r="D678" i="9"/>
  <c r="C679" i="9"/>
  <c r="I490" i="9"/>
  <c r="H490" i="9"/>
  <c r="A491" i="9"/>
  <c r="Q489" i="9"/>
  <c r="P489" i="9"/>
  <c r="G490" i="9"/>
  <c r="M489" i="9"/>
  <c r="L489" i="9"/>
  <c r="K489" i="9"/>
  <c r="J489" i="9"/>
  <c r="N489" i="9"/>
  <c r="C680" i="9" l="1"/>
  <c r="E679" i="9"/>
  <c r="D679" i="9"/>
  <c r="O679" i="9"/>
  <c r="M490" i="9"/>
  <c r="L490" i="9"/>
  <c r="K490" i="9"/>
  <c r="J490" i="9"/>
  <c r="N490" i="9"/>
  <c r="Q490" i="9"/>
  <c r="P490" i="9"/>
  <c r="G491" i="9"/>
  <c r="I491" i="9"/>
  <c r="H491" i="9"/>
  <c r="A492" i="9"/>
  <c r="C681" i="9" l="1"/>
  <c r="E680" i="9"/>
  <c r="O680" i="9"/>
  <c r="D680" i="9"/>
  <c r="I492" i="9"/>
  <c r="H492" i="9"/>
  <c r="A493" i="9"/>
  <c r="Q491" i="9"/>
  <c r="P491" i="9"/>
  <c r="G492" i="9"/>
  <c r="M491" i="9"/>
  <c r="L491" i="9"/>
  <c r="K491" i="9"/>
  <c r="J491" i="9"/>
  <c r="N491" i="9"/>
  <c r="O681" i="9" l="1"/>
  <c r="D681" i="9"/>
  <c r="C682" i="9"/>
  <c r="E681" i="9"/>
  <c r="I493" i="9"/>
  <c r="H493" i="9"/>
  <c r="A494" i="9"/>
  <c r="Q492" i="9"/>
  <c r="P492" i="9"/>
  <c r="G493" i="9"/>
  <c r="M492" i="9"/>
  <c r="L492" i="9"/>
  <c r="K492" i="9"/>
  <c r="J492" i="9"/>
  <c r="N492" i="9"/>
  <c r="E682" i="9" l="1"/>
  <c r="C683" i="9"/>
  <c r="O682" i="9"/>
  <c r="D682" i="9"/>
  <c r="Q493" i="9"/>
  <c r="P493" i="9"/>
  <c r="G494" i="9"/>
  <c r="I494" i="9"/>
  <c r="H494" i="9"/>
  <c r="A495" i="9"/>
  <c r="M493" i="9"/>
  <c r="L493" i="9"/>
  <c r="K493" i="9"/>
  <c r="J493" i="9"/>
  <c r="N493" i="9"/>
  <c r="O683" i="9" l="1"/>
  <c r="D683" i="9"/>
  <c r="C684" i="9"/>
  <c r="E683" i="9"/>
  <c r="M494" i="9"/>
  <c r="L494" i="9"/>
  <c r="K494" i="9"/>
  <c r="J494" i="9"/>
  <c r="N494" i="9"/>
  <c r="I495" i="9"/>
  <c r="H495" i="9"/>
  <c r="A496" i="9"/>
  <c r="Q494" i="9"/>
  <c r="P494" i="9"/>
  <c r="G495" i="9"/>
  <c r="C685" i="9" l="1"/>
  <c r="E684" i="9"/>
  <c r="O684" i="9"/>
  <c r="D684" i="9"/>
  <c r="Q495" i="9"/>
  <c r="P495" i="9"/>
  <c r="G496" i="9"/>
  <c r="I496" i="9"/>
  <c r="H496" i="9"/>
  <c r="A497" i="9"/>
  <c r="M495" i="9"/>
  <c r="L495" i="9"/>
  <c r="K495" i="9"/>
  <c r="J495" i="9"/>
  <c r="N495" i="9"/>
  <c r="D685" i="9" l="1"/>
  <c r="C686" i="9"/>
  <c r="E685" i="9"/>
  <c r="O685" i="9"/>
  <c r="M496" i="9"/>
  <c r="L496" i="9"/>
  <c r="K496" i="9"/>
  <c r="J496" i="9"/>
  <c r="N496" i="9"/>
  <c r="I497" i="9"/>
  <c r="H497" i="9"/>
  <c r="A498" i="9"/>
  <c r="Q496" i="9"/>
  <c r="P496" i="9"/>
  <c r="G497" i="9"/>
  <c r="D686" i="9" l="1"/>
  <c r="O686" i="9"/>
  <c r="C687" i="9"/>
  <c r="E686" i="9"/>
  <c r="M497" i="9"/>
  <c r="L497" i="9"/>
  <c r="K497" i="9"/>
  <c r="J497" i="9"/>
  <c r="N497" i="9"/>
  <c r="Q497" i="9"/>
  <c r="P497" i="9"/>
  <c r="G498" i="9"/>
  <c r="I498" i="9"/>
  <c r="H498" i="9"/>
  <c r="A499" i="9"/>
  <c r="C688" i="9" l="1"/>
  <c r="E687" i="9"/>
  <c r="O687" i="9"/>
  <c r="D687" i="9"/>
  <c r="I499" i="9"/>
  <c r="H499" i="9"/>
  <c r="A500" i="9"/>
  <c r="Q498" i="9"/>
  <c r="P498" i="9"/>
  <c r="G499" i="9"/>
  <c r="M498" i="9"/>
  <c r="L498" i="9"/>
  <c r="K498" i="9"/>
  <c r="J498" i="9"/>
  <c r="N498" i="9"/>
  <c r="C689" i="9" l="1"/>
  <c r="E688" i="9"/>
  <c r="O688" i="9"/>
  <c r="D688" i="9"/>
  <c r="Q499" i="9"/>
  <c r="P499" i="9"/>
  <c r="G500" i="9"/>
  <c r="M499" i="9"/>
  <c r="L499" i="9"/>
  <c r="K499" i="9"/>
  <c r="J499" i="9"/>
  <c r="N499" i="9"/>
  <c r="I500" i="9"/>
  <c r="H500" i="9"/>
  <c r="A501" i="9"/>
  <c r="C690" i="9" l="1"/>
  <c r="E689" i="9"/>
  <c r="O689" i="9"/>
  <c r="D689" i="9"/>
  <c r="I501" i="9"/>
  <c r="H501" i="9"/>
  <c r="A502" i="9"/>
  <c r="Q500" i="9"/>
  <c r="P500" i="9"/>
  <c r="G501" i="9"/>
  <c r="M500" i="9"/>
  <c r="L500" i="9"/>
  <c r="K500" i="9"/>
  <c r="J500" i="9"/>
  <c r="N500" i="9"/>
  <c r="D690" i="9" l="1"/>
  <c r="C691" i="9"/>
  <c r="E690" i="9"/>
  <c r="O690" i="9"/>
  <c r="Q501" i="9"/>
  <c r="P501" i="9"/>
  <c r="G502" i="9"/>
  <c r="M501" i="9"/>
  <c r="L501" i="9"/>
  <c r="K501" i="9"/>
  <c r="J501" i="9"/>
  <c r="N501" i="9"/>
  <c r="I502" i="9"/>
  <c r="H502" i="9"/>
  <c r="A503" i="9"/>
  <c r="E691" i="9" l="1"/>
  <c r="O691" i="9"/>
  <c r="D691" i="9"/>
  <c r="C692" i="9"/>
  <c r="M502" i="9"/>
  <c r="L502" i="9"/>
  <c r="K502" i="9"/>
  <c r="J502" i="9"/>
  <c r="N502" i="9"/>
  <c r="I503" i="9"/>
  <c r="H503" i="9"/>
  <c r="A504" i="9"/>
  <c r="Q502" i="9"/>
  <c r="P502" i="9"/>
  <c r="G503" i="9"/>
  <c r="D692" i="9" l="1"/>
  <c r="C693" i="9"/>
  <c r="E692" i="9"/>
  <c r="O692" i="9"/>
  <c r="M503" i="9"/>
  <c r="L503" i="9"/>
  <c r="K503" i="9"/>
  <c r="J503" i="9"/>
  <c r="N503" i="9"/>
  <c r="Q503" i="9"/>
  <c r="P503" i="9"/>
  <c r="G504" i="9"/>
  <c r="I504" i="9"/>
  <c r="H504" i="9"/>
  <c r="A505" i="9"/>
  <c r="E693" i="9" l="1"/>
  <c r="D693" i="9"/>
  <c r="C694" i="9"/>
  <c r="O693" i="9"/>
  <c r="M504" i="9"/>
  <c r="L504" i="9"/>
  <c r="K504" i="9"/>
  <c r="J504" i="9"/>
  <c r="N504" i="9"/>
  <c r="I505" i="9"/>
  <c r="H505" i="9"/>
  <c r="A506" i="9"/>
  <c r="Q504" i="9"/>
  <c r="P504" i="9"/>
  <c r="G505" i="9"/>
  <c r="E694" i="9" l="1"/>
  <c r="O694" i="9"/>
  <c r="D694" i="9"/>
  <c r="C695" i="9"/>
  <c r="M505" i="9"/>
  <c r="L505" i="9"/>
  <c r="K505" i="9"/>
  <c r="J505" i="9"/>
  <c r="N505" i="9"/>
  <c r="Q505" i="9"/>
  <c r="P505" i="9"/>
  <c r="G506" i="9"/>
  <c r="I506" i="9"/>
  <c r="H506" i="9"/>
  <c r="A507" i="9"/>
  <c r="C696" i="9" l="1"/>
  <c r="O695" i="9"/>
  <c r="E695" i="9"/>
  <c r="D695" i="9"/>
  <c r="I507" i="9"/>
  <c r="H507" i="9"/>
  <c r="A508" i="9"/>
  <c r="Q506" i="9"/>
  <c r="P506" i="9"/>
  <c r="G507" i="9"/>
  <c r="M506" i="9"/>
  <c r="L506" i="9"/>
  <c r="K506" i="9"/>
  <c r="J506" i="9"/>
  <c r="N506" i="9"/>
  <c r="D696" i="9" l="1"/>
  <c r="C697" i="9"/>
  <c r="E696" i="9"/>
  <c r="O696" i="9"/>
  <c r="I508" i="9"/>
  <c r="H508" i="9"/>
  <c r="A509" i="9"/>
  <c r="Q507" i="9"/>
  <c r="P507" i="9"/>
  <c r="G508" i="9"/>
  <c r="M507" i="9"/>
  <c r="L507" i="9"/>
  <c r="K507" i="9"/>
  <c r="J507" i="9"/>
  <c r="N507" i="9"/>
  <c r="C698" i="9" l="1"/>
  <c r="E697" i="9"/>
  <c r="O697" i="9"/>
  <c r="D697" i="9"/>
  <c r="Q508" i="9"/>
  <c r="P508" i="9"/>
  <c r="G509" i="9"/>
  <c r="M508" i="9"/>
  <c r="L508" i="9"/>
  <c r="K508" i="9"/>
  <c r="J508" i="9"/>
  <c r="N508" i="9"/>
  <c r="I509" i="9"/>
  <c r="H509" i="9"/>
  <c r="A510" i="9"/>
  <c r="C699" i="9" l="1"/>
  <c r="O698" i="9"/>
  <c r="E698" i="9"/>
  <c r="D698" i="9"/>
  <c r="I510" i="9"/>
  <c r="H510" i="9"/>
  <c r="A511" i="9"/>
  <c r="M509" i="9"/>
  <c r="L509" i="9"/>
  <c r="K509" i="9"/>
  <c r="J509" i="9"/>
  <c r="N509" i="9"/>
  <c r="Q509" i="9"/>
  <c r="P509" i="9"/>
  <c r="G510" i="9"/>
  <c r="C700" i="9" l="1"/>
  <c r="E699" i="9"/>
  <c r="O699" i="9"/>
  <c r="D699" i="9"/>
  <c r="Q510" i="9"/>
  <c r="P510" i="9"/>
  <c r="G511" i="9"/>
  <c r="M510" i="9"/>
  <c r="L510" i="9"/>
  <c r="K510" i="9"/>
  <c r="J510" i="9"/>
  <c r="N510" i="9"/>
  <c r="I511" i="9"/>
  <c r="H511" i="9"/>
  <c r="A512" i="9"/>
  <c r="C701" i="9" l="1"/>
  <c r="D700" i="9"/>
  <c r="E700" i="9"/>
  <c r="O700" i="9"/>
  <c r="I512" i="9"/>
  <c r="H512" i="9"/>
  <c r="A513" i="9"/>
  <c r="Q511" i="9"/>
  <c r="P511" i="9"/>
  <c r="G512" i="9"/>
  <c r="M511" i="9"/>
  <c r="L511" i="9"/>
  <c r="K511" i="9"/>
  <c r="J511" i="9"/>
  <c r="N511" i="9"/>
  <c r="D701" i="9" l="1"/>
  <c r="O701" i="9"/>
  <c r="C702" i="9"/>
  <c r="E701" i="9"/>
  <c r="M512" i="9"/>
  <c r="L512" i="9"/>
  <c r="K512" i="9"/>
  <c r="J512" i="9"/>
  <c r="N512" i="9"/>
  <c r="Q512" i="9"/>
  <c r="P512" i="9"/>
  <c r="G513" i="9"/>
  <c r="I513" i="9"/>
  <c r="H513" i="9"/>
  <c r="A514" i="9"/>
  <c r="C703" i="9" l="1"/>
  <c r="E702" i="9"/>
  <c r="O702" i="9"/>
  <c r="D702" i="9"/>
  <c r="Q513" i="9"/>
  <c r="P513" i="9"/>
  <c r="G514" i="9"/>
  <c r="M513" i="9"/>
  <c r="L513" i="9"/>
  <c r="K513" i="9"/>
  <c r="J513" i="9"/>
  <c r="N513" i="9"/>
  <c r="I514" i="9"/>
  <c r="H514" i="9"/>
  <c r="A515" i="9"/>
  <c r="C704" i="9" l="1"/>
  <c r="E703" i="9"/>
  <c r="D703" i="9"/>
  <c r="O703" i="9"/>
  <c r="Q514" i="9"/>
  <c r="P514" i="9"/>
  <c r="G515" i="9"/>
  <c r="I515" i="9"/>
  <c r="H515" i="9"/>
  <c r="A516" i="9"/>
  <c r="M514" i="9"/>
  <c r="L514" i="9"/>
  <c r="K514" i="9"/>
  <c r="J514" i="9"/>
  <c r="N514" i="9"/>
  <c r="D704" i="9" l="1"/>
  <c r="C705" i="9"/>
  <c r="O704" i="9"/>
  <c r="E704" i="9"/>
  <c r="M515" i="9"/>
  <c r="L515" i="9"/>
  <c r="K515" i="9"/>
  <c r="J515" i="9"/>
  <c r="N515" i="9"/>
  <c r="I516" i="9"/>
  <c r="H516" i="9"/>
  <c r="A517" i="9"/>
  <c r="Q515" i="9"/>
  <c r="P515" i="9"/>
  <c r="G516" i="9"/>
  <c r="E705" i="9" l="1"/>
  <c r="O705" i="9"/>
  <c r="D705" i="9"/>
  <c r="C706" i="9"/>
  <c r="I517" i="9"/>
  <c r="H517" i="9"/>
  <c r="A518" i="9"/>
  <c r="Q516" i="9"/>
  <c r="P516" i="9"/>
  <c r="G517" i="9"/>
  <c r="M516" i="9"/>
  <c r="L516" i="9"/>
  <c r="K516" i="9"/>
  <c r="J516" i="9"/>
  <c r="N516" i="9"/>
  <c r="D706" i="9" l="1"/>
  <c r="C707" i="9"/>
  <c r="O706" i="9"/>
  <c r="E706" i="9"/>
  <c r="I518" i="9"/>
  <c r="H518" i="9"/>
  <c r="A519" i="9"/>
  <c r="M517" i="9"/>
  <c r="L517" i="9"/>
  <c r="K517" i="9"/>
  <c r="J517" i="9"/>
  <c r="N517" i="9"/>
  <c r="Q517" i="9"/>
  <c r="P517" i="9"/>
  <c r="G518" i="9"/>
  <c r="O707" i="9" l="1"/>
  <c r="D707" i="9"/>
  <c r="C708" i="9"/>
  <c r="E707" i="9"/>
  <c r="M518" i="9"/>
  <c r="L518" i="9"/>
  <c r="K518" i="9"/>
  <c r="J518" i="9"/>
  <c r="N518" i="9"/>
  <c r="Q518" i="9"/>
  <c r="P518" i="9"/>
  <c r="G519" i="9"/>
  <c r="I519" i="9"/>
  <c r="H519" i="9"/>
  <c r="A520" i="9"/>
  <c r="E708" i="9" l="1"/>
  <c r="D708" i="9"/>
  <c r="C709" i="9"/>
  <c r="O708" i="9"/>
  <c r="I520" i="9"/>
  <c r="H520" i="9"/>
  <c r="A521" i="9"/>
  <c r="M519" i="9"/>
  <c r="L519" i="9"/>
  <c r="K519" i="9"/>
  <c r="J519" i="9"/>
  <c r="N519" i="9"/>
  <c r="Q519" i="9"/>
  <c r="P519" i="9"/>
  <c r="G520" i="9"/>
  <c r="D709" i="9" l="1"/>
  <c r="C710" i="9"/>
  <c r="E709" i="9"/>
  <c r="O709" i="9"/>
  <c r="Q520" i="9"/>
  <c r="P520" i="9"/>
  <c r="G521" i="9"/>
  <c r="I521" i="9"/>
  <c r="H521" i="9"/>
  <c r="A522" i="9"/>
  <c r="M520" i="9"/>
  <c r="L520" i="9"/>
  <c r="K520" i="9"/>
  <c r="J520" i="9"/>
  <c r="N520" i="9"/>
  <c r="C711" i="9" l="1"/>
  <c r="E710" i="9"/>
  <c r="O710" i="9"/>
  <c r="D710" i="9"/>
  <c r="Q521" i="9"/>
  <c r="P521" i="9"/>
  <c r="G522" i="9"/>
  <c r="M521" i="9"/>
  <c r="L521" i="9"/>
  <c r="K521" i="9"/>
  <c r="J521" i="9"/>
  <c r="N521" i="9"/>
  <c r="I522" i="9"/>
  <c r="H522" i="9"/>
  <c r="A523" i="9"/>
  <c r="E711" i="9" l="1"/>
  <c r="O711" i="9"/>
  <c r="C712" i="9"/>
  <c r="D711" i="9"/>
  <c r="I523" i="9"/>
  <c r="H523" i="9"/>
  <c r="A524" i="9"/>
  <c r="Q522" i="9"/>
  <c r="P522" i="9"/>
  <c r="G523" i="9"/>
  <c r="M522" i="9"/>
  <c r="L522" i="9"/>
  <c r="K522" i="9"/>
  <c r="J522" i="9"/>
  <c r="N522" i="9"/>
  <c r="D712" i="9" l="1"/>
  <c r="C713" i="9"/>
  <c r="E712" i="9"/>
  <c r="O712" i="9"/>
  <c r="I524" i="9"/>
  <c r="H524" i="9"/>
  <c r="A525" i="9"/>
  <c r="Q523" i="9"/>
  <c r="P523" i="9"/>
  <c r="G524" i="9"/>
  <c r="M523" i="9"/>
  <c r="L523" i="9"/>
  <c r="K523" i="9"/>
  <c r="J523" i="9"/>
  <c r="N523" i="9"/>
  <c r="C714" i="9" l="1"/>
  <c r="E713" i="9"/>
  <c r="O713" i="9"/>
  <c r="D713" i="9"/>
  <c r="I525" i="9"/>
  <c r="H525" i="9"/>
  <c r="A526" i="9"/>
  <c r="Q524" i="9"/>
  <c r="P524" i="9"/>
  <c r="G525" i="9"/>
  <c r="M524" i="9"/>
  <c r="L524" i="9"/>
  <c r="K524" i="9"/>
  <c r="J524" i="9"/>
  <c r="N524" i="9"/>
  <c r="O714" i="9" l="1"/>
  <c r="D714" i="9"/>
  <c r="C715" i="9"/>
  <c r="E714" i="9"/>
  <c r="M525" i="9"/>
  <c r="L525" i="9"/>
  <c r="K525" i="9"/>
  <c r="J525" i="9"/>
  <c r="N525" i="9"/>
  <c r="Q525" i="9"/>
  <c r="P525" i="9"/>
  <c r="G526" i="9"/>
  <c r="I526" i="9"/>
  <c r="H526" i="9"/>
  <c r="A527" i="9"/>
  <c r="D715" i="9" l="1"/>
  <c r="C716" i="9"/>
  <c r="E715" i="9"/>
  <c r="O715" i="9"/>
  <c r="M526" i="9"/>
  <c r="L526" i="9"/>
  <c r="K526" i="9"/>
  <c r="J526" i="9"/>
  <c r="N526" i="9"/>
  <c r="Q526" i="9"/>
  <c r="P526" i="9"/>
  <c r="G527" i="9"/>
  <c r="I527" i="9"/>
  <c r="H527" i="9"/>
  <c r="A528" i="9"/>
  <c r="O716" i="9" l="1"/>
  <c r="C717" i="9"/>
  <c r="D716" i="9"/>
  <c r="E716" i="9"/>
  <c r="M527" i="9"/>
  <c r="L527" i="9"/>
  <c r="K527" i="9"/>
  <c r="J527" i="9"/>
  <c r="N527" i="9"/>
  <c r="I528" i="9"/>
  <c r="H528" i="9"/>
  <c r="A529" i="9"/>
  <c r="Q527" i="9"/>
  <c r="P527" i="9"/>
  <c r="G528" i="9"/>
  <c r="C718" i="9" l="1"/>
  <c r="E717" i="9"/>
  <c r="O717" i="9"/>
  <c r="D717" i="9"/>
  <c r="I529" i="9"/>
  <c r="H529" i="9"/>
  <c r="A530" i="9"/>
  <c r="M528" i="9"/>
  <c r="L528" i="9"/>
  <c r="K528" i="9"/>
  <c r="J528" i="9"/>
  <c r="N528" i="9"/>
  <c r="Q528" i="9"/>
  <c r="P528" i="9"/>
  <c r="G529" i="9"/>
  <c r="D718" i="9" l="1"/>
  <c r="E718" i="9"/>
  <c r="O718" i="9"/>
  <c r="C719" i="9"/>
  <c r="Q529" i="9"/>
  <c r="P529" i="9"/>
  <c r="G530" i="9"/>
  <c r="I530" i="9"/>
  <c r="H530" i="9"/>
  <c r="A531" i="9"/>
  <c r="M529" i="9"/>
  <c r="L529" i="9"/>
  <c r="K529" i="9"/>
  <c r="J529" i="9"/>
  <c r="N529" i="9"/>
  <c r="D719" i="9" l="1"/>
  <c r="C720" i="9"/>
  <c r="E719" i="9"/>
  <c r="O719" i="9"/>
  <c r="M530" i="9"/>
  <c r="L530" i="9"/>
  <c r="K530" i="9"/>
  <c r="J530" i="9"/>
  <c r="N530" i="9"/>
  <c r="I531" i="9"/>
  <c r="H531" i="9"/>
  <c r="A532" i="9"/>
  <c r="Q530" i="9"/>
  <c r="P530" i="9"/>
  <c r="G531" i="9"/>
  <c r="C721" i="9" l="1"/>
  <c r="E720" i="9"/>
  <c r="O720" i="9"/>
  <c r="D720" i="9"/>
  <c r="I532" i="9"/>
  <c r="H532" i="9"/>
  <c r="A533" i="9"/>
  <c r="M531" i="9"/>
  <c r="L531" i="9"/>
  <c r="K531" i="9"/>
  <c r="J531" i="9"/>
  <c r="N531" i="9"/>
  <c r="Q531" i="9"/>
  <c r="P531" i="9"/>
  <c r="G532" i="9"/>
  <c r="D721" i="9" l="1"/>
  <c r="C722" i="9"/>
  <c r="E721" i="9"/>
  <c r="O721" i="9"/>
  <c r="M532" i="9"/>
  <c r="L532" i="9"/>
  <c r="K532" i="9"/>
  <c r="J532" i="9"/>
  <c r="N532" i="9"/>
  <c r="Q532" i="9"/>
  <c r="P532" i="9"/>
  <c r="G533" i="9"/>
  <c r="I533" i="9"/>
  <c r="H533" i="9"/>
  <c r="A534" i="9"/>
  <c r="O722" i="9" l="1"/>
  <c r="D722" i="9"/>
  <c r="C723" i="9"/>
  <c r="E722" i="9"/>
  <c r="I534" i="9"/>
  <c r="H534" i="9"/>
  <c r="A535" i="9"/>
  <c r="Q533" i="9"/>
  <c r="P533" i="9"/>
  <c r="G534" i="9"/>
  <c r="M533" i="9"/>
  <c r="L533" i="9"/>
  <c r="K533" i="9"/>
  <c r="J533" i="9"/>
  <c r="N533" i="9"/>
  <c r="C724" i="9" l="1"/>
  <c r="E723" i="9"/>
  <c r="O723" i="9"/>
  <c r="D723" i="9"/>
  <c r="M534" i="9"/>
  <c r="L534" i="9"/>
  <c r="K534" i="9"/>
  <c r="J534" i="9"/>
  <c r="N534" i="9"/>
  <c r="Q534" i="9"/>
  <c r="P534" i="9"/>
  <c r="G535" i="9"/>
  <c r="I535" i="9"/>
  <c r="H535" i="9"/>
  <c r="A536" i="9"/>
  <c r="E724" i="9" l="1"/>
  <c r="O724" i="9"/>
  <c r="D724" i="9"/>
  <c r="C725" i="9"/>
  <c r="I536" i="9"/>
  <c r="H536" i="9"/>
  <c r="A537" i="9"/>
  <c r="M535" i="9"/>
  <c r="L535" i="9"/>
  <c r="K535" i="9"/>
  <c r="J535" i="9"/>
  <c r="N535" i="9"/>
  <c r="Q535" i="9"/>
  <c r="P535" i="9"/>
  <c r="G536" i="9"/>
  <c r="D725" i="9" l="1"/>
  <c r="C726" i="9"/>
  <c r="E725" i="9"/>
  <c r="O725" i="9"/>
  <c r="M536" i="9"/>
  <c r="L536" i="9"/>
  <c r="K536" i="9"/>
  <c r="J536" i="9"/>
  <c r="N536" i="9"/>
  <c r="Q536" i="9"/>
  <c r="P536" i="9"/>
  <c r="G537" i="9"/>
  <c r="I537" i="9"/>
  <c r="H537" i="9"/>
  <c r="A538" i="9"/>
  <c r="D726" i="9" l="1"/>
  <c r="C727" i="9"/>
  <c r="E726" i="9"/>
  <c r="O726" i="9"/>
  <c r="Q537" i="9"/>
  <c r="P537" i="9"/>
  <c r="G538" i="9"/>
  <c r="M537" i="9"/>
  <c r="L537" i="9"/>
  <c r="K537" i="9"/>
  <c r="J537" i="9"/>
  <c r="N537" i="9"/>
  <c r="I538" i="9"/>
  <c r="H538" i="9"/>
  <c r="A539" i="9"/>
  <c r="E727" i="9" l="1"/>
  <c r="O727" i="9"/>
  <c r="D727" i="9"/>
  <c r="C728" i="9"/>
  <c r="M538" i="9"/>
  <c r="L538" i="9"/>
  <c r="K538" i="9"/>
  <c r="J538" i="9"/>
  <c r="N538" i="9"/>
  <c r="I539" i="9"/>
  <c r="H539" i="9"/>
  <c r="A540" i="9"/>
  <c r="Q538" i="9"/>
  <c r="P538" i="9"/>
  <c r="G539" i="9"/>
  <c r="C729" i="9" l="1"/>
  <c r="E728" i="9"/>
  <c r="O728" i="9"/>
  <c r="D728" i="9"/>
  <c r="Q539" i="9"/>
  <c r="P539" i="9"/>
  <c r="G540" i="9"/>
  <c r="I540" i="9"/>
  <c r="H540" i="9"/>
  <c r="A541" i="9"/>
  <c r="M539" i="9"/>
  <c r="L539" i="9"/>
  <c r="K539" i="9"/>
  <c r="J539" i="9"/>
  <c r="N539" i="9"/>
  <c r="C730" i="9" l="1"/>
  <c r="E729" i="9"/>
  <c r="D729" i="9"/>
  <c r="O729" i="9"/>
  <c r="Q540" i="9"/>
  <c r="P540" i="9"/>
  <c r="G541" i="9"/>
  <c r="M540" i="9"/>
  <c r="L540" i="9"/>
  <c r="K540" i="9"/>
  <c r="J540" i="9"/>
  <c r="N540" i="9"/>
  <c r="I541" i="9"/>
  <c r="H541" i="9"/>
  <c r="A542" i="9"/>
  <c r="E730" i="9" l="1"/>
  <c r="O730" i="9"/>
  <c r="C731" i="9"/>
  <c r="D730" i="9"/>
  <c r="M541" i="9"/>
  <c r="L541" i="9"/>
  <c r="K541" i="9"/>
  <c r="J541" i="9"/>
  <c r="N541" i="9"/>
  <c r="Q541" i="9"/>
  <c r="P541" i="9"/>
  <c r="G542" i="9"/>
  <c r="I542" i="9"/>
  <c r="H542" i="9"/>
  <c r="A543" i="9"/>
  <c r="E731" i="9" l="1"/>
  <c r="O731" i="9"/>
  <c r="C732" i="9"/>
  <c r="D731" i="9"/>
  <c r="M542" i="9"/>
  <c r="L542" i="9"/>
  <c r="K542" i="9"/>
  <c r="J542" i="9"/>
  <c r="N542" i="9"/>
  <c r="Q542" i="9"/>
  <c r="P542" i="9"/>
  <c r="G543" i="9"/>
  <c r="I543" i="9"/>
  <c r="H543" i="9"/>
  <c r="A544" i="9"/>
  <c r="E732" i="9" l="1"/>
  <c r="O732" i="9"/>
  <c r="C733" i="9"/>
  <c r="D732" i="9"/>
  <c r="I544" i="9"/>
  <c r="H544" i="9"/>
  <c r="A545" i="9"/>
  <c r="Q543" i="9"/>
  <c r="P543" i="9"/>
  <c r="G544" i="9"/>
  <c r="M543" i="9"/>
  <c r="L543" i="9"/>
  <c r="K543" i="9"/>
  <c r="J543" i="9"/>
  <c r="N543" i="9"/>
  <c r="E733" i="9" l="1"/>
  <c r="D733" i="9"/>
  <c r="C734" i="9"/>
  <c r="O733" i="9"/>
  <c r="Q544" i="9"/>
  <c r="P544" i="9"/>
  <c r="G545" i="9"/>
  <c r="M544" i="9"/>
  <c r="L544" i="9"/>
  <c r="K544" i="9"/>
  <c r="J544" i="9"/>
  <c r="N544" i="9"/>
  <c r="I545" i="9"/>
  <c r="H545" i="9"/>
  <c r="A546" i="9"/>
  <c r="O734" i="9" l="1"/>
  <c r="C735" i="9"/>
  <c r="E734" i="9"/>
  <c r="D734" i="9"/>
  <c r="M545" i="9"/>
  <c r="L545" i="9"/>
  <c r="K545" i="9"/>
  <c r="J545" i="9"/>
  <c r="N545" i="9"/>
  <c r="I546" i="9"/>
  <c r="H546" i="9"/>
  <c r="A547" i="9"/>
  <c r="Q545" i="9"/>
  <c r="P545" i="9"/>
  <c r="G546" i="9"/>
  <c r="E735" i="9" l="1"/>
  <c r="D735" i="9"/>
  <c r="C736" i="9"/>
  <c r="O735" i="9"/>
  <c r="Q546" i="9"/>
  <c r="P546" i="9"/>
  <c r="G547" i="9"/>
  <c r="I547" i="9"/>
  <c r="H547" i="9"/>
  <c r="A548" i="9"/>
  <c r="M546" i="9"/>
  <c r="L546" i="9"/>
  <c r="K546" i="9"/>
  <c r="J546" i="9"/>
  <c r="N546" i="9"/>
  <c r="O736" i="9" l="1"/>
  <c r="D736" i="9"/>
  <c r="C737" i="9"/>
  <c r="E736" i="9"/>
  <c r="M547" i="9"/>
  <c r="L547" i="9"/>
  <c r="K547" i="9"/>
  <c r="J547" i="9"/>
  <c r="N547" i="9"/>
  <c r="Q547" i="9"/>
  <c r="P547" i="9"/>
  <c r="G548" i="9"/>
  <c r="I548" i="9"/>
  <c r="H548" i="9"/>
  <c r="A549" i="9"/>
  <c r="O737" i="9" l="1"/>
  <c r="D737" i="9"/>
  <c r="C738" i="9"/>
  <c r="E737" i="9"/>
  <c r="M548" i="9"/>
  <c r="L548" i="9"/>
  <c r="K548" i="9"/>
  <c r="J548" i="9"/>
  <c r="N548" i="9"/>
  <c r="Q548" i="9"/>
  <c r="P548" i="9"/>
  <c r="G549" i="9"/>
  <c r="I549" i="9"/>
  <c r="H549" i="9"/>
  <c r="A550" i="9"/>
  <c r="D738" i="9" l="1"/>
  <c r="C739" i="9"/>
  <c r="E738" i="9"/>
  <c r="O738" i="9"/>
  <c r="I550" i="9"/>
  <c r="H550" i="9"/>
  <c r="A551" i="9"/>
  <c r="Q549" i="9"/>
  <c r="P549" i="9"/>
  <c r="G550" i="9"/>
  <c r="M549" i="9"/>
  <c r="L549" i="9"/>
  <c r="K549" i="9"/>
  <c r="J549" i="9"/>
  <c r="N549" i="9"/>
  <c r="D739" i="9" l="1"/>
  <c r="C740" i="9"/>
  <c r="E739" i="9"/>
  <c r="O739" i="9"/>
  <c r="M550" i="9"/>
  <c r="L550" i="9"/>
  <c r="K550" i="9"/>
  <c r="J550" i="9"/>
  <c r="N550" i="9"/>
  <c r="Q550" i="9"/>
  <c r="P550" i="9"/>
  <c r="G551" i="9"/>
  <c r="I551" i="9"/>
  <c r="H551" i="9"/>
  <c r="A552" i="9"/>
  <c r="O740" i="9" l="1"/>
  <c r="D740" i="9"/>
  <c r="C741" i="9"/>
  <c r="E740" i="9"/>
  <c r="I552" i="9"/>
  <c r="H552" i="9"/>
  <c r="A553" i="9"/>
  <c r="Q551" i="9"/>
  <c r="P551" i="9"/>
  <c r="G552" i="9"/>
  <c r="M551" i="9"/>
  <c r="L551" i="9"/>
  <c r="K551" i="9"/>
  <c r="J551" i="9"/>
  <c r="N551" i="9"/>
  <c r="O741" i="9" l="1"/>
  <c r="C742" i="9"/>
  <c r="E741" i="9"/>
  <c r="D741" i="9"/>
  <c r="I553" i="9"/>
  <c r="H553" i="9"/>
  <c r="A554" i="9"/>
  <c r="Q552" i="9"/>
  <c r="P552" i="9"/>
  <c r="G553" i="9"/>
  <c r="M552" i="9"/>
  <c r="L552" i="9"/>
  <c r="K552" i="9"/>
  <c r="J552" i="9"/>
  <c r="N552" i="9"/>
  <c r="C743" i="9" l="1"/>
  <c r="E742" i="9"/>
  <c r="O742" i="9"/>
  <c r="D742" i="9"/>
  <c r="M553" i="9"/>
  <c r="L553" i="9"/>
  <c r="K553" i="9"/>
  <c r="J553" i="9"/>
  <c r="N553" i="9"/>
  <c r="Q553" i="9"/>
  <c r="P553" i="9"/>
  <c r="G554" i="9"/>
  <c r="I554" i="9"/>
  <c r="H554" i="9"/>
  <c r="A555" i="9"/>
  <c r="D743" i="9" l="1"/>
  <c r="C744" i="9"/>
  <c r="O743" i="9"/>
  <c r="E743" i="9"/>
  <c r="Q554" i="9"/>
  <c r="P554" i="9"/>
  <c r="G555" i="9"/>
  <c r="M554" i="9"/>
  <c r="L554" i="9"/>
  <c r="K554" i="9"/>
  <c r="J554" i="9"/>
  <c r="N554" i="9"/>
  <c r="I555" i="9"/>
  <c r="H555" i="9"/>
  <c r="A556" i="9"/>
  <c r="D744" i="9" l="1"/>
  <c r="C745" i="9"/>
  <c r="E744" i="9"/>
  <c r="O744" i="9"/>
  <c r="M555" i="9"/>
  <c r="L555" i="9"/>
  <c r="K555" i="9"/>
  <c r="J555" i="9"/>
  <c r="N555" i="9"/>
  <c r="I556" i="9"/>
  <c r="H556" i="9"/>
  <c r="A557" i="9"/>
  <c r="Q555" i="9"/>
  <c r="P555" i="9"/>
  <c r="G556" i="9"/>
  <c r="C746" i="9" l="1"/>
  <c r="O745" i="9"/>
  <c r="E745" i="9"/>
  <c r="D745" i="9"/>
  <c r="Q556" i="9"/>
  <c r="P556" i="9"/>
  <c r="G557" i="9"/>
  <c r="M556" i="9"/>
  <c r="L556" i="9"/>
  <c r="K556" i="9"/>
  <c r="J556" i="9"/>
  <c r="N556" i="9"/>
  <c r="I557" i="9"/>
  <c r="H557" i="9"/>
  <c r="A558" i="9"/>
  <c r="O746" i="9" l="1"/>
  <c r="D746" i="9"/>
  <c r="C747" i="9"/>
  <c r="E746" i="9"/>
  <c r="I558" i="9"/>
  <c r="H558" i="9"/>
  <c r="A559" i="9"/>
  <c r="M557" i="9"/>
  <c r="L557" i="9"/>
  <c r="K557" i="9"/>
  <c r="J557" i="9"/>
  <c r="N557" i="9"/>
  <c r="Q557" i="9"/>
  <c r="P557" i="9"/>
  <c r="G558" i="9"/>
  <c r="E747" i="9" l="1"/>
  <c r="D747" i="9"/>
  <c r="O747" i="9"/>
  <c r="C748" i="9"/>
  <c r="I559" i="9"/>
  <c r="H559" i="9"/>
  <c r="A560" i="9"/>
  <c r="Q558" i="9"/>
  <c r="P558" i="9"/>
  <c r="G559" i="9"/>
  <c r="M558" i="9"/>
  <c r="L558" i="9"/>
  <c r="K558" i="9"/>
  <c r="J558" i="9"/>
  <c r="N558" i="9"/>
  <c r="E748" i="9" l="1"/>
  <c r="O748" i="9"/>
  <c r="D748" i="9"/>
  <c r="C749" i="9"/>
  <c r="M559" i="9"/>
  <c r="L559" i="9"/>
  <c r="K559" i="9"/>
  <c r="J559" i="9"/>
  <c r="N559" i="9"/>
  <c r="Q559" i="9"/>
  <c r="P559" i="9"/>
  <c r="G560" i="9"/>
  <c r="I560" i="9"/>
  <c r="H560" i="9"/>
  <c r="A561" i="9"/>
  <c r="C750" i="9" l="1"/>
  <c r="E749" i="9"/>
  <c r="O749" i="9"/>
  <c r="D749" i="9"/>
  <c r="M560" i="9"/>
  <c r="L560" i="9"/>
  <c r="K560" i="9"/>
  <c r="J560" i="9"/>
  <c r="N560" i="9"/>
  <c r="I561" i="9"/>
  <c r="H561" i="9"/>
  <c r="A562" i="9"/>
  <c r="Q560" i="9"/>
  <c r="P560" i="9"/>
  <c r="G561" i="9"/>
  <c r="O750" i="9" l="1"/>
  <c r="D750" i="9"/>
  <c r="C751" i="9"/>
  <c r="E750" i="9"/>
  <c r="M561" i="9"/>
  <c r="L561" i="9"/>
  <c r="K561" i="9"/>
  <c r="J561" i="9"/>
  <c r="N561" i="9"/>
  <c r="I562" i="9"/>
  <c r="H562" i="9"/>
  <c r="A563" i="9"/>
  <c r="Q561" i="9"/>
  <c r="P561" i="9"/>
  <c r="G562" i="9"/>
  <c r="D751" i="9" l="1"/>
  <c r="C752" i="9"/>
  <c r="E751" i="9"/>
  <c r="O751" i="9"/>
  <c r="I563" i="9"/>
  <c r="H563" i="9"/>
  <c r="A564" i="9"/>
  <c r="M562" i="9"/>
  <c r="L562" i="9"/>
  <c r="K562" i="9"/>
  <c r="J562" i="9"/>
  <c r="N562" i="9"/>
  <c r="Q562" i="9"/>
  <c r="P562" i="9"/>
  <c r="G563" i="9"/>
  <c r="D752" i="9" l="1"/>
  <c r="C753" i="9"/>
  <c r="E752" i="9"/>
  <c r="O752" i="9"/>
  <c r="M563" i="9"/>
  <c r="L563" i="9"/>
  <c r="K563" i="9"/>
  <c r="J563" i="9"/>
  <c r="N563" i="9"/>
  <c r="I564" i="9"/>
  <c r="H564" i="9"/>
  <c r="A565" i="9"/>
  <c r="Q563" i="9"/>
  <c r="P563" i="9"/>
  <c r="G564" i="9"/>
  <c r="O753" i="9" l="1"/>
  <c r="C754" i="9"/>
  <c r="D753" i="9"/>
  <c r="E753" i="9"/>
  <c r="Q564" i="9"/>
  <c r="P564" i="9"/>
  <c r="G565" i="9"/>
  <c r="M564" i="9"/>
  <c r="L564" i="9"/>
  <c r="K564" i="9"/>
  <c r="J564" i="9"/>
  <c r="N564" i="9"/>
  <c r="I565" i="9"/>
  <c r="H565" i="9"/>
  <c r="A566" i="9"/>
  <c r="C755" i="9" l="1"/>
  <c r="E754" i="9"/>
  <c r="O754" i="9"/>
  <c r="D754" i="9"/>
  <c r="M565" i="9"/>
  <c r="L565" i="9"/>
  <c r="K565" i="9"/>
  <c r="J565" i="9"/>
  <c r="N565" i="9"/>
  <c r="I566" i="9"/>
  <c r="H566" i="9"/>
  <c r="A567" i="9"/>
  <c r="Q565" i="9"/>
  <c r="P565" i="9"/>
  <c r="G566" i="9"/>
  <c r="E755" i="9" l="1"/>
  <c r="O755" i="9"/>
  <c r="D755" i="9"/>
  <c r="C756" i="9"/>
  <c r="I567" i="9"/>
  <c r="H567" i="9"/>
  <c r="A568" i="9"/>
  <c r="M566" i="9"/>
  <c r="L566" i="9"/>
  <c r="K566" i="9"/>
  <c r="J566" i="9"/>
  <c r="N566" i="9"/>
  <c r="Q566" i="9"/>
  <c r="P566" i="9"/>
  <c r="G567" i="9"/>
  <c r="C757" i="9" l="1"/>
  <c r="E756" i="9"/>
  <c r="O756" i="9"/>
  <c r="D756" i="9"/>
  <c r="M567" i="9"/>
  <c r="L567" i="9"/>
  <c r="K567" i="9"/>
  <c r="J567" i="9"/>
  <c r="N567" i="9"/>
  <c r="Q567" i="9"/>
  <c r="P567" i="9"/>
  <c r="G568" i="9"/>
  <c r="I568" i="9"/>
  <c r="H568" i="9"/>
  <c r="A569" i="9"/>
  <c r="E757" i="9" l="1"/>
  <c r="O757" i="9"/>
  <c r="C758" i="9"/>
  <c r="D757" i="9"/>
  <c r="I569" i="9"/>
  <c r="H569" i="9"/>
  <c r="A570" i="9"/>
  <c r="M568" i="9"/>
  <c r="L568" i="9"/>
  <c r="K568" i="9"/>
  <c r="J568" i="9"/>
  <c r="N568" i="9"/>
  <c r="Q568" i="9"/>
  <c r="P568" i="9"/>
  <c r="G569" i="9"/>
  <c r="D758" i="9" l="1"/>
  <c r="E758" i="9"/>
  <c r="C759" i="9"/>
  <c r="O758" i="9"/>
  <c r="M569" i="9"/>
  <c r="L569" i="9"/>
  <c r="K569" i="9"/>
  <c r="J569" i="9"/>
  <c r="N569" i="9"/>
  <c r="Q569" i="9"/>
  <c r="P569" i="9"/>
  <c r="G570" i="9"/>
  <c r="I570" i="9"/>
  <c r="H570" i="9"/>
  <c r="A571" i="9"/>
  <c r="C760" i="9" l="1"/>
  <c r="O759" i="9"/>
  <c r="E759" i="9"/>
  <c r="D759" i="9"/>
  <c r="M570" i="9"/>
  <c r="L570" i="9"/>
  <c r="K570" i="9"/>
  <c r="J570" i="9"/>
  <c r="N570" i="9"/>
  <c r="Q570" i="9"/>
  <c r="P570" i="9"/>
  <c r="G571" i="9"/>
  <c r="I571" i="9"/>
  <c r="H571" i="9"/>
  <c r="A572" i="9"/>
  <c r="O760" i="9" l="1"/>
  <c r="D760" i="9"/>
  <c r="C761" i="9"/>
  <c r="E760" i="9"/>
  <c r="M571" i="9"/>
  <c r="L571" i="9"/>
  <c r="K571" i="9"/>
  <c r="J571" i="9"/>
  <c r="N571" i="9"/>
  <c r="Q571" i="9"/>
  <c r="P571" i="9"/>
  <c r="G572" i="9"/>
  <c r="I572" i="9"/>
  <c r="H572" i="9"/>
  <c r="A573" i="9"/>
  <c r="C762" i="9" l="1"/>
  <c r="E761" i="9"/>
  <c r="O761" i="9"/>
  <c r="D761" i="9"/>
  <c r="I573" i="9"/>
  <c r="H573" i="9"/>
  <c r="A574" i="9"/>
  <c r="Q572" i="9"/>
  <c r="P572" i="9"/>
  <c r="G573" i="9"/>
  <c r="M572" i="9"/>
  <c r="L572" i="9"/>
  <c r="K572" i="9"/>
  <c r="J572" i="9"/>
  <c r="N572" i="9"/>
  <c r="C763" i="9" l="1"/>
  <c r="E762" i="9"/>
  <c r="O762" i="9"/>
  <c r="D762" i="9"/>
  <c r="M573" i="9"/>
  <c r="L573" i="9"/>
  <c r="K573" i="9"/>
  <c r="J573" i="9"/>
  <c r="N573" i="9"/>
  <c r="Q573" i="9"/>
  <c r="P573" i="9"/>
  <c r="G574" i="9"/>
  <c r="I574" i="9"/>
  <c r="H574" i="9"/>
  <c r="A575" i="9"/>
  <c r="O763" i="9" l="1"/>
  <c r="D763" i="9"/>
  <c r="C764" i="9"/>
  <c r="E763" i="9"/>
  <c r="I575" i="9"/>
  <c r="H575" i="9"/>
  <c r="A576" i="9"/>
  <c r="Q574" i="9"/>
  <c r="P574" i="9"/>
  <c r="G575" i="9"/>
  <c r="M574" i="9"/>
  <c r="L574" i="9"/>
  <c r="K574" i="9"/>
  <c r="J574" i="9"/>
  <c r="N574" i="9"/>
  <c r="D764" i="9" l="1"/>
  <c r="E764" i="9"/>
  <c r="C765" i="9"/>
  <c r="O764" i="9"/>
  <c r="I576" i="9"/>
  <c r="H576" i="9"/>
  <c r="A577" i="9"/>
  <c r="M575" i="9"/>
  <c r="L575" i="9"/>
  <c r="K575" i="9"/>
  <c r="J575" i="9"/>
  <c r="N575" i="9"/>
  <c r="Q575" i="9"/>
  <c r="P575" i="9"/>
  <c r="G576" i="9"/>
  <c r="C766" i="9" l="1"/>
  <c r="O765" i="9"/>
  <c r="D765" i="9"/>
  <c r="E765" i="9"/>
  <c r="Q576" i="9"/>
  <c r="P576" i="9"/>
  <c r="G577" i="9"/>
  <c r="M576" i="9"/>
  <c r="L576" i="9"/>
  <c r="K576" i="9"/>
  <c r="J576" i="9"/>
  <c r="N576" i="9"/>
  <c r="I577" i="9"/>
  <c r="H577" i="9"/>
  <c r="A578" i="9"/>
  <c r="E766" i="9" l="1"/>
  <c r="O766" i="9"/>
  <c r="D766" i="9"/>
  <c r="C767" i="9"/>
  <c r="Q577" i="9"/>
  <c r="P577" i="9"/>
  <c r="G578" i="9"/>
  <c r="M577" i="9"/>
  <c r="L577" i="9"/>
  <c r="K577" i="9"/>
  <c r="J577" i="9"/>
  <c r="N577" i="9"/>
  <c r="I578" i="9"/>
  <c r="H578" i="9"/>
  <c r="A579" i="9"/>
  <c r="O767" i="9" l="1"/>
  <c r="D767" i="9"/>
  <c r="C768" i="9"/>
  <c r="E767" i="9"/>
  <c r="I579" i="9"/>
  <c r="H579" i="9"/>
  <c r="A580" i="9"/>
  <c r="M578" i="9"/>
  <c r="L578" i="9"/>
  <c r="K578" i="9"/>
  <c r="J578" i="9"/>
  <c r="N578" i="9"/>
  <c r="Q578" i="9"/>
  <c r="P578" i="9"/>
  <c r="G579" i="9"/>
  <c r="E768" i="9" l="1"/>
  <c r="O768" i="9"/>
  <c r="D768" i="9"/>
  <c r="C769" i="9"/>
  <c r="M579" i="9"/>
  <c r="L579" i="9"/>
  <c r="K579" i="9"/>
  <c r="J579" i="9"/>
  <c r="N579" i="9"/>
  <c r="Q579" i="9"/>
  <c r="P579" i="9"/>
  <c r="G580" i="9"/>
  <c r="I580" i="9"/>
  <c r="H580" i="9"/>
  <c r="A581" i="9"/>
  <c r="C770" i="9" l="1"/>
  <c r="E769" i="9"/>
  <c r="O769" i="9"/>
  <c r="D769" i="9"/>
  <c r="I581" i="9"/>
  <c r="H581" i="9"/>
  <c r="A582" i="9"/>
  <c r="Q580" i="9"/>
  <c r="P580" i="9"/>
  <c r="G581" i="9"/>
  <c r="M580" i="9"/>
  <c r="L580" i="9"/>
  <c r="J580" i="9"/>
  <c r="N580" i="9"/>
  <c r="K580" i="9"/>
  <c r="E770" i="9" l="1"/>
  <c r="O770" i="9"/>
  <c r="D770" i="9"/>
  <c r="C771" i="9"/>
  <c r="M581" i="9"/>
  <c r="L581" i="9"/>
  <c r="J581" i="9"/>
  <c r="N581" i="9"/>
  <c r="K581" i="9"/>
  <c r="Q581" i="9"/>
  <c r="P581" i="9"/>
  <c r="G582" i="9"/>
  <c r="I582" i="9"/>
  <c r="H582" i="9"/>
  <c r="A583" i="9"/>
  <c r="E771" i="9" l="1"/>
  <c r="O771" i="9"/>
  <c r="D771" i="9"/>
  <c r="C772" i="9"/>
  <c r="M582" i="9"/>
  <c r="L582" i="9"/>
  <c r="J582" i="9"/>
  <c r="N582" i="9"/>
  <c r="K582" i="9"/>
  <c r="I583" i="9"/>
  <c r="H583" i="9"/>
  <c r="A584" i="9"/>
  <c r="Q582" i="9"/>
  <c r="P582" i="9"/>
  <c r="G583" i="9"/>
  <c r="O772" i="9" l="1"/>
  <c r="D772" i="9"/>
  <c r="C773" i="9"/>
  <c r="E772" i="9"/>
  <c r="I584" i="9"/>
  <c r="H584" i="9"/>
  <c r="A585" i="9"/>
  <c r="M583" i="9"/>
  <c r="L583" i="9"/>
  <c r="J583" i="9"/>
  <c r="N583" i="9"/>
  <c r="K583" i="9"/>
  <c r="Q583" i="9"/>
  <c r="P583" i="9"/>
  <c r="G584" i="9"/>
  <c r="E773" i="9" l="1"/>
  <c r="O773" i="9"/>
  <c r="D773" i="9"/>
  <c r="C774" i="9"/>
  <c r="Q584" i="9"/>
  <c r="P584" i="9"/>
  <c r="G585" i="9"/>
  <c r="M584" i="9"/>
  <c r="L584" i="9"/>
  <c r="J584" i="9"/>
  <c r="N584" i="9"/>
  <c r="K584" i="9"/>
  <c r="I585" i="9"/>
  <c r="H585" i="9"/>
  <c r="A586" i="9"/>
  <c r="E774" i="9" l="1"/>
  <c r="O774" i="9"/>
  <c r="D774" i="9"/>
  <c r="C775" i="9"/>
  <c r="M585" i="9"/>
  <c r="L585" i="9"/>
  <c r="J585" i="9"/>
  <c r="N585" i="9"/>
  <c r="K585" i="9"/>
  <c r="I586" i="9"/>
  <c r="H586" i="9"/>
  <c r="A587" i="9"/>
  <c r="Q585" i="9"/>
  <c r="P585" i="9"/>
  <c r="G586" i="9"/>
  <c r="E775" i="9" l="1"/>
  <c r="O775" i="9"/>
  <c r="D775" i="9"/>
  <c r="C776" i="9"/>
  <c r="I587" i="9"/>
  <c r="H587" i="9"/>
  <c r="A588" i="9"/>
  <c r="Q586" i="9"/>
  <c r="P586" i="9"/>
  <c r="G587" i="9"/>
  <c r="M586" i="9"/>
  <c r="L586" i="9"/>
  <c r="J586" i="9"/>
  <c r="N586" i="9"/>
  <c r="K586" i="9"/>
  <c r="O776" i="9" l="1"/>
  <c r="D776" i="9"/>
  <c r="C777" i="9"/>
  <c r="E776" i="9"/>
  <c r="M587" i="9"/>
  <c r="L587" i="9"/>
  <c r="J587" i="9"/>
  <c r="N587" i="9"/>
  <c r="K587" i="9"/>
  <c r="Q587" i="9"/>
  <c r="P587" i="9"/>
  <c r="G588" i="9"/>
  <c r="I588" i="9"/>
  <c r="H588" i="9"/>
  <c r="A589" i="9"/>
  <c r="D777" i="9" l="1"/>
  <c r="C778" i="9"/>
  <c r="E777" i="9"/>
  <c r="O777" i="9"/>
  <c r="I589" i="9"/>
  <c r="H589" i="9"/>
  <c r="A590" i="9"/>
  <c r="Q588" i="9"/>
  <c r="P588" i="9"/>
  <c r="G589" i="9"/>
  <c r="M588" i="9"/>
  <c r="L588" i="9"/>
  <c r="J588" i="9"/>
  <c r="N588" i="9"/>
  <c r="K588" i="9"/>
  <c r="O778" i="9" l="1"/>
  <c r="D778" i="9"/>
  <c r="C779" i="9"/>
  <c r="E778" i="9"/>
  <c r="Q589" i="9"/>
  <c r="P589" i="9"/>
  <c r="G590" i="9"/>
  <c r="M589" i="9"/>
  <c r="L589" i="9"/>
  <c r="J589" i="9"/>
  <c r="N589" i="9"/>
  <c r="K589" i="9"/>
  <c r="I590" i="9"/>
  <c r="H590" i="9"/>
  <c r="A591" i="9"/>
  <c r="C780" i="9" l="1"/>
  <c r="D779" i="9"/>
  <c r="E779" i="9"/>
  <c r="O779" i="9"/>
  <c r="M590" i="9"/>
  <c r="L590" i="9"/>
  <c r="J590" i="9"/>
  <c r="N590" i="9"/>
  <c r="K590" i="9"/>
  <c r="Q590" i="9"/>
  <c r="P590" i="9"/>
  <c r="G591" i="9"/>
  <c r="I591" i="9"/>
  <c r="H591" i="9"/>
  <c r="A592" i="9"/>
  <c r="O780" i="9" l="1"/>
  <c r="D780" i="9"/>
  <c r="C781" i="9"/>
  <c r="E780" i="9"/>
  <c r="I592" i="9"/>
  <c r="H592" i="9"/>
  <c r="A593" i="9"/>
  <c r="Q591" i="9"/>
  <c r="P591" i="9"/>
  <c r="G592" i="9"/>
  <c r="M591" i="9"/>
  <c r="L591" i="9"/>
  <c r="J591" i="9"/>
  <c r="N591" i="9"/>
  <c r="K591" i="9"/>
  <c r="D781" i="9" l="1"/>
  <c r="O781" i="9"/>
  <c r="C782" i="9"/>
  <c r="E781" i="9"/>
  <c r="M592" i="9"/>
  <c r="L592" i="9"/>
  <c r="N592" i="9"/>
  <c r="K592" i="9"/>
  <c r="J592" i="9"/>
  <c r="Q592" i="9"/>
  <c r="P592" i="9"/>
  <c r="G593" i="9"/>
  <c r="I593" i="9"/>
  <c r="H593" i="9"/>
  <c r="A594" i="9"/>
  <c r="C783" i="9" l="1"/>
  <c r="E782" i="9"/>
  <c r="O782" i="9"/>
  <c r="D782" i="9"/>
  <c r="M593" i="9"/>
  <c r="L593" i="9"/>
  <c r="K593" i="9"/>
  <c r="J593" i="9"/>
  <c r="N593" i="9"/>
  <c r="I594" i="9"/>
  <c r="H594" i="9"/>
  <c r="A595" i="9"/>
  <c r="Q593" i="9"/>
  <c r="P593" i="9"/>
  <c r="G594" i="9"/>
  <c r="C784" i="9" l="1"/>
  <c r="E783" i="9"/>
  <c r="O783" i="9"/>
  <c r="D783" i="9"/>
  <c r="I595" i="9"/>
  <c r="H595" i="9"/>
  <c r="A596" i="9"/>
  <c r="M594" i="9"/>
  <c r="L594" i="9"/>
  <c r="J594" i="9"/>
  <c r="N594" i="9"/>
  <c r="K594" i="9"/>
  <c r="Q594" i="9"/>
  <c r="P594" i="9"/>
  <c r="G595" i="9"/>
  <c r="D784" i="9" l="1"/>
  <c r="C785" i="9"/>
  <c r="E784" i="9"/>
  <c r="O784" i="9"/>
  <c r="Q595" i="9"/>
  <c r="P595" i="9"/>
  <c r="G596" i="9"/>
  <c r="M595" i="9"/>
  <c r="L595" i="9"/>
  <c r="N595" i="9"/>
  <c r="K595" i="9"/>
  <c r="J595" i="9"/>
  <c r="I596" i="9"/>
  <c r="H596" i="9"/>
  <c r="A597" i="9"/>
  <c r="O785" i="9" l="1"/>
  <c r="D785" i="9"/>
  <c r="C786" i="9"/>
  <c r="E785" i="9"/>
  <c r="Q596" i="9"/>
  <c r="P596" i="9"/>
  <c r="G597" i="9"/>
  <c r="M596" i="9"/>
  <c r="L596" i="9"/>
  <c r="N596" i="9"/>
  <c r="K596" i="9"/>
  <c r="J596" i="9"/>
  <c r="I597" i="9"/>
  <c r="H597" i="9"/>
  <c r="A598" i="9"/>
  <c r="O786" i="9" l="1"/>
  <c r="D786" i="9"/>
  <c r="C787" i="9"/>
  <c r="E786" i="9"/>
  <c r="Q597" i="9"/>
  <c r="P597" i="9"/>
  <c r="G598" i="9"/>
  <c r="I598" i="9"/>
  <c r="H598" i="9"/>
  <c r="A599" i="9"/>
  <c r="M597" i="9"/>
  <c r="L597" i="9"/>
  <c r="K597" i="9"/>
  <c r="J597" i="9"/>
  <c r="N597" i="9"/>
  <c r="O787" i="9" l="1"/>
  <c r="D787" i="9"/>
  <c r="C788" i="9"/>
  <c r="E787" i="9"/>
  <c r="I599" i="9"/>
  <c r="H599" i="9"/>
  <c r="A600" i="9"/>
  <c r="M598" i="9"/>
  <c r="L598" i="9"/>
  <c r="J598" i="9"/>
  <c r="N598" i="9"/>
  <c r="K598" i="9"/>
  <c r="Q598" i="9"/>
  <c r="P598" i="9"/>
  <c r="G599" i="9"/>
  <c r="C789" i="9" l="1"/>
  <c r="O788" i="9"/>
  <c r="D788" i="9"/>
  <c r="E788" i="9"/>
  <c r="I600" i="9"/>
  <c r="H600" i="9"/>
  <c r="A601" i="9"/>
  <c r="Q599" i="9"/>
  <c r="P599" i="9"/>
  <c r="G600" i="9"/>
  <c r="M599" i="9"/>
  <c r="L599" i="9"/>
  <c r="N599" i="9"/>
  <c r="K599" i="9"/>
  <c r="J599" i="9"/>
  <c r="O789" i="9" l="1"/>
  <c r="D789" i="9"/>
  <c r="C790" i="9"/>
  <c r="E789" i="9"/>
  <c r="I601" i="9"/>
  <c r="H601" i="9"/>
  <c r="A602" i="9"/>
  <c r="M600" i="9"/>
  <c r="L600" i="9"/>
  <c r="K600" i="9"/>
  <c r="J600" i="9"/>
  <c r="N600" i="9"/>
  <c r="Q600" i="9"/>
  <c r="G601" i="9"/>
  <c r="P600" i="9"/>
  <c r="E790" i="9" l="1"/>
  <c r="O790" i="9"/>
  <c r="D790" i="9"/>
  <c r="C791" i="9"/>
  <c r="M601" i="9"/>
  <c r="L601" i="9"/>
  <c r="K601" i="9"/>
  <c r="J601" i="9"/>
  <c r="N601" i="9"/>
  <c r="Q601" i="9"/>
  <c r="G602" i="9"/>
  <c r="P601" i="9"/>
  <c r="I602" i="9"/>
  <c r="H602" i="9"/>
  <c r="A603" i="9"/>
  <c r="E791" i="9" l="1"/>
  <c r="O791" i="9"/>
  <c r="D791" i="9"/>
  <c r="C792" i="9"/>
  <c r="I603" i="9"/>
  <c r="H603" i="9"/>
  <c r="A604" i="9"/>
  <c r="Q602" i="9"/>
  <c r="G603" i="9"/>
  <c r="P602" i="9"/>
  <c r="M602" i="9"/>
  <c r="L602" i="9"/>
  <c r="K602" i="9"/>
  <c r="J602" i="9"/>
  <c r="N602" i="9"/>
  <c r="D792" i="9" l="1"/>
  <c r="C793" i="9"/>
  <c r="E792" i="9"/>
  <c r="O792" i="9"/>
  <c r="Q603" i="9"/>
  <c r="G604" i="9"/>
  <c r="P603" i="9"/>
  <c r="M603" i="9"/>
  <c r="L603" i="9"/>
  <c r="K603" i="9"/>
  <c r="J603" i="9"/>
  <c r="N603" i="9"/>
  <c r="I604" i="9"/>
  <c r="H604" i="9"/>
  <c r="A605" i="9"/>
  <c r="D793" i="9" l="1"/>
  <c r="C794" i="9"/>
  <c r="E793" i="9"/>
  <c r="O793" i="9"/>
  <c r="Q604" i="9"/>
  <c r="G605" i="9"/>
  <c r="P604" i="9"/>
  <c r="I605" i="9"/>
  <c r="H605" i="9"/>
  <c r="A606" i="9"/>
  <c r="M604" i="9"/>
  <c r="L604" i="9"/>
  <c r="K604" i="9"/>
  <c r="J604" i="9"/>
  <c r="N604" i="9"/>
  <c r="O794" i="9" l="1"/>
  <c r="D794" i="9"/>
  <c r="C795" i="9"/>
  <c r="E794" i="9"/>
  <c r="I606" i="9"/>
  <c r="H606" i="9"/>
  <c r="A607" i="9"/>
  <c r="Q605" i="9"/>
  <c r="G606" i="9"/>
  <c r="P605" i="9"/>
  <c r="M605" i="9"/>
  <c r="L605" i="9"/>
  <c r="K605" i="9"/>
  <c r="J605" i="9"/>
  <c r="N605" i="9"/>
  <c r="E795" i="9" l="1"/>
  <c r="D795" i="9"/>
  <c r="O795" i="9"/>
  <c r="C796" i="9"/>
  <c r="Q606" i="9"/>
  <c r="G607" i="9"/>
  <c r="P606" i="9"/>
  <c r="M606" i="9"/>
  <c r="L606" i="9"/>
  <c r="K606" i="9"/>
  <c r="J606" i="9"/>
  <c r="N606" i="9"/>
  <c r="A608" i="9"/>
  <c r="I607" i="9"/>
  <c r="H607" i="9"/>
  <c r="D796" i="9" l="1"/>
  <c r="C797" i="9"/>
  <c r="E796" i="9"/>
  <c r="O796" i="9"/>
  <c r="A609" i="9"/>
  <c r="I608" i="9"/>
  <c r="H608" i="9"/>
  <c r="K607" i="9"/>
  <c r="J607" i="9"/>
  <c r="N607" i="9"/>
  <c r="M607" i="9"/>
  <c r="L607" i="9"/>
  <c r="G608" i="9"/>
  <c r="Q607" i="9"/>
  <c r="P607" i="9"/>
  <c r="E797" i="9" l="1"/>
  <c r="O797" i="9"/>
  <c r="D797" i="9"/>
  <c r="C798" i="9"/>
  <c r="G609" i="9"/>
  <c r="Q608" i="9"/>
  <c r="P608" i="9"/>
  <c r="A610" i="9"/>
  <c r="I609" i="9"/>
  <c r="H609" i="9"/>
  <c r="K608" i="9"/>
  <c r="J608" i="9"/>
  <c r="N608" i="9"/>
  <c r="M608" i="9"/>
  <c r="L608" i="9"/>
  <c r="D798" i="9" l="1"/>
  <c r="O798" i="9"/>
  <c r="C799" i="9"/>
  <c r="E798" i="9"/>
  <c r="K609" i="9"/>
  <c r="J609" i="9"/>
  <c r="N609" i="9"/>
  <c r="M609" i="9"/>
  <c r="L609" i="9"/>
  <c r="G610" i="9"/>
  <c r="Q609" i="9"/>
  <c r="P609" i="9"/>
  <c r="A611" i="9"/>
  <c r="I610" i="9"/>
  <c r="H610" i="9"/>
  <c r="E799" i="9" l="1"/>
  <c r="O799" i="9"/>
  <c r="D799" i="9"/>
  <c r="C800" i="9"/>
  <c r="A612" i="9"/>
  <c r="I611" i="9"/>
  <c r="H611" i="9"/>
  <c r="K610" i="9"/>
  <c r="J610" i="9"/>
  <c r="N610" i="9"/>
  <c r="M610" i="9"/>
  <c r="L610" i="9"/>
  <c r="G611" i="9"/>
  <c r="Q610" i="9"/>
  <c r="P610" i="9"/>
  <c r="E800" i="9" l="1"/>
  <c r="O800" i="9"/>
  <c r="D800" i="9"/>
  <c r="C801" i="9"/>
  <c r="A613" i="9"/>
  <c r="I612" i="9"/>
  <c r="H612" i="9"/>
  <c r="G612" i="9"/>
  <c r="Q611" i="9"/>
  <c r="P611" i="9"/>
  <c r="K611" i="9"/>
  <c r="J611" i="9"/>
  <c r="N611" i="9"/>
  <c r="M611" i="9"/>
  <c r="L611" i="9"/>
  <c r="E801" i="9" l="1"/>
  <c r="O801" i="9"/>
  <c r="D801" i="9"/>
  <c r="C802" i="9"/>
  <c r="A614" i="9"/>
  <c r="I613" i="9"/>
  <c r="H613" i="9"/>
  <c r="K612" i="9"/>
  <c r="J612" i="9"/>
  <c r="N612" i="9"/>
  <c r="M612" i="9"/>
  <c r="L612" i="9"/>
  <c r="G613" i="9"/>
  <c r="Q612" i="9"/>
  <c r="P612" i="9"/>
  <c r="O802" i="9" l="1"/>
  <c r="D802" i="9"/>
  <c r="C803" i="9"/>
  <c r="E802" i="9"/>
  <c r="A615" i="9"/>
  <c r="I614" i="9"/>
  <c r="H614" i="9"/>
  <c r="K613" i="9"/>
  <c r="J613" i="9"/>
  <c r="N613" i="9"/>
  <c r="M613" i="9"/>
  <c r="L613" i="9"/>
  <c r="G614" i="9"/>
  <c r="Q613" i="9"/>
  <c r="P613" i="9"/>
  <c r="C804" i="9" l="1"/>
  <c r="E803" i="9"/>
  <c r="O803" i="9"/>
  <c r="D803" i="9"/>
  <c r="K614" i="9"/>
  <c r="J614" i="9"/>
  <c r="N614" i="9"/>
  <c r="M614" i="9"/>
  <c r="L614" i="9"/>
  <c r="A616" i="9"/>
  <c r="I615" i="9"/>
  <c r="H615" i="9"/>
  <c r="G615" i="9"/>
  <c r="Q614" i="9"/>
  <c r="P614" i="9"/>
  <c r="O804" i="9" l="1"/>
  <c r="D804" i="9"/>
  <c r="C805" i="9"/>
  <c r="E804" i="9"/>
  <c r="G616" i="9"/>
  <c r="Q615" i="9"/>
  <c r="P615" i="9"/>
  <c r="K615" i="9"/>
  <c r="J615" i="9"/>
  <c r="N615" i="9"/>
  <c r="M615" i="9"/>
  <c r="L615" i="9"/>
  <c r="A617" i="9"/>
  <c r="I616" i="9"/>
  <c r="H616" i="9"/>
  <c r="C806" i="9" l="1"/>
  <c r="O805" i="9"/>
  <c r="E805" i="9"/>
  <c r="D805" i="9"/>
  <c r="A618" i="9"/>
  <c r="I617" i="9"/>
  <c r="H617" i="9"/>
  <c r="K616" i="9"/>
  <c r="J616" i="9"/>
  <c r="N616" i="9"/>
  <c r="M616" i="9"/>
  <c r="L616" i="9"/>
  <c r="G617" i="9"/>
  <c r="Q616" i="9"/>
  <c r="P616" i="9"/>
  <c r="E806" i="9" l="1"/>
  <c r="O806" i="9"/>
  <c r="D806" i="9"/>
  <c r="C807" i="9"/>
  <c r="A619" i="9"/>
  <c r="I618" i="9"/>
  <c r="H618" i="9"/>
  <c r="G618" i="9"/>
  <c r="Q617" i="9"/>
  <c r="P617" i="9"/>
  <c r="K617" i="9"/>
  <c r="J617" i="9"/>
  <c r="N617" i="9"/>
  <c r="M617" i="9"/>
  <c r="L617" i="9"/>
  <c r="E807" i="9" l="1"/>
  <c r="O807" i="9"/>
  <c r="D807" i="9"/>
  <c r="C808" i="9"/>
  <c r="G619" i="9"/>
  <c r="Q618" i="9"/>
  <c r="P618" i="9"/>
  <c r="A620" i="9"/>
  <c r="I619" i="9"/>
  <c r="H619" i="9"/>
  <c r="K618" i="9"/>
  <c r="J618" i="9"/>
  <c r="N618" i="9"/>
  <c r="M618" i="9"/>
  <c r="L618" i="9"/>
  <c r="O808" i="9" l="1"/>
  <c r="D808" i="9"/>
  <c r="E808" i="9"/>
  <c r="C809" i="9"/>
  <c r="A621" i="9"/>
  <c r="I620" i="9"/>
  <c r="H620" i="9"/>
  <c r="K619" i="9"/>
  <c r="J619" i="9"/>
  <c r="N619" i="9"/>
  <c r="M619" i="9"/>
  <c r="L619" i="9"/>
  <c r="G620" i="9"/>
  <c r="Q619" i="9"/>
  <c r="P619" i="9"/>
  <c r="C810" i="9" l="1"/>
  <c r="E809" i="9"/>
  <c r="O809" i="9"/>
  <c r="D809" i="9"/>
  <c r="G621" i="9"/>
  <c r="Q620" i="9"/>
  <c r="P620" i="9"/>
  <c r="K620" i="9"/>
  <c r="J620" i="9"/>
  <c r="N620" i="9"/>
  <c r="M620" i="9"/>
  <c r="L620" i="9"/>
  <c r="A622" i="9"/>
  <c r="I621" i="9"/>
  <c r="H621" i="9"/>
  <c r="O810" i="9" l="1"/>
  <c r="C811" i="9"/>
  <c r="D810" i="9"/>
  <c r="E810" i="9"/>
  <c r="K621" i="9"/>
  <c r="J621" i="9"/>
  <c r="N621" i="9"/>
  <c r="M621" i="9"/>
  <c r="L621" i="9"/>
  <c r="G622" i="9"/>
  <c r="Q621" i="9"/>
  <c r="P621" i="9"/>
  <c r="A623" i="9"/>
  <c r="I622" i="9"/>
  <c r="H622" i="9"/>
  <c r="E811" i="9" l="1"/>
  <c r="O811" i="9"/>
  <c r="C812" i="9"/>
  <c r="D811" i="9"/>
  <c r="G623" i="9"/>
  <c r="Q622" i="9"/>
  <c r="P622" i="9"/>
  <c r="A624" i="9"/>
  <c r="I623" i="9"/>
  <c r="H623" i="9"/>
  <c r="K622" i="9"/>
  <c r="J622" i="9"/>
  <c r="N622" i="9"/>
  <c r="M622" i="9"/>
  <c r="L622" i="9"/>
  <c r="C813" i="9" l="1"/>
  <c r="O812" i="9"/>
  <c r="E812" i="9"/>
  <c r="D812" i="9"/>
  <c r="A625" i="9"/>
  <c r="I624" i="9"/>
  <c r="H624" i="9"/>
  <c r="G624" i="9"/>
  <c r="Q623" i="9"/>
  <c r="P623" i="9"/>
  <c r="K623" i="9"/>
  <c r="J623" i="9"/>
  <c r="N623" i="9"/>
  <c r="M623" i="9"/>
  <c r="L623" i="9"/>
  <c r="C814" i="9" l="1"/>
  <c r="E813" i="9"/>
  <c r="D813" i="9"/>
  <c r="O813" i="9"/>
  <c r="A626" i="9"/>
  <c r="I625" i="9"/>
  <c r="H625" i="9"/>
  <c r="K624" i="9"/>
  <c r="J624" i="9"/>
  <c r="N624" i="9"/>
  <c r="M624" i="9"/>
  <c r="L624" i="9"/>
  <c r="G625" i="9"/>
  <c r="Q624" i="9"/>
  <c r="P624" i="9"/>
  <c r="O814" i="9" l="1"/>
  <c r="D814" i="9"/>
  <c r="C815" i="9"/>
  <c r="E814" i="9"/>
  <c r="G626" i="9"/>
  <c r="Q625" i="9"/>
  <c r="P625" i="9"/>
  <c r="A627" i="9"/>
  <c r="I626" i="9"/>
  <c r="H626" i="9"/>
  <c r="K625" i="9"/>
  <c r="J625" i="9"/>
  <c r="N625" i="9"/>
  <c r="M625" i="9"/>
  <c r="L625" i="9"/>
  <c r="C816" i="9" l="1"/>
  <c r="E815" i="9"/>
  <c r="O815" i="9"/>
  <c r="D815" i="9"/>
  <c r="A628" i="9"/>
  <c r="I627" i="9"/>
  <c r="H627" i="9"/>
  <c r="K626" i="9"/>
  <c r="J626" i="9"/>
  <c r="N626" i="9"/>
  <c r="M626" i="9"/>
  <c r="L626" i="9"/>
  <c r="G627" i="9"/>
  <c r="Q626" i="9"/>
  <c r="P626" i="9"/>
  <c r="E816" i="9" l="1"/>
  <c r="O816" i="9"/>
  <c r="D816" i="9"/>
  <c r="C817" i="9"/>
  <c r="G628" i="9"/>
  <c r="Q627" i="9"/>
  <c r="P627" i="9"/>
  <c r="A629" i="9"/>
  <c r="I628" i="9"/>
  <c r="H628" i="9"/>
  <c r="K627" i="9"/>
  <c r="J627" i="9"/>
  <c r="N627" i="9"/>
  <c r="M627" i="9"/>
  <c r="L627" i="9"/>
  <c r="C818" i="9" l="1"/>
  <c r="E817" i="9"/>
  <c r="O817" i="9"/>
  <c r="D817" i="9"/>
  <c r="A630" i="9"/>
  <c r="I629" i="9"/>
  <c r="H629" i="9"/>
  <c r="K628" i="9"/>
  <c r="J628" i="9"/>
  <c r="N628" i="9"/>
  <c r="M628" i="9"/>
  <c r="L628" i="9"/>
  <c r="G629" i="9"/>
  <c r="Q628" i="9"/>
  <c r="P628" i="9"/>
  <c r="D818" i="9" l="1"/>
  <c r="C819" i="9"/>
  <c r="E818" i="9"/>
  <c r="O818" i="9"/>
  <c r="G630" i="9"/>
  <c r="Q629" i="9"/>
  <c r="P629" i="9"/>
  <c r="K629" i="9"/>
  <c r="J629" i="9"/>
  <c r="N629" i="9"/>
  <c r="M629" i="9"/>
  <c r="L629" i="9"/>
  <c r="A631" i="9"/>
  <c r="I630" i="9"/>
  <c r="H630" i="9"/>
  <c r="C820" i="9" l="1"/>
  <c r="E819" i="9"/>
  <c r="O819" i="9"/>
  <c r="D819" i="9"/>
  <c r="A632" i="9"/>
  <c r="I631" i="9"/>
  <c r="H631" i="9"/>
  <c r="K630" i="9"/>
  <c r="J630" i="9"/>
  <c r="N630" i="9"/>
  <c r="M630" i="9"/>
  <c r="L630" i="9"/>
  <c r="G631" i="9"/>
  <c r="Q630" i="9"/>
  <c r="P630" i="9"/>
  <c r="D820" i="9" l="1"/>
  <c r="C821" i="9"/>
  <c r="E820" i="9"/>
  <c r="O820" i="9"/>
  <c r="A633" i="9"/>
  <c r="I632" i="9"/>
  <c r="H632" i="9"/>
  <c r="K631" i="9"/>
  <c r="J631" i="9"/>
  <c r="N631" i="9"/>
  <c r="M631" i="9"/>
  <c r="L631" i="9"/>
  <c r="G632" i="9"/>
  <c r="Q631" i="9"/>
  <c r="P631" i="9"/>
  <c r="C822" i="9" l="1"/>
  <c r="E821" i="9"/>
  <c r="O821" i="9"/>
  <c r="D821" i="9"/>
  <c r="G633" i="9"/>
  <c r="Q632" i="9"/>
  <c r="P632" i="9"/>
  <c r="A634" i="9"/>
  <c r="I633" i="9"/>
  <c r="H633" i="9"/>
  <c r="K632" i="9"/>
  <c r="J632" i="9"/>
  <c r="N632" i="9"/>
  <c r="M632" i="9"/>
  <c r="L632" i="9"/>
  <c r="D822" i="9" l="1"/>
  <c r="C823" i="9"/>
  <c r="E822" i="9"/>
  <c r="O822" i="9"/>
  <c r="A635" i="9"/>
  <c r="I634" i="9"/>
  <c r="H634" i="9"/>
  <c r="K633" i="9"/>
  <c r="J633" i="9"/>
  <c r="N633" i="9"/>
  <c r="M633" i="9"/>
  <c r="L633" i="9"/>
  <c r="G634" i="9"/>
  <c r="Q633" i="9"/>
  <c r="P633" i="9"/>
  <c r="C824" i="9" l="1"/>
  <c r="O823" i="9"/>
  <c r="E823" i="9"/>
  <c r="D823" i="9"/>
  <c r="G635" i="9"/>
  <c r="Q634" i="9"/>
  <c r="P634" i="9"/>
  <c r="A636" i="9"/>
  <c r="I635" i="9"/>
  <c r="H635" i="9"/>
  <c r="K634" i="9"/>
  <c r="J634" i="9"/>
  <c r="N634" i="9"/>
  <c r="M634" i="9"/>
  <c r="L634" i="9"/>
  <c r="D824" i="9" l="1"/>
  <c r="C825" i="9"/>
  <c r="O824" i="9"/>
  <c r="E824" i="9"/>
  <c r="K635" i="9"/>
  <c r="J635" i="9"/>
  <c r="N635" i="9"/>
  <c r="M635" i="9"/>
  <c r="L635" i="9"/>
  <c r="G636" i="9"/>
  <c r="Q635" i="9"/>
  <c r="P635" i="9"/>
  <c r="A637" i="9"/>
  <c r="I636" i="9"/>
  <c r="H636" i="9"/>
  <c r="D825" i="9" l="1"/>
  <c r="C826" i="9"/>
  <c r="E825" i="9"/>
  <c r="O825" i="9"/>
  <c r="K636" i="9"/>
  <c r="J636" i="9"/>
  <c r="N636" i="9"/>
  <c r="M636" i="9"/>
  <c r="L636" i="9"/>
  <c r="G637" i="9"/>
  <c r="Q636" i="9"/>
  <c r="P636" i="9"/>
  <c r="A638" i="9"/>
  <c r="I637" i="9"/>
  <c r="H637" i="9"/>
  <c r="D826" i="9" l="1"/>
  <c r="C827" i="9"/>
  <c r="E826" i="9"/>
  <c r="O826" i="9"/>
  <c r="K637" i="9"/>
  <c r="J637" i="9"/>
  <c r="N637" i="9"/>
  <c r="M637" i="9"/>
  <c r="L637" i="9"/>
  <c r="A639" i="9"/>
  <c r="I638" i="9"/>
  <c r="H638" i="9"/>
  <c r="G638" i="9"/>
  <c r="Q637" i="9"/>
  <c r="P637" i="9"/>
  <c r="E827" i="9" l="1"/>
  <c r="O827" i="9"/>
  <c r="D827" i="9"/>
  <c r="C828" i="9"/>
  <c r="G639" i="9"/>
  <c r="Q638" i="9"/>
  <c r="P638" i="9"/>
  <c r="A640" i="9"/>
  <c r="I639" i="9"/>
  <c r="H639" i="9"/>
  <c r="K638" i="9"/>
  <c r="J638" i="9"/>
  <c r="N638" i="9"/>
  <c r="M638" i="9"/>
  <c r="L638" i="9"/>
  <c r="C829" i="9" l="1"/>
  <c r="E828" i="9"/>
  <c r="D828" i="9"/>
  <c r="O828" i="9"/>
  <c r="A641" i="9"/>
  <c r="I640" i="9"/>
  <c r="H640" i="9"/>
  <c r="G640" i="9"/>
  <c r="Q639" i="9"/>
  <c r="P639" i="9"/>
  <c r="K639" i="9"/>
  <c r="J639" i="9"/>
  <c r="N639" i="9"/>
  <c r="M639" i="9"/>
  <c r="L639" i="9"/>
  <c r="C830" i="9" l="1"/>
  <c r="E829" i="9"/>
  <c r="O829" i="9"/>
  <c r="D829" i="9"/>
  <c r="G641" i="9"/>
  <c r="Q640" i="9"/>
  <c r="P640" i="9"/>
  <c r="K640" i="9"/>
  <c r="J640" i="9"/>
  <c r="N640" i="9"/>
  <c r="M640" i="9"/>
  <c r="L640" i="9"/>
  <c r="A642" i="9"/>
  <c r="I641" i="9"/>
  <c r="H641" i="9"/>
  <c r="C831" i="9" l="1"/>
  <c r="E830" i="9"/>
  <c r="O830" i="9"/>
  <c r="D830" i="9"/>
  <c r="A643" i="9"/>
  <c r="I642" i="9"/>
  <c r="H642" i="9"/>
  <c r="G642" i="9"/>
  <c r="Q641" i="9"/>
  <c r="P641" i="9"/>
  <c r="K641" i="9"/>
  <c r="J641" i="9"/>
  <c r="N641" i="9"/>
  <c r="M641" i="9"/>
  <c r="L641" i="9"/>
  <c r="O831" i="9" l="1"/>
  <c r="D831" i="9"/>
  <c r="C832" i="9"/>
  <c r="E831" i="9"/>
  <c r="G643" i="9"/>
  <c r="Q642" i="9"/>
  <c r="P642" i="9"/>
  <c r="A644" i="9"/>
  <c r="I643" i="9"/>
  <c r="H643" i="9"/>
  <c r="K642" i="9"/>
  <c r="J642" i="9"/>
  <c r="N642" i="9"/>
  <c r="M642" i="9"/>
  <c r="L642" i="9"/>
  <c r="O832" i="9" l="1"/>
  <c r="D832" i="9"/>
  <c r="C833" i="9"/>
  <c r="E832" i="9"/>
  <c r="G644" i="9"/>
  <c r="Q643" i="9"/>
  <c r="P643" i="9"/>
  <c r="A645" i="9"/>
  <c r="I644" i="9"/>
  <c r="H644" i="9"/>
  <c r="K643" i="9"/>
  <c r="J643" i="9"/>
  <c r="N643" i="9"/>
  <c r="M643" i="9"/>
  <c r="L643" i="9"/>
  <c r="D833" i="9" l="1"/>
  <c r="C834" i="9"/>
  <c r="E833" i="9"/>
  <c r="O833" i="9"/>
  <c r="G645" i="9"/>
  <c r="Q644" i="9"/>
  <c r="P644" i="9"/>
  <c r="K644" i="9"/>
  <c r="J644" i="9"/>
  <c r="N644" i="9"/>
  <c r="M644" i="9"/>
  <c r="L644" i="9"/>
  <c r="A646" i="9"/>
  <c r="I645" i="9"/>
  <c r="H645" i="9"/>
  <c r="O834" i="9" l="1"/>
  <c r="D834" i="9"/>
  <c r="C835" i="9"/>
  <c r="E834" i="9"/>
  <c r="K645" i="9"/>
  <c r="J645" i="9"/>
  <c r="N645" i="9"/>
  <c r="M645" i="9"/>
  <c r="L645" i="9"/>
  <c r="A647" i="9"/>
  <c r="I646" i="9"/>
  <c r="H646" i="9"/>
  <c r="G646" i="9"/>
  <c r="Q645" i="9"/>
  <c r="P645" i="9"/>
  <c r="C836" i="9" l="1"/>
  <c r="E835" i="9"/>
  <c r="O835" i="9"/>
  <c r="D835" i="9"/>
  <c r="G647" i="9"/>
  <c r="Q646" i="9"/>
  <c r="P646" i="9"/>
  <c r="A648" i="9"/>
  <c r="I647" i="9"/>
  <c r="H647" i="9"/>
  <c r="K646" i="9"/>
  <c r="J646" i="9"/>
  <c r="N646" i="9"/>
  <c r="M646" i="9"/>
  <c r="L646" i="9"/>
  <c r="C837" i="9" l="1"/>
  <c r="E836" i="9"/>
  <c r="O836" i="9"/>
  <c r="D836" i="9"/>
  <c r="A649" i="9"/>
  <c r="I648" i="9"/>
  <c r="H648" i="9"/>
  <c r="K647" i="9"/>
  <c r="J647" i="9"/>
  <c r="N647" i="9"/>
  <c r="M647" i="9"/>
  <c r="L647" i="9"/>
  <c r="G648" i="9"/>
  <c r="Q647" i="9"/>
  <c r="P647" i="9"/>
  <c r="D837" i="9" l="1"/>
  <c r="C838" i="9"/>
  <c r="O837" i="9"/>
  <c r="E837" i="9"/>
  <c r="G649" i="9"/>
  <c r="Q648" i="9"/>
  <c r="P648" i="9"/>
  <c r="K648" i="9"/>
  <c r="J648" i="9"/>
  <c r="N648" i="9"/>
  <c r="M648" i="9"/>
  <c r="L648" i="9"/>
  <c r="A650" i="9"/>
  <c r="I649" i="9"/>
  <c r="H649" i="9"/>
  <c r="E838" i="9" l="1"/>
  <c r="C839" i="9"/>
  <c r="O838" i="9"/>
  <c r="D838" i="9"/>
  <c r="A651" i="9"/>
  <c r="I650" i="9"/>
  <c r="H650" i="9"/>
  <c r="K649" i="9"/>
  <c r="J649" i="9"/>
  <c r="N649" i="9"/>
  <c r="M649" i="9"/>
  <c r="L649" i="9"/>
  <c r="G650" i="9"/>
  <c r="Q649" i="9"/>
  <c r="P649" i="9"/>
  <c r="O839" i="9" l="1"/>
  <c r="D839" i="9"/>
  <c r="C840" i="9"/>
  <c r="E839" i="9"/>
  <c r="G651" i="9"/>
  <c r="Q650" i="9"/>
  <c r="P650" i="9"/>
  <c r="A652" i="9"/>
  <c r="I651" i="9"/>
  <c r="H651" i="9"/>
  <c r="K650" i="9"/>
  <c r="J650" i="9"/>
  <c r="N650" i="9"/>
  <c r="M650" i="9"/>
  <c r="L650" i="9"/>
  <c r="C841" i="9" l="1"/>
  <c r="E840" i="9"/>
  <c r="O840" i="9"/>
  <c r="D840" i="9"/>
  <c r="A653" i="9"/>
  <c r="I652" i="9"/>
  <c r="H652" i="9"/>
  <c r="G652" i="9"/>
  <c r="Q651" i="9"/>
  <c r="P651" i="9"/>
  <c r="K651" i="9"/>
  <c r="J651" i="9"/>
  <c r="N651" i="9"/>
  <c r="M651" i="9"/>
  <c r="L651" i="9"/>
  <c r="E841" i="9" l="1"/>
  <c r="O841" i="9"/>
  <c r="D841" i="9"/>
  <c r="C842" i="9"/>
  <c r="G653" i="9"/>
  <c r="Q652" i="9"/>
  <c r="P652" i="9"/>
  <c r="A654" i="9"/>
  <c r="I653" i="9"/>
  <c r="H653" i="9"/>
  <c r="K652" i="9"/>
  <c r="J652" i="9"/>
  <c r="N652" i="9"/>
  <c r="M652" i="9"/>
  <c r="L652" i="9"/>
  <c r="C843" i="9" l="1"/>
  <c r="E842" i="9"/>
  <c r="O842" i="9"/>
  <c r="D842" i="9"/>
  <c r="A655" i="9"/>
  <c r="I654" i="9"/>
  <c r="H654" i="9"/>
  <c r="G654" i="9"/>
  <c r="Q653" i="9"/>
  <c r="P653" i="9"/>
  <c r="K653" i="9"/>
  <c r="J653" i="9"/>
  <c r="N653" i="9"/>
  <c r="M653" i="9"/>
  <c r="L653" i="9"/>
  <c r="C844" i="9" l="1"/>
  <c r="E843" i="9"/>
  <c r="O843" i="9"/>
  <c r="D843" i="9"/>
  <c r="K654" i="9"/>
  <c r="J654" i="9"/>
  <c r="N654" i="9"/>
  <c r="M654" i="9"/>
  <c r="L654" i="9"/>
  <c r="G655" i="9"/>
  <c r="Q654" i="9"/>
  <c r="P654" i="9"/>
  <c r="A656" i="9"/>
  <c r="I655" i="9"/>
  <c r="H655" i="9"/>
  <c r="C845" i="9" l="1"/>
  <c r="E844" i="9"/>
  <c r="O844" i="9"/>
  <c r="D844" i="9"/>
  <c r="A657" i="9"/>
  <c r="I656" i="9"/>
  <c r="H656" i="9"/>
  <c r="G656" i="9"/>
  <c r="Q655" i="9"/>
  <c r="P655" i="9"/>
  <c r="K655" i="9"/>
  <c r="J655" i="9"/>
  <c r="N655" i="9"/>
  <c r="M655" i="9"/>
  <c r="L655" i="9"/>
  <c r="O845" i="9" l="1"/>
  <c r="D845" i="9"/>
  <c r="C846" i="9"/>
  <c r="E845" i="9"/>
  <c r="G657" i="9"/>
  <c r="Q656" i="9"/>
  <c r="P656" i="9"/>
  <c r="A658" i="9"/>
  <c r="I657" i="9"/>
  <c r="H657" i="9"/>
  <c r="K656" i="9"/>
  <c r="J656" i="9"/>
  <c r="N656" i="9"/>
  <c r="M656" i="9"/>
  <c r="L656" i="9"/>
  <c r="E846" i="9" l="1"/>
  <c r="O846" i="9"/>
  <c r="D846" i="9"/>
  <c r="C847" i="9"/>
  <c r="A659" i="9"/>
  <c r="I658" i="9"/>
  <c r="H658" i="9"/>
  <c r="G658" i="9"/>
  <c r="Q657" i="9"/>
  <c r="P657" i="9"/>
  <c r="K657" i="9"/>
  <c r="J657" i="9"/>
  <c r="N657" i="9"/>
  <c r="M657" i="9"/>
  <c r="L657" i="9"/>
  <c r="C848" i="9" l="1"/>
  <c r="E847" i="9"/>
  <c r="O847" i="9"/>
  <c r="D847" i="9"/>
  <c r="G659" i="9"/>
  <c r="Q658" i="9"/>
  <c r="P658" i="9"/>
  <c r="K658" i="9"/>
  <c r="J658" i="9"/>
  <c r="N658" i="9"/>
  <c r="M658" i="9"/>
  <c r="L658" i="9"/>
  <c r="A660" i="9"/>
  <c r="I659" i="9"/>
  <c r="H659" i="9"/>
  <c r="C849" i="9" l="1"/>
  <c r="E848" i="9"/>
  <c r="O848" i="9"/>
  <c r="D848" i="9"/>
  <c r="A661" i="9"/>
  <c r="I660" i="9"/>
  <c r="H660" i="9"/>
  <c r="K659" i="9"/>
  <c r="J659" i="9"/>
  <c r="N659" i="9"/>
  <c r="M659" i="9"/>
  <c r="L659" i="9"/>
  <c r="G660" i="9"/>
  <c r="Q659" i="9"/>
  <c r="P659" i="9"/>
  <c r="O849" i="9" l="1"/>
  <c r="C850" i="9"/>
  <c r="E849" i="9"/>
  <c r="D849" i="9"/>
  <c r="G661" i="9"/>
  <c r="Q660" i="9"/>
  <c r="P660" i="9"/>
  <c r="A662" i="9"/>
  <c r="I661" i="9"/>
  <c r="H661" i="9"/>
  <c r="K660" i="9"/>
  <c r="J660" i="9"/>
  <c r="N660" i="9"/>
  <c r="M660" i="9"/>
  <c r="L660" i="9"/>
  <c r="O850" i="9" l="1"/>
  <c r="D850" i="9"/>
  <c r="C851" i="9"/>
  <c r="E850" i="9"/>
  <c r="K661" i="9"/>
  <c r="J661" i="9"/>
  <c r="N661" i="9"/>
  <c r="M661" i="9"/>
  <c r="L661" i="9"/>
  <c r="G662" i="9"/>
  <c r="Q661" i="9"/>
  <c r="P661" i="9"/>
  <c r="A663" i="9"/>
  <c r="I662" i="9"/>
  <c r="H662" i="9"/>
  <c r="E851" i="9" l="1"/>
  <c r="O851" i="9"/>
  <c r="D851" i="9"/>
  <c r="C852" i="9"/>
  <c r="G663" i="9"/>
  <c r="Q662" i="9"/>
  <c r="P662" i="9"/>
  <c r="K662" i="9"/>
  <c r="J662" i="9"/>
  <c r="N662" i="9"/>
  <c r="M662" i="9"/>
  <c r="L662" i="9"/>
  <c r="A664" i="9"/>
  <c r="I663" i="9"/>
  <c r="H663" i="9"/>
  <c r="D852" i="9" l="1"/>
  <c r="C853" i="9"/>
  <c r="E852" i="9"/>
  <c r="O852" i="9"/>
  <c r="A665" i="9"/>
  <c r="I664" i="9"/>
  <c r="H664" i="9"/>
  <c r="G664" i="9"/>
  <c r="Q663" i="9"/>
  <c r="P663" i="9"/>
  <c r="K663" i="9"/>
  <c r="J663" i="9"/>
  <c r="N663" i="9"/>
  <c r="M663" i="9"/>
  <c r="L663" i="9"/>
  <c r="O853" i="9" l="1"/>
  <c r="D853" i="9"/>
  <c r="C854" i="9"/>
  <c r="E853" i="9"/>
  <c r="A666" i="9"/>
  <c r="I665" i="9"/>
  <c r="H665" i="9"/>
  <c r="K664" i="9"/>
  <c r="J664" i="9"/>
  <c r="N664" i="9"/>
  <c r="M664" i="9"/>
  <c r="L664" i="9"/>
  <c r="G665" i="9"/>
  <c r="Q664" i="9"/>
  <c r="P664" i="9"/>
  <c r="O854" i="9" l="1"/>
  <c r="D854" i="9"/>
  <c r="C855" i="9"/>
  <c r="E854" i="9"/>
  <c r="G666" i="9"/>
  <c r="Q665" i="9"/>
  <c r="P665" i="9"/>
  <c r="A667" i="9"/>
  <c r="I666" i="9"/>
  <c r="H666" i="9"/>
  <c r="K665" i="9"/>
  <c r="J665" i="9"/>
  <c r="N665" i="9"/>
  <c r="M665" i="9"/>
  <c r="L665" i="9"/>
  <c r="E855" i="9" l="1"/>
  <c r="O855" i="9"/>
  <c r="D855" i="9"/>
  <c r="C856" i="9"/>
  <c r="A668" i="9"/>
  <c r="I667" i="9"/>
  <c r="H667" i="9"/>
  <c r="K666" i="9"/>
  <c r="J666" i="9"/>
  <c r="N666" i="9"/>
  <c r="M666" i="9"/>
  <c r="L666" i="9"/>
  <c r="G667" i="9"/>
  <c r="Q666" i="9"/>
  <c r="P666" i="9"/>
  <c r="E856" i="9" l="1"/>
  <c r="O856" i="9"/>
  <c r="C857" i="9"/>
  <c r="D856" i="9"/>
  <c r="K667" i="9"/>
  <c r="J667" i="9"/>
  <c r="N667" i="9"/>
  <c r="M667" i="9"/>
  <c r="L667" i="9"/>
  <c r="G668" i="9"/>
  <c r="Q667" i="9"/>
  <c r="P667" i="9"/>
  <c r="A669" i="9"/>
  <c r="I668" i="9"/>
  <c r="H668" i="9"/>
  <c r="E857" i="9" l="1"/>
  <c r="D857" i="9"/>
  <c r="C858" i="9"/>
  <c r="O857" i="9"/>
  <c r="G669" i="9"/>
  <c r="Q668" i="9"/>
  <c r="P668" i="9"/>
  <c r="A670" i="9"/>
  <c r="I669" i="9"/>
  <c r="H669" i="9"/>
  <c r="K668" i="9"/>
  <c r="J668" i="9"/>
  <c r="N668" i="9"/>
  <c r="M668" i="9"/>
  <c r="L668" i="9"/>
  <c r="D858" i="9" l="1"/>
  <c r="O858" i="9"/>
  <c r="C859" i="9"/>
  <c r="E858" i="9"/>
  <c r="A671" i="9"/>
  <c r="I670" i="9"/>
  <c r="H670" i="9"/>
  <c r="G670" i="9"/>
  <c r="Q669" i="9"/>
  <c r="P669" i="9"/>
  <c r="K669" i="9"/>
  <c r="J669" i="9"/>
  <c r="N669" i="9"/>
  <c r="M669" i="9"/>
  <c r="L669" i="9"/>
  <c r="O859" i="9" l="1"/>
  <c r="C860" i="9"/>
  <c r="E859" i="9"/>
  <c r="D859" i="9"/>
  <c r="K670" i="9"/>
  <c r="J670" i="9"/>
  <c r="N670" i="9"/>
  <c r="M670" i="9"/>
  <c r="L670" i="9"/>
  <c r="G671" i="9"/>
  <c r="Q670" i="9"/>
  <c r="P670" i="9"/>
  <c r="A672" i="9"/>
  <c r="I671" i="9"/>
  <c r="H671" i="9"/>
  <c r="C861" i="9" l="1"/>
  <c r="E860" i="9"/>
  <c r="D860" i="9"/>
  <c r="O860" i="9"/>
  <c r="A673" i="9"/>
  <c r="I672" i="9"/>
  <c r="H672" i="9"/>
  <c r="K671" i="9"/>
  <c r="J671" i="9"/>
  <c r="N671" i="9"/>
  <c r="M671" i="9"/>
  <c r="L671" i="9"/>
  <c r="G672" i="9"/>
  <c r="Q671" i="9"/>
  <c r="P671" i="9"/>
  <c r="C862" i="9" l="1"/>
  <c r="E861" i="9"/>
  <c r="O861" i="9"/>
  <c r="D861" i="9"/>
  <c r="G673" i="9"/>
  <c r="Q672" i="9"/>
  <c r="P672" i="9"/>
  <c r="A674" i="9"/>
  <c r="I673" i="9"/>
  <c r="H673" i="9"/>
  <c r="K672" i="9"/>
  <c r="J672" i="9"/>
  <c r="N672" i="9"/>
  <c r="M672" i="9"/>
  <c r="L672" i="9"/>
  <c r="O862" i="9" l="1"/>
  <c r="D862" i="9"/>
  <c r="E862" i="9"/>
  <c r="C863" i="9"/>
  <c r="A675" i="9"/>
  <c r="I674" i="9"/>
  <c r="H674" i="9"/>
  <c r="K673" i="9"/>
  <c r="J673" i="9"/>
  <c r="N673" i="9"/>
  <c r="M673" i="9"/>
  <c r="L673" i="9"/>
  <c r="G674" i="9"/>
  <c r="Q673" i="9"/>
  <c r="P673" i="9"/>
  <c r="D863" i="9" l="1"/>
  <c r="C864" i="9"/>
  <c r="E863" i="9"/>
  <c r="O863" i="9"/>
  <c r="A676" i="9"/>
  <c r="I675" i="9"/>
  <c r="H675" i="9"/>
  <c r="K674" i="9"/>
  <c r="J674" i="9"/>
  <c r="N674" i="9"/>
  <c r="M674" i="9"/>
  <c r="L674" i="9"/>
  <c r="G675" i="9"/>
  <c r="Q674" i="9"/>
  <c r="P674" i="9"/>
  <c r="D864" i="9" l="1"/>
  <c r="C865" i="9"/>
  <c r="E864" i="9"/>
  <c r="O864" i="9"/>
  <c r="A677" i="9"/>
  <c r="I676" i="9"/>
  <c r="H676" i="9"/>
  <c r="K675" i="9"/>
  <c r="J675" i="9"/>
  <c r="N675" i="9"/>
  <c r="M675" i="9"/>
  <c r="L675" i="9"/>
  <c r="G676" i="9"/>
  <c r="Q675" i="9"/>
  <c r="P675" i="9"/>
  <c r="O865" i="9" l="1"/>
  <c r="D865" i="9"/>
  <c r="C866" i="9"/>
  <c r="E865" i="9"/>
  <c r="A678" i="9"/>
  <c r="I677" i="9"/>
  <c r="H677" i="9"/>
  <c r="K676" i="9"/>
  <c r="J676" i="9"/>
  <c r="N676" i="9"/>
  <c r="M676" i="9"/>
  <c r="L676" i="9"/>
  <c r="G677" i="9"/>
  <c r="Q676" i="9"/>
  <c r="P676" i="9"/>
  <c r="E866" i="9" l="1"/>
  <c r="C867" i="9"/>
  <c r="O866" i="9"/>
  <c r="D866" i="9"/>
  <c r="G678" i="9"/>
  <c r="Q677" i="9"/>
  <c r="P677" i="9"/>
  <c r="A679" i="9"/>
  <c r="I678" i="9"/>
  <c r="H678" i="9"/>
  <c r="K677" i="9"/>
  <c r="J677" i="9"/>
  <c r="N677" i="9"/>
  <c r="M677" i="9"/>
  <c r="L677" i="9"/>
  <c r="E867" i="9" l="1"/>
  <c r="O867" i="9"/>
  <c r="D867" i="9"/>
  <c r="C868" i="9"/>
  <c r="A680" i="9"/>
  <c r="I679" i="9"/>
  <c r="H679" i="9"/>
  <c r="K678" i="9"/>
  <c r="J678" i="9"/>
  <c r="N678" i="9"/>
  <c r="M678" i="9"/>
  <c r="L678" i="9"/>
  <c r="G679" i="9"/>
  <c r="Q678" i="9"/>
  <c r="P678" i="9"/>
  <c r="O868" i="9" l="1"/>
  <c r="D868" i="9"/>
  <c r="E868" i="9"/>
  <c r="C869" i="9"/>
  <c r="G680" i="9"/>
  <c r="Q679" i="9"/>
  <c r="P679" i="9"/>
  <c r="A681" i="9"/>
  <c r="I680" i="9"/>
  <c r="H680" i="9"/>
  <c r="K679" i="9"/>
  <c r="J679" i="9"/>
  <c r="N679" i="9"/>
  <c r="M679" i="9"/>
  <c r="L679" i="9"/>
  <c r="E869" i="9" l="1"/>
  <c r="D869" i="9"/>
  <c r="C870" i="9"/>
  <c r="O869" i="9"/>
  <c r="G681" i="9"/>
  <c r="Q680" i="9"/>
  <c r="P680" i="9"/>
  <c r="A682" i="9"/>
  <c r="I681" i="9"/>
  <c r="H681" i="9"/>
  <c r="K680" i="9"/>
  <c r="J680" i="9"/>
  <c r="N680" i="9"/>
  <c r="M680" i="9"/>
  <c r="L680" i="9"/>
  <c r="D870" i="9" l="1"/>
  <c r="C871" i="9"/>
  <c r="E870" i="9"/>
  <c r="O870" i="9"/>
  <c r="K681" i="9"/>
  <c r="J681" i="9"/>
  <c r="N681" i="9"/>
  <c r="M681" i="9"/>
  <c r="L681" i="9"/>
  <c r="G682" i="9"/>
  <c r="Q681" i="9"/>
  <c r="P681" i="9"/>
  <c r="A683" i="9"/>
  <c r="I682" i="9"/>
  <c r="H682" i="9"/>
  <c r="D871" i="9" l="1"/>
  <c r="O871" i="9"/>
  <c r="C872" i="9"/>
  <c r="E871" i="9"/>
  <c r="A684" i="9"/>
  <c r="I683" i="9"/>
  <c r="H683" i="9"/>
  <c r="K682" i="9"/>
  <c r="J682" i="9"/>
  <c r="N682" i="9"/>
  <c r="M682" i="9"/>
  <c r="L682" i="9"/>
  <c r="G683" i="9"/>
  <c r="Q682" i="9"/>
  <c r="P682" i="9"/>
  <c r="O872" i="9" l="1"/>
  <c r="C873" i="9"/>
  <c r="E872" i="9"/>
  <c r="D872" i="9"/>
  <c r="A685" i="9"/>
  <c r="I684" i="9"/>
  <c r="H684" i="9"/>
  <c r="K683" i="9"/>
  <c r="J683" i="9"/>
  <c r="N683" i="9"/>
  <c r="M683" i="9"/>
  <c r="L683" i="9"/>
  <c r="G684" i="9"/>
  <c r="Q683" i="9"/>
  <c r="P683" i="9"/>
  <c r="C874" i="9" l="1"/>
  <c r="E873" i="9"/>
  <c r="O873" i="9"/>
  <c r="D873" i="9"/>
  <c r="K684" i="9"/>
  <c r="J684" i="9"/>
  <c r="N684" i="9"/>
  <c r="M684" i="9"/>
  <c r="L684" i="9"/>
  <c r="A686" i="9"/>
  <c r="I685" i="9"/>
  <c r="H685" i="9"/>
  <c r="G685" i="9"/>
  <c r="Q684" i="9"/>
  <c r="P684" i="9"/>
  <c r="C875" i="9" l="1"/>
  <c r="E874" i="9"/>
  <c r="O874" i="9"/>
  <c r="D874" i="9"/>
  <c r="K685" i="9"/>
  <c r="J685" i="9"/>
  <c r="N685" i="9"/>
  <c r="M685" i="9"/>
  <c r="L685" i="9"/>
  <c r="A687" i="9"/>
  <c r="I686" i="9"/>
  <c r="H686" i="9"/>
  <c r="G686" i="9"/>
  <c r="Q685" i="9"/>
  <c r="P685" i="9"/>
  <c r="C876" i="9" l="1"/>
  <c r="O875" i="9"/>
  <c r="D875" i="9"/>
  <c r="E875" i="9"/>
  <c r="K686" i="9"/>
  <c r="J686" i="9"/>
  <c r="N686" i="9"/>
  <c r="M686" i="9"/>
  <c r="L686" i="9"/>
  <c r="G687" i="9"/>
  <c r="Q686" i="9"/>
  <c r="P686" i="9"/>
  <c r="A688" i="9"/>
  <c r="I687" i="9"/>
  <c r="H687" i="9"/>
  <c r="E876" i="9" l="1"/>
  <c r="O876" i="9"/>
  <c r="D876" i="9"/>
  <c r="C877" i="9"/>
  <c r="G688" i="9"/>
  <c r="Q687" i="9"/>
  <c r="P687" i="9"/>
  <c r="K687" i="9"/>
  <c r="J687" i="9"/>
  <c r="N687" i="9"/>
  <c r="M687" i="9"/>
  <c r="L687" i="9"/>
  <c r="A689" i="9"/>
  <c r="I688" i="9"/>
  <c r="H688" i="9"/>
  <c r="E877" i="9" l="1"/>
  <c r="O877" i="9"/>
  <c r="D877" i="9"/>
  <c r="C878" i="9"/>
  <c r="G689" i="9"/>
  <c r="Q688" i="9"/>
  <c r="P688" i="9"/>
  <c r="A690" i="9"/>
  <c r="I689" i="9"/>
  <c r="H689" i="9"/>
  <c r="K688" i="9"/>
  <c r="J688" i="9"/>
  <c r="N688" i="9"/>
  <c r="M688" i="9"/>
  <c r="L688" i="9"/>
  <c r="C879" i="9" l="1"/>
  <c r="E878" i="9"/>
  <c r="O878" i="9"/>
  <c r="D878" i="9"/>
  <c r="G690" i="9"/>
  <c r="Q689" i="9"/>
  <c r="P689" i="9"/>
  <c r="A691" i="9"/>
  <c r="I690" i="9"/>
  <c r="H690" i="9"/>
  <c r="K689" i="9"/>
  <c r="J689" i="9"/>
  <c r="N689" i="9"/>
  <c r="M689" i="9"/>
  <c r="L689" i="9"/>
  <c r="E879" i="9" l="1"/>
  <c r="O879" i="9"/>
  <c r="D879" i="9"/>
  <c r="C880" i="9"/>
  <c r="A692" i="9"/>
  <c r="I691" i="9"/>
  <c r="H691" i="9"/>
  <c r="G691" i="9"/>
  <c r="Q690" i="9"/>
  <c r="P690" i="9"/>
  <c r="K690" i="9"/>
  <c r="J690" i="9"/>
  <c r="N690" i="9"/>
  <c r="M690" i="9"/>
  <c r="L690" i="9"/>
  <c r="D880" i="9" l="1"/>
  <c r="O880" i="9"/>
  <c r="C881" i="9"/>
  <c r="E880" i="9"/>
  <c r="G692" i="9"/>
  <c r="Q691" i="9"/>
  <c r="P691" i="9"/>
  <c r="K691" i="9"/>
  <c r="J691" i="9"/>
  <c r="N691" i="9"/>
  <c r="M691" i="9"/>
  <c r="L691" i="9"/>
  <c r="A693" i="9"/>
  <c r="I692" i="9"/>
  <c r="H692" i="9"/>
  <c r="C882" i="9" l="1"/>
  <c r="E881" i="9"/>
  <c r="O881" i="9"/>
  <c r="D881" i="9"/>
  <c r="G693" i="9"/>
  <c r="Q692" i="9"/>
  <c r="P692" i="9"/>
  <c r="K692" i="9"/>
  <c r="J692" i="9"/>
  <c r="N692" i="9"/>
  <c r="M692" i="9"/>
  <c r="L692" i="9"/>
  <c r="A694" i="9"/>
  <c r="I693" i="9"/>
  <c r="H693" i="9"/>
  <c r="E882" i="9" l="1"/>
  <c r="O882" i="9"/>
  <c r="D882" i="9"/>
  <c r="C883" i="9"/>
  <c r="K693" i="9"/>
  <c r="J693" i="9"/>
  <c r="N693" i="9"/>
  <c r="M693" i="9"/>
  <c r="L693" i="9"/>
  <c r="A695" i="9"/>
  <c r="I694" i="9"/>
  <c r="H694" i="9"/>
  <c r="G694" i="9"/>
  <c r="Q693" i="9"/>
  <c r="P693" i="9"/>
  <c r="C884" i="9" l="1"/>
  <c r="E883" i="9"/>
  <c r="O883" i="9"/>
  <c r="D883" i="9"/>
  <c r="A696" i="9"/>
  <c r="I695" i="9"/>
  <c r="H695" i="9"/>
  <c r="K694" i="9"/>
  <c r="J694" i="9"/>
  <c r="N694" i="9"/>
  <c r="M694" i="9"/>
  <c r="L694" i="9"/>
  <c r="G695" i="9"/>
  <c r="Q694" i="9"/>
  <c r="P694" i="9"/>
  <c r="E884" i="9" l="1"/>
  <c r="O884" i="9"/>
  <c r="D884" i="9"/>
  <c r="C885" i="9"/>
  <c r="G696" i="9"/>
  <c r="Q695" i="9"/>
  <c r="P695" i="9"/>
  <c r="A697" i="9"/>
  <c r="I696" i="9"/>
  <c r="H696" i="9"/>
  <c r="K695" i="9"/>
  <c r="J695" i="9"/>
  <c r="N695" i="9"/>
  <c r="M695" i="9"/>
  <c r="L695" i="9"/>
  <c r="D885" i="9" l="1"/>
  <c r="C886" i="9"/>
  <c r="E885" i="9"/>
  <c r="O885" i="9"/>
  <c r="K696" i="9"/>
  <c r="J696" i="9"/>
  <c r="N696" i="9"/>
  <c r="M696" i="9"/>
  <c r="L696" i="9"/>
  <c r="G697" i="9"/>
  <c r="Q696" i="9"/>
  <c r="P696" i="9"/>
  <c r="A698" i="9"/>
  <c r="I697" i="9"/>
  <c r="H697" i="9"/>
  <c r="D886" i="9" l="1"/>
  <c r="E886" i="9"/>
  <c r="O886" i="9"/>
  <c r="C887" i="9"/>
  <c r="K697" i="9"/>
  <c r="J697" i="9"/>
  <c r="N697" i="9"/>
  <c r="M697" i="9"/>
  <c r="L697" i="9"/>
  <c r="G698" i="9"/>
  <c r="Q697" i="9"/>
  <c r="P697" i="9"/>
  <c r="A699" i="9"/>
  <c r="I698" i="9"/>
  <c r="H698" i="9"/>
  <c r="O887" i="9" l="1"/>
  <c r="D887" i="9"/>
  <c r="C888" i="9"/>
  <c r="E887" i="9"/>
  <c r="A700" i="9"/>
  <c r="I699" i="9"/>
  <c r="H699" i="9"/>
  <c r="G699" i="9"/>
  <c r="Q698" i="9"/>
  <c r="P698" i="9"/>
  <c r="K698" i="9"/>
  <c r="J698" i="9"/>
  <c r="N698" i="9"/>
  <c r="M698" i="9"/>
  <c r="L698" i="9"/>
  <c r="C889" i="9" l="1"/>
  <c r="E888" i="9"/>
  <c r="D888" i="9"/>
  <c r="O888" i="9"/>
  <c r="A701" i="9"/>
  <c r="I700" i="9"/>
  <c r="H700" i="9"/>
  <c r="K699" i="9"/>
  <c r="J699" i="9"/>
  <c r="N699" i="9"/>
  <c r="M699" i="9"/>
  <c r="L699" i="9"/>
  <c r="G700" i="9"/>
  <c r="Q699" i="9"/>
  <c r="P699" i="9"/>
  <c r="E889" i="9" l="1"/>
  <c r="D889" i="9"/>
  <c r="C890" i="9"/>
  <c r="O889" i="9"/>
  <c r="A702" i="9"/>
  <c r="I701" i="9"/>
  <c r="H701" i="9"/>
  <c r="G701" i="9"/>
  <c r="Q700" i="9"/>
  <c r="P700" i="9"/>
  <c r="K700" i="9"/>
  <c r="J700" i="9"/>
  <c r="N700" i="9"/>
  <c r="M700" i="9"/>
  <c r="L700" i="9"/>
  <c r="D890" i="9" l="1"/>
  <c r="C891" i="9"/>
  <c r="E890" i="9"/>
  <c r="O890" i="9"/>
  <c r="K701" i="9"/>
  <c r="J701" i="9"/>
  <c r="N701" i="9"/>
  <c r="M701" i="9"/>
  <c r="L701" i="9"/>
  <c r="G702" i="9"/>
  <c r="Q701" i="9"/>
  <c r="P701" i="9"/>
  <c r="A703" i="9"/>
  <c r="I702" i="9"/>
  <c r="H702" i="9"/>
  <c r="D891" i="9" l="1"/>
  <c r="C892" i="9"/>
  <c r="O891" i="9"/>
  <c r="E891" i="9"/>
  <c r="K702" i="9"/>
  <c r="J702" i="9"/>
  <c r="N702" i="9"/>
  <c r="M702" i="9"/>
  <c r="L702" i="9"/>
  <c r="G703" i="9"/>
  <c r="Q702" i="9"/>
  <c r="P702" i="9"/>
  <c r="A704" i="9"/>
  <c r="I703" i="9"/>
  <c r="H703" i="9"/>
  <c r="C893" i="9" l="1"/>
  <c r="E892" i="9"/>
  <c r="O892" i="9"/>
  <c r="D892" i="9"/>
  <c r="K703" i="9"/>
  <c r="J703" i="9"/>
  <c r="N703" i="9"/>
  <c r="M703" i="9"/>
  <c r="L703" i="9"/>
  <c r="A705" i="9"/>
  <c r="I704" i="9"/>
  <c r="H704" i="9"/>
  <c r="G704" i="9"/>
  <c r="Q703" i="9"/>
  <c r="P703" i="9"/>
  <c r="E893" i="9" l="1"/>
  <c r="O893" i="9"/>
  <c r="D893" i="9"/>
  <c r="C894" i="9"/>
  <c r="A706" i="9"/>
  <c r="I705" i="9"/>
  <c r="H705" i="9"/>
  <c r="K704" i="9"/>
  <c r="J704" i="9"/>
  <c r="N704" i="9"/>
  <c r="M704" i="9"/>
  <c r="L704" i="9"/>
  <c r="G705" i="9"/>
  <c r="Q704" i="9"/>
  <c r="P704" i="9"/>
  <c r="C895" i="9" l="1"/>
  <c r="D894" i="9"/>
  <c r="E894" i="9"/>
  <c r="O894" i="9"/>
  <c r="K705" i="9"/>
  <c r="J705" i="9"/>
  <c r="N705" i="9"/>
  <c r="M705" i="9"/>
  <c r="L705" i="9"/>
  <c r="G706" i="9"/>
  <c r="Q705" i="9"/>
  <c r="P705" i="9"/>
  <c r="A707" i="9"/>
  <c r="I706" i="9"/>
  <c r="H706" i="9"/>
  <c r="O895" i="9" l="1"/>
  <c r="D895" i="9"/>
  <c r="C896" i="9"/>
  <c r="E895" i="9"/>
  <c r="K706" i="9"/>
  <c r="J706" i="9"/>
  <c r="N706" i="9"/>
  <c r="M706" i="9"/>
  <c r="L706" i="9"/>
  <c r="A708" i="9"/>
  <c r="I707" i="9"/>
  <c r="H707" i="9"/>
  <c r="G707" i="9"/>
  <c r="Q706" i="9"/>
  <c r="P706" i="9"/>
  <c r="C897" i="9" l="1"/>
  <c r="E896" i="9"/>
  <c r="O896" i="9"/>
  <c r="D896" i="9"/>
  <c r="A709" i="9"/>
  <c r="I708" i="9"/>
  <c r="H708" i="9"/>
  <c r="K707" i="9"/>
  <c r="J707" i="9"/>
  <c r="N707" i="9"/>
  <c r="M707" i="9"/>
  <c r="L707" i="9"/>
  <c r="G708" i="9"/>
  <c r="Q707" i="9"/>
  <c r="P707" i="9"/>
  <c r="D897" i="9" l="1"/>
  <c r="C898" i="9"/>
  <c r="O897" i="9"/>
  <c r="E897" i="9"/>
  <c r="G709" i="9"/>
  <c r="Q708" i="9"/>
  <c r="P708" i="9"/>
  <c r="A710" i="9"/>
  <c r="I709" i="9"/>
  <c r="H709" i="9"/>
  <c r="K708" i="9"/>
  <c r="J708" i="9"/>
  <c r="N708" i="9"/>
  <c r="M708" i="9"/>
  <c r="L708" i="9"/>
  <c r="E898" i="9" l="1"/>
  <c r="D898" i="9"/>
  <c r="O898" i="9"/>
  <c r="C899" i="9"/>
  <c r="A711" i="9"/>
  <c r="I710" i="9"/>
  <c r="H710" i="9"/>
  <c r="K709" i="9"/>
  <c r="J709" i="9"/>
  <c r="N709" i="9"/>
  <c r="M709" i="9"/>
  <c r="L709" i="9"/>
  <c r="G710" i="9"/>
  <c r="Q709" i="9"/>
  <c r="P709" i="9"/>
  <c r="D899" i="9" l="1"/>
  <c r="C900" i="9"/>
  <c r="E899" i="9"/>
  <c r="O899" i="9"/>
  <c r="K710" i="9"/>
  <c r="J710" i="9"/>
  <c r="N710" i="9"/>
  <c r="M710" i="9"/>
  <c r="L710" i="9"/>
  <c r="G711" i="9"/>
  <c r="Q710" i="9"/>
  <c r="P710" i="9"/>
  <c r="A712" i="9"/>
  <c r="I711" i="9"/>
  <c r="H711" i="9"/>
  <c r="C901" i="9" l="1"/>
  <c r="E900" i="9"/>
  <c r="O900" i="9"/>
  <c r="D900" i="9"/>
  <c r="K711" i="9"/>
  <c r="J711" i="9"/>
  <c r="N711" i="9"/>
  <c r="M711" i="9"/>
  <c r="L711" i="9"/>
  <c r="G712" i="9"/>
  <c r="Q711" i="9"/>
  <c r="P711" i="9"/>
  <c r="A713" i="9"/>
  <c r="I712" i="9"/>
  <c r="H712" i="9"/>
  <c r="D901" i="9" l="1"/>
  <c r="C902" i="9"/>
  <c r="E901" i="9"/>
  <c r="O901" i="9"/>
  <c r="A714" i="9"/>
  <c r="I713" i="9"/>
  <c r="H713" i="9"/>
  <c r="K712" i="9"/>
  <c r="J712" i="9"/>
  <c r="N712" i="9"/>
  <c r="M712" i="9"/>
  <c r="L712" i="9"/>
  <c r="G713" i="9"/>
  <c r="Q712" i="9"/>
  <c r="P712" i="9"/>
  <c r="O902" i="9" l="1"/>
  <c r="E902" i="9"/>
  <c r="D902" i="9"/>
  <c r="C903" i="9"/>
  <c r="A715" i="9"/>
  <c r="I714" i="9"/>
  <c r="H714" i="9"/>
  <c r="K713" i="9"/>
  <c r="J713" i="9"/>
  <c r="N713" i="9"/>
  <c r="M713" i="9"/>
  <c r="L713" i="9"/>
  <c r="G714" i="9"/>
  <c r="Q713" i="9"/>
  <c r="P713" i="9"/>
  <c r="C904" i="9" l="1"/>
  <c r="D903" i="9"/>
  <c r="E903" i="9"/>
  <c r="O903" i="9"/>
  <c r="K714" i="9"/>
  <c r="J714" i="9"/>
  <c r="N714" i="9"/>
  <c r="M714" i="9"/>
  <c r="L714" i="9"/>
  <c r="G715" i="9"/>
  <c r="Q714" i="9"/>
  <c r="P714" i="9"/>
  <c r="A716" i="9"/>
  <c r="I715" i="9"/>
  <c r="H715" i="9"/>
  <c r="O904" i="9" l="1"/>
  <c r="D904" i="9"/>
  <c r="C905" i="9"/>
  <c r="E904" i="9"/>
  <c r="K715" i="9"/>
  <c r="J715" i="9"/>
  <c r="N715" i="9"/>
  <c r="M715" i="9"/>
  <c r="L715" i="9"/>
  <c r="G716" i="9"/>
  <c r="Q715" i="9"/>
  <c r="P715" i="9"/>
  <c r="A717" i="9"/>
  <c r="I716" i="9"/>
  <c r="H716" i="9"/>
  <c r="C906" i="9" l="1"/>
  <c r="E905" i="9"/>
  <c r="D905" i="9"/>
  <c r="O905" i="9"/>
  <c r="K716" i="9"/>
  <c r="J716" i="9"/>
  <c r="N716" i="9"/>
  <c r="M716" i="9"/>
  <c r="L716" i="9"/>
  <c r="G717" i="9"/>
  <c r="Q716" i="9"/>
  <c r="P716" i="9"/>
  <c r="A718" i="9"/>
  <c r="I717" i="9"/>
  <c r="H717" i="9"/>
  <c r="D906" i="9" l="1"/>
  <c r="C907" i="9"/>
  <c r="E906" i="9"/>
  <c r="O906" i="9"/>
  <c r="A719" i="9"/>
  <c r="I718" i="9"/>
  <c r="H718" i="9"/>
  <c r="K717" i="9"/>
  <c r="J717" i="9"/>
  <c r="N717" i="9"/>
  <c r="M717" i="9"/>
  <c r="L717" i="9"/>
  <c r="G718" i="9"/>
  <c r="Q717" i="9"/>
  <c r="P717" i="9"/>
  <c r="E907" i="9" l="1"/>
  <c r="O907" i="9"/>
  <c r="D907" i="9"/>
  <c r="C908" i="9"/>
  <c r="A720" i="9"/>
  <c r="I719" i="9"/>
  <c r="H719" i="9"/>
  <c r="K718" i="9"/>
  <c r="J718" i="9"/>
  <c r="N718" i="9"/>
  <c r="M718" i="9"/>
  <c r="L718" i="9"/>
  <c r="G719" i="9"/>
  <c r="Q718" i="9"/>
  <c r="P718" i="9"/>
  <c r="E908" i="9" l="1"/>
  <c r="O908" i="9"/>
  <c r="C909" i="9"/>
  <c r="D908" i="9"/>
  <c r="K719" i="9"/>
  <c r="J719" i="9"/>
  <c r="N719" i="9"/>
  <c r="M719" i="9"/>
  <c r="L719" i="9"/>
  <c r="G720" i="9"/>
  <c r="Q719" i="9"/>
  <c r="P719" i="9"/>
  <c r="A721" i="9"/>
  <c r="I720" i="9"/>
  <c r="H720" i="9"/>
  <c r="E909" i="9" l="1"/>
  <c r="O909" i="9"/>
  <c r="D909" i="9"/>
  <c r="C910" i="9"/>
  <c r="K720" i="9"/>
  <c r="J720" i="9"/>
  <c r="N720" i="9"/>
  <c r="M720" i="9"/>
  <c r="L720" i="9"/>
  <c r="G721" i="9"/>
  <c r="Q720" i="9"/>
  <c r="P720" i="9"/>
  <c r="A722" i="9"/>
  <c r="I721" i="9"/>
  <c r="H721" i="9"/>
  <c r="O910" i="9" l="1"/>
  <c r="D910" i="9"/>
  <c r="E910" i="9"/>
  <c r="C911" i="9"/>
  <c r="A723" i="9"/>
  <c r="I722" i="9"/>
  <c r="H722" i="9"/>
  <c r="K721" i="9"/>
  <c r="J721" i="9"/>
  <c r="N721" i="9"/>
  <c r="M721" i="9"/>
  <c r="L721" i="9"/>
  <c r="G722" i="9"/>
  <c r="Q721" i="9"/>
  <c r="P721" i="9"/>
  <c r="O911" i="9" l="1"/>
  <c r="E911" i="9"/>
  <c r="D911" i="9"/>
  <c r="C912" i="9"/>
  <c r="K722" i="9"/>
  <c r="J722" i="9"/>
  <c r="N722" i="9"/>
  <c r="M722" i="9"/>
  <c r="L722" i="9"/>
  <c r="G723" i="9"/>
  <c r="Q722" i="9"/>
  <c r="P722" i="9"/>
  <c r="A724" i="9"/>
  <c r="I723" i="9"/>
  <c r="H723" i="9"/>
  <c r="D912" i="9" l="1"/>
  <c r="C913" i="9"/>
  <c r="E912" i="9"/>
  <c r="O912" i="9"/>
  <c r="K723" i="9"/>
  <c r="J723" i="9"/>
  <c r="N723" i="9"/>
  <c r="M723" i="9"/>
  <c r="L723" i="9"/>
  <c r="G724" i="9"/>
  <c r="Q723" i="9"/>
  <c r="P723" i="9"/>
  <c r="A725" i="9"/>
  <c r="I724" i="9"/>
  <c r="H724" i="9"/>
  <c r="E913" i="9" l="1"/>
  <c r="O913" i="9"/>
  <c r="D913" i="9"/>
  <c r="C914" i="9"/>
  <c r="K724" i="9"/>
  <c r="J724" i="9"/>
  <c r="N724" i="9"/>
  <c r="M724" i="9"/>
  <c r="L724" i="9"/>
  <c r="G725" i="9"/>
  <c r="Q724" i="9"/>
  <c r="P724" i="9"/>
  <c r="A726" i="9"/>
  <c r="I725" i="9"/>
  <c r="H725" i="9"/>
  <c r="C915" i="9" l="1"/>
  <c r="E914" i="9"/>
  <c r="D914" i="9"/>
  <c r="O914" i="9"/>
  <c r="A727" i="9"/>
  <c r="I726" i="9"/>
  <c r="H726" i="9"/>
  <c r="K725" i="9"/>
  <c r="J725" i="9"/>
  <c r="N725" i="9"/>
  <c r="M725" i="9"/>
  <c r="L725" i="9"/>
  <c r="G726" i="9"/>
  <c r="Q725" i="9"/>
  <c r="P725" i="9"/>
  <c r="D915" i="9" l="1"/>
  <c r="C916" i="9"/>
  <c r="E915" i="9"/>
  <c r="O915" i="9"/>
  <c r="A728" i="9"/>
  <c r="I727" i="9"/>
  <c r="H727" i="9"/>
  <c r="K726" i="9"/>
  <c r="J726" i="9"/>
  <c r="N726" i="9"/>
  <c r="M726" i="9"/>
  <c r="L726" i="9"/>
  <c r="G727" i="9"/>
  <c r="Q726" i="9"/>
  <c r="P726" i="9"/>
  <c r="C917" i="9" l="1"/>
  <c r="E916" i="9"/>
  <c r="O916" i="9"/>
  <c r="D916" i="9"/>
  <c r="A729" i="9"/>
  <c r="I728" i="9"/>
  <c r="H728" i="9"/>
  <c r="K727" i="9"/>
  <c r="J727" i="9"/>
  <c r="N727" i="9"/>
  <c r="M727" i="9"/>
  <c r="L727" i="9"/>
  <c r="G728" i="9"/>
  <c r="Q727" i="9"/>
  <c r="P727" i="9"/>
  <c r="E917" i="9" l="1"/>
  <c r="D917" i="9"/>
  <c r="O917" i="9"/>
  <c r="C918" i="9"/>
  <c r="A730" i="9"/>
  <c r="I729" i="9"/>
  <c r="H729" i="9"/>
  <c r="K728" i="9"/>
  <c r="J728" i="9"/>
  <c r="N728" i="9"/>
  <c r="M728" i="9"/>
  <c r="L728" i="9"/>
  <c r="G729" i="9"/>
  <c r="Q728" i="9"/>
  <c r="P728" i="9"/>
  <c r="D918" i="9" l="1"/>
  <c r="C919" i="9"/>
  <c r="E918" i="9"/>
  <c r="O918" i="9"/>
  <c r="A731" i="9"/>
  <c r="I730" i="9"/>
  <c r="H730" i="9"/>
  <c r="K729" i="9"/>
  <c r="J729" i="9"/>
  <c r="N729" i="9"/>
  <c r="M729" i="9"/>
  <c r="L729" i="9"/>
  <c r="G730" i="9"/>
  <c r="Q729" i="9"/>
  <c r="P729" i="9"/>
  <c r="D919" i="9" l="1"/>
  <c r="E919" i="9"/>
  <c r="O919" i="9"/>
  <c r="C920" i="9"/>
  <c r="A732" i="9"/>
  <c r="I731" i="9"/>
  <c r="H731" i="9"/>
  <c r="K730" i="9"/>
  <c r="J730" i="9"/>
  <c r="N730" i="9"/>
  <c r="M730" i="9"/>
  <c r="L730" i="9"/>
  <c r="G731" i="9"/>
  <c r="Q730" i="9"/>
  <c r="P730" i="9"/>
  <c r="C921" i="9" l="1"/>
  <c r="E920" i="9"/>
  <c r="D920" i="9"/>
  <c r="O920" i="9"/>
  <c r="K731" i="9"/>
  <c r="J731" i="9"/>
  <c r="N731" i="9"/>
  <c r="M731" i="9"/>
  <c r="L731" i="9"/>
  <c r="G732" i="9"/>
  <c r="Q731" i="9"/>
  <c r="P731" i="9"/>
  <c r="A733" i="9"/>
  <c r="I732" i="9"/>
  <c r="H732" i="9"/>
  <c r="C922" i="9" l="1"/>
  <c r="E921" i="9"/>
  <c r="O921" i="9"/>
  <c r="D921" i="9"/>
  <c r="K732" i="9"/>
  <c r="J732" i="9"/>
  <c r="N732" i="9"/>
  <c r="M732" i="9"/>
  <c r="L732" i="9"/>
  <c r="G733" i="9"/>
  <c r="Q732" i="9"/>
  <c r="P732" i="9"/>
  <c r="A734" i="9"/>
  <c r="I733" i="9"/>
  <c r="H733" i="9"/>
  <c r="C923" i="9" l="1"/>
  <c r="E922" i="9"/>
  <c r="O922" i="9"/>
  <c r="D922" i="9"/>
  <c r="K733" i="9"/>
  <c r="J733" i="9"/>
  <c r="N733" i="9"/>
  <c r="M733" i="9"/>
  <c r="L733" i="9"/>
  <c r="G734" i="9"/>
  <c r="Q733" i="9"/>
  <c r="P733" i="9"/>
  <c r="A735" i="9"/>
  <c r="I734" i="9"/>
  <c r="H734" i="9"/>
  <c r="D923" i="9" l="1"/>
  <c r="C924" i="9"/>
  <c r="E923" i="9"/>
  <c r="O923" i="9"/>
  <c r="K734" i="9"/>
  <c r="J734" i="9"/>
  <c r="N734" i="9"/>
  <c r="M734" i="9"/>
  <c r="L734" i="9"/>
  <c r="A736" i="9"/>
  <c r="I735" i="9"/>
  <c r="H735" i="9"/>
  <c r="G735" i="9"/>
  <c r="Q734" i="9"/>
  <c r="P734" i="9"/>
  <c r="C925" i="9" l="1"/>
  <c r="O924" i="9"/>
  <c r="D924" i="9"/>
  <c r="E924" i="9"/>
  <c r="A737" i="9"/>
  <c r="I736" i="9"/>
  <c r="H736" i="9"/>
  <c r="K735" i="9"/>
  <c r="J735" i="9"/>
  <c r="N735" i="9"/>
  <c r="M735" i="9"/>
  <c r="L735" i="9"/>
  <c r="G736" i="9"/>
  <c r="Q735" i="9"/>
  <c r="P735" i="9"/>
  <c r="E925" i="9" l="1"/>
  <c r="D925" i="9"/>
  <c r="O925" i="9"/>
  <c r="C926" i="9"/>
  <c r="G737" i="9"/>
  <c r="Q736" i="9"/>
  <c r="P736" i="9"/>
  <c r="A738" i="9"/>
  <c r="I737" i="9"/>
  <c r="H737" i="9"/>
  <c r="K736" i="9"/>
  <c r="J736" i="9"/>
  <c r="N736" i="9"/>
  <c r="M736" i="9"/>
  <c r="L736" i="9"/>
  <c r="C927" i="9" l="1"/>
  <c r="E926" i="9"/>
  <c r="D926" i="9"/>
  <c r="O926" i="9"/>
  <c r="K737" i="9"/>
  <c r="J737" i="9"/>
  <c r="N737" i="9"/>
  <c r="M737" i="9"/>
  <c r="L737" i="9"/>
  <c r="G738" i="9"/>
  <c r="Q737" i="9"/>
  <c r="P737" i="9"/>
  <c r="A739" i="9"/>
  <c r="I738" i="9"/>
  <c r="H738" i="9"/>
  <c r="C928" i="9" l="1"/>
  <c r="E927" i="9"/>
  <c r="O927" i="9"/>
  <c r="D927" i="9"/>
  <c r="G739" i="9"/>
  <c r="Q738" i="9"/>
  <c r="P738" i="9"/>
  <c r="K738" i="9"/>
  <c r="J738" i="9"/>
  <c r="N738" i="9"/>
  <c r="M738" i="9"/>
  <c r="L738" i="9"/>
  <c r="A740" i="9"/>
  <c r="I739" i="9"/>
  <c r="H739" i="9"/>
  <c r="O928" i="9" l="1"/>
  <c r="C929" i="9"/>
  <c r="E928" i="9"/>
  <c r="D928" i="9"/>
  <c r="K739" i="9"/>
  <c r="J739" i="9"/>
  <c r="N739" i="9"/>
  <c r="M739" i="9"/>
  <c r="L739" i="9"/>
  <c r="A741" i="9"/>
  <c r="I740" i="9"/>
  <c r="H740" i="9"/>
  <c r="G740" i="9"/>
  <c r="Q739" i="9"/>
  <c r="P739" i="9"/>
  <c r="C930" i="9" l="1"/>
  <c r="O929" i="9"/>
  <c r="D929" i="9"/>
  <c r="E929" i="9"/>
  <c r="A742" i="9"/>
  <c r="I741" i="9"/>
  <c r="H741" i="9"/>
  <c r="K740" i="9"/>
  <c r="J740" i="9"/>
  <c r="N740" i="9"/>
  <c r="M740" i="9"/>
  <c r="L740" i="9"/>
  <c r="G741" i="9"/>
  <c r="Q740" i="9"/>
  <c r="P740" i="9"/>
  <c r="O930" i="9" l="1"/>
  <c r="C931" i="9"/>
  <c r="E930" i="9"/>
  <c r="D930" i="9"/>
  <c r="G742" i="9"/>
  <c r="Q741" i="9"/>
  <c r="P741" i="9"/>
  <c r="A743" i="9"/>
  <c r="I742" i="9"/>
  <c r="H742" i="9"/>
  <c r="K741" i="9"/>
  <c r="J741" i="9"/>
  <c r="N741" i="9"/>
  <c r="M741" i="9"/>
  <c r="L741" i="9"/>
  <c r="C932" i="9" l="1"/>
  <c r="E931" i="9"/>
  <c r="O931" i="9"/>
  <c r="D931" i="9"/>
  <c r="A744" i="9"/>
  <c r="I743" i="9"/>
  <c r="H743" i="9"/>
  <c r="K742" i="9"/>
  <c r="J742" i="9"/>
  <c r="N742" i="9"/>
  <c r="M742" i="9"/>
  <c r="L742" i="9"/>
  <c r="G743" i="9"/>
  <c r="Q742" i="9"/>
  <c r="P742" i="9"/>
  <c r="C933" i="9" l="1"/>
  <c r="E932" i="9"/>
  <c r="O932" i="9"/>
  <c r="D932" i="9"/>
  <c r="G744" i="9"/>
  <c r="Q743" i="9"/>
  <c r="P743" i="9"/>
  <c r="A745" i="9"/>
  <c r="I744" i="9"/>
  <c r="H744" i="9"/>
  <c r="K743" i="9"/>
  <c r="J743" i="9"/>
  <c r="N743" i="9"/>
  <c r="M743" i="9"/>
  <c r="L743" i="9"/>
  <c r="C934" i="9" l="1"/>
  <c r="E933" i="9"/>
  <c r="O933" i="9"/>
  <c r="D933" i="9"/>
  <c r="K744" i="9"/>
  <c r="J744" i="9"/>
  <c r="N744" i="9"/>
  <c r="M744" i="9"/>
  <c r="L744" i="9"/>
  <c r="G745" i="9"/>
  <c r="Q744" i="9"/>
  <c r="P744" i="9"/>
  <c r="A746" i="9"/>
  <c r="I745" i="9"/>
  <c r="H745" i="9"/>
  <c r="D934" i="9" l="1"/>
  <c r="E934" i="9"/>
  <c r="O934" i="9"/>
  <c r="C935" i="9"/>
  <c r="G746" i="9"/>
  <c r="Q745" i="9"/>
  <c r="P745" i="9"/>
  <c r="K745" i="9"/>
  <c r="J745" i="9"/>
  <c r="N745" i="9"/>
  <c r="M745" i="9"/>
  <c r="L745" i="9"/>
  <c r="A747" i="9"/>
  <c r="I746" i="9"/>
  <c r="H746" i="9"/>
  <c r="O935" i="9" l="1"/>
  <c r="C936" i="9"/>
  <c r="E935" i="9"/>
  <c r="D935" i="9"/>
  <c r="K746" i="9"/>
  <c r="J746" i="9"/>
  <c r="N746" i="9"/>
  <c r="M746" i="9"/>
  <c r="L746" i="9"/>
  <c r="G747" i="9"/>
  <c r="Q746" i="9"/>
  <c r="P746" i="9"/>
  <c r="A748" i="9"/>
  <c r="I747" i="9"/>
  <c r="H747" i="9"/>
  <c r="O936" i="9" l="1"/>
  <c r="D936" i="9"/>
  <c r="C937" i="9"/>
  <c r="E936" i="9"/>
  <c r="K747" i="9"/>
  <c r="J747" i="9"/>
  <c r="N747" i="9"/>
  <c r="M747" i="9"/>
  <c r="L747" i="9"/>
  <c r="G748" i="9"/>
  <c r="Q747" i="9"/>
  <c r="P747" i="9"/>
  <c r="A749" i="9"/>
  <c r="I748" i="9"/>
  <c r="H748" i="9"/>
  <c r="C938" i="9" l="1"/>
  <c r="E937" i="9"/>
  <c r="D937" i="9"/>
  <c r="O937" i="9"/>
  <c r="K748" i="9"/>
  <c r="J748" i="9"/>
  <c r="N748" i="9"/>
  <c r="M748" i="9"/>
  <c r="L748" i="9"/>
  <c r="G749" i="9"/>
  <c r="Q748" i="9"/>
  <c r="P748" i="9"/>
  <c r="A750" i="9"/>
  <c r="I749" i="9"/>
  <c r="H749" i="9"/>
  <c r="C939" i="9" l="1"/>
  <c r="O938" i="9"/>
  <c r="D938" i="9"/>
  <c r="E938" i="9"/>
  <c r="K749" i="9"/>
  <c r="J749" i="9"/>
  <c r="N749" i="9"/>
  <c r="M749" i="9"/>
  <c r="L749" i="9"/>
  <c r="G750" i="9"/>
  <c r="Q749" i="9"/>
  <c r="P749" i="9"/>
  <c r="A751" i="9"/>
  <c r="I750" i="9"/>
  <c r="H750" i="9"/>
  <c r="D939" i="9" l="1"/>
  <c r="O939" i="9"/>
  <c r="C940" i="9"/>
  <c r="E939" i="9"/>
  <c r="K750" i="9"/>
  <c r="J750" i="9"/>
  <c r="N750" i="9"/>
  <c r="M750" i="9"/>
  <c r="L750" i="9"/>
  <c r="G751" i="9"/>
  <c r="Q750" i="9"/>
  <c r="P750" i="9"/>
  <c r="A752" i="9"/>
  <c r="I751" i="9"/>
  <c r="H751" i="9"/>
  <c r="O940" i="9" l="1"/>
  <c r="C941" i="9"/>
  <c r="E940" i="9"/>
  <c r="D940" i="9"/>
  <c r="K751" i="9"/>
  <c r="J751" i="9"/>
  <c r="N751" i="9"/>
  <c r="M751" i="9"/>
  <c r="L751" i="9"/>
  <c r="G752" i="9"/>
  <c r="Q751" i="9"/>
  <c r="P751" i="9"/>
  <c r="A753" i="9"/>
  <c r="I752" i="9"/>
  <c r="H752" i="9"/>
  <c r="O941" i="9" l="1"/>
  <c r="D941" i="9"/>
  <c r="C942" i="9"/>
  <c r="E941" i="9"/>
  <c r="K752" i="9"/>
  <c r="J752" i="9"/>
  <c r="N752" i="9"/>
  <c r="M752" i="9"/>
  <c r="L752" i="9"/>
  <c r="G753" i="9"/>
  <c r="Q752" i="9"/>
  <c r="P752" i="9"/>
  <c r="A754" i="9"/>
  <c r="I753" i="9"/>
  <c r="H753" i="9"/>
  <c r="D942" i="9" l="1"/>
  <c r="E942" i="9"/>
  <c r="O942" i="9"/>
  <c r="C943" i="9"/>
  <c r="G754" i="9"/>
  <c r="Q753" i="9"/>
  <c r="P753" i="9"/>
  <c r="K753" i="9"/>
  <c r="J753" i="9"/>
  <c r="N753" i="9"/>
  <c r="M753" i="9"/>
  <c r="L753" i="9"/>
  <c r="A755" i="9"/>
  <c r="I754" i="9"/>
  <c r="H754" i="9"/>
  <c r="C944" i="9" l="1"/>
  <c r="D943" i="9"/>
  <c r="E943" i="9"/>
  <c r="O943" i="9"/>
  <c r="K754" i="9"/>
  <c r="J754" i="9"/>
  <c r="N754" i="9"/>
  <c r="M754" i="9"/>
  <c r="L754" i="9"/>
  <c r="G755" i="9"/>
  <c r="Q754" i="9"/>
  <c r="P754" i="9"/>
  <c r="A756" i="9"/>
  <c r="I755" i="9"/>
  <c r="H755" i="9"/>
  <c r="O944" i="9" l="1"/>
  <c r="D944" i="9"/>
  <c r="C945" i="9"/>
  <c r="E944" i="9"/>
  <c r="K755" i="9"/>
  <c r="J755" i="9"/>
  <c r="N755" i="9"/>
  <c r="M755" i="9"/>
  <c r="L755" i="9"/>
  <c r="G756" i="9"/>
  <c r="Q755" i="9"/>
  <c r="P755" i="9"/>
  <c r="A757" i="9"/>
  <c r="I756" i="9"/>
  <c r="H756" i="9"/>
  <c r="E945" i="9" l="1"/>
  <c r="O945" i="9"/>
  <c r="D945" i="9"/>
  <c r="C946" i="9"/>
  <c r="K756" i="9"/>
  <c r="J756" i="9"/>
  <c r="N756" i="9"/>
  <c r="M756" i="9"/>
  <c r="L756" i="9"/>
  <c r="G757" i="9"/>
  <c r="Q756" i="9"/>
  <c r="P756" i="9"/>
  <c r="A758" i="9"/>
  <c r="I757" i="9"/>
  <c r="H757" i="9"/>
  <c r="E946" i="9" l="1"/>
  <c r="O946" i="9"/>
  <c r="C947" i="9"/>
  <c r="D946" i="9"/>
  <c r="A759" i="9"/>
  <c r="I758" i="9"/>
  <c r="H758" i="9"/>
  <c r="K757" i="9"/>
  <c r="J757" i="9"/>
  <c r="N757" i="9"/>
  <c r="M757" i="9"/>
  <c r="L757" i="9"/>
  <c r="G758" i="9"/>
  <c r="Q757" i="9"/>
  <c r="P757" i="9"/>
  <c r="C948" i="9" l="1"/>
  <c r="E947" i="9"/>
  <c r="D947" i="9"/>
  <c r="O947" i="9"/>
  <c r="G759" i="9"/>
  <c r="Q758" i="9"/>
  <c r="P758" i="9"/>
  <c r="A760" i="9"/>
  <c r="I759" i="9"/>
  <c r="H759" i="9"/>
  <c r="K758" i="9"/>
  <c r="J758" i="9"/>
  <c r="N758" i="9"/>
  <c r="M758" i="9"/>
  <c r="L758" i="9"/>
  <c r="D948" i="9" l="1"/>
  <c r="C949" i="9"/>
  <c r="E948" i="9"/>
  <c r="O948" i="9"/>
  <c r="K759" i="9"/>
  <c r="J759" i="9"/>
  <c r="N759" i="9"/>
  <c r="M759" i="9"/>
  <c r="L759" i="9"/>
  <c r="G760" i="9"/>
  <c r="Q759" i="9"/>
  <c r="P759" i="9"/>
  <c r="A761" i="9"/>
  <c r="I760" i="9"/>
  <c r="H760" i="9"/>
  <c r="C950" i="9" l="1"/>
  <c r="E949" i="9"/>
  <c r="O949" i="9"/>
  <c r="D949" i="9"/>
  <c r="K760" i="9"/>
  <c r="J760" i="9"/>
  <c r="N760" i="9"/>
  <c r="M760" i="9"/>
  <c r="L760" i="9"/>
  <c r="G761" i="9"/>
  <c r="Q760" i="9"/>
  <c r="P760" i="9"/>
  <c r="A762" i="9"/>
  <c r="I761" i="9"/>
  <c r="H761" i="9"/>
  <c r="O950" i="9" l="1"/>
  <c r="D950" i="9"/>
  <c r="C951" i="9"/>
  <c r="E950" i="9"/>
  <c r="K761" i="9"/>
  <c r="J761" i="9"/>
  <c r="N761" i="9"/>
  <c r="M761" i="9"/>
  <c r="L761" i="9"/>
  <c r="G762" i="9"/>
  <c r="Q761" i="9"/>
  <c r="P761" i="9"/>
  <c r="A763" i="9"/>
  <c r="I762" i="9"/>
  <c r="H762" i="9"/>
  <c r="C952" i="9" l="1"/>
  <c r="E951" i="9"/>
  <c r="O951" i="9"/>
  <c r="D951" i="9"/>
  <c r="K762" i="9"/>
  <c r="J762" i="9"/>
  <c r="N762" i="9"/>
  <c r="M762" i="9"/>
  <c r="L762" i="9"/>
  <c r="G763" i="9"/>
  <c r="Q762" i="9"/>
  <c r="P762" i="9"/>
  <c r="A764" i="9"/>
  <c r="I763" i="9"/>
  <c r="H763" i="9"/>
  <c r="D952" i="9" l="1"/>
  <c r="C953" i="9"/>
  <c r="E952" i="9"/>
  <c r="O952" i="9"/>
  <c r="K763" i="9"/>
  <c r="J763" i="9"/>
  <c r="N763" i="9"/>
  <c r="M763" i="9"/>
  <c r="L763" i="9"/>
  <c r="G764" i="9"/>
  <c r="Q763" i="9"/>
  <c r="P763" i="9"/>
  <c r="A765" i="9"/>
  <c r="I764" i="9"/>
  <c r="H764" i="9"/>
  <c r="O953" i="9" l="1"/>
  <c r="D953" i="9"/>
  <c r="C954" i="9"/>
  <c r="E953" i="9"/>
  <c r="K764" i="9"/>
  <c r="J764" i="9"/>
  <c r="N764" i="9"/>
  <c r="M764" i="9"/>
  <c r="L764" i="9"/>
  <c r="G765" i="9"/>
  <c r="Q764" i="9"/>
  <c r="P764" i="9"/>
  <c r="A766" i="9"/>
  <c r="I765" i="9"/>
  <c r="H765" i="9"/>
  <c r="O954" i="9" l="1"/>
  <c r="D954" i="9"/>
  <c r="C955" i="9"/>
  <c r="E954" i="9"/>
  <c r="K765" i="9"/>
  <c r="J765" i="9"/>
  <c r="N765" i="9"/>
  <c r="M765" i="9"/>
  <c r="L765" i="9"/>
  <c r="G766" i="9"/>
  <c r="Q765" i="9"/>
  <c r="P765" i="9"/>
  <c r="A767" i="9"/>
  <c r="I766" i="9"/>
  <c r="H766" i="9"/>
  <c r="C956" i="9" l="1"/>
  <c r="E955" i="9"/>
  <c r="O955" i="9"/>
  <c r="D955" i="9"/>
  <c r="G767" i="9"/>
  <c r="Q766" i="9"/>
  <c r="P766" i="9"/>
  <c r="K766" i="9"/>
  <c r="J766" i="9"/>
  <c r="N766" i="9"/>
  <c r="M766" i="9"/>
  <c r="L766" i="9"/>
  <c r="A768" i="9"/>
  <c r="I767" i="9"/>
  <c r="H767" i="9"/>
  <c r="C957" i="9" l="1"/>
  <c r="E956" i="9"/>
  <c r="D956" i="9"/>
  <c r="O956" i="9"/>
  <c r="K767" i="9"/>
  <c r="J767" i="9"/>
  <c r="N767" i="9"/>
  <c r="M767" i="9"/>
  <c r="L767" i="9"/>
  <c r="G768" i="9"/>
  <c r="Q767" i="9"/>
  <c r="P767" i="9"/>
  <c r="A769" i="9"/>
  <c r="I768" i="9"/>
  <c r="H768" i="9"/>
  <c r="E957" i="9" l="1"/>
  <c r="O957" i="9"/>
  <c r="D957" i="9"/>
  <c r="C958" i="9"/>
  <c r="K768" i="9"/>
  <c r="J768" i="9"/>
  <c r="N768" i="9"/>
  <c r="M768" i="9"/>
  <c r="L768" i="9"/>
  <c r="G769" i="9"/>
  <c r="Q768" i="9"/>
  <c r="P768" i="9"/>
  <c r="A770" i="9"/>
  <c r="I769" i="9"/>
  <c r="H769" i="9"/>
  <c r="D958" i="9" l="1"/>
  <c r="E958" i="9"/>
  <c r="C959" i="9"/>
  <c r="O958" i="9"/>
  <c r="K769" i="9"/>
  <c r="J769" i="9"/>
  <c r="N769" i="9"/>
  <c r="M769" i="9"/>
  <c r="L769" i="9"/>
  <c r="G770" i="9"/>
  <c r="Q769" i="9"/>
  <c r="P769" i="9"/>
  <c r="A771" i="9"/>
  <c r="I770" i="9"/>
  <c r="H770" i="9"/>
  <c r="O959" i="9" l="1"/>
  <c r="D959" i="9"/>
  <c r="E959" i="9"/>
  <c r="C960" i="9"/>
  <c r="K770" i="9"/>
  <c r="J770" i="9"/>
  <c r="N770" i="9"/>
  <c r="M770" i="9"/>
  <c r="L770" i="9"/>
  <c r="G771" i="9"/>
  <c r="Q770" i="9"/>
  <c r="P770" i="9"/>
  <c r="A772" i="9"/>
  <c r="I771" i="9"/>
  <c r="H771" i="9"/>
  <c r="C961" i="9" l="1"/>
  <c r="E960" i="9"/>
  <c r="O960" i="9"/>
  <c r="D960" i="9"/>
  <c r="K771" i="9"/>
  <c r="J771" i="9"/>
  <c r="N771" i="9"/>
  <c r="M771" i="9"/>
  <c r="L771" i="9"/>
  <c r="G772" i="9"/>
  <c r="Q771" i="9"/>
  <c r="P771" i="9"/>
  <c r="A773" i="9"/>
  <c r="I772" i="9"/>
  <c r="H772" i="9"/>
  <c r="D961" i="9" l="1"/>
  <c r="C962" i="9"/>
  <c r="E961" i="9"/>
  <c r="O961" i="9"/>
  <c r="K772" i="9"/>
  <c r="J772" i="9"/>
  <c r="N772" i="9"/>
  <c r="M772" i="9"/>
  <c r="L772" i="9"/>
  <c r="G773" i="9"/>
  <c r="Q772" i="9"/>
  <c r="P772" i="9"/>
  <c r="A774" i="9"/>
  <c r="I773" i="9"/>
  <c r="H773" i="9"/>
  <c r="E962" i="9" l="1"/>
  <c r="O962" i="9"/>
  <c r="D962" i="9"/>
  <c r="C963" i="9"/>
  <c r="K773" i="9"/>
  <c r="J773" i="9"/>
  <c r="N773" i="9"/>
  <c r="M773" i="9"/>
  <c r="L773" i="9"/>
  <c r="G774" i="9"/>
  <c r="Q773" i="9"/>
  <c r="P773" i="9"/>
  <c r="A775" i="9"/>
  <c r="I774" i="9"/>
  <c r="H774" i="9"/>
  <c r="D963" i="9" l="1"/>
  <c r="C964" i="9"/>
  <c r="E963" i="9"/>
  <c r="O963" i="9"/>
  <c r="G775" i="9"/>
  <c r="Q774" i="9"/>
  <c r="P774" i="9"/>
  <c r="K774" i="9"/>
  <c r="J774" i="9"/>
  <c r="N774" i="9"/>
  <c r="M774" i="9"/>
  <c r="L774" i="9"/>
  <c r="A776" i="9"/>
  <c r="I775" i="9"/>
  <c r="H775" i="9"/>
  <c r="E964" i="9" l="1"/>
  <c r="O964" i="9"/>
  <c r="D964" i="9"/>
  <c r="C965" i="9"/>
  <c r="K775" i="9"/>
  <c r="J775" i="9"/>
  <c r="N775" i="9"/>
  <c r="M775" i="9"/>
  <c r="L775" i="9"/>
  <c r="G776" i="9"/>
  <c r="Q775" i="9"/>
  <c r="P775" i="9"/>
  <c r="A777" i="9"/>
  <c r="I776" i="9"/>
  <c r="H776" i="9"/>
  <c r="C966" i="9" l="1"/>
  <c r="E965" i="9"/>
  <c r="O965" i="9"/>
  <c r="D965" i="9"/>
  <c r="K776" i="9"/>
  <c r="J776" i="9"/>
  <c r="N776" i="9"/>
  <c r="M776" i="9"/>
  <c r="L776" i="9"/>
  <c r="G777" i="9"/>
  <c r="Q776" i="9"/>
  <c r="P776" i="9"/>
  <c r="A778" i="9"/>
  <c r="I777" i="9"/>
  <c r="H777" i="9"/>
  <c r="C967" i="9" l="1"/>
  <c r="E966" i="9"/>
  <c r="O966" i="9"/>
  <c r="D966" i="9"/>
  <c r="K777" i="9"/>
  <c r="J777" i="9"/>
  <c r="N777" i="9"/>
  <c r="M777" i="9"/>
  <c r="L777" i="9"/>
  <c r="G778" i="9"/>
  <c r="Q777" i="9"/>
  <c r="P777" i="9"/>
  <c r="A779" i="9"/>
  <c r="I778" i="9"/>
  <c r="H778" i="9"/>
  <c r="C968" i="9" l="1"/>
  <c r="E967" i="9"/>
  <c r="O967" i="9"/>
  <c r="D967" i="9"/>
  <c r="K778" i="9"/>
  <c r="J778" i="9"/>
  <c r="N778" i="9"/>
  <c r="M778" i="9"/>
  <c r="L778" i="9"/>
  <c r="G779" i="9"/>
  <c r="Q778" i="9"/>
  <c r="P778" i="9"/>
  <c r="A780" i="9"/>
  <c r="I779" i="9"/>
  <c r="H779" i="9"/>
  <c r="D968" i="9" l="1"/>
  <c r="E968" i="9"/>
  <c r="O968" i="9"/>
  <c r="C969" i="9"/>
  <c r="K779" i="9"/>
  <c r="J779" i="9"/>
  <c r="N779" i="9"/>
  <c r="M779" i="9"/>
  <c r="L779" i="9"/>
  <c r="G780" i="9"/>
  <c r="Q779" i="9"/>
  <c r="P779" i="9"/>
  <c r="A781" i="9"/>
  <c r="I780" i="9"/>
  <c r="H780" i="9"/>
  <c r="C970" i="9" l="1"/>
  <c r="D969" i="9"/>
  <c r="E969" i="9"/>
  <c r="O969" i="9"/>
  <c r="K780" i="9"/>
  <c r="J780" i="9"/>
  <c r="N780" i="9"/>
  <c r="M780" i="9"/>
  <c r="L780" i="9"/>
  <c r="G781" i="9"/>
  <c r="Q780" i="9"/>
  <c r="P780" i="9"/>
  <c r="A782" i="9"/>
  <c r="I781" i="9"/>
  <c r="H781" i="9"/>
  <c r="E970" i="9" l="1"/>
  <c r="O970" i="9"/>
  <c r="C971" i="9"/>
  <c r="D970" i="9"/>
  <c r="K781" i="9"/>
  <c r="J781" i="9"/>
  <c r="N781" i="9"/>
  <c r="M781" i="9"/>
  <c r="L781" i="9"/>
  <c r="G782" i="9"/>
  <c r="Q781" i="9"/>
  <c r="P781" i="9"/>
  <c r="A783" i="9"/>
  <c r="I782" i="9"/>
  <c r="H782" i="9"/>
  <c r="C972" i="9" l="1"/>
  <c r="E971" i="9"/>
  <c r="D971" i="9"/>
  <c r="O971" i="9"/>
  <c r="K782" i="9"/>
  <c r="J782" i="9"/>
  <c r="N782" i="9"/>
  <c r="M782" i="9"/>
  <c r="L782" i="9"/>
  <c r="G783" i="9"/>
  <c r="Q782" i="9"/>
  <c r="P782" i="9"/>
  <c r="A784" i="9"/>
  <c r="I783" i="9"/>
  <c r="H783" i="9"/>
  <c r="O972" i="9" l="1"/>
  <c r="C973" i="9"/>
  <c r="D972" i="9"/>
  <c r="E972" i="9"/>
  <c r="K783" i="9"/>
  <c r="J783" i="9"/>
  <c r="N783" i="9"/>
  <c r="M783" i="9"/>
  <c r="L783" i="9"/>
  <c r="G784" i="9"/>
  <c r="Q783" i="9"/>
  <c r="P783" i="9"/>
  <c r="A785" i="9"/>
  <c r="I784" i="9"/>
  <c r="H784" i="9"/>
  <c r="D973" i="9" l="1"/>
  <c r="E973" i="9"/>
  <c r="O973" i="9"/>
  <c r="C974" i="9"/>
  <c r="K784" i="9"/>
  <c r="J784" i="9"/>
  <c r="N784" i="9"/>
  <c r="M784" i="9"/>
  <c r="L784" i="9"/>
  <c r="G785" i="9"/>
  <c r="Q784" i="9"/>
  <c r="P784" i="9"/>
  <c r="A786" i="9"/>
  <c r="I785" i="9"/>
  <c r="H785" i="9"/>
  <c r="O974" i="9" l="1"/>
  <c r="D974" i="9"/>
  <c r="C975" i="9"/>
  <c r="E974" i="9"/>
  <c r="K785" i="9"/>
  <c r="J785" i="9"/>
  <c r="N785" i="9"/>
  <c r="M785" i="9"/>
  <c r="L785" i="9"/>
  <c r="G786" i="9"/>
  <c r="Q785" i="9"/>
  <c r="P785" i="9"/>
  <c r="A787" i="9"/>
  <c r="I786" i="9"/>
  <c r="H786" i="9"/>
  <c r="D975" i="9" l="1"/>
  <c r="C976" i="9"/>
  <c r="E975" i="9"/>
  <c r="O975" i="9"/>
  <c r="K786" i="9"/>
  <c r="J786" i="9"/>
  <c r="N786" i="9"/>
  <c r="M786" i="9"/>
  <c r="L786" i="9"/>
  <c r="G787" i="9"/>
  <c r="Q786" i="9"/>
  <c r="P786" i="9"/>
  <c r="A788" i="9"/>
  <c r="I787" i="9"/>
  <c r="H787" i="9"/>
  <c r="E976" i="9" l="1"/>
  <c r="O976" i="9"/>
  <c r="D976" i="9"/>
  <c r="C977" i="9"/>
  <c r="K787" i="9"/>
  <c r="J787" i="9"/>
  <c r="N787" i="9"/>
  <c r="M787" i="9"/>
  <c r="L787" i="9"/>
  <c r="G788" i="9"/>
  <c r="Q787" i="9"/>
  <c r="P787" i="9"/>
  <c r="A789" i="9"/>
  <c r="I788" i="9"/>
  <c r="H788" i="9"/>
  <c r="C978" i="9" l="1"/>
  <c r="O977" i="9"/>
  <c r="D977" i="9"/>
  <c r="E977" i="9"/>
  <c r="K788" i="9"/>
  <c r="J788" i="9"/>
  <c r="N788" i="9"/>
  <c r="M788" i="9"/>
  <c r="L788" i="9"/>
  <c r="G789" i="9"/>
  <c r="Q788" i="9"/>
  <c r="P788" i="9"/>
  <c r="A790" i="9"/>
  <c r="I789" i="9"/>
  <c r="H789" i="9"/>
  <c r="C979" i="9" l="1"/>
  <c r="E978" i="9"/>
  <c r="O978" i="9"/>
  <c r="D978" i="9"/>
  <c r="K789" i="9"/>
  <c r="J789" i="9"/>
  <c r="N789" i="9"/>
  <c r="M789" i="9"/>
  <c r="L789" i="9"/>
  <c r="G790" i="9"/>
  <c r="Q789" i="9"/>
  <c r="P789" i="9"/>
  <c r="A791" i="9"/>
  <c r="I790" i="9"/>
  <c r="H790" i="9"/>
  <c r="C980" i="9" l="1"/>
  <c r="E979" i="9"/>
  <c r="O979" i="9"/>
  <c r="D979" i="9"/>
  <c r="K790" i="9"/>
  <c r="J790" i="9"/>
  <c r="N790" i="9"/>
  <c r="M790" i="9"/>
  <c r="L790" i="9"/>
  <c r="G791" i="9"/>
  <c r="Q790" i="9"/>
  <c r="P790" i="9"/>
  <c r="A792" i="9"/>
  <c r="I791" i="9"/>
  <c r="H791" i="9"/>
  <c r="E980" i="9" l="1"/>
  <c r="O980" i="9"/>
  <c r="D980" i="9"/>
  <c r="C981" i="9"/>
  <c r="K791" i="9"/>
  <c r="J791" i="9"/>
  <c r="N791" i="9"/>
  <c r="M791" i="9"/>
  <c r="L791" i="9"/>
  <c r="G792" i="9"/>
  <c r="Q791" i="9"/>
  <c r="P791" i="9"/>
  <c r="A793" i="9"/>
  <c r="I792" i="9"/>
  <c r="H792" i="9"/>
  <c r="D981" i="9" l="1"/>
  <c r="C982" i="9"/>
  <c r="O981" i="9"/>
  <c r="E981" i="9"/>
  <c r="K792" i="9"/>
  <c r="J792" i="9"/>
  <c r="N792" i="9"/>
  <c r="M792" i="9"/>
  <c r="L792" i="9"/>
  <c r="G793" i="9"/>
  <c r="Q792" i="9"/>
  <c r="P792" i="9"/>
  <c r="A794" i="9"/>
  <c r="I793" i="9"/>
  <c r="H793" i="9"/>
  <c r="E982" i="9" l="1"/>
  <c r="O982" i="9"/>
  <c r="D982" i="9"/>
  <c r="C983" i="9"/>
  <c r="K793" i="9"/>
  <c r="J793" i="9"/>
  <c r="N793" i="9"/>
  <c r="M793" i="9"/>
  <c r="L793" i="9"/>
  <c r="G794" i="9"/>
  <c r="Q793" i="9"/>
  <c r="P793" i="9"/>
  <c r="A795" i="9"/>
  <c r="I794" i="9"/>
  <c r="H794" i="9"/>
  <c r="D983" i="9" l="1"/>
  <c r="C984" i="9"/>
  <c r="E983" i="9"/>
  <c r="O983" i="9"/>
  <c r="K794" i="9"/>
  <c r="J794" i="9"/>
  <c r="N794" i="9"/>
  <c r="M794" i="9"/>
  <c r="L794" i="9"/>
  <c r="G795" i="9"/>
  <c r="Q794" i="9"/>
  <c r="P794" i="9"/>
  <c r="A796" i="9"/>
  <c r="I795" i="9"/>
  <c r="H795" i="9"/>
  <c r="E984" i="9" l="1"/>
  <c r="O984" i="9"/>
  <c r="D984" i="9"/>
  <c r="C985" i="9"/>
  <c r="K795" i="9"/>
  <c r="J795" i="9"/>
  <c r="N795" i="9"/>
  <c r="M795" i="9"/>
  <c r="L795" i="9"/>
  <c r="G796" i="9"/>
  <c r="Q795" i="9"/>
  <c r="P795" i="9"/>
  <c r="A797" i="9"/>
  <c r="I796" i="9"/>
  <c r="H796" i="9"/>
  <c r="C986" i="9" l="1"/>
  <c r="E985" i="9"/>
  <c r="D985" i="9"/>
  <c r="O985" i="9"/>
  <c r="K796" i="9"/>
  <c r="J796" i="9"/>
  <c r="N796" i="9"/>
  <c r="M796" i="9"/>
  <c r="L796" i="9"/>
  <c r="G797" i="9"/>
  <c r="Q796" i="9"/>
  <c r="P796" i="9"/>
  <c r="A798" i="9"/>
  <c r="I797" i="9"/>
  <c r="H797" i="9"/>
  <c r="O986" i="9" l="1"/>
  <c r="C987" i="9"/>
  <c r="D986" i="9"/>
  <c r="E986" i="9"/>
  <c r="K797" i="9"/>
  <c r="J797" i="9"/>
  <c r="N797" i="9"/>
  <c r="M797" i="9"/>
  <c r="L797" i="9"/>
  <c r="G798" i="9"/>
  <c r="Q797" i="9"/>
  <c r="P797" i="9"/>
  <c r="A799" i="9"/>
  <c r="I798" i="9"/>
  <c r="H798" i="9"/>
  <c r="E987" i="9" l="1"/>
  <c r="O987" i="9"/>
  <c r="D987" i="9"/>
  <c r="C988" i="9"/>
  <c r="K798" i="9"/>
  <c r="J798" i="9"/>
  <c r="N798" i="9"/>
  <c r="M798" i="9"/>
  <c r="L798" i="9"/>
  <c r="G799" i="9"/>
  <c r="Q798" i="9"/>
  <c r="P798" i="9"/>
  <c r="A800" i="9"/>
  <c r="I799" i="9"/>
  <c r="H799" i="9"/>
  <c r="O988" i="9" l="1"/>
  <c r="D988" i="9"/>
  <c r="C989" i="9"/>
  <c r="E988" i="9"/>
  <c r="K799" i="9"/>
  <c r="J799" i="9"/>
  <c r="N799" i="9"/>
  <c r="M799" i="9"/>
  <c r="L799" i="9"/>
  <c r="G800" i="9"/>
  <c r="Q799" i="9"/>
  <c r="P799" i="9"/>
  <c r="A801" i="9"/>
  <c r="I800" i="9"/>
  <c r="H800" i="9"/>
  <c r="C990" i="9" l="1"/>
  <c r="E989" i="9"/>
  <c r="O989" i="9"/>
  <c r="D989" i="9"/>
  <c r="K800" i="9"/>
  <c r="J800" i="9"/>
  <c r="N800" i="9"/>
  <c r="M800" i="9"/>
  <c r="L800" i="9"/>
  <c r="G801" i="9"/>
  <c r="Q800" i="9"/>
  <c r="P800" i="9"/>
  <c r="A802" i="9"/>
  <c r="I801" i="9"/>
  <c r="H801" i="9"/>
  <c r="O990" i="9" l="1"/>
  <c r="D990" i="9"/>
  <c r="C991" i="9"/>
  <c r="E990" i="9"/>
  <c r="K801" i="9"/>
  <c r="J801" i="9"/>
  <c r="N801" i="9"/>
  <c r="M801" i="9"/>
  <c r="L801" i="9"/>
  <c r="G802" i="9"/>
  <c r="Q801" i="9"/>
  <c r="P801" i="9"/>
  <c r="A803" i="9"/>
  <c r="I802" i="9"/>
  <c r="H802" i="9"/>
  <c r="D991" i="9" l="1"/>
  <c r="C992" i="9"/>
  <c r="O991" i="9"/>
  <c r="E991" i="9"/>
  <c r="K802" i="9"/>
  <c r="J802" i="9"/>
  <c r="N802" i="9"/>
  <c r="M802" i="9"/>
  <c r="L802" i="9"/>
  <c r="G803" i="9"/>
  <c r="Q802" i="9"/>
  <c r="P802" i="9"/>
  <c r="A804" i="9"/>
  <c r="I803" i="9"/>
  <c r="H803" i="9"/>
  <c r="E992" i="9" l="1"/>
  <c r="O992" i="9"/>
  <c r="D992" i="9"/>
  <c r="C993" i="9"/>
  <c r="K803" i="9"/>
  <c r="J803" i="9"/>
  <c r="N803" i="9"/>
  <c r="M803" i="9"/>
  <c r="L803" i="9"/>
  <c r="G804" i="9"/>
  <c r="Q803" i="9"/>
  <c r="P803" i="9"/>
  <c r="A805" i="9"/>
  <c r="I804" i="9"/>
  <c r="H804" i="9"/>
  <c r="O993" i="9" l="1"/>
  <c r="D993" i="9"/>
  <c r="E993" i="9"/>
  <c r="C994" i="9"/>
  <c r="K804" i="9"/>
  <c r="J804" i="9"/>
  <c r="N804" i="9"/>
  <c r="M804" i="9"/>
  <c r="L804" i="9"/>
  <c r="G805" i="9"/>
  <c r="Q804" i="9"/>
  <c r="P804" i="9"/>
  <c r="A806" i="9"/>
  <c r="I805" i="9"/>
  <c r="H805" i="9"/>
  <c r="O994" i="9" l="1"/>
  <c r="D994" i="9"/>
  <c r="C995" i="9"/>
  <c r="E994" i="9"/>
  <c r="K805" i="9"/>
  <c r="J805" i="9"/>
  <c r="N805" i="9"/>
  <c r="M805" i="9"/>
  <c r="L805" i="9"/>
  <c r="A807" i="9"/>
  <c r="I806" i="9"/>
  <c r="H806" i="9"/>
  <c r="G806" i="9"/>
  <c r="Q805" i="9"/>
  <c r="P805" i="9"/>
  <c r="C996" i="9" l="1"/>
  <c r="E995" i="9"/>
  <c r="O995" i="9"/>
  <c r="D995" i="9"/>
  <c r="G807" i="9"/>
  <c r="Q806" i="9"/>
  <c r="P806" i="9"/>
  <c r="A808" i="9"/>
  <c r="I807" i="9"/>
  <c r="H807" i="9"/>
  <c r="K806" i="9"/>
  <c r="J806" i="9"/>
  <c r="N806" i="9"/>
  <c r="M806" i="9"/>
  <c r="L806" i="9"/>
  <c r="D996" i="9" l="1"/>
  <c r="O996" i="9"/>
  <c r="C997" i="9"/>
  <c r="E996" i="9"/>
  <c r="G808" i="9"/>
  <c r="Q807" i="9"/>
  <c r="P807" i="9"/>
  <c r="A809" i="9"/>
  <c r="I808" i="9"/>
  <c r="H808" i="9"/>
  <c r="K807" i="9"/>
  <c r="J807" i="9"/>
  <c r="N807" i="9"/>
  <c r="M807" i="9"/>
  <c r="L807" i="9"/>
  <c r="C998" i="9" l="1"/>
  <c r="E997" i="9"/>
  <c r="D997" i="9"/>
  <c r="O997" i="9"/>
  <c r="G809" i="9"/>
  <c r="Q808" i="9"/>
  <c r="P808" i="9"/>
  <c r="A810" i="9"/>
  <c r="I809" i="9"/>
  <c r="H809" i="9"/>
  <c r="K808" i="9"/>
  <c r="J808" i="9"/>
  <c r="N808" i="9"/>
  <c r="M808" i="9"/>
  <c r="L808" i="9"/>
  <c r="E998" i="9" l="1"/>
  <c r="O998" i="9"/>
  <c r="C999" i="9"/>
  <c r="D998" i="9"/>
  <c r="G810" i="9"/>
  <c r="Q809" i="9"/>
  <c r="P809" i="9"/>
  <c r="A811" i="9"/>
  <c r="I810" i="9"/>
  <c r="H810" i="9"/>
  <c r="K809" i="9"/>
  <c r="J809" i="9"/>
  <c r="N809" i="9"/>
  <c r="M809" i="9"/>
  <c r="L809" i="9"/>
  <c r="E999" i="9" l="1"/>
  <c r="O999" i="9"/>
  <c r="D999" i="9"/>
  <c r="C1000" i="9"/>
  <c r="G811" i="9"/>
  <c r="Q810" i="9"/>
  <c r="P810" i="9"/>
  <c r="A812" i="9"/>
  <c r="I811" i="9"/>
  <c r="H811" i="9"/>
  <c r="K810" i="9"/>
  <c r="J810" i="9"/>
  <c r="N810" i="9"/>
  <c r="M810" i="9"/>
  <c r="L810" i="9"/>
  <c r="E1000" i="9" l="1"/>
  <c r="O1000" i="9"/>
  <c r="D1000" i="9"/>
  <c r="C1001" i="9"/>
  <c r="G812" i="9"/>
  <c r="Q811" i="9"/>
  <c r="P811" i="9"/>
  <c r="A813" i="9"/>
  <c r="I812" i="9"/>
  <c r="H812" i="9"/>
  <c r="K811" i="9"/>
  <c r="J811" i="9"/>
  <c r="N811" i="9"/>
  <c r="M811" i="9"/>
  <c r="L811" i="9"/>
  <c r="E1001" i="9" l="1"/>
  <c r="D1001" i="9"/>
  <c r="C1002" i="9"/>
  <c r="O1001" i="9"/>
  <c r="G813" i="9"/>
  <c r="Q812" i="9"/>
  <c r="P812" i="9"/>
  <c r="A814" i="9"/>
  <c r="I813" i="9"/>
  <c r="H813" i="9"/>
  <c r="K812" i="9"/>
  <c r="J812" i="9"/>
  <c r="N812" i="9"/>
  <c r="M812" i="9"/>
  <c r="L812" i="9"/>
  <c r="C1003" i="9" l="1"/>
  <c r="E1002" i="9"/>
  <c r="O1002" i="9"/>
  <c r="D1002" i="9"/>
  <c r="G814" i="9"/>
  <c r="Q813" i="9"/>
  <c r="P813" i="9"/>
  <c r="A815" i="9"/>
  <c r="I814" i="9"/>
  <c r="H814" i="9"/>
  <c r="K813" i="9"/>
  <c r="J813" i="9"/>
  <c r="N813" i="9"/>
  <c r="M813" i="9"/>
  <c r="L813" i="9"/>
  <c r="E1003" i="9" l="1"/>
  <c r="O1003" i="9"/>
  <c r="D1003" i="9"/>
  <c r="C1004" i="9"/>
  <c r="G815" i="9"/>
  <c r="Q814" i="9"/>
  <c r="P814" i="9"/>
  <c r="A816" i="9"/>
  <c r="I815" i="9"/>
  <c r="H815" i="9"/>
  <c r="K814" i="9"/>
  <c r="J814" i="9"/>
  <c r="N814" i="9"/>
  <c r="M814" i="9"/>
  <c r="L814" i="9"/>
  <c r="O1004" i="9" l="1"/>
  <c r="E1004" i="9"/>
  <c r="D1004" i="9"/>
  <c r="C1005" i="9"/>
  <c r="G816" i="9"/>
  <c r="Q815" i="9"/>
  <c r="P815" i="9"/>
  <c r="A817" i="9"/>
  <c r="I816" i="9"/>
  <c r="H816" i="9"/>
  <c r="K815" i="9"/>
  <c r="J815" i="9"/>
  <c r="N815" i="9"/>
  <c r="M815" i="9"/>
  <c r="L815" i="9"/>
  <c r="C1006" i="9" l="1"/>
  <c r="E1005" i="9"/>
  <c r="O1005" i="9"/>
  <c r="D1005" i="9"/>
  <c r="G817" i="9"/>
  <c r="Q816" i="9"/>
  <c r="P816" i="9"/>
  <c r="A818" i="9"/>
  <c r="I817" i="9"/>
  <c r="H817" i="9"/>
  <c r="K816" i="9"/>
  <c r="J816" i="9"/>
  <c r="N816" i="9"/>
  <c r="M816" i="9"/>
  <c r="L816" i="9"/>
  <c r="D1006" i="9" l="1"/>
  <c r="C1007" i="9"/>
  <c r="E1006" i="9"/>
  <c r="O1006" i="9"/>
  <c r="G818" i="9"/>
  <c r="Q817" i="9"/>
  <c r="P817" i="9"/>
  <c r="A819" i="9"/>
  <c r="I818" i="9"/>
  <c r="H818" i="9"/>
  <c r="K817" i="9"/>
  <c r="J817" i="9"/>
  <c r="N817" i="9"/>
  <c r="M817" i="9"/>
  <c r="L817" i="9"/>
  <c r="D1007" i="9" l="1"/>
  <c r="C1008" i="9"/>
  <c r="E1007" i="9"/>
  <c r="O1007" i="9"/>
  <c r="A820" i="9"/>
  <c r="I819" i="9"/>
  <c r="H819" i="9"/>
  <c r="K818" i="9"/>
  <c r="J818" i="9"/>
  <c r="N818" i="9"/>
  <c r="M818" i="9"/>
  <c r="L818" i="9"/>
  <c r="G819" i="9"/>
  <c r="Q818" i="9"/>
  <c r="P818" i="9"/>
  <c r="C1009" i="9" l="1"/>
  <c r="E1008" i="9"/>
  <c r="O1008" i="9"/>
  <c r="D1008" i="9"/>
  <c r="K819" i="9"/>
  <c r="J819" i="9"/>
  <c r="N819" i="9"/>
  <c r="M819" i="9"/>
  <c r="L819" i="9"/>
  <c r="G820" i="9"/>
  <c r="Q819" i="9"/>
  <c r="P819" i="9"/>
  <c r="A821" i="9"/>
  <c r="I820" i="9"/>
  <c r="H820" i="9"/>
  <c r="D1009" i="9" l="1"/>
  <c r="C1010" i="9"/>
  <c r="O1009" i="9"/>
  <c r="E1009" i="9"/>
  <c r="K820" i="9"/>
  <c r="J820" i="9"/>
  <c r="N820" i="9"/>
  <c r="M820" i="9"/>
  <c r="L820" i="9"/>
  <c r="G821" i="9"/>
  <c r="Q820" i="9"/>
  <c r="P820" i="9"/>
  <c r="A822" i="9"/>
  <c r="I821" i="9"/>
  <c r="H821" i="9"/>
  <c r="C1011" i="9" l="1"/>
  <c r="E1010" i="9"/>
  <c r="D1010" i="9"/>
  <c r="O1010" i="9"/>
  <c r="K821" i="9"/>
  <c r="J821" i="9"/>
  <c r="N821" i="9"/>
  <c r="M821" i="9"/>
  <c r="L821" i="9"/>
  <c r="G822" i="9"/>
  <c r="Q821" i="9"/>
  <c r="P821" i="9"/>
  <c r="A823" i="9"/>
  <c r="I822" i="9"/>
  <c r="H822" i="9"/>
  <c r="D1011" i="9" l="1"/>
  <c r="C1012" i="9"/>
  <c r="E1011" i="9"/>
  <c r="O1011" i="9"/>
  <c r="K822" i="9"/>
  <c r="J822" i="9"/>
  <c r="N822" i="9"/>
  <c r="M822" i="9"/>
  <c r="L822" i="9"/>
  <c r="G823" i="9"/>
  <c r="Q822" i="9"/>
  <c r="P822" i="9"/>
  <c r="A824" i="9"/>
  <c r="I823" i="9"/>
  <c r="H823" i="9"/>
  <c r="O1012" i="9" l="1"/>
  <c r="C1013" i="9"/>
  <c r="E1012" i="9"/>
  <c r="D1012" i="9"/>
  <c r="K823" i="9"/>
  <c r="J823" i="9"/>
  <c r="N823" i="9"/>
  <c r="M823" i="9"/>
  <c r="L823" i="9"/>
  <c r="G824" i="9"/>
  <c r="Q823" i="9"/>
  <c r="P823" i="9"/>
  <c r="A825" i="9"/>
  <c r="I824" i="9"/>
  <c r="H824" i="9"/>
  <c r="D1013" i="9" l="1"/>
  <c r="E1013" i="9"/>
  <c r="O1013" i="9"/>
  <c r="C1014" i="9"/>
  <c r="K824" i="9"/>
  <c r="J824" i="9"/>
  <c r="N824" i="9"/>
  <c r="M824" i="9"/>
  <c r="L824" i="9"/>
  <c r="G825" i="9"/>
  <c r="Q824" i="9"/>
  <c r="P824" i="9"/>
  <c r="I825" i="9"/>
  <c r="H825" i="9"/>
  <c r="A826" i="9"/>
  <c r="O1014" i="9" l="1"/>
  <c r="C1015" i="9"/>
  <c r="E1014" i="9"/>
  <c r="D1014" i="9"/>
  <c r="I826" i="9"/>
  <c r="A827" i="9"/>
  <c r="H826" i="9"/>
  <c r="Q825" i="9"/>
  <c r="P825" i="9"/>
  <c r="G826" i="9"/>
  <c r="K825" i="9"/>
  <c r="J825" i="9"/>
  <c r="N825" i="9"/>
  <c r="M825" i="9"/>
  <c r="L825" i="9"/>
  <c r="C1016" i="9" l="1"/>
  <c r="D1015" i="9"/>
  <c r="E1015" i="9"/>
  <c r="O1015" i="9"/>
  <c r="Q826" i="9"/>
  <c r="P826" i="9"/>
  <c r="G827" i="9"/>
  <c r="J826" i="9"/>
  <c r="N826" i="9"/>
  <c r="M826" i="9"/>
  <c r="K826" i="9"/>
  <c r="L826" i="9"/>
  <c r="I827" i="9"/>
  <c r="A828" i="9"/>
  <c r="H827" i="9"/>
  <c r="C1017" i="9" l="1"/>
  <c r="E1016" i="9"/>
  <c r="D1016" i="9"/>
  <c r="O1016" i="9"/>
  <c r="I828" i="9"/>
  <c r="A829" i="9"/>
  <c r="H828" i="9"/>
  <c r="Q827" i="9"/>
  <c r="P827" i="9"/>
  <c r="G828" i="9"/>
  <c r="J827" i="9"/>
  <c r="N827" i="9"/>
  <c r="M827" i="9"/>
  <c r="K827" i="9"/>
  <c r="L827" i="9"/>
  <c r="O1017" i="9" l="1"/>
  <c r="D1017" i="9"/>
  <c r="E1017" i="9"/>
  <c r="C1018" i="9"/>
  <c r="Q828" i="9"/>
  <c r="P828" i="9"/>
  <c r="G829" i="9"/>
  <c r="J828" i="9"/>
  <c r="N828" i="9"/>
  <c r="M828" i="9"/>
  <c r="K828" i="9"/>
  <c r="L828" i="9"/>
  <c r="I829" i="9"/>
  <c r="A830" i="9"/>
  <c r="H829" i="9"/>
  <c r="C1019" i="9" l="1"/>
  <c r="O1018" i="9"/>
  <c r="D1018" i="9"/>
  <c r="E1018" i="9"/>
  <c r="I830" i="9"/>
  <c r="A831" i="9"/>
  <c r="H830" i="9"/>
  <c r="Q829" i="9"/>
  <c r="P829" i="9"/>
  <c r="G830" i="9"/>
  <c r="J829" i="9"/>
  <c r="N829" i="9"/>
  <c r="M829" i="9"/>
  <c r="K829" i="9"/>
  <c r="L829" i="9"/>
  <c r="D1019" i="9" l="1"/>
  <c r="C1020" i="9"/>
  <c r="E1019" i="9"/>
  <c r="O1019" i="9"/>
  <c r="Q830" i="9"/>
  <c r="P830" i="9"/>
  <c r="G831" i="9"/>
  <c r="J830" i="9"/>
  <c r="N830" i="9"/>
  <c r="M830" i="9"/>
  <c r="K830" i="9"/>
  <c r="L830" i="9"/>
  <c r="I831" i="9"/>
  <c r="A832" i="9"/>
  <c r="H831" i="9"/>
  <c r="E1020" i="9" l="1"/>
  <c r="D1020" i="9"/>
  <c r="C1021" i="9"/>
  <c r="O1020" i="9"/>
  <c r="I832" i="9"/>
  <c r="A833" i="9"/>
  <c r="H832" i="9"/>
  <c r="Q831" i="9"/>
  <c r="P831" i="9"/>
  <c r="G832" i="9"/>
  <c r="J831" i="9"/>
  <c r="N831" i="9"/>
  <c r="M831" i="9"/>
  <c r="K831" i="9"/>
  <c r="L831" i="9"/>
  <c r="C1022" i="9" l="1"/>
  <c r="E1021" i="9"/>
  <c r="O1021" i="9"/>
  <c r="D1021" i="9"/>
  <c r="Q832" i="9"/>
  <c r="P832" i="9"/>
  <c r="G833" i="9"/>
  <c r="J832" i="9"/>
  <c r="N832" i="9"/>
  <c r="M832" i="9"/>
  <c r="K832" i="9"/>
  <c r="L832" i="9"/>
  <c r="I833" i="9"/>
  <c r="A834" i="9"/>
  <c r="H833" i="9"/>
  <c r="E1022" i="9" l="1"/>
  <c r="D1022" i="9"/>
  <c r="C1023" i="9"/>
  <c r="O1022" i="9"/>
  <c r="I834" i="9"/>
  <c r="A835" i="9"/>
  <c r="H834" i="9"/>
  <c r="Q833" i="9"/>
  <c r="P833" i="9"/>
  <c r="G834" i="9"/>
  <c r="J833" i="9"/>
  <c r="N833" i="9"/>
  <c r="M833" i="9"/>
  <c r="K833" i="9"/>
  <c r="L833" i="9"/>
  <c r="O1023" i="9" l="1"/>
  <c r="D1023" i="9"/>
  <c r="C1024" i="9"/>
  <c r="E1023" i="9"/>
  <c r="Q834" i="9"/>
  <c r="P834" i="9"/>
  <c r="G835" i="9"/>
  <c r="J834" i="9"/>
  <c r="N834" i="9"/>
  <c r="M834" i="9"/>
  <c r="K834" i="9"/>
  <c r="L834" i="9"/>
  <c r="I835" i="9"/>
  <c r="A836" i="9"/>
  <c r="H835" i="9"/>
  <c r="O1024" i="9" l="1"/>
  <c r="D1024" i="9"/>
  <c r="C1025" i="9"/>
  <c r="E1024" i="9"/>
  <c r="I836" i="9"/>
  <c r="A837" i="9"/>
  <c r="H836" i="9"/>
  <c r="Q835" i="9"/>
  <c r="P835" i="9"/>
  <c r="G836" i="9"/>
  <c r="J835" i="9"/>
  <c r="N835" i="9"/>
  <c r="M835" i="9"/>
  <c r="K835" i="9"/>
  <c r="L835" i="9"/>
  <c r="D1025" i="9" l="1"/>
  <c r="C1026" i="9"/>
  <c r="O1025" i="9"/>
  <c r="E1025" i="9"/>
  <c r="Q836" i="9"/>
  <c r="P836" i="9"/>
  <c r="G837" i="9"/>
  <c r="J836" i="9"/>
  <c r="N836" i="9"/>
  <c r="M836" i="9"/>
  <c r="K836" i="9"/>
  <c r="L836" i="9"/>
  <c r="I837" i="9"/>
  <c r="A838" i="9"/>
  <c r="H837" i="9"/>
  <c r="E1026" i="9" l="1"/>
  <c r="O1026" i="9"/>
  <c r="D1026" i="9"/>
  <c r="C1027" i="9"/>
  <c r="I838" i="9"/>
  <c r="A839" i="9"/>
  <c r="H838" i="9"/>
  <c r="Q837" i="9"/>
  <c r="P837" i="9"/>
  <c r="G838" i="9"/>
  <c r="J837" i="9"/>
  <c r="N837" i="9"/>
  <c r="M837" i="9"/>
  <c r="K837" i="9"/>
  <c r="L837" i="9"/>
  <c r="O1027" i="9" l="1"/>
  <c r="D1027" i="9"/>
  <c r="C1028" i="9"/>
  <c r="E1027" i="9"/>
  <c r="Q838" i="9"/>
  <c r="P838" i="9"/>
  <c r="G839" i="9"/>
  <c r="J838" i="9"/>
  <c r="N838" i="9"/>
  <c r="M838" i="9"/>
  <c r="K838" i="9"/>
  <c r="L838" i="9"/>
  <c r="I839" i="9"/>
  <c r="A840" i="9"/>
  <c r="H839" i="9"/>
  <c r="D1028" i="9" l="1"/>
  <c r="C1029" i="9"/>
  <c r="E1028" i="9"/>
  <c r="O1028" i="9"/>
  <c r="I840" i="9"/>
  <c r="A841" i="9"/>
  <c r="H840" i="9"/>
  <c r="Q839" i="9"/>
  <c r="P839" i="9"/>
  <c r="G840" i="9"/>
  <c r="J839" i="9"/>
  <c r="N839" i="9"/>
  <c r="M839" i="9"/>
  <c r="K839" i="9"/>
  <c r="L839" i="9"/>
  <c r="E1029" i="9" l="1"/>
  <c r="D1029" i="9"/>
  <c r="C1030" i="9"/>
  <c r="O1029" i="9"/>
  <c r="I841" i="9"/>
  <c r="A842" i="9"/>
  <c r="H841" i="9"/>
  <c r="Q840" i="9"/>
  <c r="P840" i="9"/>
  <c r="G841" i="9"/>
  <c r="J840" i="9"/>
  <c r="N840" i="9"/>
  <c r="M840" i="9"/>
  <c r="K840" i="9"/>
  <c r="L840" i="9"/>
  <c r="C1031" i="9" l="1"/>
  <c r="E1030" i="9"/>
  <c r="O1030" i="9"/>
  <c r="D1030" i="9"/>
  <c r="J841" i="9"/>
  <c r="N841" i="9"/>
  <c r="M841" i="9"/>
  <c r="K841" i="9"/>
  <c r="L841" i="9"/>
  <c r="Q841" i="9"/>
  <c r="P841" i="9"/>
  <c r="G842" i="9"/>
  <c r="I842" i="9"/>
  <c r="A843" i="9"/>
  <c r="H842" i="9"/>
  <c r="E1031" i="9" l="1"/>
  <c r="O1031" i="9"/>
  <c r="C1032" i="9"/>
  <c r="D1031" i="9"/>
  <c r="J842" i="9"/>
  <c r="N842" i="9"/>
  <c r="M842" i="9"/>
  <c r="K842" i="9"/>
  <c r="L842" i="9"/>
  <c r="I843" i="9"/>
  <c r="A844" i="9"/>
  <c r="H843" i="9"/>
  <c r="Q842" i="9"/>
  <c r="P842" i="9"/>
  <c r="G843" i="9"/>
  <c r="C1033" i="9" l="1"/>
  <c r="O1032" i="9"/>
  <c r="D1032" i="9"/>
  <c r="E1032" i="9"/>
  <c r="J843" i="9"/>
  <c r="N843" i="9"/>
  <c r="M843" i="9"/>
  <c r="K843" i="9"/>
  <c r="L843" i="9"/>
  <c r="Q843" i="9"/>
  <c r="P843" i="9"/>
  <c r="G844" i="9"/>
  <c r="I844" i="9"/>
  <c r="A845" i="9"/>
  <c r="H844" i="9"/>
  <c r="O1033" i="9" l="1"/>
  <c r="D1033" i="9"/>
  <c r="C1034" i="9"/>
  <c r="E1033" i="9"/>
  <c r="J844" i="9"/>
  <c r="N844" i="9"/>
  <c r="M844" i="9"/>
  <c r="K844" i="9"/>
  <c r="L844" i="9"/>
  <c r="I845" i="9"/>
  <c r="A846" i="9"/>
  <c r="H845" i="9"/>
  <c r="Q844" i="9"/>
  <c r="P844" i="9"/>
  <c r="G845" i="9"/>
  <c r="D1034" i="9" l="1"/>
  <c r="E1034" i="9"/>
  <c r="O1034" i="9"/>
  <c r="C1035" i="9"/>
  <c r="J845" i="9"/>
  <c r="N845" i="9"/>
  <c r="M845" i="9"/>
  <c r="K845" i="9"/>
  <c r="L845" i="9"/>
  <c r="I846" i="9"/>
  <c r="A847" i="9"/>
  <c r="H846" i="9"/>
  <c r="Q845" i="9"/>
  <c r="P845" i="9"/>
  <c r="G846" i="9"/>
  <c r="E1035" i="9" l="1"/>
  <c r="O1035" i="9"/>
  <c r="D1035" i="9"/>
  <c r="C1036" i="9"/>
  <c r="Q846" i="9"/>
  <c r="P846" i="9"/>
  <c r="G847" i="9"/>
  <c r="J846" i="9"/>
  <c r="N846" i="9"/>
  <c r="M846" i="9"/>
  <c r="K846" i="9"/>
  <c r="L846" i="9"/>
  <c r="I847" i="9"/>
  <c r="A848" i="9"/>
  <c r="H847" i="9"/>
  <c r="C1037" i="9" l="1"/>
  <c r="D1036" i="9"/>
  <c r="E1036" i="9"/>
  <c r="O1036" i="9"/>
  <c r="I848" i="9"/>
  <c r="A849" i="9"/>
  <c r="H848" i="9"/>
  <c r="Q847" i="9"/>
  <c r="P847" i="9"/>
  <c r="G848" i="9"/>
  <c r="J847" i="9"/>
  <c r="N847" i="9"/>
  <c r="M847" i="9"/>
  <c r="K847" i="9"/>
  <c r="L847" i="9"/>
  <c r="E1037" i="9" l="1"/>
  <c r="O1037" i="9"/>
  <c r="D1037" i="9"/>
  <c r="C1038" i="9"/>
  <c r="Q848" i="9"/>
  <c r="P848" i="9"/>
  <c r="G849" i="9"/>
  <c r="J848" i="9"/>
  <c r="N848" i="9"/>
  <c r="M848" i="9"/>
  <c r="K848" i="9"/>
  <c r="L848" i="9"/>
  <c r="I849" i="9"/>
  <c r="A850" i="9"/>
  <c r="H849" i="9"/>
  <c r="E1038" i="9" l="1"/>
  <c r="O1038" i="9"/>
  <c r="D1038" i="9"/>
  <c r="C1039" i="9"/>
  <c r="I850" i="9"/>
  <c r="A851" i="9"/>
  <c r="H850" i="9"/>
  <c r="Q849" i="9"/>
  <c r="P849" i="9"/>
  <c r="G850" i="9"/>
  <c r="J849" i="9"/>
  <c r="N849" i="9"/>
  <c r="M849" i="9"/>
  <c r="K849" i="9"/>
  <c r="L849" i="9"/>
  <c r="C1040" i="9" l="1"/>
  <c r="E1039" i="9"/>
  <c r="O1039" i="9"/>
  <c r="D1039" i="9"/>
  <c r="Q850" i="9"/>
  <c r="P850" i="9"/>
  <c r="G851" i="9"/>
  <c r="J850" i="9"/>
  <c r="N850" i="9"/>
  <c r="M850" i="9"/>
  <c r="K850" i="9"/>
  <c r="L850" i="9"/>
  <c r="I851" i="9"/>
  <c r="A852" i="9"/>
  <c r="H851" i="9"/>
  <c r="E1040" i="9" l="1"/>
  <c r="O1040" i="9"/>
  <c r="C1041" i="9"/>
  <c r="D1040" i="9"/>
  <c r="I852" i="9"/>
  <c r="A853" i="9"/>
  <c r="H852" i="9"/>
  <c r="Q851" i="9"/>
  <c r="P851" i="9"/>
  <c r="G852" i="9"/>
  <c r="J851" i="9"/>
  <c r="N851" i="9"/>
  <c r="M851" i="9"/>
  <c r="K851" i="9"/>
  <c r="L851" i="9"/>
  <c r="C1042" i="9" l="1"/>
  <c r="E1041" i="9"/>
  <c r="O1041" i="9"/>
  <c r="D1041" i="9"/>
  <c r="Q852" i="9"/>
  <c r="P852" i="9"/>
  <c r="G853" i="9"/>
  <c r="J852" i="9"/>
  <c r="N852" i="9"/>
  <c r="M852" i="9"/>
  <c r="K852" i="9"/>
  <c r="L852" i="9"/>
  <c r="I853" i="9"/>
  <c r="A854" i="9"/>
  <c r="H853" i="9"/>
  <c r="C1043" i="9" l="1"/>
  <c r="E1042" i="9"/>
  <c r="O1042" i="9"/>
  <c r="D1042" i="9"/>
  <c r="I854" i="9"/>
  <c r="A855" i="9"/>
  <c r="H854" i="9"/>
  <c r="Q853" i="9"/>
  <c r="P853" i="9"/>
  <c r="G854" i="9"/>
  <c r="J853" i="9"/>
  <c r="N853" i="9"/>
  <c r="M853" i="9"/>
  <c r="K853" i="9"/>
  <c r="L853" i="9"/>
  <c r="C1044" i="9" l="1"/>
  <c r="E1043" i="9"/>
  <c r="D1043" i="9"/>
  <c r="O1043" i="9"/>
  <c r="Q854" i="9"/>
  <c r="P854" i="9"/>
  <c r="G855" i="9"/>
  <c r="J854" i="9"/>
  <c r="N854" i="9"/>
  <c r="M854" i="9"/>
  <c r="K854" i="9"/>
  <c r="L854" i="9"/>
  <c r="I855" i="9"/>
  <c r="A856" i="9"/>
  <c r="H855" i="9"/>
  <c r="C1045" i="9" l="1"/>
  <c r="E1044" i="9"/>
  <c r="O1044" i="9"/>
  <c r="D1044" i="9"/>
  <c r="I856" i="9"/>
  <c r="A857" i="9"/>
  <c r="H856" i="9"/>
  <c r="Q855" i="9"/>
  <c r="P855" i="9"/>
  <c r="G856" i="9"/>
  <c r="J855" i="9"/>
  <c r="N855" i="9"/>
  <c r="M855" i="9"/>
  <c r="K855" i="9"/>
  <c r="L855" i="9"/>
  <c r="D1045" i="9" l="1"/>
  <c r="C1046" i="9"/>
  <c r="E1045" i="9"/>
  <c r="O1045" i="9"/>
  <c r="Q856" i="9"/>
  <c r="P856" i="9"/>
  <c r="G857" i="9"/>
  <c r="J856" i="9"/>
  <c r="N856" i="9"/>
  <c r="M856" i="9"/>
  <c r="K856" i="9"/>
  <c r="L856" i="9"/>
  <c r="I857" i="9"/>
  <c r="A858" i="9"/>
  <c r="H857" i="9"/>
  <c r="O1046" i="9" l="1"/>
  <c r="C1047" i="9"/>
  <c r="D1046" i="9"/>
  <c r="E1046" i="9"/>
  <c r="I858" i="9"/>
  <c r="A859" i="9"/>
  <c r="H858" i="9"/>
  <c r="Q857" i="9"/>
  <c r="P857" i="9"/>
  <c r="G858" i="9"/>
  <c r="J857" i="9"/>
  <c r="N857" i="9"/>
  <c r="M857" i="9"/>
  <c r="K857" i="9"/>
  <c r="L857" i="9"/>
  <c r="D1047" i="9" l="1"/>
  <c r="C1048" i="9"/>
  <c r="O1047" i="9"/>
  <c r="E1047" i="9"/>
  <c r="Q858" i="9"/>
  <c r="P858" i="9"/>
  <c r="G859" i="9"/>
  <c r="J858" i="9"/>
  <c r="N858" i="9"/>
  <c r="M858" i="9"/>
  <c r="K858" i="9"/>
  <c r="L858" i="9"/>
  <c r="I859" i="9"/>
  <c r="A860" i="9"/>
  <c r="H859" i="9"/>
  <c r="E1048" i="9" l="1"/>
  <c r="C1049" i="9"/>
  <c r="O1048" i="9"/>
  <c r="D1048" i="9"/>
  <c r="I860" i="9"/>
  <c r="A861" i="9"/>
  <c r="H860" i="9"/>
  <c r="Q859" i="9"/>
  <c r="P859" i="9"/>
  <c r="G860" i="9"/>
  <c r="J859" i="9"/>
  <c r="N859" i="9"/>
  <c r="M859" i="9"/>
  <c r="K859" i="9"/>
  <c r="L859" i="9"/>
  <c r="D1049" i="9" l="1"/>
  <c r="C1050" i="9"/>
  <c r="E1049" i="9"/>
  <c r="O1049" i="9"/>
  <c r="Q860" i="9"/>
  <c r="P860" i="9"/>
  <c r="G861" i="9"/>
  <c r="J860" i="9"/>
  <c r="N860" i="9"/>
  <c r="M860" i="9"/>
  <c r="K860" i="9"/>
  <c r="L860" i="9"/>
  <c r="I861" i="9"/>
  <c r="A862" i="9"/>
  <c r="H861" i="9"/>
  <c r="O1050" i="9" l="1"/>
  <c r="D1050" i="9"/>
  <c r="C1051" i="9"/>
  <c r="E1050" i="9"/>
  <c r="I862" i="9"/>
  <c r="A863" i="9"/>
  <c r="H862" i="9"/>
  <c r="Q861" i="9"/>
  <c r="P861" i="9"/>
  <c r="G862" i="9"/>
  <c r="J861" i="9"/>
  <c r="N861" i="9"/>
  <c r="M861" i="9"/>
  <c r="K861" i="9"/>
  <c r="L861" i="9"/>
  <c r="C1052" i="9" l="1"/>
  <c r="O1051" i="9"/>
  <c r="D1051" i="9"/>
  <c r="E1051" i="9"/>
  <c r="Q862" i="9"/>
  <c r="P862" i="9"/>
  <c r="G863" i="9"/>
  <c r="J862" i="9"/>
  <c r="N862" i="9"/>
  <c r="M862" i="9"/>
  <c r="K862" i="9"/>
  <c r="L862" i="9"/>
  <c r="I863" i="9"/>
  <c r="A864" i="9"/>
  <c r="H863" i="9"/>
  <c r="E1052" i="9" l="1"/>
  <c r="O1052" i="9"/>
  <c r="D1052" i="9"/>
  <c r="C1053" i="9"/>
  <c r="I864" i="9"/>
  <c r="A865" i="9"/>
  <c r="H864" i="9"/>
  <c r="Q863" i="9"/>
  <c r="P863" i="9"/>
  <c r="G864" i="9"/>
  <c r="J863" i="9"/>
  <c r="N863" i="9"/>
  <c r="M863" i="9"/>
  <c r="K863" i="9"/>
  <c r="L863" i="9"/>
  <c r="D1053" i="9" l="1"/>
  <c r="C1054" i="9"/>
  <c r="E1053" i="9"/>
  <c r="O1053" i="9"/>
  <c r="Q864" i="9"/>
  <c r="P864" i="9"/>
  <c r="G865" i="9"/>
  <c r="J864" i="9"/>
  <c r="N864" i="9"/>
  <c r="M864" i="9"/>
  <c r="K864" i="9"/>
  <c r="L864" i="9"/>
  <c r="I865" i="9"/>
  <c r="A866" i="9"/>
  <c r="H865" i="9"/>
  <c r="O1054" i="9" l="1"/>
  <c r="D1054" i="9"/>
  <c r="C1055" i="9"/>
  <c r="E1054" i="9"/>
  <c r="I866" i="9"/>
  <c r="A867" i="9"/>
  <c r="H866" i="9"/>
  <c r="Q865" i="9"/>
  <c r="P865" i="9"/>
  <c r="G866" i="9"/>
  <c r="J865" i="9"/>
  <c r="N865" i="9"/>
  <c r="M865" i="9"/>
  <c r="K865" i="9"/>
  <c r="L865" i="9"/>
  <c r="D1055" i="9" l="1"/>
  <c r="E1055" i="9"/>
  <c r="O1055" i="9"/>
  <c r="C1056" i="9"/>
  <c r="Q866" i="9"/>
  <c r="P866" i="9"/>
  <c r="G867" i="9"/>
  <c r="J866" i="9"/>
  <c r="N866" i="9"/>
  <c r="M866" i="9"/>
  <c r="K866" i="9"/>
  <c r="L866" i="9"/>
  <c r="I867" i="9"/>
  <c r="A868" i="9"/>
  <c r="H867" i="9"/>
  <c r="C1057" i="9" l="1"/>
  <c r="E1056" i="9"/>
  <c r="O1056" i="9"/>
  <c r="D1056" i="9"/>
  <c r="I868" i="9"/>
  <c r="A869" i="9"/>
  <c r="H868" i="9"/>
  <c r="Q867" i="9"/>
  <c r="P867" i="9"/>
  <c r="G868" i="9"/>
  <c r="J867" i="9"/>
  <c r="N867" i="9"/>
  <c r="M867" i="9"/>
  <c r="K867" i="9"/>
  <c r="L867" i="9"/>
  <c r="D1057" i="9" l="1"/>
  <c r="C1058" i="9"/>
  <c r="E1057" i="9"/>
  <c r="O1057" i="9"/>
  <c r="Q868" i="9"/>
  <c r="P868" i="9"/>
  <c r="G869" i="9"/>
  <c r="J868" i="9"/>
  <c r="N868" i="9"/>
  <c r="M868" i="9"/>
  <c r="K868" i="9"/>
  <c r="L868" i="9"/>
  <c r="I869" i="9"/>
  <c r="A870" i="9"/>
  <c r="H869" i="9"/>
  <c r="O1058" i="9" l="1"/>
  <c r="D1058" i="9"/>
  <c r="C1059" i="9"/>
  <c r="E1058" i="9"/>
  <c r="I870" i="9"/>
  <c r="A871" i="9"/>
  <c r="H870" i="9"/>
  <c r="Q869" i="9"/>
  <c r="P869" i="9"/>
  <c r="G870" i="9"/>
  <c r="J869" i="9"/>
  <c r="N869" i="9"/>
  <c r="M869" i="9"/>
  <c r="K869" i="9"/>
  <c r="L869" i="9"/>
  <c r="O1059" i="9" l="1"/>
  <c r="E1059" i="9"/>
  <c r="D1059" i="9"/>
  <c r="C1060" i="9"/>
  <c r="Q870" i="9"/>
  <c r="P870" i="9"/>
  <c r="G871" i="9"/>
  <c r="I871" i="9"/>
  <c r="A872" i="9"/>
  <c r="H871" i="9"/>
  <c r="J870" i="9"/>
  <c r="N870" i="9"/>
  <c r="M870" i="9"/>
  <c r="K870" i="9"/>
  <c r="L870" i="9"/>
  <c r="C1061" i="9" l="1"/>
  <c r="E1060" i="9"/>
  <c r="D1060" i="9"/>
  <c r="O1060" i="9"/>
  <c r="I872" i="9"/>
  <c r="A873" i="9"/>
  <c r="H872" i="9"/>
  <c r="Q871" i="9"/>
  <c r="P871" i="9"/>
  <c r="G872" i="9"/>
  <c r="J871" i="9"/>
  <c r="N871" i="9"/>
  <c r="M871" i="9"/>
  <c r="K871" i="9"/>
  <c r="L871" i="9"/>
  <c r="E1061" i="9" l="1"/>
  <c r="O1061" i="9"/>
  <c r="C1062" i="9"/>
  <c r="D1061" i="9"/>
  <c r="J872" i="9"/>
  <c r="N872" i="9"/>
  <c r="M872" i="9"/>
  <c r="K872" i="9"/>
  <c r="L872" i="9"/>
  <c r="Q872" i="9"/>
  <c r="P872" i="9"/>
  <c r="G873" i="9"/>
  <c r="I873" i="9"/>
  <c r="A874" i="9"/>
  <c r="H873" i="9"/>
  <c r="E1062" i="9" l="1"/>
  <c r="O1062" i="9"/>
  <c r="C1063" i="9"/>
  <c r="D1062" i="9"/>
  <c r="J873" i="9"/>
  <c r="N873" i="9"/>
  <c r="M873" i="9"/>
  <c r="K873" i="9"/>
  <c r="L873" i="9"/>
  <c r="I874" i="9"/>
  <c r="A875" i="9"/>
  <c r="H874" i="9"/>
  <c r="Q873" i="9"/>
  <c r="P873" i="9"/>
  <c r="G874" i="9"/>
  <c r="C1064" i="9" l="1"/>
  <c r="E1063" i="9"/>
  <c r="O1063" i="9"/>
  <c r="D1063" i="9"/>
  <c r="J874" i="9"/>
  <c r="N874" i="9"/>
  <c r="M874" i="9"/>
  <c r="K874" i="9"/>
  <c r="L874" i="9"/>
  <c r="Q874" i="9"/>
  <c r="P874" i="9"/>
  <c r="G875" i="9"/>
  <c r="I875" i="9"/>
  <c r="A876" i="9"/>
  <c r="H875" i="9"/>
  <c r="D1064" i="9" l="1"/>
  <c r="C1065" i="9"/>
  <c r="O1064" i="9"/>
  <c r="E1064" i="9"/>
  <c r="J875" i="9"/>
  <c r="N875" i="9"/>
  <c r="M875" i="9"/>
  <c r="K875" i="9"/>
  <c r="L875" i="9"/>
  <c r="I876" i="9"/>
  <c r="A877" i="9"/>
  <c r="H876" i="9"/>
  <c r="Q875" i="9"/>
  <c r="P875" i="9"/>
  <c r="G876" i="9"/>
  <c r="O1065" i="9" l="1"/>
  <c r="D1065" i="9"/>
  <c r="E1065" i="9"/>
  <c r="C1066" i="9"/>
  <c r="J876" i="9"/>
  <c r="N876" i="9"/>
  <c r="M876" i="9"/>
  <c r="K876" i="9"/>
  <c r="L876" i="9"/>
  <c r="Q876" i="9"/>
  <c r="P876" i="9"/>
  <c r="G877" i="9"/>
  <c r="I877" i="9"/>
  <c r="A878" i="9"/>
  <c r="H877" i="9"/>
  <c r="O1066" i="9" l="1"/>
  <c r="D1066" i="9"/>
  <c r="E1066" i="9"/>
  <c r="C1067" i="9"/>
  <c r="J877" i="9"/>
  <c r="N877" i="9"/>
  <c r="M877" i="9"/>
  <c r="K877" i="9"/>
  <c r="L877" i="9"/>
  <c r="I878" i="9"/>
  <c r="A879" i="9"/>
  <c r="H878" i="9"/>
  <c r="Q877" i="9"/>
  <c r="P877" i="9"/>
  <c r="G878" i="9"/>
  <c r="C1068" i="9" l="1"/>
  <c r="E1067" i="9"/>
  <c r="O1067" i="9"/>
  <c r="D1067" i="9"/>
  <c r="J878" i="9"/>
  <c r="N878" i="9"/>
  <c r="M878" i="9"/>
  <c r="K878" i="9"/>
  <c r="L878" i="9"/>
  <c r="Q878" i="9"/>
  <c r="P878" i="9"/>
  <c r="G879" i="9"/>
  <c r="I879" i="9"/>
  <c r="A880" i="9"/>
  <c r="H879" i="9"/>
  <c r="E1068" i="9" l="1"/>
  <c r="O1068" i="9"/>
  <c r="C1069" i="9"/>
  <c r="D1068" i="9"/>
  <c r="J879" i="9"/>
  <c r="N879" i="9"/>
  <c r="M879" i="9"/>
  <c r="K879" i="9"/>
  <c r="L879" i="9"/>
  <c r="I880" i="9"/>
  <c r="A881" i="9"/>
  <c r="H880" i="9"/>
  <c r="Q879" i="9"/>
  <c r="P879" i="9"/>
  <c r="G880" i="9"/>
  <c r="D1069" i="9" l="1"/>
  <c r="C1070" i="9"/>
  <c r="E1069" i="9"/>
  <c r="O1069" i="9"/>
  <c r="J880" i="9"/>
  <c r="N880" i="9"/>
  <c r="M880" i="9"/>
  <c r="K880" i="9"/>
  <c r="L880" i="9"/>
  <c r="I881" i="9"/>
  <c r="A882" i="9"/>
  <c r="H881" i="9"/>
  <c r="Q880" i="9"/>
  <c r="P880" i="9"/>
  <c r="G881" i="9"/>
  <c r="O1070" i="9" l="1"/>
  <c r="D1070" i="9"/>
  <c r="E1070" i="9"/>
  <c r="C1071" i="9"/>
  <c r="Q881" i="9"/>
  <c r="P881" i="9"/>
  <c r="G882" i="9"/>
  <c r="J881" i="9"/>
  <c r="N881" i="9"/>
  <c r="M881" i="9"/>
  <c r="K881" i="9"/>
  <c r="L881" i="9"/>
  <c r="I882" i="9"/>
  <c r="A883" i="9"/>
  <c r="H882" i="9"/>
  <c r="E1071" i="9" l="1"/>
  <c r="O1071" i="9"/>
  <c r="D1071" i="9"/>
  <c r="C1072" i="9"/>
  <c r="I883" i="9"/>
  <c r="A884" i="9"/>
  <c r="H883" i="9"/>
  <c r="Q882" i="9"/>
  <c r="P882" i="9"/>
  <c r="G883" i="9"/>
  <c r="J882" i="9"/>
  <c r="N882" i="9"/>
  <c r="M882" i="9"/>
  <c r="K882" i="9"/>
  <c r="L882" i="9"/>
  <c r="C1073" i="9" l="1"/>
  <c r="E1072" i="9"/>
  <c r="O1072" i="9"/>
  <c r="D1072" i="9"/>
  <c r="Q883" i="9"/>
  <c r="P883" i="9"/>
  <c r="G884" i="9"/>
  <c r="J883" i="9"/>
  <c r="N883" i="9"/>
  <c r="M883" i="9"/>
  <c r="K883" i="9"/>
  <c r="L883" i="9"/>
  <c r="I884" i="9"/>
  <c r="A885" i="9"/>
  <c r="H884" i="9"/>
  <c r="O1073" i="9" l="1"/>
  <c r="D1073" i="9"/>
  <c r="C1074" i="9"/>
  <c r="E1073" i="9"/>
  <c r="J884" i="9"/>
  <c r="N884" i="9"/>
  <c r="M884" i="9"/>
  <c r="K884" i="9"/>
  <c r="L884" i="9"/>
  <c r="I885" i="9"/>
  <c r="A886" i="9"/>
  <c r="H885" i="9"/>
  <c r="Q884" i="9"/>
  <c r="P884" i="9"/>
  <c r="G885" i="9"/>
  <c r="D1074" i="9" l="1"/>
  <c r="O1074" i="9"/>
  <c r="C1075" i="9"/>
  <c r="E1074" i="9"/>
  <c r="J885" i="9"/>
  <c r="N885" i="9"/>
  <c r="M885" i="9"/>
  <c r="K885" i="9"/>
  <c r="L885" i="9"/>
  <c r="Q885" i="9"/>
  <c r="P885" i="9"/>
  <c r="G886" i="9"/>
  <c r="I886" i="9"/>
  <c r="A887" i="9"/>
  <c r="H886" i="9"/>
  <c r="E1075" i="9" l="1"/>
  <c r="C1076" i="9"/>
  <c r="O1075" i="9"/>
  <c r="D1075" i="9"/>
  <c r="J886" i="9"/>
  <c r="N886" i="9"/>
  <c r="M886" i="9"/>
  <c r="K886" i="9"/>
  <c r="L886" i="9"/>
  <c r="I887" i="9"/>
  <c r="A888" i="9"/>
  <c r="H887" i="9"/>
  <c r="Q886" i="9"/>
  <c r="P886" i="9"/>
  <c r="G887" i="9"/>
  <c r="C1077" i="9" l="1"/>
  <c r="E1076" i="9"/>
  <c r="D1076" i="9"/>
  <c r="O1076" i="9"/>
  <c r="Q887" i="9"/>
  <c r="P887" i="9"/>
  <c r="G888" i="9"/>
  <c r="J887" i="9"/>
  <c r="N887" i="9"/>
  <c r="M887" i="9"/>
  <c r="K887" i="9"/>
  <c r="L887" i="9"/>
  <c r="I888" i="9"/>
  <c r="A889" i="9"/>
  <c r="H888" i="9"/>
  <c r="E1077" i="9" l="1"/>
  <c r="O1077" i="9"/>
  <c r="D1077" i="9"/>
  <c r="C1078" i="9"/>
  <c r="I889" i="9"/>
  <c r="A890" i="9"/>
  <c r="H889" i="9"/>
  <c r="Q888" i="9"/>
  <c r="P888" i="9"/>
  <c r="G889" i="9"/>
  <c r="J888" i="9"/>
  <c r="N888" i="9"/>
  <c r="M888" i="9"/>
  <c r="K888" i="9"/>
  <c r="L888" i="9"/>
  <c r="E1078" i="9" l="1"/>
  <c r="D1078" i="9"/>
  <c r="C1079" i="9"/>
  <c r="O1078" i="9"/>
  <c r="Q889" i="9"/>
  <c r="P889" i="9"/>
  <c r="G890" i="9"/>
  <c r="J889" i="9"/>
  <c r="N889" i="9"/>
  <c r="M889" i="9"/>
  <c r="K889" i="9"/>
  <c r="L889" i="9"/>
  <c r="I890" i="9"/>
  <c r="A891" i="9"/>
  <c r="H890" i="9"/>
  <c r="D1079" i="9" l="1"/>
  <c r="C1080" i="9"/>
  <c r="E1079" i="9"/>
  <c r="O1079" i="9"/>
  <c r="J890" i="9"/>
  <c r="N890" i="9"/>
  <c r="M890" i="9"/>
  <c r="K890" i="9"/>
  <c r="L890" i="9"/>
  <c r="I891" i="9"/>
  <c r="A892" i="9"/>
  <c r="H891" i="9"/>
  <c r="Q890" i="9"/>
  <c r="P890" i="9"/>
  <c r="G891" i="9"/>
  <c r="D1080" i="9" l="1"/>
  <c r="C1081" i="9"/>
  <c r="O1080" i="9"/>
  <c r="E1080" i="9"/>
  <c r="J891" i="9"/>
  <c r="N891" i="9"/>
  <c r="M891" i="9"/>
  <c r="K891" i="9"/>
  <c r="L891" i="9"/>
  <c r="Q891" i="9"/>
  <c r="P891" i="9"/>
  <c r="G892" i="9"/>
  <c r="I892" i="9"/>
  <c r="A893" i="9"/>
  <c r="H892" i="9"/>
  <c r="C1082" i="9" l="1"/>
  <c r="E1081" i="9"/>
  <c r="D1081" i="9"/>
  <c r="O1081" i="9"/>
  <c r="J892" i="9"/>
  <c r="N892" i="9"/>
  <c r="M892" i="9"/>
  <c r="K892" i="9"/>
  <c r="L892" i="9"/>
  <c r="I893" i="9"/>
  <c r="A894" i="9"/>
  <c r="H893" i="9"/>
  <c r="Q892" i="9"/>
  <c r="P892" i="9"/>
  <c r="G893" i="9"/>
  <c r="D1082" i="9" l="1"/>
  <c r="C1083" i="9"/>
  <c r="O1082" i="9"/>
  <c r="E1082" i="9"/>
  <c r="Q893" i="9"/>
  <c r="P893" i="9"/>
  <c r="G894" i="9"/>
  <c r="J893" i="9"/>
  <c r="N893" i="9"/>
  <c r="M893" i="9"/>
  <c r="K893" i="9"/>
  <c r="L893" i="9"/>
  <c r="I894" i="9"/>
  <c r="A895" i="9"/>
  <c r="H894" i="9"/>
  <c r="C1084" i="9" l="1"/>
  <c r="E1083" i="9"/>
  <c r="O1083" i="9"/>
  <c r="D1083" i="9"/>
  <c r="I895" i="9"/>
  <c r="A896" i="9"/>
  <c r="H895" i="9"/>
  <c r="Q894" i="9"/>
  <c r="P894" i="9"/>
  <c r="G895" i="9"/>
  <c r="J894" i="9"/>
  <c r="N894" i="9"/>
  <c r="M894" i="9"/>
  <c r="K894" i="9"/>
  <c r="L894" i="9"/>
  <c r="C1085" i="9" l="1"/>
  <c r="E1084" i="9"/>
  <c r="O1084" i="9"/>
  <c r="D1084" i="9"/>
  <c r="Q895" i="9"/>
  <c r="P895" i="9"/>
  <c r="G896" i="9"/>
  <c r="J895" i="9"/>
  <c r="N895" i="9"/>
  <c r="M895" i="9"/>
  <c r="K895" i="9"/>
  <c r="L895" i="9"/>
  <c r="I896" i="9"/>
  <c r="A897" i="9"/>
  <c r="H896" i="9"/>
  <c r="C1086" i="9" l="1"/>
  <c r="E1085" i="9"/>
  <c r="D1085" i="9"/>
  <c r="O1085" i="9"/>
  <c r="J896" i="9"/>
  <c r="N896" i="9"/>
  <c r="M896" i="9"/>
  <c r="K896" i="9"/>
  <c r="L896" i="9"/>
  <c r="I897" i="9"/>
  <c r="A898" i="9"/>
  <c r="H897" i="9"/>
  <c r="Q896" i="9"/>
  <c r="P896" i="9"/>
  <c r="G897" i="9"/>
  <c r="D1086" i="9" l="1"/>
  <c r="C1087" i="9"/>
  <c r="E1086" i="9"/>
  <c r="O1086" i="9"/>
  <c r="J897" i="9"/>
  <c r="N897" i="9"/>
  <c r="M897" i="9"/>
  <c r="K897" i="9"/>
  <c r="L897" i="9"/>
  <c r="Q897" i="9"/>
  <c r="P897" i="9"/>
  <c r="G898" i="9"/>
  <c r="I898" i="9"/>
  <c r="A899" i="9"/>
  <c r="H898" i="9"/>
  <c r="C1088" i="9" l="1"/>
  <c r="E1087" i="9"/>
  <c r="D1087" i="9"/>
  <c r="O1087" i="9"/>
  <c r="J898" i="9"/>
  <c r="N898" i="9"/>
  <c r="M898" i="9"/>
  <c r="K898" i="9"/>
  <c r="L898" i="9"/>
  <c r="I899" i="9"/>
  <c r="A900" i="9"/>
  <c r="H899" i="9"/>
  <c r="Q898" i="9"/>
  <c r="P898" i="9"/>
  <c r="G899" i="9"/>
  <c r="C1089" i="9" l="1"/>
  <c r="D1088" i="9"/>
  <c r="E1088" i="9"/>
  <c r="O1088" i="9"/>
  <c r="Q899" i="9"/>
  <c r="P899" i="9"/>
  <c r="G900" i="9"/>
  <c r="J899" i="9"/>
  <c r="N899" i="9"/>
  <c r="M899" i="9"/>
  <c r="K899" i="9"/>
  <c r="L899" i="9"/>
  <c r="I900" i="9"/>
  <c r="A901" i="9"/>
  <c r="H900" i="9"/>
  <c r="E1089" i="9" l="1"/>
  <c r="O1089" i="9"/>
  <c r="D1089" i="9"/>
  <c r="C1090" i="9"/>
  <c r="I901" i="9"/>
  <c r="A902" i="9"/>
  <c r="H901" i="9"/>
  <c r="Q900" i="9"/>
  <c r="P900" i="9"/>
  <c r="G901" i="9"/>
  <c r="J900" i="9"/>
  <c r="N900" i="9"/>
  <c r="M900" i="9"/>
  <c r="K900" i="9"/>
  <c r="L900" i="9"/>
  <c r="D1090" i="9" l="1"/>
  <c r="C1091" i="9"/>
  <c r="O1090" i="9"/>
  <c r="E1090" i="9"/>
  <c r="Q901" i="9"/>
  <c r="P901" i="9"/>
  <c r="G902" i="9"/>
  <c r="J901" i="9"/>
  <c r="N901" i="9"/>
  <c r="M901" i="9"/>
  <c r="K901" i="9"/>
  <c r="L901" i="9"/>
  <c r="I902" i="9"/>
  <c r="A903" i="9"/>
  <c r="H902" i="9"/>
  <c r="D1091" i="9" l="1"/>
  <c r="C1092" i="9"/>
  <c r="O1091" i="9"/>
  <c r="E1091" i="9"/>
  <c r="J902" i="9"/>
  <c r="N902" i="9"/>
  <c r="M902" i="9"/>
  <c r="K902" i="9"/>
  <c r="L902" i="9"/>
  <c r="I903" i="9"/>
  <c r="A904" i="9"/>
  <c r="H903" i="9"/>
  <c r="Q902" i="9"/>
  <c r="P902" i="9"/>
  <c r="G903" i="9"/>
  <c r="E1092" i="9" l="1"/>
  <c r="O1092" i="9"/>
  <c r="D1092" i="9"/>
  <c r="C1093" i="9"/>
  <c r="J903" i="9"/>
  <c r="N903" i="9"/>
  <c r="M903" i="9"/>
  <c r="K903" i="9"/>
  <c r="L903" i="9"/>
  <c r="Q903" i="9"/>
  <c r="P903" i="9"/>
  <c r="G904" i="9"/>
  <c r="I904" i="9"/>
  <c r="A905" i="9"/>
  <c r="H904" i="9"/>
  <c r="D1093" i="9" l="1"/>
  <c r="C1094" i="9"/>
  <c r="O1093" i="9"/>
  <c r="E1093" i="9"/>
  <c r="J904" i="9"/>
  <c r="N904" i="9"/>
  <c r="M904" i="9"/>
  <c r="K904" i="9"/>
  <c r="L904" i="9"/>
  <c r="I905" i="9"/>
  <c r="A906" i="9"/>
  <c r="H905" i="9"/>
  <c r="Q904" i="9"/>
  <c r="P904" i="9"/>
  <c r="G905" i="9"/>
  <c r="C1095" i="9" l="1"/>
  <c r="E1094" i="9"/>
  <c r="D1094" i="9"/>
  <c r="O1094" i="9"/>
  <c r="Q905" i="9"/>
  <c r="P905" i="9"/>
  <c r="G906" i="9"/>
  <c r="J905" i="9"/>
  <c r="N905" i="9"/>
  <c r="M905" i="9"/>
  <c r="K905" i="9"/>
  <c r="L905" i="9"/>
  <c r="I906" i="9"/>
  <c r="A907" i="9"/>
  <c r="H906" i="9"/>
  <c r="O1095" i="9" l="1"/>
  <c r="D1095" i="9"/>
  <c r="E1095" i="9"/>
  <c r="C1096" i="9"/>
  <c r="I907" i="9"/>
  <c r="A908" i="9"/>
  <c r="H907" i="9"/>
  <c r="Q906" i="9"/>
  <c r="P906" i="9"/>
  <c r="G907" i="9"/>
  <c r="J906" i="9"/>
  <c r="N906" i="9"/>
  <c r="M906" i="9"/>
  <c r="K906" i="9"/>
  <c r="L906" i="9"/>
  <c r="D1096" i="9" l="1"/>
  <c r="C1097" i="9"/>
  <c r="E1096" i="9"/>
  <c r="O1096" i="9"/>
  <c r="Q907" i="9"/>
  <c r="P907" i="9"/>
  <c r="G908" i="9"/>
  <c r="J907" i="9"/>
  <c r="N907" i="9"/>
  <c r="M907" i="9"/>
  <c r="K907" i="9"/>
  <c r="L907" i="9"/>
  <c r="I908" i="9"/>
  <c r="A909" i="9"/>
  <c r="H908" i="9"/>
  <c r="C1098" i="9" l="1"/>
  <c r="E1097" i="9"/>
  <c r="D1097" i="9"/>
  <c r="O1097" i="9"/>
  <c r="J908" i="9"/>
  <c r="N908" i="9"/>
  <c r="M908" i="9"/>
  <c r="K908" i="9"/>
  <c r="L908" i="9"/>
  <c r="I909" i="9"/>
  <c r="A910" i="9"/>
  <c r="H909" i="9"/>
  <c r="Q908" i="9"/>
  <c r="P908" i="9"/>
  <c r="G909" i="9"/>
  <c r="O1098" i="9" l="1"/>
  <c r="D1098" i="9"/>
  <c r="E1098" i="9"/>
  <c r="C1099" i="9"/>
  <c r="J909" i="9"/>
  <c r="N909" i="9"/>
  <c r="M909" i="9"/>
  <c r="K909" i="9"/>
  <c r="L909" i="9"/>
  <c r="Q909" i="9"/>
  <c r="P909" i="9"/>
  <c r="G910" i="9"/>
  <c r="I910" i="9"/>
  <c r="A911" i="9"/>
  <c r="H910" i="9"/>
  <c r="D1099" i="9" l="1"/>
  <c r="C1100" i="9"/>
  <c r="E1099" i="9"/>
  <c r="O1099" i="9"/>
  <c r="J910" i="9"/>
  <c r="N910" i="9"/>
  <c r="M910" i="9"/>
  <c r="K910" i="9"/>
  <c r="L910" i="9"/>
  <c r="I911" i="9"/>
  <c r="A912" i="9"/>
  <c r="H911" i="9"/>
  <c r="Q910" i="9"/>
  <c r="P910" i="9"/>
  <c r="G911" i="9"/>
  <c r="D1100" i="9" l="1"/>
  <c r="C1101" i="9"/>
  <c r="E1100" i="9"/>
  <c r="O1100" i="9"/>
  <c r="J911" i="9"/>
  <c r="N911" i="9"/>
  <c r="M911" i="9"/>
  <c r="K911" i="9"/>
  <c r="L911" i="9"/>
  <c r="Q911" i="9"/>
  <c r="P911" i="9"/>
  <c r="G912" i="9"/>
  <c r="I912" i="9"/>
  <c r="A913" i="9"/>
  <c r="H912" i="9"/>
  <c r="E1101" i="9" l="1"/>
  <c r="C1102" i="9"/>
  <c r="O1101" i="9"/>
  <c r="D1101" i="9"/>
  <c r="I913" i="9"/>
  <c r="A914" i="9"/>
  <c r="H913" i="9"/>
  <c r="Q912" i="9"/>
  <c r="P912" i="9"/>
  <c r="G913" i="9"/>
  <c r="J912" i="9"/>
  <c r="N912" i="9"/>
  <c r="M912" i="9"/>
  <c r="K912" i="9"/>
  <c r="L912" i="9"/>
  <c r="E1102" i="9" l="1"/>
  <c r="O1102" i="9"/>
  <c r="D1102" i="9"/>
  <c r="C1103" i="9"/>
  <c r="Q913" i="9"/>
  <c r="P913" i="9"/>
  <c r="G914" i="9"/>
  <c r="I914" i="9"/>
  <c r="A915" i="9"/>
  <c r="H914" i="9"/>
  <c r="J913" i="9"/>
  <c r="N913" i="9"/>
  <c r="M913" i="9"/>
  <c r="K913" i="9"/>
  <c r="L913" i="9"/>
  <c r="E1103" i="9" l="1"/>
  <c r="O1103" i="9"/>
  <c r="C1104" i="9"/>
  <c r="D1103" i="9"/>
  <c r="I915" i="9"/>
  <c r="A916" i="9"/>
  <c r="H915" i="9"/>
  <c r="Q914" i="9"/>
  <c r="P914" i="9"/>
  <c r="G915" i="9"/>
  <c r="J914" i="9"/>
  <c r="N914" i="9"/>
  <c r="M914" i="9"/>
  <c r="K914" i="9"/>
  <c r="L914" i="9"/>
  <c r="D1104" i="9" l="1"/>
  <c r="C1105" i="9"/>
  <c r="E1104" i="9"/>
  <c r="O1104" i="9"/>
  <c r="Q915" i="9"/>
  <c r="P915" i="9"/>
  <c r="G916" i="9"/>
  <c r="J915" i="9"/>
  <c r="N915" i="9"/>
  <c r="M915" i="9"/>
  <c r="K915" i="9"/>
  <c r="L915" i="9"/>
  <c r="I916" i="9"/>
  <c r="A917" i="9"/>
  <c r="H916" i="9"/>
  <c r="E1105" i="9" l="1"/>
  <c r="O1105" i="9"/>
  <c r="C1106" i="9"/>
  <c r="D1105" i="9"/>
  <c r="J916" i="9"/>
  <c r="N916" i="9"/>
  <c r="M916" i="9"/>
  <c r="K916" i="9"/>
  <c r="L916" i="9"/>
  <c r="I917" i="9"/>
  <c r="A918" i="9"/>
  <c r="H917" i="9"/>
  <c r="Q916" i="9"/>
  <c r="P916" i="9"/>
  <c r="G917" i="9"/>
  <c r="D1106" i="9" l="1"/>
  <c r="O1106" i="9"/>
  <c r="C1107" i="9"/>
  <c r="E1106" i="9"/>
  <c r="J917" i="9"/>
  <c r="N917" i="9"/>
  <c r="M917" i="9"/>
  <c r="K917" i="9"/>
  <c r="L917" i="9"/>
  <c r="Q917" i="9"/>
  <c r="P917" i="9"/>
  <c r="G918" i="9"/>
  <c r="I918" i="9"/>
  <c r="A919" i="9"/>
  <c r="H918" i="9"/>
  <c r="D1107" i="9" l="1"/>
  <c r="E1107" i="9"/>
  <c r="C1108" i="9"/>
  <c r="O1107" i="9"/>
  <c r="I919" i="9"/>
  <c r="A920" i="9"/>
  <c r="H919" i="9"/>
  <c r="Q918" i="9"/>
  <c r="P918" i="9"/>
  <c r="G919" i="9"/>
  <c r="J918" i="9"/>
  <c r="N918" i="9"/>
  <c r="M918" i="9"/>
  <c r="K918" i="9"/>
  <c r="L918" i="9"/>
  <c r="O1108" i="9" l="1"/>
  <c r="C1109" i="9"/>
  <c r="E1108" i="9"/>
  <c r="D1108" i="9"/>
  <c r="Q919" i="9"/>
  <c r="P919" i="9"/>
  <c r="G920" i="9"/>
  <c r="J919" i="9"/>
  <c r="N919" i="9"/>
  <c r="M919" i="9"/>
  <c r="K919" i="9"/>
  <c r="L919" i="9"/>
  <c r="I920" i="9"/>
  <c r="A921" i="9"/>
  <c r="H920" i="9"/>
  <c r="D1109" i="9" l="1"/>
  <c r="O1109" i="9"/>
  <c r="C1110" i="9"/>
  <c r="E1109" i="9"/>
  <c r="Q920" i="9"/>
  <c r="P920" i="9"/>
  <c r="G921" i="9"/>
  <c r="J920" i="9"/>
  <c r="N920" i="9"/>
  <c r="M920" i="9"/>
  <c r="K920" i="9"/>
  <c r="L920" i="9"/>
  <c r="I921" i="9"/>
  <c r="A922" i="9"/>
  <c r="H921" i="9"/>
  <c r="O1110" i="9" l="1"/>
  <c r="C1111" i="9"/>
  <c r="D1110" i="9"/>
  <c r="E1110" i="9"/>
  <c r="I922" i="9"/>
  <c r="A923" i="9"/>
  <c r="H922" i="9"/>
  <c r="Q921" i="9"/>
  <c r="P921" i="9"/>
  <c r="G922" i="9"/>
  <c r="J921" i="9"/>
  <c r="N921" i="9"/>
  <c r="M921" i="9"/>
  <c r="K921" i="9"/>
  <c r="L921" i="9"/>
  <c r="E1111" i="9" l="1"/>
  <c r="O1111" i="9"/>
  <c r="D1111" i="9"/>
  <c r="C1112" i="9"/>
  <c r="Q922" i="9"/>
  <c r="P922" i="9"/>
  <c r="G923" i="9"/>
  <c r="J922" i="9"/>
  <c r="N922" i="9"/>
  <c r="M922" i="9"/>
  <c r="K922" i="9"/>
  <c r="L922" i="9"/>
  <c r="I923" i="9"/>
  <c r="A924" i="9"/>
  <c r="H923" i="9"/>
  <c r="O1112" i="9" l="1"/>
  <c r="C1113" i="9"/>
  <c r="D1112" i="9"/>
  <c r="E1112" i="9"/>
  <c r="I924" i="9"/>
  <c r="A925" i="9"/>
  <c r="H924" i="9"/>
  <c r="Q923" i="9"/>
  <c r="P923" i="9"/>
  <c r="G924" i="9"/>
  <c r="J923" i="9"/>
  <c r="N923" i="9"/>
  <c r="M923" i="9"/>
  <c r="K923" i="9"/>
  <c r="L923" i="9"/>
  <c r="E1113" i="9" l="1"/>
  <c r="D1113" i="9"/>
  <c r="O1113" i="9"/>
  <c r="C1114" i="9"/>
  <c r="J924" i="9"/>
  <c r="N924" i="9"/>
  <c r="M924" i="9"/>
  <c r="K924" i="9"/>
  <c r="L924" i="9"/>
  <c r="Q924" i="9"/>
  <c r="P924" i="9"/>
  <c r="G925" i="9"/>
  <c r="I925" i="9"/>
  <c r="A926" i="9"/>
  <c r="H925" i="9"/>
  <c r="D1114" i="9" l="1"/>
  <c r="O1114" i="9"/>
  <c r="E1114" i="9"/>
  <c r="C1115" i="9"/>
  <c r="I926" i="9"/>
  <c r="A927" i="9"/>
  <c r="H926" i="9"/>
  <c r="Q925" i="9"/>
  <c r="P925" i="9"/>
  <c r="G926" i="9"/>
  <c r="J925" i="9"/>
  <c r="N925" i="9"/>
  <c r="M925" i="9"/>
  <c r="K925" i="9"/>
  <c r="L925" i="9"/>
  <c r="C1116" i="9" l="1"/>
  <c r="E1115" i="9"/>
  <c r="D1115" i="9"/>
  <c r="O1115" i="9"/>
  <c r="J926" i="9"/>
  <c r="N926" i="9"/>
  <c r="M926" i="9"/>
  <c r="K926" i="9"/>
  <c r="L926" i="9"/>
  <c r="Q926" i="9"/>
  <c r="P926" i="9"/>
  <c r="G927" i="9"/>
  <c r="I927" i="9"/>
  <c r="A928" i="9"/>
  <c r="H927" i="9"/>
  <c r="O1116" i="9" l="1"/>
  <c r="D1116" i="9"/>
  <c r="E1116" i="9"/>
  <c r="C1117" i="9"/>
  <c r="J927" i="9"/>
  <c r="N927" i="9"/>
  <c r="M927" i="9"/>
  <c r="K927" i="9"/>
  <c r="L927" i="9"/>
  <c r="I928" i="9"/>
  <c r="A929" i="9"/>
  <c r="H928" i="9"/>
  <c r="Q927" i="9"/>
  <c r="P927" i="9"/>
  <c r="G928" i="9"/>
  <c r="D1117" i="9" l="1"/>
  <c r="C1118" i="9"/>
  <c r="E1117" i="9"/>
  <c r="O1117" i="9"/>
  <c r="Q928" i="9"/>
  <c r="P928" i="9"/>
  <c r="G929" i="9"/>
  <c r="J928" i="9"/>
  <c r="N928" i="9"/>
  <c r="M928" i="9"/>
  <c r="K928" i="9"/>
  <c r="L928" i="9"/>
  <c r="I929" i="9"/>
  <c r="A930" i="9"/>
  <c r="H929" i="9"/>
  <c r="C1119" i="9" l="1"/>
  <c r="E1118" i="9"/>
  <c r="O1118" i="9"/>
  <c r="D1118" i="9"/>
  <c r="J929" i="9"/>
  <c r="N929" i="9"/>
  <c r="M929" i="9"/>
  <c r="K929" i="9"/>
  <c r="L929" i="9"/>
  <c r="I930" i="9"/>
  <c r="A931" i="9"/>
  <c r="H930" i="9"/>
  <c r="Q929" i="9"/>
  <c r="P929" i="9"/>
  <c r="G930" i="9"/>
  <c r="C1120" i="9" l="1"/>
  <c r="E1119" i="9"/>
  <c r="O1119" i="9"/>
  <c r="D1119" i="9"/>
  <c r="Q930" i="9"/>
  <c r="P930" i="9"/>
  <c r="G931" i="9"/>
  <c r="J930" i="9"/>
  <c r="N930" i="9"/>
  <c r="M930" i="9"/>
  <c r="K930" i="9"/>
  <c r="L930" i="9"/>
  <c r="I931" i="9"/>
  <c r="A932" i="9"/>
  <c r="H931" i="9"/>
  <c r="D1120" i="9" l="1"/>
  <c r="O1120" i="9"/>
  <c r="C1121" i="9"/>
  <c r="E1120" i="9"/>
  <c r="I932" i="9"/>
  <c r="A933" i="9"/>
  <c r="H932" i="9"/>
  <c r="Q931" i="9"/>
  <c r="P931" i="9"/>
  <c r="G932" i="9"/>
  <c r="J931" i="9"/>
  <c r="N931" i="9"/>
  <c r="M931" i="9"/>
  <c r="K931" i="9"/>
  <c r="L931" i="9"/>
  <c r="O1121" i="9" l="1"/>
  <c r="D1121" i="9"/>
  <c r="C1122" i="9"/>
  <c r="E1121" i="9"/>
  <c r="J932" i="9"/>
  <c r="N932" i="9"/>
  <c r="M932" i="9"/>
  <c r="K932" i="9"/>
  <c r="L932" i="9"/>
  <c r="Q932" i="9"/>
  <c r="P932" i="9"/>
  <c r="G933" i="9"/>
  <c r="I933" i="9"/>
  <c r="A934" i="9"/>
  <c r="H933" i="9"/>
  <c r="E1122" i="9" l="1"/>
  <c r="O1122" i="9"/>
  <c r="D1122" i="9"/>
  <c r="C1123" i="9"/>
  <c r="I934" i="9"/>
  <c r="A935" i="9"/>
  <c r="H934" i="9"/>
  <c r="Q933" i="9"/>
  <c r="P933" i="9"/>
  <c r="G934" i="9"/>
  <c r="J933" i="9"/>
  <c r="N933" i="9"/>
  <c r="M933" i="9"/>
  <c r="K933" i="9"/>
  <c r="L933" i="9"/>
  <c r="O1123" i="9" l="1"/>
  <c r="D1123" i="9"/>
  <c r="C1124" i="9"/>
  <c r="E1123" i="9"/>
  <c r="J934" i="9"/>
  <c r="N934" i="9"/>
  <c r="M934" i="9"/>
  <c r="K934" i="9"/>
  <c r="L934" i="9"/>
  <c r="I935" i="9"/>
  <c r="A936" i="9"/>
  <c r="H935" i="9"/>
  <c r="Q934" i="9"/>
  <c r="P934" i="9"/>
  <c r="G935" i="9"/>
  <c r="E1124" i="9" l="1"/>
  <c r="O1124" i="9"/>
  <c r="D1124" i="9"/>
  <c r="C1125" i="9"/>
  <c r="J935" i="9"/>
  <c r="N935" i="9"/>
  <c r="M935" i="9"/>
  <c r="K935" i="9"/>
  <c r="L935" i="9"/>
  <c r="Q935" i="9"/>
  <c r="P935" i="9"/>
  <c r="G936" i="9"/>
  <c r="I936" i="9"/>
  <c r="A937" i="9"/>
  <c r="H936" i="9"/>
  <c r="D1125" i="9" l="1"/>
  <c r="C1126" i="9"/>
  <c r="E1125" i="9"/>
  <c r="O1125" i="9"/>
  <c r="J936" i="9"/>
  <c r="N936" i="9"/>
  <c r="M936" i="9"/>
  <c r="K936" i="9"/>
  <c r="L936" i="9"/>
  <c r="I937" i="9"/>
  <c r="A938" i="9"/>
  <c r="H937" i="9"/>
  <c r="Q936" i="9"/>
  <c r="P936" i="9"/>
  <c r="G937" i="9"/>
  <c r="E1126" i="9" l="1"/>
  <c r="O1126" i="9"/>
  <c r="D1126" i="9"/>
  <c r="C1127" i="9"/>
  <c r="J937" i="9"/>
  <c r="N937" i="9"/>
  <c r="M937" i="9"/>
  <c r="K937" i="9"/>
  <c r="L937" i="9"/>
  <c r="Q937" i="9"/>
  <c r="P937" i="9"/>
  <c r="G938" i="9"/>
  <c r="I938" i="9"/>
  <c r="A939" i="9"/>
  <c r="H938" i="9"/>
  <c r="C1128" i="9" l="1"/>
  <c r="E1127" i="9"/>
  <c r="D1127" i="9"/>
  <c r="O1127" i="9"/>
  <c r="J938" i="9"/>
  <c r="N938" i="9"/>
  <c r="M938" i="9"/>
  <c r="K938" i="9"/>
  <c r="L938" i="9"/>
  <c r="I939" i="9"/>
  <c r="A940" i="9"/>
  <c r="H939" i="9"/>
  <c r="Q938" i="9"/>
  <c r="P938" i="9"/>
  <c r="G939" i="9"/>
  <c r="E1128" i="9" l="1"/>
  <c r="O1128" i="9"/>
  <c r="D1128" i="9"/>
  <c r="C1129" i="9"/>
  <c r="J939" i="9"/>
  <c r="N939" i="9"/>
  <c r="M939" i="9"/>
  <c r="K939" i="9"/>
  <c r="L939" i="9"/>
  <c r="Q939" i="9"/>
  <c r="P939" i="9"/>
  <c r="G940" i="9"/>
  <c r="I940" i="9"/>
  <c r="A941" i="9"/>
  <c r="H940" i="9"/>
  <c r="C1130" i="9" l="1"/>
  <c r="E1129" i="9"/>
  <c r="D1129" i="9"/>
  <c r="O1129" i="9"/>
  <c r="I941" i="9"/>
  <c r="A942" i="9"/>
  <c r="H941" i="9"/>
  <c r="Q940" i="9"/>
  <c r="P940" i="9"/>
  <c r="G941" i="9"/>
  <c r="J940" i="9"/>
  <c r="N940" i="9"/>
  <c r="M940" i="9"/>
  <c r="K940" i="9"/>
  <c r="L940" i="9"/>
  <c r="C1131" i="9" l="1"/>
  <c r="E1130" i="9"/>
  <c r="D1130" i="9"/>
  <c r="O1130" i="9"/>
  <c r="J941" i="9"/>
  <c r="N941" i="9"/>
  <c r="M941" i="9"/>
  <c r="K941" i="9"/>
  <c r="L941" i="9"/>
  <c r="I942" i="9"/>
  <c r="A943" i="9"/>
  <c r="H942" i="9"/>
  <c r="Q941" i="9"/>
  <c r="P941" i="9"/>
  <c r="G942" i="9"/>
  <c r="O1131" i="9" l="1"/>
  <c r="D1131" i="9"/>
  <c r="E1131" i="9"/>
  <c r="C1132" i="9"/>
  <c r="J942" i="9"/>
  <c r="N942" i="9"/>
  <c r="M942" i="9"/>
  <c r="K942" i="9"/>
  <c r="L942" i="9"/>
  <c r="Q942" i="9"/>
  <c r="P942" i="9"/>
  <c r="G943" i="9"/>
  <c r="I943" i="9"/>
  <c r="A944" i="9"/>
  <c r="H943" i="9"/>
  <c r="O1132" i="9" l="1"/>
  <c r="D1132" i="9"/>
  <c r="C1133" i="9"/>
  <c r="E1132" i="9"/>
  <c r="I944" i="9"/>
  <c r="A945" i="9"/>
  <c r="H944" i="9"/>
  <c r="J943" i="9"/>
  <c r="N943" i="9"/>
  <c r="M943" i="9"/>
  <c r="K943" i="9"/>
  <c r="L943" i="9"/>
  <c r="Q943" i="9"/>
  <c r="P943" i="9"/>
  <c r="G944" i="9"/>
  <c r="D1133" i="9" l="1"/>
  <c r="C1134" i="9"/>
  <c r="O1133" i="9"/>
  <c r="E1133" i="9"/>
  <c r="J944" i="9"/>
  <c r="N944" i="9"/>
  <c r="M944" i="9"/>
  <c r="K944" i="9"/>
  <c r="L944" i="9"/>
  <c r="I945" i="9"/>
  <c r="A946" i="9"/>
  <c r="H945" i="9"/>
  <c r="Q944" i="9"/>
  <c r="P944" i="9"/>
  <c r="G945" i="9"/>
  <c r="D1134" i="9" l="1"/>
  <c r="C1135" i="9"/>
  <c r="E1134" i="9"/>
  <c r="O1134" i="9"/>
  <c r="J945" i="9"/>
  <c r="N945" i="9"/>
  <c r="M945" i="9"/>
  <c r="K945" i="9"/>
  <c r="L945" i="9"/>
  <c r="Q945" i="9"/>
  <c r="P945" i="9"/>
  <c r="G946" i="9"/>
  <c r="I946" i="9"/>
  <c r="A947" i="9"/>
  <c r="H946" i="9"/>
  <c r="O1135" i="9" l="1"/>
  <c r="D1135" i="9"/>
  <c r="C1136" i="9"/>
  <c r="E1135" i="9"/>
  <c r="I947" i="9"/>
  <c r="A948" i="9"/>
  <c r="H947" i="9"/>
  <c r="Q946" i="9"/>
  <c r="P946" i="9"/>
  <c r="G947" i="9"/>
  <c r="J946" i="9"/>
  <c r="N946" i="9"/>
  <c r="M946" i="9"/>
  <c r="K946" i="9"/>
  <c r="L946" i="9"/>
  <c r="O1136" i="9" l="1"/>
  <c r="D1136" i="9"/>
  <c r="C1137" i="9"/>
  <c r="E1136" i="9"/>
  <c r="Q947" i="9"/>
  <c r="P947" i="9"/>
  <c r="G948" i="9"/>
  <c r="J947" i="9"/>
  <c r="N947" i="9"/>
  <c r="M947" i="9"/>
  <c r="K947" i="9"/>
  <c r="L947" i="9"/>
  <c r="I948" i="9"/>
  <c r="A949" i="9"/>
  <c r="H948" i="9"/>
  <c r="C1138" i="9" l="1"/>
  <c r="E1137" i="9"/>
  <c r="O1137" i="9"/>
  <c r="D1137" i="9"/>
  <c r="J948" i="9"/>
  <c r="N948" i="9"/>
  <c r="M948" i="9"/>
  <c r="K948" i="9"/>
  <c r="L948" i="9"/>
  <c r="I949" i="9"/>
  <c r="A950" i="9"/>
  <c r="H949" i="9"/>
  <c r="Q948" i="9"/>
  <c r="P948" i="9"/>
  <c r="G949" i="9"/>
  <c r="O1138" i="9" l="1"/>
  <c r="E1138" i="9"/>
  <c r="D1138" i="9"/>
  <c r="C1139" i="9"/>
  <c r="Q949" i="9"/>
  <c r="P949" i="9"/>
  <c r="G950" i="9"/>
  <c r="J949" i="9"/>
  <c r="N949" i="9"/>
  <c r="M949" i="9"/>
  <c r="K949" i="9"/>
  <c r="L949" i="9"/>
  <c r="I950" i="9"/>
  <c r="A951" i="9"/>
  <c r="H950" i="9"/>
  <c r="E1139" i="9" l="1"/>
  <c r="O1139" i="9"/>
  <c r="C1140" i="9"/>
  <c r="D1139" i="9"/>
  <c r="I951" i="9"/>
  <c r="A952" i="9"/>
  <c r="H951" i="9"/>
  <c r="Q950" i="9"/>
  <c r="P950" i="9"/>
  <c r="G951" i="9"/>
  <c r="J950" i="9"/>
  <c r="N950" i="9"/>
  <c r="M950" i="9"/>
  <c r="K950" i="9"/>
  <c r="L950" i="9"/>
  <c r="C1141" i="9" l="1"/>
  <c r="E1140" i="9"/>
  <c r="D1140" i="9"/>
  <c r="O1140" i="9"/>
  <c r="Q951" i="9"/>
  <c r="P951" i="9"/>
  <c r="G952" i="9"/>
  <c r="I952" i="9"/>
  <c r="A953" i="9"/>
  <c r="H952" i="9"/>
  <c r="J951" i="9"/>
  <c r="N951" i="9"/>
  <c r="M951" i="9"/>
  <c r="K951" i="9"/>
  <c r="L951" i="9"/>
  <c r="E1141" i="9" l="1"/>
  <c r="D1141" i="9"/>
  <c r="C1142" i="9"/>
  <c r="O1141" i="9"/>
  <c r="I953" i="9"/>
  <c r="A954" i="9"/>
  <c r="H953" i="9"/>
  <c r="Q952" i="9"/>
  <c r="P952" i="9"/>
  <c r="G953" i="9"/>
  <c r="J952" i="9"/>
  <c r="N952" i="9"/>
  <c r="M952" i="9"/>
  <c r="K952" i="9"/>
  <c r="L952" i="9"/>
  <c r="C1143" i="9" l="1"/>
  <c r="E1142" i="9"/>
  <c r="O1142" i="9"/>
  <c r="D1142" i="9"/>
  <c r="Q953" i="9"/>
  <c r="P953" i="9"/>
  <c r="G954" i="9"/>
  <c r="J953" i="9"/>
  <c r="N953" i="9"/>
  <c r="M953" i="9"/>
  <c r="K953" i="9"/>
  <c r="L953" i="9"/>
  <c r="I954" i="9"/>
  <c r="A955" i="9"/>
  <c r="H954" i="9"/>
  <c r="C1144" i="9" l="1"/>
  <c r="E1143" i="9"/>
  <c r="D1143" i="9"/>
  <c r="O1143" i="9"/>
  <c r="I955" i="9"/>
  <c r="A956" i="9"/>
  <c r="H955" i="9"/>
  <c r="Q954" i="9"/>
  <c r="P954" i="9"/>
  <c r="G955" i="9"/>
  <c r="J954" i="9"/>
  <c r="N954" i="9"/>
  <c r="M954" i="9"/>
  <c r="K954" i="9"/>
  <c r="L954" i="9"/>
  <c r="O1144" i="9" l="1"/>
  <c r="D1144" i="9"/>
  <c r="E1144" i="9"/>
  <c r="C1145" i="9"/>
  <c r="Q955" i="9"/>
  <c r="P955" i="9"/>
  <c r="G956" i="9"/>
  <c r="I956" i="9"/>
  <c r="A957" i="9"/>
  <c r="H956" i="9"/>
  <c r="J955" i="9"/>
  <c r="N955" i="9"/>
  <c r="M955" i="9"/>
  <c r="K955" i="9"/>
  <c r="L955" i="9"/>
  <c r="E1145" i="9" l="1"/>
  <c r="O1145" i="9"/>
  <c r="D1145" i="9"/>
  <c r="C1146" i="9"/>
  <c r="I957" i="9"/>
  <c r="A958" i="9"/>
  <c r="H957" i="9"/>
  <c r="Q956" i="9"/>
  <c r="P956" i="9"/>
  <c r="G957" i="9"/>
  <c r="J956" i="9"/>
  <c r="N956" i="9"/>
  <c r="M956" i="9"/>
  <c r="K956" i="9"/>
  <c r="L956" i="9"/>
  <c r="D1146" i="9" l="1"/>
  <c r="C1147" i="9"/>
  <c r="O1146" i="9"/>
  <c r="E1146" i="9"/>
  <c r="Q957" i="9"/>
  <c r="P957" i="9"/>
  <c r="G958" i="9"/>
  <c r="I958" i="9"/>
  <c r="A959" i="9"/>
  <c r="H958" i="9"/>
  <c r="J957" i="9"/>
  <c r="N957" i="9"/>
  <c r="M957" i="9"/>
  <c r="K957" i="9"/>
  <c r="L957" i="9"/>
  <c r="D1147" i="9" l="1"/>
  <c r="C1148" i="9"/>
  <c r="E1147" i="9"/>
  <c r="O1147" i="9"/>
  <c r="I959" i="9"/>
  <c r="A960" i="9"/>
  <c r="H959" i="9"/>
  <c r="Q958" i="9"/>
  <c r="P958" i="9"/>
  <c r="G959" i="9"/>
  <c r="J958" i="9"/>
  <c r="N958" i="9"/>
  <c r="M958" i="9"/>
  <c r="K958" i="9"/>
  <c r="L958" i="9"/>
  <c r="E1148" i="9" l="1"/>
  <c r="O1148" i="9"/>
  <c r="D1148" i="9"/>
  <c r="C1149" i="9"/>
  <c r="J959" i="9"/>
  <c r="N959" i="9"/>
  <c r="M959" i="9"/>
  <c r="K959" i="9"/>
  <c r="L959" i="9"/>
  <c r="I960" i="9"/>
  <c r="A961" i="9"/>
  <c r="H960" i="9"/>
  <c r="Q959" i="9"/>
  <c r="P959" i="9"/>
  <c r="G960" i="9"/>
  <c r="C1150" i="9" l="1"/>
  <c r="E1149" i="9"/>
  <c r="O1149" i="9"/>
  <c r="D1149" i="9"/>
  <c r="J960" i="9"/>
  <c r="N960" i="9"/>
  <c r="M960" i="9"/>
  <c r="K960" i="9"/>
  <c r="L960" i="9"/>
  <c r="Q960" i="9"/>
  <c r="P960" i="9"/>
  <c r="G961" i="9"/>
  <c r="I961" i="9"/>
  <c r="A962" i="9"/>
  <c r="H961" i="9"/>
  <c r="E1150" i="9" l="1"/>
  <c r="O1150" i="9"/>
  <c r="C1151" i="9"/>
  <c r="D1150" i="9"/>
  <c r="I962" i="9"/>
  <c r="A963" i="9"/>
  <c r="H962" i="9"/>
  <c r="Q961" i="9"/>
  <c r="P961" i="9"/>
  <c r="G962" i="9"/>
  <c r="J961" i="9"/>
  <c r="N961" i="9"/>
  <c r="M961" i="9"/>
  <c r="K961" i="9"/>
  <c r="L961" i="9"/>
  <c r="C1152" i="9" l="1"/>
  <c r="E1151" i="9"/>
  <c r="O1151" i="9"/>
  <c r="D1151" i="9"/>
  <c r="J962" i="9"/>
  <c r="N962" i="9"/>
  <c r="M962" i="9"/>
  <c r="K962" i="9"/>
  <c r="L962" i="9"/>
  <c r="Q962" i="9"/>
  <c r="P962" i="9"/>
  <c r="G963" i="9"/>
  <c r="I963" i="9"/>
  <c r="A964" i="9"/>
  <c r="H963" i="9"/>
  <c r="E1152" i="9" l="1"/>
  <c r="C1153" i="9"/>
  <c r="O1152" i="9"/>
  <c r="D1152" i="9"/>
  <c r="J963" i="9"/>
  <c r="N963" i="9"/>
  <c r="M963" i="9"/>
  <c r="K963" i="9"/>
  <c r="L963" i="9"/>
  <c r="I964" i="9"/>
  <c r="A965" i="9"/>
  <c r="H964" i="9"/>
  <c r="Q963" i="9"/>
  <c r="P963" i="9"/>
  <c r="G964" i="9"/>
  <c r="D1153" i="9" l="1"/>
  <c r="C1154" i="9"/>
  <c r="E1153" i="9"/>
  <c r="O1153" i="9"/>
  <c r="J964" i="9"/>
  <c r="N964" i="9"/>
  <c r="M964" i="9"/>
  <c r="K964" i="9"/>
  <c r="L964" i="9"/>
  <c r="Q964" i="9"/>
  <c r="P964" i="9"/>
  <c r="G965" i="9"/>
  <c r="I965" i="9"/>
  <c r="A966" i="9"/>
  <c r="H965" i="9"/>
  <c r="C1155" i="9" l="1"/>
  <c r="E1154" i="9"/>
  <c r="O1154" i="9"/>
  <c r="D1154" i="9"/>
  <c r="I966" i="9"/>
  <c r="A967" i="9"/>
  <c r="H966" i="9"/>
  <c r="J965" i="9"/>
  <c r="N965" i="9"/>
  <c r="M965" i="9"/>
  <c r="K965" i="9"/>
  <c r="L965" i="9"/>
  <c r="Q965" i="9"/>
  <c r="P965" i="9"/>
  <c r="G966" i="9"/>
  <c r="O1155" i="9" l="1"/>
  <c r="D1155" i="9"/>
  <c r="C1156" i="9"/>
  <c r="E1155" i="9"/>
  <c r="J966" i="9"/>
  <c r="N966" i="9"/>
  <c r="M966" i="9"/>
  <c r="K966" i="9"/>
  <c r="L966" i="9"/>
  <c r="Q966" i="9"/>
  <c r="P966" i="9"/>
  <c r="G967" i="9"/>
  <c r="I967" i="9"/>
  <c r="A968" i="9"/>
  <c r="H967" i="9"/>
  <c r="C1157" i="9" l="1"/>
  <c r="E1156" i="9"/>
  <c r="D1156" i="9"/>
  <c r="O1156" i="9"/>
  <c r="I968" i="9"/>
  <c r="A969" i="9"/>
  <c r="H968" i="9"/>
  <c r="Q967" i="9"/>
  <c r="P967" i="9"/>
  <c r="G968" i="9"/>
  <c r="J967" i="9"/>
  <c r="N967" i="9"/>
  <c r="M967" i="9"/>
  <c r="K967" i="9"/>
  <c r="L967" i="9"/>
  <c r="C1158" i="9" l="1"/>
  <c r="E1157" i="9"/>
  <c r="D1157" i="9"/>
  <c r="O1157" i="9"/>
  <c r="Q968" i="9"/>
  <c r="P968" i="9"/>
  <c r="G969" i="9"/>
  <c r="J968" i="9"/>
  <c r="N968" i="9"/>
  <c r="M968" i="9"/>
  <c r="K968" i="9"/>
  <c r="L968" i="9"/>
  <c r="I969" i="9"/>
  <c r="A970" i="9"/>
  <c r="H969" i="9"/>
  <c r="E1158" i="9" l="1"/>
  <c r="O1158" i="9"/>
  <c r="C1159" i="9"/>
  <c r="D1158" i="9"/>
  <c r="J969" i="9"/>
  <c r="N969" i="9"/>
  <c r="M969" i="9"/>
  <c r="K969" i="9"/>
  <c r="L969" i="9"/>
  <c r="I970" i="9"/>
  <c r="A971" i="9"/>
  <c r="H970" i="9"/>
  <c r="Q969" i="9"/>
  <c r="P969" i="9"/>
  <c r="G970" i="9"/>
  <c r="C1160" i="9" l="1"/>
  <c r="E1159" i="9"/>
  <c r="D1159" i="9"/>
  <c r="O1159" i="9"/>
  <c r="J970" i="9"/>
  <c r="N970" i="9"/>
  <c r="M970" i="9"/>
  <c r="K970" i="9"/>
  <c r="L970" i="9"/>
  <c r="Q970" i="9"/>
  <c r="P970" i="9"/>
  <c r="G971" i="9"/>
  <c r="I971" i="9"/>
  <c r="A972" i="9"/>
  <c r="H971" i="9"/>
  <c r="D1160" i="9" l="1"/>
  <c r="C1161" i="9"/>
  <c r="O1160" i="9"/>
  <c r="E1160" i="9"/>
  <c r="I972" i="9"/>
  <c r="A973" i="9"/>
  <c r="H972" i="9"/>
  <c r="J971" i="9"/>
  <c r="N971" i="9"/>
  <c r="M971" i="9"/>
  <c r="K971" i="9"/>
  <c r="L971" i="9"/>
  <c r="Q971" i="9"/>
  <c r="P971" i="9"/>
  <c r="G972" i="9"/>
  <c r="O1161" i="9" l="1"/>
  <c r="D1161" i="9"/>
  <c r="C1162" i="9"/>
  <c r="E1161" i="9"/>
  <c r="J972" i="9"/>
  <c r="N972" i="9"/>
  <c r="M972" i="9"/>
  <c r="K972" i="9"/>
  <c r="L972" i="9"/>
  <c r="Q972" i="9"/>
  <c r="P972" i="9"/>
  <c r="G973" i="9"/>
  <c r="I973" i="9"/>
  <c r="A974" i="9"/>
  <c r="H973" i="9"/>
  <c r="C1163" i="9" l="1"/>
  <c r="E1162" i="9"/>
  <c r="D1162" i="9"/>
  <c r="O1162" i="9"/>
  <c r="J973" i="9"/>
  <c r="N973" i="9"/>
  <c r="M973" i="9"/>
  <c r="K973" i="9"/>
  <c r="L973" i="9"/>
  <c r="I974" i="9"/>
  <c r="A975" i="9"/>
  <c r="H974" i="9"/>
  <c r="Q973" i="9"/>
  <c r="P973" i="9"/>
  <c r="G974" i="9"/>
  <c r="D1163" i="9" l="1"/>
  <c r="C1164" i="9"/>
  <c r="O1163" i="9"/>
  <c r="E1163" i="9"/>
  <c r="J974" i="9"/>
  <c r="N974" i="9"/>
  <c r="M974" i="9"/>
  <c r="K974" i="9"/>
  <c r="L974" i="9"/>
  <c r="Q974" i="9"/>
  <c r="P974" i="9"/>
  <c r="G975" i="9"/>
  <c r="I975" i="9"/>
  <c r="A976" i="9"/>
  <c r="H975" i="9"/>
  <c r="D1164" i="9" l="1"/>
  <c r="C1165" i="9"/>
  <c r="E1164" i="9"/>
  <c r="O1164" i="9"/>
  <c r="I976" i="9"/>
  <c r="A977" i="9"/>
  <c r="H976" i="9"/>
  <c r="J975" i="9"/>
  <c r="N975" i="9"/>
  <c r="M975" i="9"/>
  <c r="K975" i="9"/>
  <c r="L975" i="9"/>
  <c r="Q975" i="9"/>
  <c r="P975" i="9"/>
  <c r="G976" i="9"/>
  <c r="C1166" i="9" l="1"/>
  <c r="D1165" i="9"/>
  <c r="E1165" i="9"/>
  <c r="O1165" i="9"/>
  <c r="J976" i="9"/>
  <c r="N976" i="9"/>
  <c r="M976" i="9"/>
  <c r="K976" i="9"/>
  <c r="L976" i="9"/>
  <c r="I977" i="9"/>
  <c r="A978" i="9"/>
  <c r="H977" i="9"/>
  <c r="Q976" i="9"/>
  <c r="P976" i="9"/>
  <c r="G977" i="9"/>
  <c r="O1166" i="9" l="1"/>
  <c r="D1166" i="9"/>
  <c r="C1167" i="9"/>
  <c r="E1166" i="9"/>
  <c r="J977" i="9"/>
  <c r="N977" i="9"/>
  <c r="M977" i="9"/>
  <c r="K977" i="9"/>
  <c r="L977" i="9"/>
  <c r="Q977" i="9"/>
  <c r="P977" i="9"/>
  <c r="G978" i="9"/>
  <c r="I978" i="9"/>
  <c r="A979" i="9"/>
  <c r="H978" i="9"/>
  <c r="E1167" i="9" l="1"/>
  <c r="C1168" i="9"/>
  <c r="O1167" i="9"/>
  <c r="D1167" i="9"/>
  <c r="I979" i="9"/>
  <c r="A980" i="9"/>
  <c r="H979" i="9"/>
  <c r="Q978" i="9"/>
  <c r="P978" i="9"/>
  <c r="G979" i="9"/>
  <c r="J978" i="9"/>
  <c r="N978" i="9"/>
  <c r="M978" i="9"/>
  <c r="K978" i="9"/>
  <c r="L978" i="9"/>
  <c r="C1169" i="9" l="1"/>
  <c r="E1168" i="9"/>
  <c r="D1168" i="9"/>
  <c r="O1168" i="9"/>
  <c r="J979" i="9"/>
  <c r="N979" i="9"/>
  <c r="M979" i="9"/>
  <c r="K979" i="9"/>
  <c r="L979" i="9"/>
  <c r="Q979" i="9"/>
  <c r="P979" i="9"/>
  <c r="G980" i="9"/>
  <c r="I980" i="9"/>
  <c r="A981" i="9"/>
  <c r="H980" i="9"/>
  <c r="C1170" i="9" l="1"/>
  <c r="O1169" i="9"/>
  <c r="E1169" i="9"/>
  <c r="D1169" i="9"/>
  <c r="J980" i="9"/>
  <c r="N980" i="9"/>
  <c r="M980" i="9"/>
  <c r="K980" i="9"/>
  <c r="L980" i="9"/>
  <c r="I981" i="9"/>
  <c r="A982" i="9"/>
  <c r="H981" i="9"/>
  <c r="Q980" i="9"/>
  <c r="P980" i="9"/>
  <c r="G981" i="9"/>
  <c r="C1171" i="9" l="1"/>
  <c r="E1170" i="9"/>
  <c r="O1170" i="9"/>
  <c r="D1170" i="9"/>
  <c r="J981" i="9"/>
  <c r="N981" i="9"/>
  <c r="M981" i="9"/>
  <c r="K981" i="9"/>
  <c r="L981" i="9"/>
  <c r="Q981" i="9"/>
  <c r="P981" i="9"/>
  <c r="G982" i="9"/>
  <c r="I982" i="9"/>
  <c r="A983" i="9"/>
  <c r="H982" i="9"/>
  <c r="D1171" i="9" l="1"/>
  <c r="C1172" i="9"/>
  <c r="O1171" i="9"/>
  <c r="E1171" i="9"/>
  <c r="J982" i="9"/>
  <c r="N982" i="9"/>
  <c r="M982" i="9"/>
  <c r="K982" i="9"/>
  <c r="L982" i="9"/>
  <c r="I983" i="9"/>
  <c r="A984" i="9"/>
  <c r="H983" i="9"/>
  <c r="Q982" i="9"/>
  <c r="P982" i="9"/>
  <c r="G983" i="9"/>
  <c r="O1172" i="9" l="1"/>
  <c r="D1172" i="9"/>
  <c r="C1173" i="9"/>
  <c r="E1172" i="9"/>
  <c r="J983" i="9"/>
  <c r="N983" i="9"/>
  <c r="M983" i="9"/>
  <c r="K983" i="9"/>
  <c r="L983" i="9"/>
  <c r="Q983" i="9"/>
  <c r="P983" i="9"/>
  <c r="G984" i="9"/>
  <c r="I984" i="9"/>
  <c r="A985" i="9"/>
  <c r="H984" i="9"/>
  <c r="C1174" i="9" l="1"/>
  <c r="E1173" i="9"/>
  <c r="O1173" i="9"/>
  <c r="D1173" i="9"/>
  <c r="I985" i="9"/>
  <c r="A986" i="9"/>
  <c r="H985" i="9"/>
  <c r="Q984" i="9"/>
  <c r="P984" i="9"/>
  <c r="G985" i="9"/>
  <c r="J984" i="9"/>
  <c r="N984" i="9"/>
  <c r="M984" i="9"/>
  <c r="K984" i="9"/>
  <c r="L984" i="9"/>
  <c r="C1175" i="9" l="1"/>
  <c r="E1174" i="9"/>
  <c r="O1174" i="9"/>
  <c r="D1174" i="9"/>
  <c r="J985" i="9"/>
  <c r="N985" i="9"/>
  <c r="M985" i="9"/>
  <c r="K985" i="9"/>
  <c r="L985" i="9"/>
  <c r="Q985" i="9"/>
  <c r="P985" i="9"/>
  <c r="G986" i="9"/>
  <c r="I986" i="9"/>
  <c r="A987" i="9"/>
  <c r="H986" i="9"/>
  <c r="C1176" i="9" l="1"/>
  <c r="E1175" i="9"/>
  <c r="O1175" i="9"/>
  <c r="D1175" i="9"/>
  <c r="I987" i="9"/>
  <c r="A988" i="9"/>
  <c r="H987" i="9"/>
  <c r="Q986" i="9"/>
  <c r="P986" i="9"/>
  <c r="G987" i="9"/>
  <c r="J986" i="9"/>
  <c r="N986" i="9"/>
  <c r="M986" i="9"/>
  <c r="K986" i="9"/>
  <c r="L986" i="9"/>
  <c r="D1176" i="9" l="1"/>
  <c r="C1177" i="9"/>
  <c r="E1176" i="9"/>
  <c r="O1176" i="9"/>
  <c r="Q987" i="9"/>
  <c r="P987" i="9"/>
  <c r="G988" i="9"/>
  <c r="J987" i="9"/>
  <c r="N987" i="9"/>
  <c r="M987" i="9"/>
  <c r="K987" i="9"/>
  <c r="L987" i="9"/>
  <c r="I988" i="9"/>
  <c r="A989" i="9"/>
  <c r="H988" i="9"/>
  <c r="C1178" i="9" l="1"/>
  <c r="E1177" i="9"/>
  <c r="D1177" i="9"/>
  <c r="O1177" i="9"/>
  <c r="J988" i="9"/>
  <c r="N988" i="9"/>
  <c r="M988" i="9"/>
  <c r="K988" i="9"/>
  <c r="L988" i="9"/>
  <c r="I989" i="9"/>
  <c r="A990" i="9"/>
  <c r="H989" i="9"/>
  <c r="Q988" i="9"/>
  <c r="P988" i="9"/>
  <c r="G989" i="9"/>
  <c r="E1178" i="9" l="1"/>
  <c r="C1179" i="9"/>
  <c r="O1178" i="9"/>
  <c r="D1178" i="9"/>
  <c r="J989" i="9"/>
  <c r="N989" i="9"/>
  <c r="M989" i="9"/>
  <c r="K989" i="9"/>
  <c r="L989" i="9"/>
  <c r="Q989" i="9"/>
  <c r="P989" i="9"/>
  <c r="G990" i="9"/>
  <c r="I990" i="9"/>
  <c r="A991" i="9"/>
  <c r="H990" i="9"/>
  <c r="D1179" i="9" l="1"/>
  <c r="O1179" i="9"/>
  <c r="C1180" i="9"/>
  <c r="E1179" i="9"/>
  <c r="J990" i="9"/>
  <c r="N990" i="9"/>
  <c r="M990" i="9"/>
  <c r="K990" i="9"/>
  <c r="L990" i="9"/>
  <c r="I991" i="9"/>
  <c r="A992" i="9"/>
  <c r="H991" i="9"/>
  <c r="Q990" i="9"/>
  <c r="P990" i="9"/>
  <c r="G991" i="9"/>
  <c r="O1180" i="9" l="1"/>
  <c r="D1180" i="9"/>
  <c r="C1181" i="9"/>
  <c r="E1180" i="9"/>
  <c r="J991" i="9"/>
  <c r="N991" i="9"/>
  <c r="M991" i="9"/>
  <c r="K991" i="9"/>
  <c r="L991" i="9"/>
  <c r="Q991" i="9"/>
  <c r="P991" i="9"/>
  <c r="G992" i="9"/>
  <c r="I992" i="9"/>
  <c r="A993" i="9"/>
  <c r="H992" i="9"/>
  <c r="D1181" i="9" l="1"/>
  <c r="C1182" i="9"/>
  <c r="O1181" i="9"/>
  <c r="E1181" i="9"/>
  <c r="I993" i="9"/>
  <c r="A994" i="9"/>
  <c r="H993" i="9"/>
  <c r="Q992" i="9"/>
  <c r="P992" i="9"/>
  <c r="G993" i="9"/>
  <c r="J992" i="9"/>
  <c r="N992" i="9"/>
  <c r="M992" i="9"/>
  <c r="K992" i="9"/>
  <c r="L992" i="9"/>
  <c r="D1182" i="9" l="1"/>
  <c r="C1183" i="9"/>
  <c r="E1182" i="9"/>
  <c r="O1182" i="9"/>
  <c r="J993" i="9"/>
  <c r="N993" i="9"/>
  <c r="M993" i="9"/>
  <c r="K993" i="9"/>
  <c r="L993" i="9"/>
  <c r="I994" i="9"/>
  <c r="A995" i="9"/>
  <c r="H994" i="9"/>
  <c r="Q993" i="9"/>
  <c r="P993" i="9"/>
  <c r="G994" i="9"/>
  <c r="C1184" i="9" l="1"/>
  <c r="D1183" i="9"/>
  <c r="E1183" i="9"/>
  <c r="O1183" i="9"/>
  <c r="J994" i="9"/>
  <c r="N994" i="9"/>
  <c r="M994" i="9"/>
  <c r="K994" i="9"/>
  <c r="L994" i="9"/>
  <c r="Q994" i="9"/>
  <c r="P994" i="9"/>
  <c r="G995" i="9"/>
  <c r="I995" i="9"/>
  <c r="A996" i="9"/>
  <c r="H995" i="9"/>
  <c r="O1184" i="9" l="1"/>
  <c r="E1184" i="9"/>
  <c r="D1184" i="9"/>
  <c r="C1185" i="9"/>
  <c r="I996" i="9"/>
  <c r="A997" i="9"/>
  <c r="H996" i="9"/>
  <c r="J995" i="9"/>
  <c r="N995" i="9"/>
  <c r="M995" i="9"/>
  <c r="K995" i="9"/>
  <c r="L995" i="9"/>
  <c r="Q995" i="9"/>
  <c r="P995" i="9"/>
  <c r="G996" i="9"/>
  <c r="C1186" i="9" l="1"/>
  <c r="E1185" i="9"/>
  <c r="D1185" i="9"/>
  <c r="O1185" i="9"/>
  <c r="J996" i="9"/>
  <c r="N996" i="9"/>
  <c r="M996" i="9"/>
  <c r="K996" i="9"/>
  <c r="L996" i="9"/>
  <c r="I997" i="9"/>
  <c r="A998" i="9"/>
  <c r="H997" i="9"/>
  <c r="Q996" i="9"/>
  <c r="P996" i="9"/>
  <c r="G997" i="9"/>
  <c r="O1186" i="9" l="1"/>
  <c r="C1187" i="9"/>
  <c r="E1186" i="9"/>
  <c r="D1186" i="9"/>
  <c r="J997" i="9"/>
  <c r="N997" i="9"/>
  <c r="M997" i="9"/>
  <c r="K997" i="9"/>
  <c r="L997" i="9"/>
  <c r="Q997" i="9"/>
  <c r="P997" i="9"/>
  <c r="G998" i="9"/>
  <c r="I998" i="9"/>
  <c r="A999" i="9"/>
  <c r="H998" i="9"/>
  <c r="O1187" i="9" l="1"/>
  <c r="D1187" i="9"/>
  <c r="E1187" i="9"/>
  <c r="C1188" i="9"/>
  <c r="I999" i="9"/>
  <c r="A1000" i="9"/>
  <c r="H999" i="9"/>
  <c r="Q998" i="9"/>
  <c r="P998" i="9"/>
  <c r="G999" i="9"/>
  <c r="J998" i="9"/>
  <c r="N998" i="9"/>
  <c r="M998" i="9"/>
  <c r="K998" i="9"/>
  <c r="L998" i="9"/>
  <c r="C1189" i="9" l="1"/>
  <c r="E1188" i="9"/>
  <c r="O1188" i="9"/>
  <c r="D1188" i="9"/>
  <c r="Q999" i="9"/>
  <c r="P999" i="9"/>
  <c r="G1000" i="9"/>
  <c r="J999" i="9"/>
  <c r="N999" i="9"/>
  <c r="M999" i="9"/>
  <c r="K999" i="9"/>
  <c r="L999" i="9"/>
  <c r="I1000" i="9"/>
  <c r="A1001" i="9"/>
  <c r="H1000" i="9"/>
  <c r="C1190" i="9" l="1"/>
  <c r="E1189" i="9"/>
  <c r="D1189" i="9"/>
  <c r="O1189" i="9"/>
  <c r="J1000" i="9"/>
  <c r="N1000" i="9"/>
  <c r="M1000" i="9"/>
  <c r="K1000" i="9"/>
  <c r="L1000" i="9"/>
  <c r="I1001" i="9"/>
  <c r="A1002" i="9"/>
  <c r="H1001" i="9"/>
  <c r="Q1000" i="9"/>
  <c r="P1000" i="9"/>
  <c r="G1001" i="9"/>
  <c r="E1190" i="9" l="1"/>
  <c r="O1190" i="9"/>
  <c r="D1190" i="9"/>
  <c r="C1191" i="9"/>
  <c r="Q1001" i="9"/>
  <c r="P1001" i="9"/>
  <c r="G1002" i="9"/>
  <c r="J1001" i="9"/>
  <c r="N1001" i="9"/>
  <c r="M1001" i="9"/>
  <c r="K1001" i="9"/>
  <c r="L1001" i="9"/>
  <c r="I1002" i="9"/>
  <c r="A1003" i="9"/>
  <c r="H1002" i="9"/>
  <c r="O1191" i="9" l="1"/>
  <c r="D1191" i="9"/>
  <c r="C1192" i="9"/>
  <c r="E1191" i="9"/>
  <c r="I1003" i="9"/>
  <c r="A1004" i="9"/>
  <c r="H1003" i="9"/>
  <c r="Q1002" i="9"/>
  <c r="P1002" i="9"/>
  <c r="G1003" i="9"/>
  <c r="J1002" i="9"/>
  <c r="N1002" i="9"/>
  <c r="M1002" i="9"/>
  <c r="K1002" i="9"/>
  <c r="L1002" i="9"/>
  <c r="D1192" i="9" l="1"/>
  <c r="C1193" i="9"/>
  <c r="O1192" i="9"/>
  <c r="E1192" i="9"/>
  <c r="Q1003" i="9"/>
  <c r="P1003" i="9"/>
  <c r="G1004" i="9"/>
  <c r="I1004" i="9"/>
  <c r="A1005" i="9"/>
  <c r="H1004" i="9"/>
  <c r="J1003" i="9"/>
  <c r="N1003" i="9"/>
  <c r="M1003" i="9"/>
  <c r="K1003" i="9"/>
  <c r="L1003" i="9"/>
  <c r="D1193" i="9" l="1"/>
  <c r="C1194" i="9"/>
  <c r="E1193" i="9"/>
  <c r="O1193" i="9"/>
  <c r="I1005" i="9"/>
  <c r="A1006" i="9"/>
  <c r="H1005" i="9"/>
  <c r="Q1004" i="9"/>
  <c r="P1004" i="9"/>
  <c r="G1005" i="9"/>
  <c r="J1004" i="9"/>
  <c r="N1004" i="9"/>
  <c r="M1004" i="9"/>
  <c r="K1004" i="9"/>
  <c r="L1004" i="9"/>
  <c r="C1195" i="9" l="1"/>
  <c r="E1194" i="9"/>
  <c r="O1194" i="9"/>
  <c r="D1194" i="9"/>
  <c r="Q1005" i="9"/>
  <c r="P1005" i="9"/>
  <c r="G1006" i="9"/>
  <c r="J1005" i="9"/>
  <c r="N1005" i="9"/>
  <c r="M1005" i="9"/>
  <c r="K1005" i="9"/>
  <c r="L1005" i="9"/>
  <c r="I1006" i="9"/>
  <c r="A1007" i="9"/>
  <c r="H1006" i="9"/>
  <c r="E1195" i="9" l="1"/>
  <c r="D1195" i="9"/>
  <c r="O1195" i="9"/>
  <c r="C1196" i="9"/>
  <c r="I1007" i="9"/>
  <c r="A1008" i="9"/>
  <c r="H1007" i="9"/>
  <c r="Q1006" i="9"/>
  <c r="P1006" i="9"/>
  <c r="G1007" i="9"/>
  <c r="J1006" i="9"/>
  <c r="N1006" i="9"/>
  <c r="M1006" i="9"/>
  <c r="K1006" i="9"/>
  <c r="L1006" i="9"/>
  <c r="O1196" i="9" l="1"/>
  <c r="D1196" i="9"/>
  <c r="E1196" i="9"/>
  <c r="C1197" i="9"/>
  <c r="Q1007" i="9"/>
  <c r="P1007" i="9"/>
  <c r="G1008" i="9"/>
  <c r="J1007" i="9"/>
  <c r="N1007" i="9"/>
  <c r="M1007" i="9"/>
  <c r="K1007" i="9"/>
  <c r="L1007" i="9"/>
  <c r="I1008" i="9"/>
  <c r="A1009" i="9"/>
  <c r="H1008" i="9"/>
  <c r="C1198" i="9" l="1"/>
  <c r="D1197" i="9"/>
  <c r="E1197" i="9"/>
  <c r="O1197" i="9"/>
  <c r="J1008" i="9"/>
  <c r="N1008" i="9"/>
  <c r="M1008" i="9"/>
  <c r="K1008" i="9"/>
  <c r="L1008" i="9"/>
  <c r="I1009" i="9"/>
  <c r="A1010" i="9"/>
  <c r="H1009" i="9"/>
  <c r="Q1008" i="9"/>
  <c r="P1008" i="9"/>
  <c r="G1009" i="9"/>
  <c r="C1199" i="9" l="1"/>
  <c r="E1198" i="9"/>
  <c r="O1198" i="9"/>
  <c r="D1198" i="9"/>
  <c r="Q1009" i="9"/>
  <c r="P1009" i="9"/>
  <c r="G1010" i="9"/>
  <c r="J1009" i="9"/>
  <c r="N1009" i="9"/>
  <c r="M1009" i="9"/>
  <c r="K1009" i="9"/>
  <c r="L1009" i="9"/>
  <c r="I1010" i="9"/>
  <c r="A1011" i="9"/>
  <c r="H1010" i="9"/>
  <c r="O1199" i="9" l="1"/>
  <c r="D1199" i="9"/>
  <c r="C1200" i="9"/>
  <c r="E1199" i="9"/>
  <c r="Q1010" i="9"/>
  <c r="P1010" i="9"/>
  <c r="G1011" i="9"/>
  <c r="I1011" i="9"/>
  <c r="A1012" i="9"/>
  <c r="H1011" i="9"/>
  <c r="J1010" i="9"/>
  <c r="N1010" i="9"/>
  <c r="M1010" i="9"/>
  <c r="K1010" i="9"/>
  <c r="L1010" i="9"/>
  <c r="E1200" i="9" l="1"/>
  <c r="O1200" i="9"/>
  <c r="D1200" i="9"/>
  <c r="C1201" i="9"/>
  <c r="Q1011" i="9"/>
  <c r="P1011" i="9"/>
  <c r="G1012" i="9"/>
  <c r="J1011" i="9"/>
  <c r="N1011" i="9"/>
  <c r="M1011" i="9"/>
  <c r="K1011" i="9"/>
  <c r="L1011" i="9"/>
  <c r="I1012" i="9"/>
  <c r="A1013" i="9"/>
  <c r="H1012" i="9"/>
  <c r="D1201" i="9" l="1"/>
  <c r="C1202" i="9"/>
  <c r="E1201" i="9"/>
  <c r="O1201" i="9"/>
  <c r="I1013" i="9"/>
  <c r="A1014" i="9"/>
  <c r="H1013" i="9"/>
  <c r="Q1012" i="9"/>
  <c r="P1012" i="9"/>
  <c r="G1013" i="9"/>
  <c r="J1012" i="9"/>
  <c r="N1012" i="9"/>
  <c r="M1012" i="9"/>
  <c r="K1012" i="9"/>
  <c r="L1012" i="9"/>
  <c r="E1202" i="9" l="1"/>
  <c r="O1202" i="9"/>
  <c r="D1202" i="9"/>
  <c r="C1203" i="9"/>
  <c r="J1013" i="9"/>
  <c r="N1013" i="9"/>
  <c r="M1013" i="9"/>
  <c r="K1013" i="9"/>
  <c r="L1013" i="9"/>
  <c r="Q1013" i="9"/>
  <c r="P1013" i="9"/>
  <c r="G1014" i="9"/>
  <c r="I1014" i="9"/>
  <c r="A1015" i="9"/>
  <c r="H1014" i="9"/>
  <c r="D1203" i="9" l="1"/>
  <c r="C1204" i="9"/>
  <c r="E1203" i="9"/>
  <c r="O1203" i="9"/>
  <c r="J1014" i="9"/>
  <c r="N1014" i="9"/>
  <c r="M1014" i="9"/>
  <c r="K1014" i="9"/>
  <c r="L1014" i="9"/>
  <c r="I1015" i="9"/>
  <c r="A1016" i="9"/>
  <c r="H1015" i="9"/>
  <c r="Q1014" i="9"/>
  <c r="P1014" i="9"/>
  <c r="G1015" i="9"/>
  <c r="C1205" i="9" l="1"/>
  <c r="O1204" i="9"/>
  <c r="E1204" i="9"/>
  <c r="D1204" i="9"/>
  <c r="J1015" i="9"/>
  <c r="N1015" i="9"/>
  <c r="M1015" i="9"/>
  <c r="K1015" i="9"/>
  <c r="L1015" i="9"/>
  <c r="I1016" i="9"/>
  <c r="A1017" i="9"/>
  <c r="H1016" i="9"/>
  <c r="Q1015" i="9"/>
  <c r="P1015" i="9"/>
  <c r="G1016" i="9"/>
  <c r="C1206" i="9" l="1"/>
  <c r="E1205" i="9"/>
  <c r="D1205" i="9"/>
  <c r="O1205" i="9"/>
  <c r="J1016" i="9"/>
  <c r="N1016" i="9"/>
  <c r="M1016" i="9"/>
  <c r="K1016" i="9"/>
  <c r="L1016" i="9"/>
  <c r="Q1016" i="9"/>
  <c r="P1016" i="9"/>
  <c r="G1017" i="9"/>
  <c r="I1017" i="9"/>
  <c r="A1018" i="9"/>
  <c r="H1017" i="9"/>
  <c r="E1206" i="9" l="1"/>
  <c r="O1206" i="9"/>
  <c r="D1206" i="9"/>
  <c r="C1207" i="9"/>
  <c r="J1017" i="9"/>
  <c r="N1017" i="9"/>
  <c r="M1017" i="9"/>
  <c r="K1017" i="9"/>
  <c r="L1017" i="9"/>
  <c r="I1018" i="9"/>
  <c r="A1019" i="9"/>
  <c r="H1018" i="9"/>
  <c r="Q1017" i="9"/>
  <c r="P1017" i="9"/>
  <c r="G1018" i="9"/>
  <c r="C1208" i="9" l="1"/>
  <c r="E1207" i="9"/>
  <c r="D1207" i="9"/>
  <c r="O1207" i="9"/>
  <c r="J1018" i="9"/>
  <c r="N1018" i="9"/>
  <c r="M1018" i="9"/>
  <c r="K1018" i="9"/>
  <c r="L1018" i="9"/>
  <c r="I1019" i="9"/>
  <c r="A1020" i="9"/>
  <c r="H1019" i="9"/>
  <c r="Q1018" i="9"/>
  <c r="P1018" i="9"/>
  <c r="G1019" i="9"/>
  <c r="C1209" i="9" l="1"/>
  <c r="E1208" i="9"/>
  <c r="O1208" i="9"/>
  <c r="D1208" i="9"/>
  <c r="J1019" i="9"/>
  <c r="N1019" i="9"/>
  <c r="M1019" i="9"/>
  <c r="K1019" i="9"/>
  <c r="L1019" i="9"/>
  <c r="Q1019" i="9"/>
  <c r="P1019" i="9"/>
  <c r="G1020" i="9"/>
  <c r="I1020" i="9"/>
  <c r="A1021" i="9"/>
  <c r="H1020" i="9"/>
  <c r="C1210" i="9" l="1"/>
  <c r="E1209" i="9"/>
  <c r="O1209" i="9"/>
  <c r="D1209" i="9"/>
  <c r="I1021" i="9"/>
  <c r="A1022" i="9"/>
  <c r="H1021" i="9"/>
  <c r="Q1020" i="9"/>
  <c r="P1020" i="9"/>
  <c r="G1021" i="9"/>
  <c r="J1020" i="9"/>
  <c r="N1020" i="9"/>
  <c r="M1020" i="9"/>
  <c r="K1020" i="9"/>
  <c r="L1020" i="9"/>
  <c r="D1210" i="9" l="1"/>
  <c r="O1210" i="9"/>
  <c r="C1211" i="9"/>
  <c r="E1210" i="9"/>
  <c r="Q1021" i="9"/>
  <c r="P1021" i="9"/>
  <c r="G1022" i="9"/>
  <c r="J1021" i="9"/>
  <c r="N1021" i="9"/>
  <c r="M1021" i="9"/>
  <c r="K1021" i="9"/>
  <c r="L1021" i="9"/>
  <c r="I1022" i="9"/>
  <c r="A1023" i="9"/>
  <c r="H1022" i="9"/>
  <c r="C1212" i="9" l="1"/>
  <c r="E1211" i="9"/>
  <c r="O1211" i="9"/>
  <c r="D1211" i="9"/>
  <c r="I1023" i="9"/>
  <c r="A1024" i="9"/>
  <c r="H1023" i="9"/>
  <c r="Q1022" i="9"/>
  <c r="P1022" i="9"/>
  <c r="G1023" i="9"/>
  <c r="J1022" i="9"/>
  <c r="N1022" i="9"/>
  <c r="M1022" i="9"/>
  <c r="K1022" i="9"/>
  <c r="L1022" i="9"/>
  <c r="C1213" i="9" l="1"/>
  <c r="E1212" i="9"/>
  <c r="O1212" i="9"/>
  <c r="D1212" i="9"/>
  <c r="Q1023" i="9"/>
  <c r="P1023" i="9"/>
  <c r="G1024" i="9"/>
  <c r="I1024" i="9"/>
  <c r="A1025" i="9"/>
  <c r="H1024" i="9"/>
  <c r="J1023" i="9"/>
  <c r="N1023" i="9"/>
  <c r="M1023" i="9"/>
  <c r="K1023" i="9"/>
  <c r="L1023" i="9"/>
  <c r="O1213" i="9" l="1"/>
  <c r="E1213" i="9"/>
  <c r="D1213" i="9"/>
  <c r="C1214" i="9"/>
  <c r="I1025" i="9"/>
  <c r="A1026" i="9"/>
  <c r="H1025" i="9"/>
  <c r="Q1024" i="9"/>
  <c r="P1024" i="9"/>
  <c r="G1025" i="9"/>
  <c r="J1024" i="9"/>
  <c r="N1024" i="9"/>
  <c r="M1024" i="9"/>
  <c r="K1024" i="9"/>
  <c r="L1024" i="9"/>
  <c r="C1215" i="9" l="1"/>
  <c r="E1214" i="9"/>
  <c r="O1214" i="9"/>
  <c r="D1214" i="9"/>
  <c r="J1025" i="9"/>
  <c r="N1025" i="9"/>
  <c r="M1025" i="9"/>
  <c r="K1025" i="9"/>
  <c r="L1025" i="9"/>
  <c r="I1026" i="9"/>
  <c r="A1027" i="9"/>
  <c r="H1026" i="9"/>
  <c r="Q1025" i="9"/>
  <c r="P1025" i="9"/>
  <c r="G1026" i="9"/>
  <c r="D1215" i="9" l="1"/>
  <c r="C1216" i="9"/>
  <c r="E1215" i="9"/>
  <c r="O1215" i="9"/>
  <c r="J1026" i="9"/>
  <c r="N1026" i="9"/>
  <c r="M1026" i="9"/>
  <c r="K1026" i="9"/>
  <c r="L1026" i="9"/>
  <c r="Q1026" i="9"/>
  <c r="P1026" i="9"/>
  <c r="G1027" i="9"/>
  <c r="I1027" i="9"/>
  <c r="A1028" i="9"/>
  <c r="H1027" i="9"/>
  <c r="D1216" i="9" l="1"/>
  <c r="C1217" i="9"/>
  <c r="E1216" i="9"/>
  <c r="O1216" i="9"/>
  <c r="I1028" i="9"/>
  <c r="A1029" i="9"/>
  <c r="H1028" i="9"/>
  <c r="Q1027" i="9"/>
  <c r="P1027" i="9"/>
  <c r="G1028" i="9"/>
  <c r="J1027" i="9"/>
  <c r="N1027" i="9"/>
  <c r="M1027" i="9"/>
  <c r="K1027" i="9"/>
  <c r="L1027" i="9"/>
  <c r="E1217" i="9" l="1"/>
  <c r="O1217" i="9"/>
  <c r="D1217" i="9"/>
  <c r="C1218" i="9"/>
  <c r="Q1028" i="9"/>
  <c r="P1028" i="9"/>
  <c r="G1029" i="9"/>
  <c r="J1028" i="9"/>
  <c r="N1028" i="9"/>
  <c r="M1028" i="9"/>
  <c r="K1028" i="9"/>
  <c r="L1028" i="9"/>
  <c r="I1029" i="9"/>
  <c r="A1030" i="9"/>
  <c r="H1029" i="9"/>
  <c r="C1219" i="9" l="1"/>
  <c r="D1218" i="9"/>
  <c r="E1218" i="9"/>
  <c r="O1218" i="9"/>
  <c r="I1030" i="9"/>
  <c r="A1031" i="9"/>
  <c r="H1030" i="9"/>
  <c r="Q1029" i="9"/>
  <c r="P1029" i="9"/>
  <c r="G1030" i="9"/>
  <c r="J1029" i="9"/>
  <c r="N1029" i="9"/>
  <c r="M1029" i="9"/>
  <c r="K1029" i="9"/>
  <c r="L1029" i="9"/>
  <c r="C1220" i="9" l="1"/>
  <c r="E1219" i="9"/>
  <c r="D1219" i="9"/>
  <c r="O1219" i="9"/>
  <c r="I1031" i="9"/>
  <c r="A1032" i="9"/>
  <c r="H1031" i="9"/>
  <c r="Q1030" i="9"/>
  <c r="P1030" i="9"/>
  <c r="G1031" i="9"/>
  <c r="J1030" i="9"/>
  <c r="N1030" i="9"/>
  <c r="M1030" i="9"/>
  <c r="K1030" i="9"/>
  <c r="L1030" i="9"/>
  <c r="C1221" i="9" l="1"/>
  <c r="E1220" i="9"/>
  <c r="O1220" i="9"/>
  <c r="D1220" i="9"/>
  <c r="J1031" i="9"/>
  <c r="N1031" i="9"/>
  <c r="M1031" i="9"/>
  <c r="K1031" i="9"/>
  <c r="L1031" i="9"/>
  <c r="I1032" i="9"/>
  <c r="A1033" i="9"/>
  <c r="H1032" i="9"/>
  <c r="Q1031" i="9"/>
  <c r="P1031" i="9"/>
  <c r="G1032" i="9"/>
  <c r="E1221" i="9" l="1"/>
  <c r="O1221" i="9"/>
  <c r="D1221" i="9"/>
  <c r="C1222" i="9"/>
  <c r="J1032" i="9"/>
  <c r="N1032" i="9"/>
  <c r="M1032" i="9"/>
  <c r="K1032" i="9"/>
  <c r="L1032" i="9"/>
  <c r="Q1032" i="9"/>
  <c r="P1032" i="9"/>
  <c r="G1033" i="9"/>
  <c r="I1033" i="9"/>
  <c r="A1034" i="9"/>
  <c r="H1033" i="9"/>
  <c r="O1222" i="9" l="1"/>
  <c r="D1222" i="9"/>
  <c r="C1223" i="9"/>
  <c r="E1222" i="9"/>
  <c r="I1034" i="9"/>
  <c r="A1035" i="9"/>
  <c r="H1034" i="9"/>
  <c r="Q1033" i="9"/>
  <c r="P1033" i="9"/>
  <c r="G1034" i="9"/>
  <c r="J1033" i="9"/>
  <c r="N1033" i="9"/>
  <c r="M1033" i="9"/>
  <c r="K1033" i="9"/>
  <c r="L1033" i="9"/>
  <c r="E1223" i="9" l="1"/>
  <c r="O1223" i="9"/>
  <c r="D1223" i="9"/>
  <c r="C1224" i="9"/>
  <c r="Q1034" i="9"/>
  <c r="P1034" i="9"/>
  <c r="G1035" i="9"/>
  <c r="J1034" i="9"/>
  <c r="N1034" i="9"/>
  <c r="M1034" i="9"/>
  <c r="K1034" i="9"/>
  <c r="L1034" i="9"/>
  <c r="I1035" i="9"/>
  <c r="A1036" i="9"/>
  <c r="H1035" i="9"/>
  <c r="D1224" i="9" l="1"/>
  <c r="C1225" i="9"/>
  <c r="O1224" i="9"/>
  <c r="E1224" i="9"/>
  <c r="I1036" i="9"/>
  <c r="A1037" i="9"/>
  <c r="H1036" i="9"/>
  <c r="Q1035" i="9"/>
  <c r="P1035" i="9"/>
  <c r="G1036" i="9"/>
  <c r="J1035" i="9"/>
  <c r="N1035" i="9"/>
  <c r="M1035" i="9"/>
  <c r="K1035" i="9"/>
  <c r="L1035" i="9"/>
  <c r="O1225" i="9" l="1"/>
  <c r="E1225" i="9"/>
  <c r="D1225" i="9"/>
  <c r="C1226" i="9"/>
  <c r="J1036" i="9"/>
  <c r="N1036" i="9"/>
  <c r="M1036" i="9"/>
  <c r="K1036" i="9"/>
  <c r="L1036" i="9"/>
  <c r="I1037" i="9"/>
  <c r="A1038" i="9"/>
  <c r="H1037" i="9"/>
  <c r="Q1036" i="9"/>
  <c r="P1036" i="9"/>
  <c r="G1037" i="9"/>
  <c r="D1226" i="9" l="1"/>
  <c r="C1227" i="9"/>
  <c r="O1226" i="9"/>
  <c r="E1226" i="9"/>
  <c r="J1037" i="9"/>
  <c r="N1037" i="9"/>
  <c r="M1037" i="9"/>
  <c r="K1037" i="9"/>
  <c r="L1037" i="9"/>
  <c r="Q1037" i="9"/>
  <c r="P1037" i="9"/>
  <c r="G1038" i="9"/>
  <c r="I1038" i="9"/>
  <c r="A1039" i="9"/>
  <c r="H1038" i="9"/>
  <c r="C1228" i="9" l="1"/>
  <c r="E1227" i="9"/>
  <c r="O1227" i="9"/>
  <c r="D1227" i="9"/>
  <c r="I1039" i="9"/>
  <c r="A1040" i="9"/>
  <c r="H1039" i="9"/>
  <c r="J1038" i="9"/>
  <c r="N1038" i="9"/>
  <c r="M1038" i="9"/>
  <c r="K1038" i="9"/>
  <c r="L1038" i="9"/>
  <c r="Q1038" i="9"/>
  <c r="P1038" i="9"/>
  <c r="G1039" i="9"/>
  <c r="C1229" i="9" l="1"/>
  <c r="D1228" i="9"/>
  <c r="E1228" i="9"/>
  <c r="O1228" i="9"/>
  <c r="J1039" i="9"/>
  <c r="N1039" i="9"/>
  <c r="M1039" i="9"/>
  <c r="K1039" i="9"/>
  <c r="L1039" i="9"/>
  <c r="Q1039" i="9"/>
  <c r="P1039" i="9"/>
  <c r="G1040" i="9"/>
  <c r="I1040" i="9"/>
  <c r="A1041" i="9"/>
  <c r="H1040" i="9"/>
  <c r="D1229" i="9" l="1"/>
  <c r="C1230" i="9"/>
  <c r="O1229" i="9"/>
  <c r="E1229" i="9"/>
  <c r="J1040" i="9"/>
  <c r="N1040" i="9"/>
  <c r="M1040" i="9"/>
  <c r="K1040" i="9"/>
  <c r="L1040" i="9"/>
  <c r="I1041" i="9"/>
  <c r="A1042" i="9"/>
  <c r="H1041" i="9"/>
  <c r="Q1040" i="9"/>
  <c r="P1040" i="9"/>
  <c r="G1041" i="9"/>
  <c r="C1231" i="9" l="1"/>
  <c r="D1230" i="9"/>
  <c r="E1230" i="9"/>
  <c r="O1230" i="9"/>
  <c r="J1041" i="9"/>
  <c r="N1041" i="9"/>
  <c r="M1041" i="9"/>
  <c r="K1041" i="9"/>
  <c r="L1041" i="9"/>
  <c r="Q1041" i="9"/>
  <c r="P1041" i="9"/>
  <c r="G1042" i="9"/>
  <c r="I1042" i="9"/>
  <c r="A1043" i="9"/>
  <c r="H1042" i="9"/>
  <c r="E1231" i="9" l="1"/>
  <c r="O1231" i="9"/>
  <c r="C1232" i="9"/>
  <c r="D1231" i="9"/>
  <c r="J1042" i="9"/>
  <c r="N1042" i="9"/>
  <c r="M1042" i="9"/>
  <c r="K1042" i="9"/>
  <c r="L1042" i="9"/>
  <c r="I1043" i="9"/>
  <c r="A1044" i="9"/>
  <c r="H1043" i="9"/>
  <c r="Q1042" i="9"/>
  <c r="P1042" i="9"/>
  <c r="G1043" i="9"/>
  <c r="E1232" i="9" l="1"/>
  <c r="C1233" i="9"/>
  <c r="O1232" i="9"/>
  <c r="D1232" i="9"/>
  <c r="J1043" i="9"/>
  <c r="N1043" i="9"/>
  <c r="M1043" i="9"/>
  <c r="K1043" i="9"/>
  <c r="L1043" i="9"/>
  <c r="I1044" i="9"/>
  <c r="A1045" i="9"/>
  <c r="H1044" i="9"/>
  <c r="Q1043" i="9"/>
  <c r="P1043" i="9"/>
  <c r="G1044" i="9"/>
  <c r="D1233" i="9" l="1"/>
  <c r="C1234" i="9"/>
  <c r="E1233" i="9"/>
  <c r="O1233" i="9"/>
  <c r="J1044" i="9"/>
  <c r="N1044" i="9"/>
  <c r="M1044" i="9"/>
  <c r="K1044" i="9"/>
  <c r="L1044" i="9"/>
  <c r="Q1044" i="9"/>
  <c r="P1044" i="9"/>
  <c r="G1045" i="9"/>
  <c r="I1045" i="9"/>
  <c r="A1046" i="9"/>
  <c r="H1045" i="9"/>
  <c r="O1234" i="9" l="1"/>
  <c r="D1234" i="9"/>
  <c r="C1235" i="9"/>
  <c r="E1234" i="9"/>
  <c r="J1045" i="9"/>
  <c r="N1045" i="9"/>
  <c r="M1045" i="9"/>
  <c r="K1045" i="9"/>
  <c r="L1045" i="9"/>
  <c r="I1046" i="9"/>
  <c r="A1047" i="9"/>
  <c r="H1046" i="9"/>
  <c r="Q1045" i="9"/>
  <c r="P1045" i="9"/>
  <c r="G1046" i="9"/>
  <c r="E1235" i="9" l="1"/>
  <c r="O1235" i="9"/>
  <c r="C1236" i="9"/>
  <c r="D1235" i="9"/>
  <c r="J1046" i="9"/>
  <c r="N1046" i="9"/>
  <c r="M1046" i="9"/>
  <c r="K1046" i="9"/>
  <c r="L1046" i="9"/>
  <c r="I1047" i="9"/>
  <c r="A1048" i="9"/>
  <c r="H1047" i="9"/>
  <c r="Q1046" i="9"/>
  <c r="P1046" i="9"/>
  <c r="G1047" i="9"/>
  <c r="D1236" i="9" l="1"/>
  <c r="C1237" i="9"/>
  <c r="O1236" i="9"/>
  <c r="E1236" i="9"/>
  <c r="Q1047" i="9"/>
  <c r="P1047" i="9"/>
  <c r="G1048" i="9"/>
  <c r="J1047" i="9"/>
  <c r="N1047" i="9"/>
  <c r="M1047" i="9"/>
  <c r="K1047" i="9"/>
  <c r="L1047" i="9"/>
  <c r="I1048" i="9"/>
  <c r="A1049" i="9"/>
  <c r="H1048" i="9"/>
  <c r="E1237" i="9" l="1"/>
  <c r="O1237" i="9"/>
  <c r="D1237" i="9"/>
  <c r="C1238" i="9"/>
  <c r="I1049" i="9"/>
  <c r="A1050" i="9"/>
  <c r="H1049" i="9"/>
  <c r="Q1048" i="9"/>
  <c r="P1048" i="9"/>
  <c r="G1049" i="9"/>
  <c r="J1048" i="9"/>
  <c r="N1048" i="9"/>
  <c r="M1048" i="9"/>
  <c r="K1048" i="9"/>
  <c r="L1048" i="9"/>
  <c r="C1239" i="9" l="1"/>
  <c r="E1238" i="9"/>
  <c r="O1238" i="9"/>
  <c r="D1238" i="9"/>
  <c r="J1049" i="9"/>
  <c r="N1049" i="9"/>
  <c r="M1049" i="9"/>
  <c r="K1049" i="9"/>
  <c r="L1049" i="9"/>
  <c r="Q1049" i="9"/>
  <c r="P1049" i="9"/>
  <c r="G1050" i="9"/>
  <c r="I1050" i="9"/>
  <c r="A1051" i="9"/>
  <c r="H1050" i="9"/>
  <c r="C1240" i="9" l="1"/>
  <c r="E1239" i="9"/>
  <c r="D1239" i="9"/>
  <c r="O1239" i="9"/>
  <c r="J1050" i="9"/>
  <c r="N1050" i="9"/>
  <c r="M1050" i="9"/>
  <c r="K1050" i="9"/>
  <c r="L1050" i="9"/>
  <c r="I1051" i="9"/>
  <c r="A1052" i="9"/>
  <c r="H1051" i="9"/>
  <c r="Q1050" i="9"/>
  <c r="P1050" i="9"/>
  <c r="G1051" i="9"/>
  <c r="D1240" i="9" l="1"/>
  <c r="E1240" i="9"/>
  <c r="O1240" i="9"/>
  <c r="C1241" i="9"/>
  <c r="J1051" i="9"/>
  <c r="N1051" i="9"/>
  <c r="M1051" i="9"/>
  <c r="K1051" i="9"/>
  <c r="L1051" i="9"/>
  <c r="I1052" i="9"/>
  <c r="A1053" i="9"/>
  <c r="H1052" i="9"/>
  <c r="Q1051" i="9"/>
  <c r="P1051" i="9"/>
  <c r="G1052" i="9"/>
  <c r="O1241" i="9" l="1"/>
  <c r="D1241" i="9"/>
  <c r="E1241" i="9"/>
  <c r="C1242" i="9"/>
  <c r="J1052" i="9"/>
  <c r="N1052" i="9"/>
  <c r="M1052" i="9"/>
  <c r="K1052" i="9"/>
  <c r="L1052" i="9"/>
  <c r="Q1052" i="9"/>
  <c r="P1052" i="9"/>
  <c r="G1053" i="9"/>
  <c r="I1053" i="9"/>
  <c r="A1054" i="9"/>
  <c r="H1053" i="9"/>
  <c r="D1242" i="9" l="1"/>
  <c r="C1243" i="9"/>
  <c r="O1242" i="9"/>
  <c r="E1242" i="9"/>
  <c r="I1054" i="9"/>
  <c r="A1055" i="9"/>
  <c r="H1054" i="9"/>
  <c r="J1053" i="9"/>
  <c r="N1053" i="9"/>
  <c r="M1053" i="9"/>
  <c r="K1053" i="9"/>
  <c r="L1053" i="9"/>
  <c r="Q1053" i="9"/>
  <c r="P1053" i="9"/>
  <c r="G1054" i="9"/>
  <c r="O1243" i="9" l="1"/>
  <c r="D1243" i="9"/>
  <c r="E1243" i="9"/>
  <c r="C1244" i="9"/>
  <c r="J1054" i="9"/>
  <c r="N1054" i="9"/>
  <c r="M1054" i="9"/>
  <c r="K1054" i="9"/>
  <c r="L1054" i="9"/>
  <c r="I1055" i="9"/>
  <c r="A1056" i="9"/>
  <c r="H1055" i="9"/>
  <c r="Q1054" i="9"/>
  <c r="P1054" i="9"/>
  <c r="G1055" i="9"/>
  <c r="E1244" i="9" l="1"/>
  <c r="O1244" i="9"/>
  <c r="D1244" i="9"/>
  <c r="C1245" i="9"/>
  <c r="J1055" i="9"/>
  <c r="N1055" i="9"/>
  <c r="M1055" i="9"/>
  <c r="K1055" i="9"/>
  <c r="L1055" i="9"/>
  <c r="I1056" i="9"/>
  <c r="A1057" i="9"/>
  <c r="H1056" i="9"/>
  <c r="Q1055" i="9"/>
  <c r="P1055" i="9"/>
  <c r="G1056" i="9"/>
  <c r="C1246" i="9" l="1"/>
  <c r="E1245" i="9"/>
  <c r="O1245" i="9"/>
  <c r="D1245" i="9"/>
  <c r="Q1056" i="9"/>
  <c r="P1056" i="9"/>
  <c r="G1057" i="9"/>
  <c r="J1056" i="9"/>
  <c r="N1056" i="9"/>
  <c r="M1056" i="9"/>
  <c r="K1056" i="9"/>
  <c r="L1056" i="9"/>
  <c r="I1057" i="9"/>
  <c r="A1058" i="9"/>
  <c r="H1057" i="9"/>
  <c r="D1246" i="9" l="1"/>
  <c r="O1246" i="9"/>
  <c r="C1247" i="9"/>
  <c r="E1246" i="9"/>
  <c r="I1058" i="9"/>
  <c r="A1059" i="9"/>
  <c r="H1058" i="9"/>
  <c r="Q1057" i="9"/>
  <c r="P1057" i="9"/>
  <c r="G1058" i="9"/>
  <c r="J1057" i="9"/>
  <c r="N1057" i="9"/>
  <c r="M1057" i="9"/>
  <c r="K1057" i="9"/>
  <c r="L1057" i="9"/>
  <c r="O1247" i="9" l="1"/>
  <c r="D1247" i="9"/>
  <c r="C1248" i="9"/>
  <c r="E1247" i="9"/>
  <c r="Q1058" i="9"/>
  <c r="P1058" i="9"/>
  <c r="G1059" i="9"/>
  <c r="J1058" i="9"/>
  <c r="N1058" i="9"/>
  <c r="M1058" i="9"/>
  <c r="K1058" i="9"/>
  <c r="L1058" i="9"/>
  <c r="I1059" i="9"/>
  <c r="A1060" i="9"/>
  <c r="H1059" i="9"/>
  <c r="D1248" i="9" l="1"/>
  <c r="C1249" i="9"/>
  <c r="E1248" i="9"/>
  <c r="O1248" i="9"/>
  <c r="I1060" i="9"/>
  <c r="A1061" i="9"/>
  <c r="H1060" i="9"/>
  <c r="Q1059" i="9"/>
  <c r="P1059" i="9"/>
  <c r="G1060" i="9"/>
  <c r="J1059" i="9"/>
  <c r="N1059" i="9"/>
  <c r="M1059" i="9"/>
  <c r="K1059" i="9"/>
  <c r="L1059" i="9"/>
  <c r="E1249" i="9" l="1"/>
  <c r="D1249" i="9"/>
  <c r="O1249" i="9"/>
  <c r="C1250" i="9"/>
  <c r="J1060" i="9"/>
  <c r="N1060" i="9"/>
  <c r="M1060" i="9"/>
  <c r="K1060" i="9"/>
  <c r="L1060" i="9"/>
  <c r="Q1060" i="9"/>
  <c r="P1060" i="9"/>
  <c r="G1061" i="9"/>
  <c r="I1061" i="9"/>
  <c r="A1062" i="9"/>
  <c r="H1061" i="9"/>
  <c r="O1250" i="9" l="1"/>
  <c r="D1250" i="9"/>
  <c r="C1251" i="9"/>
  <c r="E1250" i="9"/>
  <c r="I1062" i="9"/>
  <c r="A1063" i="9"/>
  <c r="H1062" i="9"/>
  <c r="Q1061" i="9"/>
  <c r="P1061" i="9"/>
  <c r="G1062" i="9"/>
  <c r="J1061" i="9"/>
  <c r="N1061" i="9"/>
  <c r="M1061" i="9"/>
  <c r="K1061" i="9"/>
  <c r="L1061" i="9"/>
  <c r="C1252" i="9" l="1"/>
  <c r="E1251" i="9"/>
  <c r="D1251" i="9"/>
  <c r="O1251" i="9"/>
  <c r="Q1062" i="9"/>
  <c r="P1062" i="9"/>
  <c r="G1063" i="9"/>
  <c r="J1062" i="9"/>
  <c r="N1062" i="9"/>
  <c r="M1062" i="9"/>
  <c r="K1062" i="9"/>
  <c r="L1062" i="9"/>
  <c r="I1063" i="9"/>
  <c r="A1064" i="9"/>
  <c r="H1063" i="9"/>
  <c r="E1252" i="9" l="1"/>
  <c r="C1253" i="9"/>
  <c r="O1252" i="9"/>
  <c r="D1252" i="9"/>
  <c r="I1064" i="9"/>
  <c r="A1065" i="9"/>
  <c r="H1064" i="9"/>
  <c r="Q1063" i="9"/>
  <c r="P1063" i="9"/>
  <c r="G1064" i="9"/>
  <c r="J1063" i="9"/>
  <c r="N1063" i="9"/>
  <c r="M1063" i="9"/>
  <c r="K1063" i="9"/>
  <c r="L1063" i="9"/>
  <c r="D1253" i="9" l="1"/>
  <c r="C1254" i="9"/>
  <c r="O1253" i="9"/>
  <c r="E1253" i="9"/>
  <c r="J1064" i="9"/>
  <c r="N1064" i="9"/>
  <c r="M1064" i="9"/>
  <c r="K1064" i="9"/>
  <c r="L1064" i="9"/>
  <c r="Q1064" i="9"/>
  <c r="P1064" i="9"/>
  <c r="G1065" i="9"/>
  <c r="I1065" i="9"/>
  <c r="A1066" i="9"/>
  <c r="H1065" i="9"/>
  <c r="C1255" i="9" l="1"/>
  <c r="E1254" i="9"/>
  <c r="D1254" i="9"/>
  <c r="O1254" i="9"/>
  <c r="I1066" i="9"/>
  <c r="A1067" i="9"/>
  <c r="H1066" i="9"/>
  <c r="Q1065" i="9"/>
  <c r="P1065" i="9"/>
  <c r="G1066" i="9"/>
  <c r="J1065" i="9"/>
  <c r="N1065" i="9"/>
  <c r="M1065" i="9"/>
  <c r="K1065" i="9"/>
  <c r="L1065" i="9"/>
  <c r="D1255" i="9" l="1"/>
  <c r="C1256" i="9"/>
  <c r="O1255" i="9"/>
  <c r="E1255" i="9"/>
  <c r="Q1066" i="9"/>
  <c r="P1066" i="9"/>
  <c r="G1067" i="9"/>
  <c r="J1066" i="9"/>
  <c r="N1066" i="9"/>
  <c r="M1066" i="9"/>
  <c r="K1066" i="9"/>
  <c r="L1066" i="9"/>
  <c r="I1067" i="9"/>
  <c r="A1068" i="9"/>
  <c r="H1067" i="9"/>
  <c r="D1256" i="9" l="1"/>
  <c r="C1257" i="9"/>
  <c r="E1256" i="9"/>
  <c r="O1256" i="9"/>
  <c r="I1068" i="9"/>
  <c r="A1069" i="9"/>
  <c r="H1068" i="9"/>
  <c r="Q1067" i="9"/>
  <c r="P1067" i="9"/>
  <c r="G1068" i="9"/>
  <c r="J1067" i="9"/>
  <c r="N1067" i="9"/>
  <c r="M1067" i="9"/>
  <c r="K1067" i="9"/>
  <c r="L1067" i="9"/>
  <c r="O1257" i="9" l="1"/>
  <c r="D1257" i="9"/>
  <c r="E1257" i="9"/>
  <c r="C1258" i="9"/>
  <c r="Q1068" i="9"/>
  <c r="P1068" i="9"/>
  <c r="G1069" i="9"/>
  <c r="J1068" i="9"/>
  <c r="N1068" i="9"/>
  <c r="M1068" i="9"/>
  <c r="K1068" i="9"/>
  <c r="L1068" i="9"/>
  <c r="I1069" i="9"/>
  <c r="A1070" i="9"/>
  <c r="H1069" i="9"/>
  <c r="D1258" i="9" l="1"/>
  <c r="E1258" i="9"/>
  <c r="O1258" i="9"/>
  <c r="C1259" i="9"/>
  <c r="I1070" i="9"/>
  <c r="A1071" i="9"/>
  <c r="H1070" i="9"/>
  <c r="Q1069" i="9"/>
  <c r="P1069" i="9"/>
  <c r="G1070" i="9"/>
  <c r="J1069" i="9"/>
  <c r="N1069" i="9"/>
  <c r="M1069" i="9"/>
  <c r="K1069" i="9"/>
  <c r="L1069" i="9"/>
  <c r="O1259" i="9" l="1"/>
  <c r="D1259" i="9"/>
  <c r="C1260" i="9"/>
  <c r="E1259" i="9"/>
  <c r="Q1070" i="9"/>
  <c r="P1070" i="9"/>
  <c r="G1071" i="9"/>
  <c r="J1070" i="9"/>
  <c r="N1070" i="9"/>
  <c r="M1070" i="9"/>
  <c r="K1070" i="9"/>
  <c r="L1070" i="9"/>
  <c r="I1071" i="9"/>
  <c r="A1072" i="9"/>
  <c r="H1071" i="9"/>
  <c r="C1261" i="9" l="1"/>
  <c r="D1260" i="9"/>
  <c r="E1260" i="9"/>
  <c r="O1260" i="9"/>
  <c r="I1072" i="9"/>
  <c r="A1073" i="9"/>
  <c r="H1072" i="9"/>
  <c r="Q1071" i="9"/>
  <c r="P1071" i="9"/>
  <c r="G1072" i="9"/>
  <c r="J1071" i="9"/>
  <c r="N1071" i="9"/>
  <c r="M1071" i="9"/>
  <c r="K1071" i="9"/>
  <c r="L1071" i="9"/>
  <c r="D1261" i="9" l="1"/>
  <c r="C1262" i="9"/>
  <c r="O1261" i="9"/>
  <c r="E1261" i="9"/>
  <c r="J1072" i="9"/>
  <c r="N1072" i="9"/>
  <c r="M1072" i="9"/>
  <c r="K1072" i="9"/>
  <c r="L1072" i="9"/>
  <c r="Q1072" i="9"/>
  <c r="P1072" i="9"/>
  <c r="G1073" i="9"/>
  <c r="I1073" i="9"/>
  <c r="A1074" i="9"/>
  <c r="H1073" i="9"/>
  <c r="D1262" i="9" l="1"/>
  <c r="C1263" i="9"/>
  <c r="O1262" i="9"/>
  <c r="E1262" i="9"/>
  <c r="I1074" i="9"/>
  <c r="A1075" i="9"/>
  <c r="H1074" i="9"/>
  <c r="Q1073" i="9"/>
  <c r="P1073" i="9"/>
  <c r="G1074" i="9"/>
  <c r="J1073" i="9"/>
  <c r="N1073" i="9"/>
  <c r="M1073" i="9"/>
  <c r="K1073" i="9"/>
  <c r="L1073" i="9"/>
  <c r="E1263" i="9" l="1"/>
  <c r="C1264" i="9"/>
  <c r="O1263" i="9"/>
  <c r="D1263" i="9"/>
  <c r="Q1074" i="9"/>
  <c r="P1074" i="9"/>
  <c r="G1075" i="9"/>
  <c r="J1074" i="9"/>
  <c r="N1074" i="9"/>
  <c r="M1074" i="9"/>
  <c r="K1074" i="9"/>
  <c r="L1074" i="9"/>
  <c r="I1075" i="9"/>
  <c r="A1076" i="9"/>
  <c r="H1075" i="9"/>
  <c r="C1265" i="9" l="1"/>
  <c r="E1264" i="9"/>
  <c r="D1264" i="9"/>
  <c r="O1264" i="9"/>
  <c r="I1076" i="9"/>
  <c r="A1077" i="9"/>
  <c r="H1076" i="9"/>
  <c r="Q1075" i="9"/>
  <c r="P1075" i="9"/>
  <c r="G1076" i="9"/>
  <c r="J1075" i="9"/>
  <c r="N1075" i="9"/>
  <c r="M1075" i="9"/>
  <c r="K1075" i="9"/>
  <c r="L1075" i="9"/>
  <c r="C1266" i="9" l="1"/>
  <c r="E1265" i="9"/>
  <c r="O1265" i="9"/>
  <c r="D1265" i="9"/>
  <c r="J1076" i="9"/>
  <c r="N1076" i="9"/>
  <c r="M1076" i="9"/>
  <c r="K1076" i="9"/>
  <c r="L1076" i="9"/>
  <c r="Q1076" i="9"/>
  <c r="P1076" i="9"/>
  <c r="G1077" i="9"/>
  <c r="I1077" i="9"/>
  <c r="A1078" i="9"/>
  <c r="H1077" i="9"/>
  <c r="E1266" i="9" l="1"/>
  <c r="O1266" i="9"/>
  <c r="D1266" i="9"/>
  <c r="C1267" i="9"/>
  <c r="I1078" i="9"/>
  <c r="A1079" i="9"/>
  <c r="H1078" i="9"/>
  <c r="Q1077" i="9"/>
  <c r="P1077" i="9"/>
  <c r="G1078" i="9"/>
  <c r="J1077" i="9"/>
  <c r="N1077" i="9"/>
  <c r="M1077" i="9"/>
  <c r="K1077" i="9"/>
  <c r="L1077" i="9"/>
  <c r="D1267" i="9" l="1"/>
  <c r="E1267" i="9"/>
  <c r="O1267" i="9"/>
  <c r="C1268" i="9"/>
  <c r="Q1078" i="9"/>
  <c r="P1078" i="9"/>
  <c r="G1079" i="9"/>
  <c r="J1078" i="9"/>
  <c r="N1078" i="9"/>
  <c r="M1078" i="9"/>
  <c r="K1078" i="9"/>
  <c r="L1078" i="9"/>
  <c r="I1079" i="9"/>
  <c r="A1080" i="9"/>
  <c r="H1079" i="9"/>
  <c r="E1268" i="9" l="1"/>
  <c r="C1269" i="9"/>
  <c r="O1268" i="9"/>
  <c r="D1268" i="9"/>
  <c r="I1080" i="9"/>
  <c r="A1081" i="9"/>
  <c r="H1080" i="9"/>
  <c r="Q1079" i="9"/>
  <c r="P1079" i="9"/>
  <c r="G1080" i="9"/>
  <c r="J1079" i="9"/>
  <c r="N1079" i="9"/>
  <c r="M1079" i="9"/>
  <c r="K1079" i="9"/>
  <c r="L1079" i="9"/>
  <c r="D1269" i="9" l="1"/>
  <c r="C1270" i="9"/>
  <c r="E1269" i="9"/>
  <c r="O1269" i="9"/>
  <c r="J1080" i="9"/>
  <c r="N1080" i="9"/>
  <c r="M1080" i="9"/>
  <c r="K1080" i="9"/>
  <c r="L1080" i="9"/>
  <c r="Q1080" i="9"/>
  <c r="P1080" i="9"/>
  <c r="G1081" i="9"/>
  <c r="I1081" i="9"/>
  <c r="A1082" i="9"/>
  <c r="H1081" i="9"/>
  <c r="D1270" i="9" l="1"/>
  <c r="O1270" i="9"/>
  <c r="C1271" i="9"/>
  <c r="E1270" i="9"/>
  <c r="I1082" i="9"/>
  <c r="A1083" i="9"/>
  <c r="H1082" i="9"/>
  <c r="Q1081" i="9"/>
  <c r="P1081" i="9"/>
  <c r="G1082" i="9"/>
  <c r="J1081" i="9"/>
  <c r="N1081" i="9"/>
  <c r="M1081" i="9"/>
  <c r="K1081" i="9"/>
  <c r="L1081" i="9"/>
  <c r="E1271" i="9" l="1"/>
  <c r="O1271" i="9"/>
  <c r="D1271" i="9"/>
  <c r="C1272" i="9"/>
  <c r="Q1082" i="9"/>
  <c r="P1082" i="9"/>
  <c r="G1083" i="9"/>
  <c r="J1082" i="9"/>
  <c r="N1082" i="9"/>
  <c r="M1082" i="9"/>
  <c r="K1082" i="9"/>
  <c r="L1082" i="9"/>
  <c r="I1083" i="9"/>
  <c r="A1084" i="9"/>
  <c r="H1083" i="9"/>
  <c r="D1272" i="9" l="1"/>
  <c r="C1273" i="9"/>
  <c r="O1272" i="9"/>
  <c r="E1272" i="9"/>
  <c r="I1084" i="9"/>
  <c r="A1085" i="9"/>
  <c r="H1084" i="9"/>
  <c r="Q1083" i="9"/>
  <c r="P1083" i="9"/>
  <c r="G1084" i="9"/>
  <c r="J1083" i="9"/>
  <c r="N1083" i="9"/>
  <c r="M1083" i="9"/>
  <c r="K1083" i="9"/>
  <c r="L1083" i="9"/>
  <c r="O1273" i="9" l="1"/>
  <c r="D1273" i="9"/>
  <c r="C1274" i="9"/>
  <c r="E1273" i="9"/>
  <c r="Q1084" i="9"/>
  <c r="P1084" i="9"/>
  <c r="G1085" i="9"/>
  <c r="I1085" i="9"/>
  <c r="A1086" i="9"/>
  <c r="H1085" i="9"/>
  <c r="J1084" i="9"/>
  <c r="N1084" i="9"/>
  <c r="M1084" i="9"/>
  <c r="K1084" i="9"/>
  <c r="L1084" i="9"/>
  <c r="O1274" i="9" l="1"/>
  <c r="D1274" i="9"/>
  <c r="C1275" i="9"/>
  <c r="E1274" i="9"/>
  <c r="I1086" i="9"/>
  <c r="A1087" i="9"/>
  <c r="H1086" i="9"/>
  <c r="Q1085" i="9"/>
  <c r="P1085" i="9"/>
  <c r="G1086" i="9"/>
  <c r="J1085" i="9"/>
  <c r="N1085" i="9"/>
  <c r="M1085" i="9"/>
  <c r="K1085" i="9"/>
  <c r="L1085" i="9"/>
  <c r="C1276" i="9" l="1"/>
  <c r="E1275" i="9"/>
  <c r="O1275" i="9"/>
  <c r="D1275" i="9"/>
  <c r="Q1086" i="9"/>
  <c r="P1086" i="9"/>
  <c r="G1087" i="9"/>
  <c r="J1086" i="9"/>
  <c r="N1086" i="9"/>
  <c r="M1086" i="9"/>
  <c r="K1086" i="9"/>
  <c r="L1086" i="9"/>
  <c r="I1087" i="9"/>
  <c r="A1088" i="9"/>
  <c r="H1087" i="9"/>
  <c r="D1276" i="9" l="1"/>
  <c r="E1276" i="9"/>
  <c r="C1277" i="9"/>
  <c r="O1276" i="9"/>
  <c r="J1087" i="9"/>
  <c r="N1087" i="9"/>
  <c r="M1087" i="9"/>
  <c r="K1087" i="9"/>
  <c r="L1087" i="9"/>
  <c r="I1088" i="9"/>
  <c r="A1089" i="9"/>
  <c r="H1088" i="9"/>
  <c r="Q1087" i="9"/>
  <c r="P1087" i="9"/>
  <c r="G1088" i="9"/>
  <c r="O1277" i="9" l="1"/>
  <c r="D1277" i="9"/>
  <c r="E1277" i="9"/>
  <c r="C1278" i="9"/>
  <c r="J1088" i="9"/>
  <c r="N1088" i="9"/>
  <c r="M1088" i="9"/>
  <c r="K1088" i="9"/>
  <c r="L1088" i="9"/>
  <c r="Q1088" i="9"/>
  <c r="P1088" i="9"/>
  <c r="G1089" i="9"/>
  <c r="I1089" i="9"/>
  <c r="A1090" i="9"/>
  <c r="H1089" i="9"/>
  <c r="C1279" i="9" l="1"/>
  <c r="E1278" i="9"/>
  <c r="D1278" i="9"/>
  <c r="O1278" i="9"/>
  <c r="I1090" i="9"/>
  <c r="A1091" i="9"/>
  <c r="H1090" i="9"/>
  <c r="Q1089" i="9"/>
  <c r="P1089" i="9"/>
  <c r="G1090" i="9"/>
  <c r="J1089" i="9"/>
  <c r="N1089" i="9"/>
  <c r="M1089" i="9"/>
  <c r="K1089" i="9"/>
  <c r="L1089" i="9"/>
  <c r="E1279" i="9" l="1"/>
  <c r="O1279" i="9"/>
  <c r="C1280" i="9"/>
  <c r="D1279" i="9"/>
  <c r="Q1090" i="9"/>
  <c r="P1090" i="9"/>
  <c r="G1091" i="9"/>
  <c r="I1091" i="9"/>
  <c r="A1092" i="9"/>
  <c r="H1091" i="9"/>
  <c r="J1090" i="9"/>
  <c r="N1090" i="9"/>
  <c r="M1090" i="9"/>
  <c r="K1090" i="9"/>
  <c r="L1090" i="9"/>
  <c r="O1280" i="9" l="1"/>
  <c r="D1280" i="9"/>
  <c r="E1280" i="9"/>
  <c r="C1281" i="9"/>
  <c r="J1091" i="9"/>
  <c r="N1091" i="9"/>
  <c r="M1091" i="9"/>
  <c r="K1091" i="9"/>
  <c r="L1091" i="9"/>
  <c r="Q1091" i="9"/>
  <c r="P1091" i="9"/>
  <c r="G1092" i="9"/>
  <c r="I1092" i="9"/>
  <c r="A1093" i="9"/>
  <c r="H1092" i="9"/>
  <c r="C1282" i="9" l="1"/>
  <c r="E1281" i="9"/>
  <c r="D1281" i="9"/>
  <c r="O1281" i="9"/>
  <c r="J1092" i="9"/>
  <c r="N1092" i="9"/>
  <c r="M1092" i="9"/>
  <c r="K1092" i="9"/>
  <c r="L1092" i="9"/>
  <c r="I1093" i="9"/>
  <c r="A1094" i="9"/>
  <c r="H1093" i="9"/>
  <c r="Q1092" i="9"/>
  <c r="P1092" i="9"/>
  <c r="G1093" i="9"/>
  <c r="C1283" i="9" l="1"/>
  <c r="E1282" i="9"/>
  <c r="D1282" i="9"/>
  <c r="O1282" i="9"/>
  <c r="J1093" i="9"/>
  <c r="N1093" i="9"/>
  <c r="M1093" i="9"/>
  <c r="K1093" i="9"/>
  <c r="L1093" i="9"/>
  <c r="I1094" i="9"/>
  <c r="A1095" i="9"/>
  <c r="H1094" i="9"/>
  <c r="Q1093" i="9"/>
  <c r="P1093" i="9"/>
  <c r="G1094" i="9"/>
  <c r="C1284" i="9" l="1"/>
  <c r="D1283" i="9"/>
  <c r="E1283" i="9"/>
  <c r="O1283" i="9"/>
  <c r="Q1094" i="9"/>
  <c r="P1094" i="9"/>
  <c r="G1095" i="9"/>
  <c r="J1094" i="9"/>
  <c r="N1094" i="9"/>
  <c r="M1094" i="9"/>
  <c r="K1094" i="9"/>
  <c r="L1094" i="9"/>
  <c r="I1095" i="9"/>
  <c r="A1096" i="9"/>
  <c r="H1095" i="9"/>
  <c r="E1284" i="9" l="1"/>
  <c r="C1285" i="9"/>
  <c r="O1284" i="9"/>
  <c r="D1284" i="9"/>
  <c r="I1096" i="9"/>
  <c r="A1097" i="9"/>
  <c r="H1096" i="9"/>
  <c r="Q1095" i="9"/>
  <c r="P1095" i="9"/>
  <c r="G1096" i="9"/>
  <c r="J1095" i="9"/>
  <c r="N1095" i="9"/>
  <c r="M1095" i="9"/>
  <c r="K1095" i="9"/>
  <c r="L1095" i="9"/>
  <c r="O1285" i="9" l="1"/>
  <c r="D1285" i="9"/>
  <c r="E1285" i="9"/>
  <c r="C1286" i="9"/>
  <c r="J1096" i="9"/>
  <c r="N1096" i="9"/>
  <c r="M1096" i="9"/>
  <c r="K1096" i="9"/>
  <c r="L1096" i="9"/>
  <c r="Q1096" i="9"/>
  <c r="P1096" i="9"/>
  <c r="G1097" i="9"/>
  <c r="I1097" i="9"/>
  <c r="A1098" i="9"/>
  <c r="H1097" i="9"/>
  <c r="E1286" i="9" l="1"/>
  <c r="O1286" i="9"/>
  <c r="D1286" i="9"/>
  <c r="C1287" i="9"/>
  <c r="I1098" i="9"/>
  <c r="A1099" i="9"/>
  <c r="H1098" i="9"/>
  <c r="Q1097" i="9"/>
  <c r="P1097" i="9"/>
  <c r="G1098" i="9"/>
  <c r="J1097" i="9"/>
  <c r="N1097" i="9"/>
  <c r="M1097" i="9"/>
  <c r="K1097" i="9"/>
  <c r="L1097" i="9"/>
  <c r="D1287" i="9" l="1"/>
  <c r="E1287" i="9"/>
  <c r="C1288" i="9"/>
  <c r="O1287" i="9"/>
  <c r="Q1098" i="9"/>
  <c r="P1098" i="9"/>
  <c r="G1099" i="9"/>
  <c r="J1098" i="9"/>
  <c r="N1098" i="9"/>
  <c r="M1098" i="9"/>
  <c r="K1098" i="9"/>
  <c r="L1098" i="9"/>
  <c r="I1099" i="9"/>
  <c r="A1100" i="9"/>
  <c r="H1099" i="9"/>
  <c r="D1288" i="9" l="1"/>
  <c r="E1288" i="9"/>
  <c r="O1288" i="9"/>
  <c r="C1289" i="9"/>
  <c r="I1100" i="9"/>
  <c r="A1101" i="9"/>
  <c r="H1100" i="9"/>
  <c r="Q1099" i="9"/>
  <c r="P1099" i="9"/>
  <c r="G1100" i="9"/>
  <c r="J1099" i="9"/>
  <c r="N1099" i="9"/>
  <c r="M1099" i="9"/>
  <c r="K1099" i="9"/>
  <c r="L1099" i="9"/>
  <c r="E1289" i="9" l="1"/>
  <c r="O1289" i="9"/>
  <c r="D1289" i="9"/>
  <c r="C1290" i="9"/>
  <c r="Q1100" i="9"/>
  <c r="P1100" i="9"/>
  <c r="G1101" i="9"/>
  <c r="J1100" i="9"/>
  <c r="N1100" i="9"/>
  <c r="M1100" i="9"/>
  <c r="K1100" i="9"/>
  <c r="L1100" i="9"/>
  <c r="I1101" i="9"/>
  <c r="A1102" i="9"/>
  <c r="H1101" i="9"/>
  <c r="E1290" i="9" l="1"/>
  <c r="C1291" i="9"/>
  <c r="O1290" i="9"/>
  <c r="D1290" i="9"/>
  <c r="I1102" i="9"/>
  <c r="A1103" i="9"/>
  <c r="H1102" i="9"/>
  <c r="Q1101" i="9"/>
  <c r="P1101" i="9"/>
  <c r="G1102" i="9"/>
  <c r="J1101" i="9"/>
  <c r="N1101" i="9"/>
  <c r="M1101" i="9"/>
  <c r="K1101" i="9"/>
  <c r="L1101" i="9"/>
  <c r="E1291" i="9" l="1"/>
  <c r="O1291" i="9"/>
  <c r="D1291" i="9"/>
  <c r="C1292" i="9"/>
  <c r="Q1102" i="9"/>
  <c r="P1102" i="9"/>
  <c r="G1103" i="9"/>
  <c r="J1102" i="9"/>
  <c r="N1102" i="9"/>
  <c r="M1102" i="9"/>
  <c r="K1102" i="9"/>
  <c r="L1102" i="9"/>
  <c r="I1103" i="9"/>
  <c r="A1104" i="9"/>
  <c r="H1103" i="9"/>
  <c r="D1292" i="9" l="1"/>
  <c r="C1293" i="9"/>
  <c r="O1292" i="9"/>
  <c r="E1292" i="9"/>
  <c r="I1104" i="9"/>
  <c r="A1105" i="9"/>
  <c r="H1104" i="9"/>
  <c r="Q1103" i="9"/>
  <c r="P1103" i="9"/>
  <c r="G1104" i="9"/>
  <c r="J1103" i="9"/>
  <c r="N1103" i="9"/>
  <c r="M1103" i="9"/>
  <c r="K1103" i="9"/>
  <c r="L1103" i="9"/>
  <c r="E1293" i="9" l="1"/>
  <c r="C1294" i="9"/>
  <c r="O1293" i="9"/>
  <c r="D1293" i="9"/>
  <c r="J1104" i="9"/>
  <c r="N1104" i="9"/>
  <c r="M1104" i="9"/>
  <c r="K1104" i="9"/>
  <c r="L1104" i="9"/>
  <c r="Q1104" i="9"/>
  <c r="P1104" i="9"/>
  <c r="G1105" i="9"/>
  <c r="I1105" i="9"/>
  <c r="A1106" i="9"/>
  <c r="H1105" i="9"/>
  <c r="D1294" i="9" l="1"/>
  <c r="C1295" i="9"/>
  <c r="O1294" i="9"/>
  <c r="E1294" i="9"/>
  <c r="I1106" i="9"/>
  <c r="A1107" i="9"/>
  <c r="H1106" i="9"/>
  <c r="Q1105" i="9"/>
  <c r="P1105" i="9"/>
  <c r="G1106" i="9"/>
  <c r="J1105" i="9"/>
  <c r="N1105" i="9"/>
  <c r="M1105" i="9"/>
  <c r="K1105" i="9"/>
  <c r="L1105" i="9"/>
  <c r="O1295" i="9" l="1"/>
  <c r="D1295" i="9"/>
  <c r="C1296" i="9"/>
  <c r="E1295" i="9"/>
  <c r="Q1106" i="9"/>
  <c r="P1106" i="9"/>
  <c r="G1107" i="9"/>
  <c r="J1106" i="9"/>
  <c r="N1106" i="9"/>
  <c r="M1106" i="9"/>
  <c r="K1106" i="9"/>
  <c r="L1106" i="9"/>
  <c r="I1107" i="9"/>
  <c r="H1107" i="9"/>
  <c r="A1108" i="9"/>
  <c r="O1296" i="9" l="1"/>
  <c r="D1296" i="9"/>
  <c r="E1296" i="9"/>
  <c r="C1297" i="9"/>
  <c r="I1108" i="9"/>
  <c r="H1108" i="9"/>
  <c r="A1109" i="9"/>
  <c r="Q1107" i="9"/>
  <c r="G1108" i="9"/>
  <c r="P1107" i="9"/>
  <c r="J1107" i="9"/>
  <c r="N1107" i="9"/>
  <c r="M1107" i="9"/>
  <c r="K1107" i="9"/>
  <c r="L1107" i="9"/>
  <c r="C1298" i="9" l="1"/>
  <c r="E1297" i="9"/>
  <c r="O1297" i="9"/>
  <c r="D1297" i="9"/>
  <c r="G1109" i="9"/>
  <c r="Q1108" i="9"/>
  <c r="P1108" i="9"/>
  <c r="J1108" i="9"/>
  <c r="N1108" i="9"/>
  <c r="M1108" i="9"/>
  <c r="L1108" i="9"/>
  <c r="K1108" i="9"/>
  <c r="I1109" i="9"/>
  <c r="H1109" i="9"/>
  <c r="A1110" i="9"/>
  <c r="C1299" i="9" l="1"/>
  <c r="E1298" i="9"/>
  <c r="D1298" i="9"/>
  <c r="O1298" i="9"/>
  <c r="A1111" i="9"/>
  <c r="I1110" i="9"/>
  <c r="H1110" i="9"/>
  <c r="J1109" i="9"/>
  <c r="N1109" i="9"/>
  <c r="M1109" i="9"/>
  <c r="L1109" i="9"/>
  <c r="K1109" i="9"/>
  <c r="G1110" i="9"/>
  <c r="Q1109" i="9"/>
  <c r="P1109" i="9"/>
  <c r="E1299" i="9" l="1"/>
  <c r="O1299" i="9"/>
  <c r="D1299" i="9"/>
  <c r="C1300" i="9"/>
  <c r="J1110" i="9"/>
  <c r="N1110" i="9"/>
  <c r="M1110" i="9"/>
  <c r="L1110" i="9"/>
  <c r="K1110" i="9"/>
  <c r="Q1110" i="9"/>
  <c r="P1110" i="9"/>
  <c r="G1111" i="9"/>
  <c r="A1112" i="9"/>
  <c r="I1111" i="9"/>
  <c r="H1111" i="9"/>
  <c r="D1300" i="9" l="1"/>
  <c r="C1301" i="9"/>
  <c r="O1300" i="9"/>
  <c r="E1300" i="9"/>
  <c r="J1111" i="9"/>
  <c r="N1111" i="9"/>
  <c r="K1111" i="9"/>
  <c r="M1111" i="9"/>
  <c r="L1111" i="9"/>
  <c r="G1112" i="9"/>
  <c r="Q1111" i="9"/>
  <c r="P1111" i="9"/>
  <c r="I1112" i="9"/>
  <c r="H1112" i="9"/>
  <c r="A1113" i="9"/>
  <c r="O1301" i="9" l="1"/>
  <c r="D1301" i="9"/>
  <c r="C1302" i="9"/>
  <c r="E1301" i="9"/>
  <c r="G1113" i="9"/>
  <c r="Q1112" i="9"/>
  <c r="P1112" i="9"/>
  <c r="I1113" i="9"/>
  <c r="H1113" i="9"/>
  <c r="A1114" i="9"/>
  <c r="J1112" i="9"/>
  <c r="N1112" i="9"/>
  <c r="M1112" i="9"/>
  <c r="L1112" i="9"/>
  <c r="K1112" i="9"/>
  <c r="C1303" i="9" l="1"/>
  <c r="E1302" i="9"/>
  <c r="D1302" i="9"/>
  <c r="O1302" i="9"/>
  <c r="G1114" i="9"/>
  <c r="Q1113" i="9"/>
  <c r="P1113" i="9"/>
  <c r="A1115" i="9"/>
  <c r="I1114" i="9"/>
  <c r="H1114" i="9"/>
  <c r="J1113" i="9"/>
  <c r="N1113" i="9"/>
  <c r="M1113" i="9"/>
  <c r="L1113" i="9"/>
  <c r="K1113" i="9"/>
  <c r="E1303" i="9" l="1"/>
  <c r="O1303" i="9"/>
  <c r="D1303" i="9"/>
  <c r="C1304" i="9"/>
  <c r="J1114" i="9"/>
  <c r="N1114" i="9"/>
  <c r="M1114" i="9"/>
  <c r="L1114" i="9"/>
  <c r="K1114" i="9"/>
  <c r="Q1114" i="9"/>
  <c r="P1114" i="9"/>
  <c r="G1115" i="9"/>
  <c r="I1115" i="9"/>
  <c r="H1115" i="9"/>
  <c r="A1116" i="9"/>
  <c r="E1304" i="9" l="1"/>
  <c r="O1304" i="9"/>
  <c r="D1304" i="9"/>
  <c r="C1305" i="9"/>
  <c r="I1116" i="9"/>
  <c r="H1116" i="9"/>
  <c r="A1117" i="9"/>
  <c r="Q1115" i="9"/>
  <c r="P1115" i="9"/>
  <c r="G1116" i="9"/>
  <c r="J1115" i="9"/>
  <c r="N1115" i="9"/>
  <c r="M1115" i="9"/>
  <c r="L1115" i="9"/>
  <c r="K1115" i="9"/>
  <c r="E1305" i="9" l="1"/>
  <c r="C1306" i="9"/>
  <c r="O1305" i="9"/>
  <c r="D1305" i="9"/>
  <c r="Q1116" i="9"/>
  <c r="P1116" i="9"/>
  <c r="G1117" i="9"/>
  <c r="I1117" i="9"/>
  <c r="H1117" i="9"/>
  <c r="A1118" i="9"/>
  <c r="J1116" i="9"/>
  <c r="N1116" i="9"/>
  <c r="M1116" i="9"/>
  <c r="L1116" i="9"/>
  <c r="K1116" i="9"/>
  <c r="E1306" i="9" l="1"/>
  <c r="O1306" i="9"/>
  <c r="C1307" i="9"/>
  <c r="D1306" i="9"/>
  <c r="I1118" i="9"/>
  <c r="H1118" i="9"/>
  <c r="A1119" i="9"/>
  <c r="Q1117" i="9"/>
  <c r="P1117" i="9"/>
  <c r="G1118" i="9"/>
  <c r="J1117" i="9"/>
  <c r="N1117" i="9"/>
  <c r="M1117" i="9"/>
  <c r="L1117" i="9"/>
  <c r="K1117" i="9"/>
  <c r="D1307" i="9" l="1"/>
  <c r="C1308" i="9"/>
  <c r="E1307" i="9"/>
  <c r="O1307" i="9"/>
  <c r="J1118" i="9"/>
  <c r="N1118" i="9"/>
  <c r="M1118" i="9"/>
  <c r="L1118" i="9"/>
  <c r="K1118" i="9"/>
  <c r="Q1118" i="9"/>
  <c r="P1118" i="9"/>
  <c r="G1119" i="9"/>
  <c r="I1119" i="9"/>
  <c r="H1119" i="9"/>
  <c r="A1120" i="9"/>
  <c r="E1308" i="9" l="1"/>
  <c r="O1308" i="9"/>
  <c r="D1308" i="9"/>
  <c r="C1309" i="9"/>
  <c r="J1119" i="9"/>
  <c r="N1119" i="9"/>
  <c r="M1119" i="9"/>
  <c r="L1119" i="9"/>
  <c r="K1119" i="9"/>
  <c r="I1120" i="9"/>
  <c r="H1120" i="9"/>
  <c r="A1121" i="9"/>
  <c r="Q1119" i="9"/>
  <c r="P1119" i="9"/>
  <c r="G1120" i="9"/>
  <c r="D1309" i="9" l="1"/>
  <c r="O1309" i="9"/>
  <c r="C1310" i="9"/>
  <c r="E1309" i="9"/>
  <c r="Q1120" i="9"/>
  <c r="P1120" i="9"/>
  <c r="G1121" i="9"/>
  <c r="J1120" i="9"/>
  <c r="N1120" i="9"/>
  <c r="M1120" i="9"/>
  <c r="L1120" i="9"/>
  <c r="K1120" i="9"/>
  <c r="I1121" i="9"/>
  <c r="H1121" i="9"/>
  <c r="A1122" i="9"/>
  <c r="D1310" i="9" l="1"/>
  <c r="C1311" i="9"/>
  <c r="O1310" i="9"/>
  <c r="E1310" i="9"/>
  <c r="I1122" i="9"/>
  <c r="H1122" i="9"/>
  <c r="A1123" i="9"/>
  <c r="Q1121" i="9"/>
  <c r="P1121" i="9"/>
  <c r="G1122" i="9"/>
  <c r="J1121" i="9"/>
  <c r="N1121" i="9"/>
  <c r="M1121" i="9"/>
  <c r="L1121" i="9"/>
  <c r="K1121" i="9"/>
  <c r="E1311" i="9" l="1"/>
  <c r="O1311" i="9"/>
  <c r="D1311" i="9"/>
  <c r="C1312" i="9"/>
  <c r="Q1122" i="9"/>
  <c r="P1122" i="9"/>
  <c r="G1123" i="9"/>
  <c r="I1123" i="9"/>
  <c r="H1123" i="9"/>
  <c r="A1124" i="9"/>
  <c r="J1122" i="9"/>
  <c r="N1122" i="9"/>
  <c r="M1122" i="9"/>
  <c r="L1122" i="9"/>
  <c r="K1122" i="9"/>
  <c r="O1312" i="9" l="1"/>
  <c r="C1313" i="9"/>
  <c r="D1312" i="9"/>
  <c r="E1312" i="9"/>
  <c r="I1124" i="9"/>
  <c r="H1124" i="9"/>
  <c r="A1125" i="9"/>
  <c r="Q1123" i="9"/>
  <c r="P1123" i="9"/>
  <c r="G1124" i="9"/>
  <c r="J1123" i="9"/>
  <c r="N1123" i="9"/>
  <c r="M1123" i="9"/>
  <c r="L1123" i="9"/>
  <c r="K1123" i="9"/>
  <c r="O1313" i="9" l="1"/>
  <c r="D1313" i="9"/>
  <c r="C1314" i="9"/>
  <c r="E1313" i="9"/>
  <c r="Q1124" i="9"/>
  <c r="P1124" i="9"/>
  <c r="G1125" i="9"/>
  <c r="J1124" i="9"/>
  <c r="N1124" i="9"/>
  <c r="M1124" i="9"/>
  <c r="L1124" i="9"/>
  <c r="K1124" i="9"/>
  <c r="I1125" i="9"/>
  <c r="H1125" i="9"/>
  <c r="A1126" i="9"/>
  <c r="O1314" i="9" l="1"/>
  <c r="D1314" i="9"/>
  <c r="E1314" i="9"/>
  <c r="C1315" i="9"/>
  <c r="I1126" i="9"/>
  <c r="H1126" i="9"/>
  <c r="A1127" i="9"/>
  <c r="Q1125" i="9"/>
  <c r="P1125" i="9"/>
  <c r="G1126" i="9"/>
  <c r="J1125" i="9"/>
  <c r="N1125" i="9"/>
  <c r="M1125" i="9"/>
  <c r="L1125" i="9"/>
  <c r="K1125" i="9"/>
  <c r="C1316" i="9" l="1"/>
  <c r="E1315" i="9"/>
  <c r="O1315" i="9"/>
  <c r="D1315" i="9"/>
  <c r="Q1126" i="9"/>
  <c r="P1126" i="9"/>
  <c r="G1127" i="9"/>
  <c r="I1127" i="9"/>
  <c r="H1127" i="9"/>
  <c r="A1128" i="9"/>
  <c r="J1126" i="9"/>
  <c r="N1126" i="9"/>
  <c r="M1126" i="9"/>
  <c r="L1126" i="9"/>
  <c r="K1126" i="9"/>
  <c r="E1316" i="9" l="1"/>
  <c r="O1316" i="9"/>
  <c r="D1316" i="9"/>
  <c r="C1317" i="9"/>
  <c r="I1128" i="9"/>
  <c r="H1128" i="9"/>
  <c r="A1129" i="9"/>
  <c r="Q1127" i="9"/>
  <c r="P1127" i="9"/>
  <c r="G1128" i="9"/>
  <c r="J1127" i="9"/>
  <c r="N1127" i="9"/>
  <c r="M1127" i="9"/>
  <c r="L1127" i="9"/>
  <c r="K1127" i="9"/>
  <c r="E1317" i="9" l="1"/>
  <c r="O1317" i="9"/>
  <c r="C1318" i="9"/>
  <c r="D1317" i="9"/>
  <c r="Q1128" i="9"/>
  <c r="P1128" i="9"/>
  <c r="G1129" i="9"/>
  <c r="J1128" i="9"/>
  <c r="N1128" i="9"/>
  <c r="M1128" i="9"/>
  <c r="L1128" i="9"/>
  <c r="K1128" i="9"/>
  <c r="I1129" i="9"/>
  <c r="H1129" i="9"/>
  <c r="A1130" i="9"/>
  <c r="O1318" i="9" l="1"/>
  <c r="D1318" i="9"/>
  <c r="E1318" i="9"/>
  <c r="C1319" i="9"/>
  <c r="I1130" i="9"/>
  <c r="H1130" i="9"/>
  <c r="A1131" i="9"/>
  <c r="Q1129" i="9"/>
  <c r="P1129" i="9"/>
  <c r="G1130" i="9"/>
  <c r="J1129" i="9"/>
  <c r="N1129" i="9"/>
  <c r="M1129" i="9"/>
  <c r="L1129" i="9"/>
  <c r="K1129" i="9"/>
  <c r="C1320" i="9" l="1"/>
  <c r="E1319" i="9"/>
  <c r="D1319" i="9"/>
  <c r="O1319" i="9"/>
  <c r="I1131" i="9"/>
  <c r="H1131" i="9"/>
  <c r="A1132" i="9"/>
  <c r="Q1130" i="9"/>
  <c r="P1130" i="9"/>
  <c r="G1131" i="9"/>
  <c r="J1130" i="9"/>
  <c r="N1130" i="9"/>
  <c r="M1130" i="9"/>
  <c r="L1130" i="9"/>
  <c r="K1130" i="9"/>
  <c r="O1320" i="9" l="1"/>
  <c r="D1320" i="9"/>
  <c r="C1321" i="9"/>
  <c r="E1320" i="9"/>
  <c r="J1131" i="9"/>
  <c r="N1131" i="9"/>
  <c r="M1131" i="9"/>
  <c r="L1131" i="9"/>
  <c r="K1131" i="9"/>
  <c r="Q1131" i="9"/>
  <c r="P1131" i="9"/>
  <c r="G1132" i="9"/>
  <c r="I1132" i="9"/>
  <c r="H1132" i="9"/>
  <c r="A1133" i="9"/>
  <c r="C1322" i="9" l="1"/>
  <c r="D1321" i="9"/>
  <c r="E1321" i="9"/>
  <c r="O1321" i="9"/>
  <c r="I1133" i="9"/>
  <c r="H1133" i="9"/>
  <c r="A1134" i="9"/>
  <c r="J1132" i="9"/>
  <c r="N1132" i="9"/>
  <c r="M1132" i="9"/>
  <c r="L1132" i="9"/>
  <c r="K1132" i="9"/>
  <c r="Q1132" i="9"/>
  <c r="P1132" i="9"/>
  <c r="G1133" i="9"/>
  <c r="O1322" i="9" l="1"/>
  <c r="E1322" i="9"/>
  <c r="D1322" i="9"/>
  <c r="C1323" i="9"/>
  <c r="J1133" i="9"/>
  <c r="N1133" i="9"/>
  <c r="M1133" i="9"/>
  <c r="L1133" i="9"/>
  <c r="K1133" i="9"/>
  <c r="Q1133" i="9"/>
  <c r="P1133" i="9"/>
  <c r="G1134" i="9"/>
  <c r="I1134" i="9"/>
  <c r="H1134" i="9"/>
  <c r="A1135" i="9"/>
  <c r="C1324" i="9" l="1"/>
  <c r="E1323" i="9"/>
  <c r="O1323" i="9"/>
  <c r="D1323" i="9"/>
  <c r="I1135" i="9"/>
  <c r="H1135" i="9"/>
  <c r="A1136" i="9"/>
  <c r="Q1134" i="9"/>
  <c r="P1134" i="9"/>
  <c r="G1135" i="9"/>
  <c r="J1134" i="9"/>
  <c r="N1134" i="9"/>
  <c r="M1134" i="9"/>
  <c r="L1134" i="9"/>
  <c r="K1134" i="9"/>
  <c r="E1324" i="9" l="1"/>
  <c r="O1324" i="9"/>
  <c r="D1324" i="9"/>
  <c r="C1325" i="9"/>
  <c r="Q1135" i="9"/>
  <c r="P1135" i="9"/>
  <c r="G1136" i="9"/>
  <c r="I1136" i="9"/>
  <c r="H1136" i="9"/>
  <c r="A1137" i="9"/>
  <c r="J1135" i="9"/>
  <c r="N1135" i="9"/>
  <c r="M1135" i="9"/>
  <c r="L1135" i="9"/>
  <c r="K1135" i="9"/>
  <c r="E1325" i="9" l="1"/>
  <c r="O1325" i="9"/>
  <c r="D1325" i="9"/>
  <c r="C1326" i="9"/>
  <c r="I1137" i="9"/>
  <c r="H1137" i="9"/>
  <c r="A1138" i="9"/>
  <c r="Q1136" i="9"/>
  <c r="P1136" i="9"/>
  <c r="G1137" i="9"/>
  <c r="J1136" i="9"/>
  <c r="N1136" i="9"/>
  <c r="M1136" i="9"/>
  <c r="L1136" i="9"/>
  <c r="K1136" i="9"/>
  <c r="O1326" i="9" l="1"/>
  <c r="E1326" i="9"/>
  <c r="D1326" i="9"/>
  <c r="C1327" i="9"/>
  <c r="J1137" i="9"/>
  <c r="N1137" i="9"/>
  <c r="M1137" i="9"/>
  <c r="L1137" i="9"/>
  <c r="K1137" i="9"/>
  <c r="Q1137" i="9"/>
  <c r="P1137" i="9"/>
  <c r="G1138" i="9"/>
  <c r="I1138" i="9"/>
  <c r="H1138" i="9"/>
  <c r="A1139" i="9"/>
  <c r="C1328" i="9" l="1"/>
  <c r="E1327" i="9"/>
  <c r="O1327" i="9"/>
  <c r="D1327" i="9"/>
  <c r="J1138" i="9"/>
  <c r="N1138" i="9"/>
  <c r="M1138" i="9"/>
  <c r="L1138" i="9"/>
  <c r="K1138" i="9"/>
  <c r="I1139" i="9"/>
  <c r="H1139" i="9"/>
  <c r="A1140" i="9"/>
  <c r="Q1138" i="9"/>
  <c r="P1138" i="9"/>
  <c r="G1139" i="9"/>
  <c r="C1329" i="9" l="1"/>
  <c r="D1328" i="9"/>
  <c r="E1328" i="9"/>
  <c r="O1328" i="9"/>
  <c r="J1139" i="9"/>
  <c r="N1139" i="9"/>
  <c r="M1139" i="9"/>
  <c r="L1139" i="9"/>
  <c r="K1139" i="9"/>
  <c r="Q1139" i="9"/>
  <c r="P1139" i="9"/>
  <c r="G1140" i="9"/>
  <c r="I1140" i="9"/>
  <c r="H1140" i="9"/>
  <c r="A1141" i="9"/>
  <c r="D1329" i="9" l="1"/>
  <c r="O1329" i="9"/>
  <c r="C1330" i="9"/>
  <c r="E1329" i="9"/>
  <c r="I1141" i="9"/>
  <c r="H1141" i="9"/>
  <c r="A1142" i="9"/>
  <c r="J1140" i="9"/>
  <c r="N1140" i="9"/>
  <c r="M1140" i="9"/>
  <c r="L1140" i="9"/>
  <c r="K1140" i="9"/>
  <c r="Q1140" i="9"/>
  <c r="P1140" i="9"/>
  <c r="G1141" i="9"/>
  <c r="E1330" i="9" l="1"/>
  <c r="D1330" i="9"/>
  <c r="O1330" i="9"/>
  <c r="C1331" i="9"/>
  <c r="J1141" i="9"/>
  <c r="N1141" i="9"/>
  <c r="M1141" i="9"/>
  <c r="L1141" i="9"/>
  <c r="K1141" i="9"/>
  <c r="Q1141" i="9"/>
  <c r="P1141" i="9"/>
  <c r="G1142" i="9"/>
  <c r="I1142" i="9"/>
  <c r="H1142" i="9"/>
  <c r="A1143" i="9"/>
  <c r="D1331" i="9" l="1"/>
  <c r="C1332" i="9"/>
  <c r="E1331" i="9"/>
  <c r="O1331" i="9"/>
  <c r="I1143" i="9"/>
  <c r="H1143" i="9"/>
  <c r="A1144" i="9"/>
  <c r="Q1142" i="9"/>
  <c r="P1142" i="9"/>
  <c r="G1143" i="9"/>
  <c r="J1142" i="9"/>
  <c r="N1142" i="9"/>
  <c r="M1142" i="9"/>
  <c r="L1142" i="9"/>
  <c r="K1142" i="9"/>
  <c r="E1332" i="9" l="1"/>
  <c r="O1332" i="9"/>
  <c r="C1333" i="9"/>
  <c r="D1332" i="9"/>
  <c r="Q1143" i="9"/>
  <c r="P1143" i="9"/>
  <c r="G1144" i="9"/>
  <c r="J1143" i="9"/>
  <c r="N1143" i="9"/>
  <c r="M1143" i="9"/>
  <c r="L1143" i="9"/>
  <c r="K1143" i="9"/>
  <c r="I1144" i="9"/>
  <c r="H1144" i="9"/>
  <c r="A1145" i="9"/>
  <c r="D1333" i="9" l="1"/>
  <c r="C1334" i="9"/>
  <c r="E1333" i="9"/>
  <c r="O1333" i="9"/>
  <c r="J1144" i="9"/>
  <c r="N1144" i="9"/>
  <c r="M1144" i="9"/>
  <c r="L1144" i="9"/>
  <c r="K1144" i="9"/>
  <c r="I1145" i="9"/>
  <c r="H1145" i="9"/>
  <c r="A1146" i="9"/>
  <c r="Q1144" i="9"/>
  <c r="P1144" i="9"/>
  <c r="G1145" i="9"/>
  <c r="E1334" i="9" l="1"/>
  <c r="O1334" i="9"/>
  <c r="C1335" i="9"/>
  <c r="D1334" i="9"/>
  <c r="J1145" i="9"/>
  <c r="N1145" i="9"/>
  <c r="M1145" i="9"/>
  <c r="L1145" i="9"/>
  <c r="K1145" i="9"/>
  <c r="Q1145" i="9"/>
  <c r="P1145" i="9"/>
  <c r="G1146" i="9"/>
  <c r="I1146" i="9"/>
  <c r="H1146" i="9"/>
  <c r="A1147" i="9"/>
  <c r="D1335" i="9" l="1"/>
  <c r="C1336" i="9"/>
  <c r="E1335" i="9"/>
  <c r="O1335" i="9"/>
  <c r="I1147" i="9"/>
  <c r="H1147" i="9"/>
  <c r="A1148" i="9"/>
  <c r="J1146" i="9"/>
  <c r="N1146" i="9"/>
  <c r="M1146" i="9"/>
  <c r="L1146" i="9"/>
  <c r="K1146" i="9"/>
  <c r="Q1146" i="9"/>
  <c r="P1146" i="9"/>
  <c r="G1147" i="9"/>
  <c r="E1336" i="9" l="1"/>
  <c r="O1336" i="9"/>
  <c r="D1336" i="9"/>
  <c r="C1337" i="9"/>
  <c r="Q1147" i="9"/>
  <c r="P1147" i="9"/>
  <c r="G1148" i="9"/>
  <c r="J1147" i="9"/>
  <c r="N1147" i="9"/>
  <c r="M1147" i="9"/>
  <c r="L1147" i="9"/>
  <c r="K1147" i="9"/>
  <c r="I1148" i="9"/>
  <c r="H1148" i="9"/>
  <c r="A1149" i="9"/>
  <c r="O1337" i="9" l="1"/>
  <c r="D1337" i="9"/>
  <c r="C1338" i="9"/>
  <c r="E1337" i="9"/>
  <c r="J1148" i="9"/>
  <c r="N1148" i="9"/>
  <c r="M1148" i="9"/>
  <c r="L1148" i="9"/>
  <c r="K1148" i="9"/>
  <c r="I1149" i="9"/>
  <c r="H1149" i="9"/>
  <c r="A1150" i="9"/>
  <c r="Q1148" i="9"/>
  <c r="P1148" i="9"/>
  <c r="G1149" i="9"/>
  <c r="O1338" i="9" l="1"/>
  <c r="D1338" i="9"/>
  <c r="C1339" i="9"/>
  <c r="E1338" i="9"/>
  <c r="Q1149" i="9"/>
  <c r="P1149" i="9"/>
  <c r="G1150" i="9"/>
  <c r="J1149" i="9"/>
  <c r="N1149" i="9"/>
  <c r="M1149" i="9"/>
  <c r="L1149" i="9"/>
  <c r="K1149" i="9"/>
  <c r="I1150" i="9"/>
  <c r="H1150" i="9"/>
  <c r="A1151" i="9"/>
  <c r="D1339" i="9" l="1"/>
  <c r="E1339" i="9"/>
  <c r="C1340" i="9"/>
  <c r="O1339" i="9"/>
  <c r="J1150" i="9"/>
  <c r="N1150" i="9"/>
  <c r="M1150" i="9"/>
  <c r="L1150" i="9"/>
  <c r="K1150" i="9"/>
  <c r="I1151" i="9"/>
  <c r="H1151" i="9"/>
  <c r="A1152" i="9"/>
  <c r="Q1150" i="9"/>
  <c r="P1150" i="9"/>
  <c r="G1151" i="9"/>
  <c r="E1340" i="9" l="1"/>
  <c r="O1340" i="9"/>
  <c r="D1340" i="9"/>
  <c r="C1341" i="9"/>
  <c r="Q1151" i="9"/>
  <c r="P1151" i="9"/>
  <c r="G1152" i="9"/>
  <c r="J1151" i="9"/>
  <c r="N1151" i="9"/>
  <c r="M1151" i="9"/>
  <c r="L1151" i="9"/>
  <c r="K1151" i="9"/>
  <c r="I1152" i="9"/>
  <c r="H1152" i="9"/>
  <c r="A1153" i="9"/>
  <c r="D1341" i="9" l="1"/>
  <c r="C1342" i="9"/>
  <c r="E1341" i="9"/>
  <c r="O1341" i="9"/>
  <c r="I1153" i="9"/>
  <c r="H1153" i="9"/>
  <c r="A1154" i="9"/>
  <c r="Q1152" i="9"/>
  <c r="P1152" i="9"/>
  <c r="G1153" i="9"/>
  <c r="J1152" i="9"/>
  <c r="N1152" i="9"/>
  <c r="M1152" i="9"/>
  <c r="L1152" i="9"/>
  <c r="K1152" i="9"/>
  <c r="E1342" i="9" l="1"/>
  <c r="O1342" i="9"/>
  <c r="C1343" i="9"/>
  <c r="D1342" i="9"/>
  <c r="Q1153" i="9"/>
  <c r="P1153" i="9"/>
  <c r="G1154" i="9"/>
  <c r="J1153" i="9"/>
  <c r="N1153" i="9"/>
  <c r="M1153" i="9"/>
  <c r="L1153" i="9"/>
  <c r="K1153" i="9"/>
  <c r="I1154" i="9"/>
  <c r="H1154" i="9"/>
  <c r="A1155" i="9"/>
  <c r="D1343" i="9" l="1"/>
  <c r="C1344" i="9"/>
  <c r="E1343" i="9"/>
  <c r="O1343" i="9"/>
  <c r="I1155" i="9"/>
  <c r="H1155" i="9"/>
  <c r="A1156" i="9"/>
  <c r="Q1154" i="9"/>
  <c r="P1154" i="9"/>
  <c r="G1155" i="9"/>
  <c r="J1154" i="9"/>
  <c r="N1154" i="9"/>
  <c r="M1154" i="9"/>
  <c r="L1154" i="9"/>
  <c r="K1154" i="9"/>
  <c r="E1344" i="9" l="1"/>
  <c r="C1345" i="9"/>
  <c r="O1344" i="9"/>
  <c r="D1344" i="9"/>
  <c r="Q1155" i="9"/>
  <c r="P1155" i="9"/>
  <c r="G1156" i="9"/>
  <c r="J1155" i="9"/>
  <c r="N1155" i="9"/>
  <c r="M1155" i="9"/>
  <c r="L1155" i="9"/>
  <c r="K1155" i="9"/>
  <c r="I1156" i="9"/>
  <c r="H1156" i="9"/>
  <c r="A1157" i="9"/>
  <c r="O1345" i="9" l="1"/>
  <c r="D1345" i="9"/>
  <c r="C1346" i="9"/>
  <c r="E1345" i="9"/>
  <c r="I1157" i="9"/>
  <c r="H1157" i="9"/>
  <c r="A1158" i="9"/>
  <c r="Q1156" i="9"/>
  <c r="P1156" i="9"/>
  <c r="G1157" i="9"/>
  <c r="J1156" i="9"/>
  <c r="N1156" i="9"/>
  <c r="M1156" i="9"/>
  <c r="L1156" i="9"/>
  <c r="K1156" i="9"/>
  <c r="O1346" i="9" l="1"/>
  <c r="D1346" i="9"/>
  <c r="C1347" i="9"/>
  <c r="E1346" i="9"/>
  <c r="Q1157" i="9"/>
  <c r="P1157" i="9"/>
  <c r="G1158" i="9"/>
  <c r="J1157" i="9"/>
  <c r="N1157" i="9"/>
  <c r="M1157" i="9"/>
  <c r="L1157" i="9"/>
  <c r="K1157" i="9"/>
  <c r="I1158" i="9"/>
  <c r="H1158" i="9"/>
  <c r="A1159" i="9"/>
  <c r="D1347" i="9" l="1"/>
  <c r="C1348" i="9"/>
  <c r="O1347" i="9"/>
  <c r="E1347" i="9"/>
  <c r="I1159" i="9"/>
  <c r="H1159" i="9"/>
  <c r="A1160" i="9"/>
  <c r="Q1158" i="9"/>
  <c r="P1158" i="9"/>
  <c r="G1159" i="9"/>
  <c r="J1158" i="9"/>
  <c r="N1158" i="9"/>
  <c r="M1158" i="9"/>
  <c r="L1158" i="9"/>
  <c r="K1158" i="9"/>
  <c r="E1348" i="9" l="1"/>
  <c r="D1348" i="9"/>
  <c r="C1349" i="9"/>
  <c r="O1348" i="9"/>
  <c r="Q1159" i="9"/>
  <c r="P1159" i="9"/>
  <c r="G1160" i="9"/>
  <c r="I1160" i="9"/>
  <c r="H1160" i="9"/>
  <c r="A1161" i="9"/>
  <c r="J1159" i="9"/>
  <c r="N1159" i="9"/>
  <c r="M1159" i="9"/>
  <c r="L1159" i="9"/>
  <c r="K1159" i="9"/>
  <c r="D1349" i="9" l="1"/>
  <c r="C1350" i="9"/>
  <c r="E1349" i="9"/>
  <c r="O1349" i="9"/>
  <c r="I1161" i="9"/>
  <c r="H1161" i="9"/>
  <c r="A1162" i="9"/>
  <c r="J1160" i="9"/>
  <c r="N1160" i="9"/>
  <c r="M1160" i="9"/>
  <c r="L1160" i="9"/>
  <c r="K1160" i="9"/>
  <c r="Q1160" i="9"/>
  <c r="P1160" i="9"/>
  <c r="G1161" i="9"/>
  <c r="E1350" i="9" l="1"/>
  <c r="O1350" i="9"/>
  <c r="C1351" i="9"/>
  <c r="D1350" i="9"/>
  <c r="J1161" i="9"/>
  <c r="N1161" i="9"/>
  <c r="M1161" i="9"/>
  <c r="L1161" i="9"/>
  <c r="K1161" i="9"/>
  <c r="Q1161" i="9"/>
  <c r="P1161" i="9"/>
  <c r="G1162" i="9"/>
  <c r="I1162" i="9"/>
  <c r="H1162" i="9"/>
  <c r="A1163" i="9"/>
  <c r="D1351" i="9" l="1"/>
  <c r="C1352" i="9"/>
  <c r="E1351" i="9"/>
  <c r="O1351" i="9"/>
  <c r="I1163" i="9"/>
  <c r="H1163" i="9"/>
  <c r="A1164" i="9"/>
  <c r="Q1162" i="9"/>
  <c r="P1162" i="9"/>
  <c r="G1163" i="9"/>
  <c r="J1162" i="9"/>
  <c r="N1162" i="9"/>
  <c r="M1162" i="9"/>
  <c r="L1162" i="9"/>
  <c r="K1162" i="9"/>
  <c r="E1352" i="9" l="1"/>
  <c r="O1352" i="9"/>
  <c r="D1352" i="9"/>
  <c r="C1353" i="9"/>
  <c r="J1163" i="9"/>
  <c r="N1163" i="9"/>
  <c r="M1163" i="9"/>
  <c r="L1163" i="9"/>
  <c r="K1163" i="9"/>
  <c r="Q1163" i="9"/>
  <c r="P1163" i="9"/>
  <c r="G1164" i="9"/>
  <c r="I1164" i="9"/>
  <c r="H1164" i="9"/>
  <c r="A1165" i="9"/>
  <c r="D1353" i="9" l="1"/>
  <c r="C1354" i="9"/>
  <c r="E1353" i="9"/>
  <c r="O1353" i="9"/>
  <c r="I1165" i="9"/>
  <c r="H1165" i="9"/>
  <c r="A1166" i="9"/>
  <c r="J1164" i="9"/>
  <c r="N1164" i="9"/>
  <c r="M1164" i="9"/>
  <c r="L1164" i="9"/>
  <c r="K1164" i="9"/>
  <c r="Q1164" i="9"/>
  <c r="P1164" i="9"/>
  <c r="G1165" i="9"/>
  <c r="E1354" i="9" l="1"/>
  <c r="O1354" i="9"/>
  <c r="C1355" i="9"/>
  <c r="D1354" i="9"/>
  <c r="J1165" i="9"/>
  <c r="N1165" i="9"/>
  <c r="M1165" i="9"/>
  <c r="L1165" i="9"/>
  <c r="K1165" i="9"/>
  <c r="Q1165" i="9"/>
  <c r="P1165" i="9"/>
  <c r="G1166" i="9"/>
  <c r="I1166" i="9"/>
  <c r="H1166" i="9"/>
  <c r="A1167" i="9"/>
  <c r="D1355" i="9" l="1"/>
  <c r="O1355" i="9"/>
  <c r="C1356" i="9"/>
  <c r="E1355" i="9"/>
  <c r="I1167" i="9"/>
  <c r="H1167" i="9"/>
  <c r="A1168" i="9"/>
  <c r="Q1166" i="9"/>
  <c r="P1166" i="9"/>
  <c r="G1167" i="9"/>
  <c r="J1166" i="9"/>
  <c r="N1166" i="9"/>
  <c r="M1166" i="9"/>
  <c r="L1166" i="9"/>
  <c r="K1166" i="9"/>
  <c r="E1356" i="9" l="1"/>
  <c r="O1356" i="9"/>
  <c r="D1356" i="9"/>
  <c r="C1357" i="9"/>
  <c r="Q1167" i="9"/>
  <c r="P1167" i="9"/>
  <c r="G1168" i="9"/>
  <c r="J1167" i="9"/>
  <c r="N1167" i="9"/>
  <c r="M1167" i="9"/>
  <c r="L1167" i="9"/>
  <c r="K1167" i="9"/>
  <c r="I1168" i="9"/>
  <c r="H1168" i="9"/>
  <c r="A1169" i="9"/>
  <c r="D1357" i="9" l="1"/>
  <c r="C1358" i="9"/>
  <c r="E1357" i="9"/>
  <c r="O1357" i="9"/>
  <c r="J1168" i="9"/>
  <c r="N1168" i="9"/>
  <c r="M1168" i="9"/>
  <c r="L1168" i="9"/>
  <c r="K1168" i="9"/>
  <c r="I1169" i="9"/>
  <c r="H1169" i="9"/>
  <c r="A1170" i="9"/>
  <c r="Q1168" i="9"/>
  <c r="P1168" i="9"/>
  <c r="G1169" i="9"/>
  <c r="E1358" i="9" l="1"/>
  <c r="O1358" i="9"/>
  <c r="C1359" i="9"/>
  <c r="D1358" i="9"/>
  <c r="Q1169" i="9"/>
  <c r="P1169" i="9"/>
  <c r="G1170" i="9"/>
  <c r="J1169" i="9"/>
  <c r="N1169" i="9"/>
  <c r="M1169" i="9"/>
  <c r="L1169" i="9"/>
  <c r="K1169" i="9"/>
  <c r="I1170" i="9"/>
  <c r="H1170" i="9"/>
  <c r="A1171" i="9"/>
  <c r="D1359" i="9" l="1"/>
  <c r="C1360" i="9"/>
  <c r="E1359" i="9"/>
  <c r="O1359" i="9"/>
  <c r="J1170" i="9"/>
  <c r="N1170" i="9"/>
  <c r="M1170" i="9"/>
  <c r="L1170" i="9"/>
  <c r="K1170" i="9"/>
  <c r="I1171" i="9"/>
  <c r="H1171" i="9"/>
  <c r="A1172" i="9"/>
  <c r="Q1170" i="9"/>
  <c r="P1170" i="9"/>
  <c r="G1171" i="9"/>
  <c r="E1360" i="9" l="1"/>
  <c r="D1360" i="9"/>
  <c r="C1361" i="9"/>
  <c r="O1360" i="9"/>
  <c r="J1171" i="9"/>
  <c r="N1171" i="9"/>
  <c r="M1171" i="9"/>
  <c r="L1171" i="9"/>
  <c r="K1171" i="9"/>
  <c r="Q1171" i="9"/>
  <c r="P1171" i="9"/>
  <c r="G1172" i="9"/>
  <c r="I1172" i="9"/>
  <c r="H1172" i="9"/>
  <c r="A1173" i="9"/>
  <c r="D1361" i="9" l="1"/>
  <c r="C1362" i="9"/>
  <c r="E1361" i="9"/>
  <c r="O1361" i="9"/>
  <c r="J1172" i="9"/>
  <c r="N1172" i="9"/>
  <c r="M1172" i="9"/>
  <c r="L1172" i="9"/>
  <c r="K1172" i="9"/>
  <c r="I1173" i="9"/>
  <c r="H1173" i="9"/>
  <c r="A1174" i="9"/>
  <c r="Q1172" i="9"/>
  <c r="P1172" i="9"/>
  <c r="G1173" i="9"/>
  <c r="E1362" i="9" l="1"/>
  <c r="D1362" i="9"/>
  <c r="C1363" i="9"/>
  <c r="O1362" i="9"/>
  <c r="J1173" i="9"/>
  <c r="N1173" i="9"/>
  <c r="M1173" i="9"/>
  <c r="L1173" i="9"/>
  <c r="K1173" i="9"/>
  <c r="Q1173" i="9"/>
  <c r="P1173" i="9"/>
  <c r="G1174" i="9"/>
  <c r="I1174" i="9"/>
  <c r="H1174" i="9"/>
  <c r="A1175" i="9"/>
  <c r="D1363" i="9" l="1"/>
  <c r="C1364" i="9"/>
  <c r="E1363" i="9"/>
  <c r="O1363" i="9"/>
  <c r="I1175" i="9"/>
  <c r="H1175" i="9"/>
  <c r="A1176" i="9"/>
  <c r="J1174" i="9"/>
  <c r="N1174" i="9"/>
  <c r="M1174" i="9"/>
  <c r="L1174" i="9"/>
  <c r="K1174" i="9"/>
  <c r="Q1174" i="9"/>
  <c r="P1174" i="9"/>
  <c r="G1175" i="9"/>
  <c r="E1364" i="9" l="1"/>
  <c r="D1364" i="9"/>
  <c r="C1365" i="9"/>
  <c r="O1364" i="9"/>
  <c r="J1175" i="9"/>
  <c r="N1175" i="9"/>
  <c r="M1175" i="9"/>
  <c r="L1175" i="9"/>
  <c r="K1175" i="9"/>
  <c r="I1176" i="9"/>
  <c r="H1176" i="9"/>
  <c r="A1177" i="9"/>
  <c r="Q1175" i="9"/>
  <c r="P1175" i="9"/>
  <c r="G1176" i="9"/>
  <c r="C1366" i="9" l="1"/>
  <c r="E1365" i="9"/>
  <c r="O1365" i="9"/>
  <c r="D1365" i="9"/>
  <c r="Q1176" i="9"/>
  <c r="P1176" i="9"/>
  <c r="G1177" i="9"/>
  <c r="J1176" i="9"/>
  <c r="N1176" i="9"/>
  <c r="M1176" i="9"/>
  <c r="L1176" i="9"/>
  <c r="K1176" i="9"/>
  <c r="I1177" i="9"/>
  <c r="H1177" i="9"/>
  <c r="A1178" i="9"/>
  <c r="E1366" i="9" l="1"/>
  <c r="O1366" i="9"/>
  <c r="D1366" i="9"/>
  <c r="C1367" i="9"/>
  <c r="I1178" i="9"/>
  <c r="H1178" i="9"/>
  <c r="A1179" i="9"/>
  <c r="Q1177" i="9"/>
  <c r="P1177" i="9"/>
  <c r="G1178" i="9"/>
  <c r="J1177" i="9"/>
  <c r="N1177" i="9"/>
  <c r="M1177" i="9"/>
  <c r="L1177" i="9"/>
  <c r="K1177" i="9"/>
  <c r="D1367" i="9" l="1"/>
  <c r="O1367" i="9"/>
  <c r="C1368" i="9"/>
  <c r="E1367" i="9"/>
  <c r="Q1178" i="9"/>
  <c r="P1178" i="9"/>
  <c r="G1179" i="9"/>
  <c r="I1179" i="9"/>
  <c r="H1179" i="9"/>
  <c r="A1180" i="9"/>
  <c r="J1178" i="9"/>
  <c r="N1178" i="9"/>
  <c r="M1178" i="9"/>
  <c r="L1178" i="9"/>
  <c r="K1178" i="9"/>
  <c r="E1368" i="9" l="1"/>
  <c r="C1369" i="9"/>
  <c r="O1368" i="9"/>
  <c r="D1368" i="9"/>
  <c r="I1180" i="9"/>
  <c r="H1180" i="9"/>
  <c r="A1181" i="9"/>
  <c r="Q1179" i="9"/>
  <c r="P1179" i="9"/>
  <c r="G1180" i="9"/>
  <c r="J1179" i="9"/>
  <c r="N1179" i="9"/>
  <c r="M1179" i="9"/>
  <c r="L1179" i="9"/>
  <c r="K1179" i="9"/>
  <c r="D1369" i="9" l="1"/>
  <c r="E1369" i="9"/>
  <c r="O1369" i="9"/>
  <c r="C1370" i="9"/>
  <c r="J1180" i="9"/>
  <c r="N1180" i="9"/>
  <c r="M1180" i="9"/>
  <c r="L1180" i="9"/>
  <c r="K1180" i="9"/>
  <c r="Q1180" i="9"/>
  <c r="P1180" i="9"/>
  <c r="G1181" i="9"/>
  <c r="I1181" i="9"/>
  <c r="H1181" i="9"/>
  <c r="A1182" i="9"/>
  <c r="E1370" i="9" l="1"/>
  <c r="D1370" i="9"/>
  <c r="O1370" i="9"/>
  <c r="C1371" i="9"/>
  <c r="J1181" i="9"/>
  <c r="N1181" i="9"/>
  <c r="M1181" i="9"/>
  <c r="L1181" i="9"/>
  <c r="K1181" i="9"/>
  <c r="I1182" i="9"/>
  <c r="H1182" i="9"/>
  <c r="A1183" i="9"/>
  <c r="Q1181" i="9"/>
  <c r="P1181" i="9"/>
  <c r="G1182" i="9"/>
  <c r="D1371" i="9" l="1"/>
  <c r="O1371" i="9"/>
  <c r="C1372" i="9"/>
  <c r="E1371" i="9"/>
  <c r="Q1182" i="9"/>
  <c r="P1182" i="9"/>
  <c r="G1183" i="9"/>
  <c r="J1182" i="9"/>
  <c r="N1182" i="9"/>
  <c r="M1182" i="9"/>
  <c r="L1182" i="9"/>
  <c r="K1182" i="9"/>
  <c r="I1183" i="9"/>
  <c r="H1183" i="9"/>
  <c r="A1184" i="9"/>
  <c r="E1372" i="9" l="1"/>
  <c r="D1372" i="9"/>
  <c r="C1373" i="9"/>
  <c r="O1372" i="9"/>
  <c r="I1184" i="9"/>
  <c r="H1184" i="9"/>
  <c r="A1185" i="9"/>
  <c r="Q1183" i="9"/>
  <c r="P1183" i="9"/>
  <c r="G1184" i="9"/>
  <c r="J1183" i="9"/>
  <c r="N1183" i="9"/>
  <c r="M1183" i="9"/>
  <c r="L1183" i="9"/>
  <c r="K1183" i="9"/>
  <c r="D1373" i="9" l="1"/>
  <c r="O1373" i="9"/>
  <c r="C1374" i="9"/>
  <c r="E1373" i="9"/>
  <c r="Q1184" i="9"/>
  <c r="P1184" i="9"/>
  <c r="G1185" i="9"/>
  <c r="I1185" i="9"/>
  <c r="H1185" i="9"/>
  <c r="A1186" i="9"/>
  <c r="J1184" i="9"/>
  <c r="N1184" i="9"/>
  <c r="M1184" i="9"/>
  <c r="L1184" i="9"/>
  <c r="K1184" i="9"/>
  <c r="E1374" i="9" l="1"/>
  <c r="D1374" i="9"/>
  <c r="C1375" i="9"/>
  <c r="O1374" i="9"/>
  <c r="I1186" i="9"/>
  <c r="H1186" i="9"/>
  <c r="A1187" i="9"/>
  <c r="Q1185" i="9"/>
  <c r="P1185" i="9"/>
  <c r="G1186" i="9"/>
  <c r="J1185" i="9"/>
  <c r="N1185" i="9"/>
  <c r="M1185" i="9"/>
  <c r="L1185" i="9"/>
  <c r="K1185" i="9"/>
  <c r="C1376" i="9" l="1"/>
  <c r="O1375" i="9"/>
  <c r="D1375" i="9"/>
  <c r="E1375" i="9"/>
  <c r="Q1186" i="9"/>
  <c r="P1186" i="9"/>
  <c r="G1187" i="9"/>
  <c r="J1186" i="9"/>
  <c r="N1186" i="9"/>
  <c r="M1186" i="9"/>
  <c r="L1186" i="9"/>
  <c r="K1186" i="9"/>
  <c r="I1187" i="9"/>
  <c r="H1187" i="9"/>
  <c r="A1188" i="9"/>
  <c r="C1377" i="9" l="1"/>
  <c r="D1376" i="9"/>
  <c r="E1376" i="9"/>
  <c r="O1376" i="9"/>
  <c r="J1187" i="9"/>
  <c r="N1187" i="9"/>
  <c r="M1187" i="9"/>
  <c r="L1187" i="9"/>
  <c r="K1187" i="9"/>
  <c r="I1188" i="9"/>
  <c r="H1188" i="9"/>
  <c r="A1189" i="9"/>
  <c r="Q1187" i="9"/>
  <c r="P1187" i="9"/>
  <c r="G1188" i="9"/>
  <c r="C1378" i="9" l="1"/>
  <c r="E1377" i="9"/>
  <c r="D1377" i="9"/>
  <c r="O1377" i="9"/>
  <c r="J1188" i="9"/>
  <c r="N1188" i="9"/>
  <c r="M1188" i="9"/>
  <c r="L1188" i="9"/>
  <c r="K1188" i="9"/>
  <c r="I1189" i="9"/>
  <c r="H1189" i="9"/>
  <c r="A1190" i="9"/>
  <c r="Q1188" i="9"/>
  <c r="P1188" i="9"/>
  <c r="G1189" i="9"/>
  <c r="D1378" i="9" l="1"/>
  <c r="C1379" i="9"/>
  <c r="O1378" i="9"/>
  <c r="E1378" i="9"/>
  <c r="J1189" i="9"/>
  <c r="N1189" i="9"/>
  <c r="M1189" i="9"/>
  <c r="L1189" i="9"/>
  <c r="K1189" i="9"/>
  <c r="Q1189" i="9"/>
  <c r="P1189" i="9"/>
  <c r="G1190" i="9"/>
  <c r="I1190" i="9"/>
  <c r="H1190" i="9"/>
  <c r="A1191" i="9"/>
  <c r="C1380" i="9" l="1"/>
  <c r="E1379" i="9"/>
  <c r="D1379" i="9"/>
  <c r="O1379" i="9"/>
  <c r="I1191" i="9"/>
  <c r="H1191" i="9"/>
  <c r="A1192" i="9"/>
  <c r="J1190" i="9"/>
  <c r="N1190" i="9"/>
  <c r="M1190" i="9"/>
  <c r="L1190" i="9"/>
  <c r="K1190" i="9"/>
  <c r="Q1190" i="9"/>
  <c r="P1190" i="9"/>
  <c r="G1191" i="9"/>
  <c r="C1381" i="9" l="1"/>
  <c r="E1380" i="9"/>
  <c r="D1380" i="9"/>
  <c r="O1380" i="9"/>
  <c r="Q1191" i="9"/>
  <c r="P1191" i="9"/>
  <c r="G1192" i="9"/>
  <c r="I1192" i="9"/>
  <c r="H1192" i="9"/>
  <c r="A1193" i="9"/>
  <c r="J1191" i="9"/>
  <c r="N1191" i="9"/>
  <c r="M1191" i="9"/>
  <c r="L1191" i="9"/>
  <c r="K1191" i="9"/>
  <c r="D1381" i="9" l="1"/>
  <c r="C1382" i="9"/>
  <c r="E1381" i="9"/>
  <c r="O1381" i="9"/>
  <c r="I1193" i="9"/>
  <c r="H1193" i="9"/>
  <c r="A1194" i="9"/>
  <c r="Q1192" i="9"/>
  <c r="P1192" i="9"/>
  <c r="G1193" i="9"/>
  <c r="J1192" i="9"/>
  <c r="N1192" i="9"/>
  <c r="M1192" i="9"/>
  <c r="L1192" i="9"/>
  <c r="K1192" i="9"/>
  <c r="C1383" i="9" l="1"/>
  <c r="E1382" i="9"/>
  <c r="O1382" i="9"/>
  <c r="D1382" i="9"/>
  <c r="Q1193" i="9"/>
  <c r="P1193" i="9"/>
  <c r="G1194" i="9"/>
  <c r="J1193" i="9"/>
  <c r="N1193" i="9"/>
  <c r="M1193" i="9"/>
  <c r="L1193" i="9"/>
  <c r="K1193" i="9"/>
  <c r="I1194" i="9"/>
  <c r="H1194" i="9"/>
  <c r="A1195" i="9"/>
  <c r="C1384" i="9" l="1"/>
  <c r="E1383" i="9"/>
  <c r="O1383" i="9"/>
  <c r="D1383" i="9"/>
  <c r="I1195" i="9"/>
  <c r="H1195" i="9"/>
  <c r="A1196" i="9"/>
  <c r="Q1194" i="9"/>
  <c r="P1194" i="9"/>
  <c r="G1195" i="9"/>
  <c r="J1194" i="9"/>
  <c r="N1194" i="9"/>
  <c r="M1194" i="9"/>
  <c r="L1194" i="9"/>
  <c r="K1194" i="9"/>
  <c r="D1384" i="9" l="1"/>
  <c r="O1384" i="9"/>
  <c r="C1385" i="9"/>
  <c r="E1384" i="9"/>
  <c r="Q1195" i="9"/>
  <c r="P1195" i="9"/>
  <c r="G1196" i="9"/>
  <c r="J1195" i="9"/>
  <c r="N1195" i="9"/>
  <c r="M1195" i="9"/>
  <c r="L1195" i="9"/>
  <c r="K1195" i="9"/>
  <c r="I1196" i="9"/>
  <c r="H1196" i="9"/>
  <c r="A1197" i="9"/>
  <c r="C1386" i="9" l="1"/>
  <c r="E1385" i="9"/>
  <c r="O1385" i="9"/>
  <c r="D1385" i="9"/>
  <c r="J1196" i="9"/>
  <c r="N1196" i="9"/>
  <c r="M1196" i="9"/>
  <c r="L1196" i="9"/>
  <c r="K1196" i="9"/>
  <c r="I1197" i="9"/>
  <c r="H1197" i="9"/>
  <c r="A1198" i="9"/>
  <c r="Q1196" i="9"/>
  <c r="P1196" i="9"/>
  <c r="G1197" i="9"/>
  <c r="C1387" i="9" l="1"/>
  <c r="E1386" i="9"/>
  <c r="D1386" i="9"/>
  <c r="O1386" i="9"/>
  <c r="J1197" i="9"/>
  <c r="N1197" i="9"/>
  <c r="M1197" i="9"/>
  <c r="L1197" i="9"/>
  <c r="K1197" i="9"/>
  <c r="Q1197" i="9"/>
  <c r="P1197" i="9"/>
  <c r="G1198" i="9"/>
  <c r="I1198" i="9"/>
  <c r="H1198" i="9"/>
  <c r="A1199" i="9"/>
  <c r="D1387" i="9" l="1"/>
  <c r="C1388" i="9"/>
  <c r="E1387" i="9"/>
  <c r="O1387" i="9"/>
  <c r="I1199" i="9"/>
  <c r="H1199" i="9"/>
  <c r="A1200" i="9"/>
  <c r="Q1198" i="9"/>
  <c r="P1198" i="9"/>
  <c r="G1199" i="9"/>
  <c r="J1198" i="9"/>
  <c r="N1198" i="9"/>
  <c r="M1198" i="9"/>
  <c r="L1198" i="9"/>
  <c r="K1198" i="9"/>
  <c r="C1389" i="9" l="1"/>
  <c r="E1388" i="9"/>
  <c r="D1388" i="9"/>
  <c r="O1388" i="9"/>
  <c r="J1199" i="9"/>
  <c r="N1199" i="9"/>
  <c r="M1199" i="9"/>
  <c r="L1199" i="9"/>
  <c r="K1199" i="9"/>
  <c r="Q1199" i="9"/>
  <c r="P1199" i="9"/>
  <c r="G1200" i="9"/>
  <c r="I1200" i="9"/>
  <c r="H1200" i="9"/>
  <c r="A1201" i="9"/>
  <c r="E1389" i="9" l="1"/>
  <c r="O1389" i="9"/>
  <c r="C1390" i="9"/>
  <c r="D1389" i="9"/>
  <c r="J1200" i="9"/>
  <c r="N1200" i="9"/>
  <c r="M1200" i="9"/>
  <c r="L1200" i="9"/>
  <c r="K1200" i="9"/>
  <c r="I1201" i="9"/>
  <c r="H1201" i="9"/>
  <c r="A1202" i="9"/>
  <c r="Q1200" i="9"/>
  <c r="P1200" i="9"/>
  <c r="G1201" i="9"/>
  <c r="O1390" i="9" l="1"/>
  <c r="E1390" i="9"/>
  <c r="D1390" i="9"/>
  <c r="C1391" i="9"/>
  <c r="Q1201" i="9"/>
  <c r="P1201" i="9"/>
  <c r="G1202" i="9"/>
  <c r="J1201" i="9"/>
  <c r="N1201" i="9"/>
  <c r="M1201" i="9"/>
  <c r="L1201" i="9"/>
  <c r="K1201" i="9"/>
  <c r="I1202" i="9"/>
  <c r="H1202" i="9"/>
  <c r="A1203" i="9"/>
  <c r="O1391" i="9" l="1"/>
  <c r="D1391" i="9"/>
  <c r="C1392" i="9"/>
  <c r="E1391" i="9"/>
  <c r="Q1202" i="9"/>
  <c r="P1202" i="9"/>
  <c r="G1203" i="9"/>
  <c r="I1203" i="9"/>
  <c r="H1203" i="9"/>
  <c r="A1204" i="9"/>
  <c r="J1202" i="9"/>
  <c r="N1202" i="9"/>
  <c r="M1202" i="9"/>
  <c r="L1202" i="9"/>
  <c r="K1202" i="9"/>
  <c r="O1392" i="9" l="1"/>
  <c r="D1392" i="9"/>
  <c r="E1392" i="9"/>
  <c r="C1393" i="9"/>
  <c r="I1204" i="9"/>
  <c r="H1204" i="9"/>
  <c r="A1205" i="9"/>
  <c r="J1203" i="9"/>
  <c r="N1203" i="9"/>
  <c r="M1203" i="9"/>
  <c r="L1203" i="9"/>
  <c r="K1203" i="9"/>
  <c r="Q1203" i="9"/>
  <c r="P1203" i="9"/>
  <c r="G1204" i="9"/>
  <c r="O1393" i="9" l="1"/>
  <c r="C1394" i="9"/>
  <c r="E1393" i="9"/>
  <c r="D1393" i="9"/>
  <c r="J1204" i="9"/>
  <c r="N1204" i="9"/>
  <c r="M1204" i="9"/>
  <c r="L1204" i="9"/>
  <c r="K1204" i="9"/>
  <c r="Q1204" i="9"/>
  <c r="P1204" i="9"/>
  <c r="G1205" i="9"/>
  <c r="I1205" i="9"/>
  <c r="H1205" i="9"/>
  <c r="A1206" i="9"/>
  <c r="O1394" i="9" l="1"/>
  <c r="D1394" i="9"/>
  <c r="C1395" i="9"/>
  <c r="E1394" i="9"/>
  <c r="J1205" i="9"/>
  <c r="N1205" i="9"/>
  <c r="M1205" i="9"/>
  <c r="L1205" i="9"/>
  <c r="K1205" i="9"/>
  <c r="I1206" i="9"/>
  <c r="H1206" i="9"/>
  <c r="A1207" i="9"/>
  <c r="Q1205" i="9"/>
  <c r="P1205" i="9"/>
  <c r="G1206" i="9"/>
  <c r="O1395" i="9" l="1"/>
  <c r="D1395" i="9"/>
  <c r="C1396" i="9"/>
  <c r="E1395" i="9"/>
  <c r="J1206" i="9"/>
  <c r="N1206" i="9"/>
  <c r="M1206" i="9"/>
  <c r="L1206" i="9"/>
  <c r="K1206" i="9"/>
  <c r="Q1206" i="9"/>
  <c r="P1206" i="9"/>
  <c r="G1207" i="9"/>
  <c r="I1207" i="9"/>
  <c r="H1207" i="9"/>
  <c r="A1208" i="9"/>
  <c r="C1397" i="9" l="1"/>
  <c r="E1396" i="9"/>
  <c r="O1396" i="9"/>
  <c r="D1396" i="9"/>
  <c r="I1208" i="9"/>
  <c r="H1208" i="9"/>
  <c r="A1209" i="9"/>
  <c r="J1207" i="9"/>
  <c r="N1207" i="9"/>
  <c r="M1207" i="9"/>
  <c r="L1207" i="9"/>
  <c r="K1207" i="9"/>
  <c r="Q1207" i="9"/>
  <c r="P1207" i="9"/>
  <c r="G1208" i="9"/>
  <c r="C1398" i="9" l="1"/>
  <c r="E1397" i="9"/>
  <c r="O1397" i="9"/>
  <c r="D1397" i="9"/>
  <c r="Q1208" i="9"/>
  <c r="P1208" i="9"/>
  <c r="G1209" i="9"/>
  <c r="J1208" i="9"/>
  <c r="N1208" i="9"/>
  <c r="M1208" i="9"/>
  <c r="L1208" i="9"/>
  <c r="K1208" i="9"/>
  <c r="I1209" i="9"/>
  <c r="H1209" i="9"/>
  <c r="A1210" i="9"/>
  <c r="D1398" i="9" l="1"/>
  <c r="O1398" i="9"/>
  <c r="C1399" i="9"/>
  <c r="E1398" i="9"/>
  <c r="Q1209" i="9"/>
  <c r="P1209" i="9"/>
  <c r="G1210" i="9"/>
  <c r="I1210" i="9"/>
  <c r="H1210" i="9"/>
  <c r="A1211" i="9"/>
  <c r="J1209" i="9"/>
  <c r="N1209" i="9"/>
  <c r="M1209" i="9"/>
  <c r="L1209" i="9"/>
  <c r="K1209" i="9"/>
  <c r="C1400" i="9" l="1"/>
  <c r="D1399" i="9"/>
  <c r="E1399" i="9"/>
  <c r="O1399" i="9"/>
  <c r="I1211" i="9"/>
  <c r="H1211" i="9"/>
  <c r="A1212" i="9"/>
  <c r="Q1210" i="9"/>
  <c r="P1210" i="9"/>
  <c r="G1211" i="9"/>
  <c r="J1210" i="9"/>
  <c r="N1210" i="9"/>
  <c r="M1210" i="9"/>
  <c r="L1210" i="9"/>
  <c r="K1210" i="9"/>
  <c r="C1401" i="9" l="1"/>
  <c r="O1400" i="9"/>
  <c r="E1400" i="9"/>
  <c r="D1400" i="9"/>
  <c r="J1211" i="9"/>
  <c r="N1211" i="9"/>
  <c r="M1211" i="9"/>
  <c r="L1211" i="9"/>
  <c r="K1211" i="9"/>
  <c r="Q1211" i="9"/>
  <c r="P1211" i="9"/>
  <c r="G1212" i="9"/>
  <c r="I1212" i="9"/>
  <c r="H1212" i="9"/>
  <c r="A1213" i="9"/>
  <c r="C1402" i="9" l="1"/>
  <c r="E1401" i="9"/>
  <c r="D1401" i="9"/>
  <c r="O1401" i="9"/>
  <c r="J1212" i="9"/>
  <c r="N1212" i="9"/>
  <c r="M1212" i="9"/>
  <c r="L1212" i="9"/>
  <c r="K1212" i="9"/>
  <c r="I1213" i="9"/>
  <c r="H1213" i="9"/>
  <c r="A1214" i="9"/>
  <c r="Q1212" i="9"/>
  <c r="P1212" i="9"/>
  <c r="G1213" i="9"/>
  <c r="D1402" i="9" l="1"/>
  <c r="C1403" i="9"/>
  <c r="E1402" i="9"/>
  <c r="O1402" i="9"/>
  <c r="Q1213" i="9"/>
  <c r="P1213" i="9"/>
  <c r="G1214" i="9"/>
  <c r="J1213" i="9"/>
  <c r="N1213" i="9"/>
  <c r="M1213" i="9"/>
  <c r="L1213" i="9"/>
  <c r="K1213" i="9"/>
  <c r="I1214" i="9"/>
  <c r="H1214" i="9"/>
  <c r="A1215" i="9"/>
  <c r="E1403" i="9" l="1"/>
  <c r="O1403" i="9"/>
  <c r="D1403" i="9"/>
  <c r="C1404" i="9"/>
  <c r="I1215" i="9"/>
  <c r="H1215" i="9"/>
  <c r="A1216" i="9"/>
  <c r="Q1214" i="9"/>
  <c r="P1214" i="9"/>
  <c r="G1215" i="9"/>
  <c r="J1214" i="9"/>
  <c r="N1214" i="9"/>
  <c r="M1214" i="9"/>
  <c r="L1214" i="9"/>
  <c r="K1214" i="9"/>
  <c r="D1404" i="9" l="1"/>
  <c r="O1404" i="9"/>
  <c r="C1405" i="9"/>
  <c r="E1404" i="9"/>
  <c r="Q1215" i="9"/>
  <c r="P1215" i="9"/>
  <c r="G1216" i="9"/>
  <c r="J1215" i="9"/>
  <c r="N1215" i="9"/>
  <c r="M1215" i="9"/>
  <c r="L1215" i="9"/>
  <c r="K1215" i="9"/>
  <c r="I1216" i="9"/>
  <c r="H1216" i="9"/>
  <c r="A1217" i="9"/>
  <c r="C1406" i="9" l="1"/>
  <c r="D1405" i="9"/>
  <c r="E1405" i="9"/>
  <c r="O1405" i="9"/>
  <c r="J1216" i="9"/>
  <c r="N1216" i="9"/>
  <c r="M1216" i="9"/>
  <c r="L1216" i="9"/>
  <c r="K1216" i="9"/>
  <c r="I1217" i="9"/>
  <c r="H1217" i="9"/>
  <c r="A1218" i="9"/>
  <c r="Q1216" i="9"/>
  <c r="P1216" i="9"/>
  <c r="G1217" i="9"/>
  <c r="C1407" i="9" l="1"/>
  <c r="E1406" i="9"/>
  <c r="D1406" i="9"/>
  <c r="O1406" i="9"/>
  <c r="J1217" i="9"/>
  <c r="N1217" i="9"/>
  <c r="M1217" i="9"/>
  <c r="L1217" i="9"/>
  <c r="K1217" i="9"/>
  <c r="Q1217" i="9"/>
  <c r="P1217" i="9"/>
  <c r="G1218" i="9"/>
  <c r="I1218" i="9"/>
  <c r="H1218" i="9"/>
  <c r="A1219" i="9"/>
  <c r="E1407" i="9" l="1"/>
  <c r="O1407" i="9"/>
  <c r="D1407" i="9"/>
  <c r="C1408" i="9"/>
  <c r="I1219" i="9"/>
  <c r="H1219" i="9"/>
  <c r="A1220" i="9"/>
  <c r="Q1218" i="9"/>
  <c r="P1218" i="9"/>
  <c r="G1219" i="9"/>
  <c r="J1218" i="9"/>
  <c r="N1218" i="9"/>
  <c r="M1218" i="9"/>
  <c r="L1218" i="9"/>
  <c r="K1218" i="9"/>
  <c r="C1409" i="9" l="1"/>
  <c r="E1408" i="9"/>
  <c r="O1408" i="9"/>
  <c r="D1408" i="9"/>
  <c r="J1219" i="9"/>
  <c r="N1219" i="9"/>
  <c r="M1219" i="9"/>
  <c r="L1219" i="9"/>
  <c r="K1219" i="9"/>
  <c r="Q1219" i="9"/>
  <c r="P1219" i="9"/>
  <c r="G1220" i="9"/>
  <c r="I1220" i="9"/>
  <c r="H1220" i="9"/>
  <c r="A1221" i="9"/>
  <c r="E1409" i="9" l="1"/>
  <c r="D1409" i="9"/>
  <c r="O1409" i="9"/>
  <c r="C1410" i="9"/>
  <c r="I1221" i="9"/>
  <c r="H1221" i="9"/>
  <c r="A1222" i="9"/>
  <c r="J1220" i="9"/>
  <c r="N1220" i="9"/>
  <c r="M1220" i="9"/>
  <c r="L1220" i="9"/>
  <c r="K1220" i="9"/>
  <c r="Q1220" i="9"/>
  <c r="P1220" i="9"/>
  <c r="G1221" i="9"/>
  <c r="D1410" i="9" l="1"/>
  <c r="C1411" i="9"/>
  <c r="E1410" i="9"/>
  <c r="O1410" i="9"/>
  <c r="Q1221" i="9"/>
  <c r="P1221" i="9"/>
  <c r="G1222" i="9"/>
  <c r="I1222" i="9"/>
  <c r="H1222" i="9"/>
  <c r="A1223" i="9"/>
  <c r="J1221" i="9"/>
  <c r="N1221" i="9"/>
  <c r="M1221" i="9"/>
  <c r="L1221" i="9"/>
  <c r="K1221" i="9"/>
  <c r="C1412" i="9" l="1"/>
  <c r="E1411" i="9"/>
  <c r="O1411" i="9"/>
  <c r="D1411" i="9"/>
  <c r="I1223" i="9"/>
  <c r="H1223" i="9"/>
  <c r="A1224" i="9"/>
  <c r="Q1222" i="9"/>
  <c r="P1222" i="9"/>
  <c r="G1223" i="9"/>
  <c r="J1222" i="9"/>
  <c r="N1222" i="9"/>
  <c r="M1222" i="9"/>
  <c r="L1222" i="9"/>
  <c r="K1222" i="9"/>
  <c r="O1412" i="9" l="1"/>
  <c r="D1412" i="9"/>
  <c r="C1413" i="9"/>
  <c r="E1412" i="9"/>
  <c r="Q1223" i="9"/>
  <c r="P1223" i="9"/>
  <c r="G1224" i="9"/>
  <c r="I1224" i="9"/>
  <c r="H1224" i="9"/>
  <c r="A1225" i="9"/>
  <c r="J1223" i="9"/>
  <c r="N1223" i="9"/>
  <c r="M1223" i="9"/>
  <c r="L1223" i="9"/>
  <c r="K1223" i="9"/>
  <c r="E1413" i="9" l="1"/>
  <c r="C1414" i="9"/>
  <c r="O1413" i="9"/>
  <c r="D1413" i="9"/>
  <c r="I1225" i="9"/>
  <c r="H1225" i="9"/>
  <c r="A1226" i="9"/>
  <c r="J1224" i="9"/>
  <c r="N1224" i="9"/>
  <c r="M1224" i="9"/>
  <c r="L1224" i="9"/>
  <c r="K1224" i="9"/>
  <c r="Q1224" i="9"/>
  <c r="P1224" i="9"/>
  <c r="G1225" i="9"/>
  <c r="D1414" i="9" l="1"/>
  <c r="O1414" i="9"/>
  <c r="C1415" i="9"/>
  <c r="E1414" i="9"/>
  <c r="J1225" i="9"/>
  <c r="N1225" i="9"/>
  <c r="M1225" i="9"/>
  <c r="L1225" i="9"/>
  <c r="K1225" i="9"/>
  <c r="Q1225" i="9"/>
  <c r="P1225" i="9"/>
  <c r="G1226" i="9"/>
  <c r="I1226" i="9"/>
  <c r="H1226" i="9"/>
  <c r="A1227" i="9"/>
  <c r="E1415" i="9" l="1"/>
  <c r="O1415" i="9"/>
  <c r="D1415" i="9"/>
  <c r="C1416" i="9"/>
  <c r="I1227" i="9"/>
  <c r="H1227" i="9"/>
  <c r="A1228" i="9"/>
  <c r="Q1226" i="9"/>
  <c r="P1226" i="9"/>
  <c r="G1227" i="9"/>
  <c r="J1226" i="9"/>
  <c r="N1226" i="9"/>
  <c r="M1226" i="9"/>
  <c r="L1226" i="9"/>
  <c r="K1226" i="9"/>
  <c r="O1416" i="9" l="1"/>
  <c r="D1416" i="9"/>
  <c r="C1417" i="9"/>
  <c r="E1416" i="9"/>
  <c r="J1227" i="9"/>
  <c r="N1227" i="9"/>
  <c r="M1227" i="9"/>
  <c r="L1227" i="9"/>
  <c r="K1227" i="9"/>
  <c r="Q1227" i="9"/>
  <c r="P1227" i="9"/>
  <c r="G1228" i="9"/>
  <c r="I1228" i="9"/>
  <c r="H1228" i="9"/>
  <c r="A1229" i="9"/>
  <c r="O1417" i="9" l="1"/>
  <c r="C1418" i="9"/>
  <c r="E1417" i="9"/>
  <c r="D1417" i="9"/>
  <c r="I1229" i="9"/>
  <c r="H1229" i="9"/>
  <c r="A1230" i="9"/>
  <c r="J1228" i="9"/>
  <c r="N1228" i="9"/>
  <c r="M1228" i="9"/>
  <c r="L1228" i="9"/>
  <c r="K1228" i="9"/>
  <c r="Q1228" i="9"/>
  <c r="P1228" i="9"/>
  <c r="G1229" i="9"/>
  <c r="E1418" i="9" l="1"/>
  <c r="O1418" i="9"/>
  <c r="D1418" i="9"/>
  <c r="C1419" i="9"/>
  <c r="I1230" i="9"/>
  <c r="H1230" i="9"/>
  <c r="A1231" i="9"/>
  <c r="Q1229" i="9"/>
  <c r="P1229" i="9"/>
  <c r="G1230" i="9"/>
  <c r="J1229" i="9"/>
  <c r="N1229" i="9"/>
  <c r="M1229" i="9"/>
  <c r="L1229" i="9"/>
  <c r="K1229" i="9"/>
  <c r="C1420" i="9" l="1"/>
  <c r="E1419" i="9"/>
  <c r="O1419" i="9"/>
  <c r="D1419" i="9"/>
  <c r="Q1230" i="9"/>
  <c r="P1230" i="9"/>
  <c r="G1231" i="9"/>
  <c r="J1230" i="9"/>
  <c r="N1230" i="9"/>
  <c r="M1230" i="9"/>
  <c r="L1230" i="9"/>
  <c r="K1230" i="9"/>
  <c r="I1231" i="9"/>
  <c r="H1231" i="9"/>
  <c r="A1232" i="9"/>
  <c r="C1421" i="9" l="1"/>
  <c r="E1420" i="9"/>
  <c r="O1420" i="9"/>
  <c r="D1420" i="9"/>
  <c r="I1232" i="9"/>
  <c r="H1232" i="9"/>
  <c r="A1233" i="9"/>
  <c r="Q1231" i="9"/>
  <c r="P1231" i="9"/>
  <c r="G1232" i="9"/>
  <c r="J1231" i="9"/>
  <c r="N1231" i="9"/>
  <c r="M1231" i="9"/>
  <c r="L1231" i="9"/>
  <c r="K1231" i="9"/>
  <c r="C1422" i="9" l="1"/>
  <c r="E1421" i="9"/>
  <c r="D1421" i="9"/>
  <c r="O1421" i="9"/>
  <c r="Q1232" i="9"/>
  <c r="P1232" i="9"/>
  <c r="G1233" i="9"/>
  <c r="I1233" i="9"/>
  <c r="H1233" i="9"/>
  <c r="A1234" i="9"/>
  <c r="J1232" i="9"/>
  <c r="N1232" i="9"/>
  <c r="M1232" i="9"/>
  <c r="L1232" i="9"/>
  <c r="K1232" i="9"/>
  <c r="D1422" i="9" l="1"/>
  <c r="C1423" i="9"/>
  <c r="O1422" i="9"/>
  <c r="E1422" i="9"/>
  <c r="I1234" i="9"/>
  <c r="H1234" i="9"/>
  <c r="A1235" i="9"/>
  <c r="J1233" i="9"/>
  <c r="N1233" i="9"/>
  <c r="M1233" i="9"/>
  <c r="L1233" i="9"/>
  <c r="K1233" i="9"/>
  <c r="Q1233" i="9"/>
  <c r="P1233" i="9"/>
  <c r="G1234" i="9"/>
  <c r="C1424" i="9" l="1"/>
  <c r="E1423" i="9"/>
  <c r="D1423" i="9"/>
  <c r="O1423" i="9"/>
  <c r="J1234" i="9"/>
  <c r="N1234" i="9"/>
  <c r="M1234" i="9"/>
  <c r="L1234" i="9"/>
  <c r="K1234" i="9"/>
  <c r="Q1234" i="9"/>
  <c r="P1234" i="9"/>
  <c r="G1235" i="9"/>
  <c r="I1235" i="9"/>
  <c r="H1235" i="9"/>
  <c r="A1236" i="9"/>
  <c r="C1425" i="9" l="1"/>
  <c r="D1424" i="9"/>
  <c r="E1424" i="9"/>
  <c r="O1424" i="9"/>
  <c r="I1236" i="9"/>
  <c r="H1236" i="9"/>
  <c r="A1237" i="9"/>
  <c r="J1235" i="9"/>
  <c r="N1235" i="9"/>
  <c r="M1235" i="9"/>
  <c r="L1235" i="9"/>
  <c r="K1235" i="9"/>
  <c r="Q1235" i="9"/>
  <c r="P1235" i="9"/>
  <c r="G1236" i="9"/>
  <c r="C1426" i="9" l="1"/>
  <c r="E1425" i="9"/>
  <c r="D1425" i="9"/>
  <c r="O1425" i="9"/>
  <c r="I1237" i="9"/>
  <c r="H1237" i="9"/>
  <c r="A1238" i="9"/>
  <c r="Q1236" i="9"/>
  <c r="P1236" i="9"/>
  <c r="G1237" i="9"/>
  <c r="J1236" i="9"/>
  <c r="N1236" i="9"/>
  <c r="M1236" i="9"/>
  <c r="L1236" i="9"/>
  <c r="K1236" i="9"/>
  <c r="D1426" i="9" l="1"/>
  <c r="E1426" i="9"/>
  <c r="O1426" i="9"/>
  <c r="C1427" i="9"/>
  <c r="Q1237" i="9"/>
  <c r="P1237" i="9"/>
  <c r="G1238" i="9"/>
  <c r="I1238" i="9"/>
  <c r="H1238" i="9"/>
  <c r="A1239" i="9"/>
  <c r="J1237" i="9"/>
  <c r="N1237" i="9"/>
  <c r="M1237" i="9"/>
  <c r="L1237" i="9"/>
  <c r="K1237" i="9"/>
  <c r="C1428" i="9" l="1"/>
  <c r="E1427" i="9"/>
  <c r="O1427" i="9"/>
  <c r="D1427" i="9"/>
  <c r="I1239" i="9"/>
  <c r="H1239" i="9"/>
  <c r="A1240" i="9"/>
  <c r="Q1238" i="9"/>
  <c r="P1238" i="9"/>
  <c r="G1239" i="9"/>
  <c r="J1238" i="9"/>
  <c r="N1238" i="9"/>
  <c r="M1238" i="9"/>
  <c r="L1238" i="9"/>
  <c r="K1238" i="9"/>
  <c r="D1428" i="9" l="1"/>
  <c r="C1429" i="9"/>
  <c r="E1428" i="9"/>
  <c r="O1428" i="9"/>
  <c r="Q1239" i="9"/>
  <c r="P1239" i="9"/>
  <c r="G1240" i="9"/>
  <c r="I1240" i="9"/>
  <c r="H1240" i="9"/>
  <c r="A1241" i="9"/>
  <c r="J1239" i="9"/>
  <c r="N1239" i="9"/>
  <c r="M1239" i="9"/>
  <c r="L1239" i="9"/>
  <c r="K1239" i="9"/>
  <c r="C1430" i="9" l="1"/>
  <c r="E1429" i="9"/>
  <c r="O1429" i="9"/>
  <c r="D1429" i="9"/>
  <c r="I1241" i="9"/>
  <c r="H1241" i="9"/>
  <c r="A1242" i="9"/>
  <c r="J1240" i="9"/>
  <c r="N1240" i="9"/>
  <c r="M1240" i="9"/>
  <c r="L1240" i="9"/>
  <c r="K1240" i="9"/>
  <c r="Q1240" i="9"/>
  <c r="P1240" i="9"/>
  <c r="G1241" i="9"/>
  <c r="O1430" i="9" l="1"/>
  <c r="D1430" i="9"/>
  <c r="E1430" i="9"/>
  <c r="J1241" i="9"/>
  <c r="N1241" i="9"/>
  <c r="M1241" i="9"/>
  <c r="L1241" i="9"/>
  <c r="K1241" i="9"/>
  <c r="Q1241" i="9"/>
  <c r="P1241" i="9"/>
  <c r="G1242" i="9"/>
  <c r="I1242" i="9"/>
  <c r="H1242" i="9"/>
  <c r="A1243" i="9"/>
  <c r="I1243" i="9" l="1"/>
  <c r="H1243" i="9"/>
  <c r="A1244" i="9"/>
  <c r="Q1242" i="9"/>
  <c r="P1242" i="9"/>
  <c r="G1243" i="9"/>
  <c r="J1242" i="9"/>
  <c r="N1242" i="9"/>
  <c r="M1242" i="9"/>
  <c r="L1242" i="9"/>
  <c r="K1242" i="9"/>
  <c r="J1243" i="9" l="1"/>
  <c r="N1243" i="9"/>
  <c r="M1243" i="9"/>
  <c r="L1243" i="9"/>
  <c r="K1243" i="9"/>
  <c r="Q1243" i="9"/>
  <c r="P1243" i="9"/>
  <c r="G1244" i="9"/>
  <c r="I1244" i="9"/>
  <c r="H1244" i="9"/>
  <c r="A1245" i="9"/>
  <c r="I1245" i="9" l="1"/>
  <c r="H1245" i="9"/>
  <c r="A1246" i="9"/>
  <c r="J1244" i="9"/>
  <c r="N1244" i="9"/>
  <c r="M1244" i="9"/>
  <c r="L1244" i="9"/>
  <c r="K1244" i="9"/>
  <c r="Q1244" i="9"/>
  <c r="P1244" i="9"/>
  <c r="G1245" i="9"/>
  <c r="Q1245" i="9" l="1"/>
  <c r="P1245" i="9"/>
  <c r="G1246" i="9"/>
  <c r="I1246" i="9"/>
  <c r="H1246" i="9"/>
  <c r="A1247" i="9"/>
  <c r="J1245" i="9"/>
  <c r="N1245" i="9"/>
  <c r="M1245" i="9"/>
  <c r="L1245" i="9"/>
  <c r="K1245" i="9"/>
  <c r="I1247" i="9" l="1"/>
  <c r="H1247" i="9"/>
  <c r="A1248" i="9"/>
  <c r="Q1246" i="9"/>
  <c r="P1246" i="9"/>
  <c r="G1247" i="9"/>
  <c r="J1246" i="9"/>
  <c r="N1246" i="9"/>
  <c r="M1246" i="9"/>
  <c r="L1246" i="9"/>
  <c r="K1246" i="9"/>
  <c r="Q1247" i="9" l="1"/>
  <c r="P1247" i="9"/>
  <c r="G1248" i="9"/>
  <c r="I1248" i="9"/>
  <c r="H1248" i="9"/>
  <c r="A1249" i="9"/>
  <c r="J1247" i="9"/>
  <c r="N1247" i="9"/>
  <c r="M1247" i="9"/>
  <c r="L1247" i="9"/>
  <c r="K1247" i="9"/>
  <c r="I1249" i="9" l="1"/>
  <c r="H1249" i="9"/>
  <c r="A1250" i="9"/>
  <c r="J1248" i="9"/>
  <c r="N1248" i="9"/>
  <c r="M1248" i="9"/>
  <c r="L1248" i="9"/>
  <c r="K1248" i="9"/>
  <c r="Q1248" i="9"/>
  <c r="P1248" i="9"/>
  <c r="G1249" i="9"/>
  <c r="J1249" i="9" l="1"/>
  <c r="N1249" i="9"/>
  <c r="M1249" i="9"/>
  <c r="L1249" i="9"/>
  <c r="K1249" i="9"/>
  <c r="Q1249" i="9"/>
  <c r="P1249" i="9"/>
  <c r="G1250" i="9"/>
  <c r="I1250" i="9"/>
  <c r="H1250" i="9"/>
  <c r="A1251" i="9"/>
  <c r="I1251" i="9" l="1"/>
  <c r="H1251" i="9"/>
  <c r="A1252" i="9"/>
  <c r="Q1250" i="9"/>
  <c r="P1250" i="9"/>
  <c r="G1251" i="9"/>
  <c r="J1250" i="9"/>
  <c r="N1250" i="9"/>
  <c r="M1250" i="9"/>
  <c r="L1250" i="9"/>
  <c r="K1250" i="9"/>
  <c r="J1251" i="9" l="1"/>
  <c r="N1251" i="9"/>
  <c r="M1251" i="9"/>
  <c r="L1251" i="9"/>
  <c r="K1251" i="9"/>
  <c r="Q1251" i="9"/>
  <c r="P1251" i="9"/>
  <c r="G1252" i="9"/>
  <c r="I1252" i="9"/>
  <c r="H1252" i="9"/>
  <c r="A1253" i="9"/>
  <c r="I1253" i="9" l="1"/>
  <c r="H1253" i="9"/>
  <c r="A1254" i="9"/>
  <c r="J1252" i="9"/>
  <c r="N1252" i="9"/>
  <c r="M1252" i="9"/>
  <c r="L1252" i="9"/>
  <c r="K1252" i="9"/>
  <c r="Q1252" i="9"/>
  <c r="P1252" i="9"/>
  <c r="G1253" i="9"/>
  <c r="Q1253" i="9" l="1"/>
  <c r="P1253" i="9"/>
  <c r="G1254" i="9"/>
  <c r="I1254" i="9"/>
  <c r="H1254" i="9"/>
  <c r="A1255" i="9"/>
  <c r="J1253" i="9"/>
  <c r="N1253" i="9"/>
  <c r="M1253" i="9"/>
  <c r="L1253" i="9"/>
  <c r="K1253" i="9"/>
  <c r="I1255" i="9" l="1"/>
  <c r="H1255" i="9"/>
  <c r="A1256" i="9"/>
  <c r="Q1254" i="9"/>
  <c r="P1254" i="9"/>
  <c r="G1255" i="9"/>
  <c r="J1254" i="9"/>
  <c r="N1254" i="9"/>
  <c r="M1254" i="9"/>
  <c r="L1254" i="9"/>
  <c r="K1254" i="9"/>
  <c r="Q1255" i="9" l="1"/>
  <c r="P1255" i="9"/>
  <c r="G1256" i="9"/>
  <c r="I1256" i="9"/>
  <c r="H1256" i="9"/>
  <c r="A1257" i="9"/>
  <c r="J1255" i="9"/>
  <c r="N1255" i="9"/>
  <c r="M1255" i="9"/>
  <c r="L1255" i="9"/>
  <c r="K1255" i="9"/>
  <c r="I1257" i="9" l="1"/>
  <c r="H1257" i="9"/>
  <c r="A1258" i="9"/>
  <c r="J1256" i="9"/>
  <c r="N1256" i="9"/>
  <c r="M1256" i="9"/>
  <c r="L1256" i="9"/>
  <c r="K1256" i="9"/>
  <c r="Q1256" i="9"/>
  <c r="P1256" i="9"/>
  <c r="G1257" i="9"/>
  <c r="J1257" i="9" l="1"/>
  <c r="N1257" i="9"/>
  <c r="M1257" i="9"/>
  <c r="L1257" i="9"/>
  <c r="K1257" i="9"/>
  <c r="Q1257" i="9"/>
  <c r="P1257" i="9"/>
  <c r="G1258" i="9"/>
  <c r="I1258" i="9"/>
  <c r="H1258" i="9"/>
  <c r="A1259" i="9"/>
  <c r="I1259" i="9" l="1"/>
  <c r="H1259" i="9"/>
  <c r="A1260" i="9"/>
  <c r="Q1258" i="9"/>
  <c r="P1258" i="9"/>
  <c r="G1259" i="9"/>
  <c r="J1258" i="9"/>
  <c r="N1258" i="9"/>
  <c r="M1258" i="9"/>
  <c r="L1258" i="9"/>
  <c r="K1258" i="9"/>
  <c r="J1259" i="9" l="1"/>
  <c r="N1259" i="9"/>
  <c r="M1259" i="9"/>
  <c r="L1259" i="9"/>
  <c r="K1259" i="9"/>
  <c r="Q1259" i="9"/>
  <c r="P1259" i="9"/>
  <c r="G1260" i="9"/>
  <c r="I1260" i="9"/>
  <c r="H1260" i="9"/>
  <c r="A1261" i="9"/>
  <c r="I1261" i="9" l="1"/>
  <c r="H1261" i="9"/>
  <c r="A1262" i="9"/>
  <c r="J1260" i="9"/>
  <c r="N1260" i="9"/>
  <c r="M1260" i="9"/>
  <c r="L1260" i="9"/>
  <c r="K1260" i="9"/>
  <c r="Q1260" i="9"/>
  <c r="P1260" i="9"/>
  <c r="G1261" i="9"/>
  <c r="I1262" i="9" l="1"/>
  <c r="H1262" i="9"/>
  <c r="A1263" i="9"/>
  <c r="Q1261" i="9"/>
  <c r="P1261" i="9"/>
  <c r="G1262" i="9"/>
  <c r="J1261" i="9"/>
  <c r="N1261" i="9"/>
  <c r="M1261" i="9"/>
  <c r="L1261" i="9"/>
  <c r="K1261" i="9"/>
  <c r="Q1262" i="9" l="1"/>
  <c r="P1262" i="9"/>
  <c r="G1263" i="9"/>
  <c r="J1262" i="9"/>
  <c r="N1262" i="9"/>
  <c r="M1262" i="9"/>
  <c r="L1262" i="9"/>
  <c r="K1262" i="9"/>
  <c r="I1263" i="9"/>
  <c r="H1263" i="9"/>
  <c r="A1264" i="9"/>
  <c r="I1264" i="9" l="1"/>
  <c r="H1264" i="9"/>
  <c r="A1265" i="9"/>
  <c r="Q1263" i="9"/>
  <c r="P1263" i="9"/>
  <c r="G1264" i="9"/>
  <c r="J1263" i="9"/>
  <c r="N1263" i="9"/>
  <c r="M1263" i="9"/>
  <c r="L1263" i="9"/>
  <c r="K1263" i="9"/>
  <c r="Q1264" i="9" l="1"/>
  <c r="P1264" i="9"/>
  <c r="G1265" i="9"/>
  <c r="I1265" i="9"/>
  <c r="H1265" i="9"/>
  <c r="A1266" i="9"/>
  <c r="J1264" i="9"/>
  <c r="N1264" i="9"/>
  <c r="M1264" i="9"/>
  <c r="L1264" i="9"/>
  <c r="K1264" i="9"/>
  <c r="I1266" i="9" l="1"/>
  <c r="H1266" i="9"/>
  <c r="A1267" i="9"/>
  <c r="J1265" i="9"/>
  <c r="N1265" i="9"/>
  <c r="M1265" i="9"/>
  <c r="L1265" i="9"/>
  <c r="K1265" i="9"/>
  <c r="Q1265" i="9"/>
  <c r="P1265" i="9"/>
  <c r="G1266" i="9"/>
  <c r="J1266" i="9" l="1"/>
  <c r="N1266" i="9"/>
  <c r="M1266" i="9"/>
  <c r="L1266" i="9"/>
  <c r="K1266" i="9"/>
  <c r="Q1266" i="9"/>
  <c r="P1266" i="9"/>
  <c r="G1267" i="9"/>
  <c r="I1267" i="9"/>
  <c r="H1267" i="9"/>
  <c r="A1268" i="9"/>
  <c r="I1268" i="9" l="1"/>
  <c r="H1268" i="9"/>
  <c r="A1269" i="9"/>
  <c r="J1267" i="9"/>
  <c r="N1267" i="9"/>
  <c r="M1267" i="9"/>
  <c r="L1267" i="9"/>
  <c r="K1267" i="9"/>
  <c r="Q1267" i="9"/>
  <c r="P1267" i="9"/>
  <c r="G1268" i="9"/>
  <c r="Q1268" i="9" l="1"/>
  <c r="P1268" i="9"/>
  <c r="G1269" i="9"/>
  <c r="I1269" i="9"/>
  <c r="H1269" i="9"/>
  <c r="A1270" i="9"/>
  <c r="J1268" i="9"/>
  <c r="N1268" i="9"/>
  <c r="M1268" i="9"/>
  <c r="L1268" i="9"/>
  <c r="K1268" i="9"/>
  <c r="I1270" i="9" l="1"/>
  <c r="H1270" i="9"/>
  <c r="A1271" i="9"/>
  <c r="Q1269" i="9"/>
  <c r="P1269" i="9"/>
  <c r="G1270" i="9"/>
  <c r="J1269" i="9"/>
  <c r="N1269" i="9"/>
  <c r="M1269" i="9"/>
  <c r="L1269" i="9"/>
  <c r="K1269" i="9"/>
  <c r="J1270" i="9" l="1"/>
  <c r="N1270" i="9"/>
  <c r="M1270" i="9"/>
  <c r="L1270" i="9"/>
  <c r="K1270" i="9"/>
  <c r="Q1270" i="9"/>
  <c r="P1270" i="9"/>
  <c r="G1271" i="9"/>
  <c r="I1271" i="9"/>
  <c r="H1271" i="9"/>
  <c r="A1272" i="9"/>
  <c r="I1272" i="9" l="1"/>
  <c r="H1272" i="9"/>
  <c r="A1273" i="9"/>
  <c r="Q1271" i="9"/>
  <c r="P1271" i="9"/>
  <c r="G1272" i="9"/>
  <c r="J1271" i="9"/>
  <c r="N1271" i="9"/>
  <c r="M1271" i="9"/>
  <c r="L1271" i="9"/>
  <c r="K1271" i="9"/>
  <c r="Q1272" i="9" l="1"/>
  <c r="P1272" i="9"/>
  <c r="G1273" i="9"/>
  <c r="I1273" i="9"/>
  <c r="H1273" i="9"/>
  <c r="A1274" i="9"/>
  <c r="J1272" i="9"/>
  <c r="N1272" i="9"/>
  <c r="M1272" i="9"/>
  <c r="L1272" i="9"/>
  <c r="K1272" i="9"/>
  <c r="I1274" i="9" l="1"/>
  <c r="H1274" i="9"/>
  <c r="A1275" i="9"/>
  <c r="J1273" i="9"/>
  <c r="N1273" i="9"/>
  <c r="M1273" i="9"/>
  <c r="L1273" i="9"/>
  <c r="K1273" i="9"/>
  <c r="Q1273" i="9"/>
  <c r="P1273" i="9"/>
  <c r="G1274" i="9"/>
  <c r="J1274" i="9" l="1"/>
  <c r="N1274" i="9"/>
  <c r="M1274" i="9"/>
  <c r="L1274" i="9"/>
  <c r="K1274" i="9"/>
  <c r="Q1274" i="9"/>
  <c r="P1274" i="9"/>
  <c r="G1275" i="9"/>
  <c r="I1275" i="9"/>
  <c r="H1275" i="9"/>
  <c r="A1276" i="9"/>
  <c r="I1276" i="9" l="1"/>
  <c r="H1276" i="9"/>
  <c r="A1277" i="9"/>
  <c r="J1275" i="9"/>
  <c r="N1275" i="9"/>
  <c r="M1275" i="9"/>
  <c r="L1275" i="9"/>
  <c r="K1275" i="9"/>
  <c r="Q1275" i="9"/>
  <c r="P1275" i="9"/>
  <c r="G1276" i="9"/>
  <c r="I1277" i="9" l="1"/>
  <c r="H1277" i="9"/>
  <c r="A1278" i="9"/>
  <c r="Q1276" i="9"/>
  <c r="P1276" i="9"/>
  <c r="G1277" i="9"/>
  <c r="J1276" i="9"/>
  <c r="N1276" i="9"/>
  <c r="M1276" i="9"/>
  <c r="L1276" i="9"/>
  <c r="K1276" i="9"/>
  <c r="Q1277" i="9" l="1"/>
  <c r="P1277" i="9"/>
  <c r="G1278" i="9"/>
  <c r="I1278" i="9"/>
  <c r="H1278" i="9"/>
  <c r="A1279" i="9"/>
  <c r="J1277" i="9"/>
  <c r="N1277" i="9"/>
  <c r="M1277" i="9"/>
  <c r="L1277" i="9"/>
  <c r="K1277" i="9"/>
  <c r="I1279" i="9" l="1"/>
  <c r="H1279" i="9"/>
  <c r="A1280" i="9"/>
  <c r="Q1278" i="9"/>
  <c r="P1278" i="9"/>
  <c r="G1279" i="9"/>
  <c r="J1278" i="9"/>
  <c r="N1278" i="9"/>
  <c r="M1278" i="9"/>
  <c r="L1278" i="9"/>
  <c r="K1278" i="9"/>
  <c r="Q1279" i="9" l="1"/>
  <c r="P1279" i="9"/>
  <c r="G1280" i="9"/>
  <c r="I1280" i="9"/>
  <c r="H1280" i="9"/>
  <c r="A1281" i="9"/>
  <c r="J1279" i="9"/>
  <c r="N1279" i="9"/>
  <c r="M1279" i="9"/>
  <c r="L1279" i="9"/>
  <c r="K1279" i="9"/>
  <c r="I1281" i="9" l="1"/>
  <c r="H1281" i="9"/>
  <c r="A1282" i="9"/>
  <c r="J1280" i="9"/>
  <c r="N1280" i="9"/>
  <c r="M1280" i="9"/>
  <c r="L1280" i="9"/>
  <c r="K1280" i="9"/>
  <c r="Q1280" i="9"/>
  <c r="P1280" i="9"/>
  <c r="G1281" i="9"/>
  <c r="J1281" i="9" l="1"/>
  <c r="N1281" i="9"/>
  <c r="M1281" i="9"/>
  <c r="L1281" i="9"/>
  <c r="K1281" i="9"/>
  <c r="Q1281" i="9"/>
  <c r="P1281" i="9"/>
  <c r="G1282" i="9"/>
  <c r="I1282" i="9"/>
  <c r="H1282" i="9"/>
  <c r="A1283" i="9"/>
  <c r="I1283" i="9" l="1"/>
  <c r="H1283" i="9"/>
  <c r="A1284" i="9"/>
  <c r="Q1282" i="9"/>
  <c r="P1282" i="9"/>
  <c r="G1283" i="9"/>
  <c r="J1282" i="9"/>
  <c r="N1282" i="9"/>
  <c r="M1282" i="9"/>
  <c r="L1282" i="9"/>
  <c r="K1282" i="9"/>
  <c r="J1283" i="9" l="1"/>
  <c r="N1283" i="9"/>
  <c r="M1283" i="9"/>
  <c r="L1283" i="9"/>
  <c r="K1283" i="9"/>
  <c r="Q1283" i="9"/>
  <c r="P1283" i="9"/>
  <c r="G1284" i="9"/>
  <c r="I1284" i="9"/>
  <c r="H1284" i="9"/>
  <c r="A1285" i="9"/>
  <c r="I1285" i="9" l="1"/>
  <c r="H1285" i="9"/>
  <c r="A1286" i="9"/>
  <c r="J1284" i="9"/>
  <c r="N1284" i="9"/>
  <c r="M1284" i="9"/>
  <c r="L1284" i="9"/>
  <c r="K1284" i="9"/>
  <c r="Q1284" i="9"/>
  <c r="P1284" i="9"/>
  <c r="G1285" i="9"/>
  <c r="Q1285" i="9" l="1"/>
  <c r="P1285" i="9"/>
  <c r="G1286" i="9"/>
  <c r="I1286" i="9"/>
  <c r="H1286" i="9"/>
  <c r="A1287" i="9"/>
  <c r="J1285" i="9"/>
  <c r="N1285" i="9"/>
  <c r="M1285" i="9"/>
  <c r="L1285" i="9"/>
  <c r="K1285" i="9"/>
  <c r="I1287" i="9" l="1"/>
  <c r="H1287" i="9"/>
  <c r="A1288" i="9"/>
  <c r="Q1286" i="9"/>
  <c r="P1286" i="9"/>
  <c r="G1287" i="9"/>
  <c r="J1286" i="9"/>
  <c r="N1286" i="9"/>
  <c r="M1286" i="9"/>
  <c r="L1286" i="9"/>
  <c r="K1286" i="9"/>
  <c r="Q1287" i="9" l="1"/>
  <c r="P1287" i="9"/>
  <c r="G1288" i="9"/>
  <c r="I1288" i="9"/>
  <c r="H1288" i="9"/>
  <c r="A1289" i="9"/>
  <c r="J1287" i="9"/>
  <c r="N1287" i="9"/>
  <c r="M1287" i="9"/>
  <c r="L1287" i="9"/>
  <c r="K1287" i="9"/>
  <c r="I1289" i="9" l="1"/>
  <c r="H1289" i="9"/>
  <c r="A1290" i="9"/>
  <c r="J1288" i="9"/>
  <c r="N1288" i="9"/>
  <c r="M1288" i="9"/>
  <c r="L1288" i="9"/>
  <c r="K1288" i="9"/>
  <c r="Q1288" i="9"/>
  <c r="P1288" i="9"/>
  <c r="G1289" i="9"/>
  <c r="J1289" i="9" l="1"/>
  <c r="N1289" i="9"/>
  <c r="M1289" i="9"/>
  <c r="L1289" i="9"/>
  <c r="K1289" i="9"/>
  <c r="Q1289" i="9"/>
  <c r="P1289" i="9"/>
  <c r="G1290" i="9"/>
  <c r="I1290" i="9"/>
  <c r="H1290" i="9"/>
  <c r="A1291" i="9"/>
  <c r="I1291" i="9" l="1"/>
  <c r="H1291" i="9"/>
  <c r="A1292" i="9"/>
  <c r="Q1290" i="9"/>
  <c r="P1290" i="9"/>
  <c r="G1291" i="9"/>
  <c r="J1290" i="9"/>
  <c r="N1290" i="9"/>
  <c r="M1290" i="9"/>
  <c r="L1290" i="9"/>
  <c r="K1290" i="9"/>
  <c r="J1291" i="9" l="1"/>
  <c r="N1291" i="9"/>
  <c r="M1291" i="9"/>
  <c r="L1291" i="9"/>
  <c r="K1291" i="9"/>
  <c r="Q1291" i="9"/>
  <c r="P1291" i="9"/>
  <c r="G1292" i="9"/>
  <c r="I1292" i="9"/>
  <c r="H1292" i="9"/>
  <c r="A1293" i="9"/>
  <c r="I1293" i="9" l="1"/>
  <c r="H1293" i="9"/>
  <c r="A1294" i="9"/>
  <c r="J1292" i="9"/>
  <c r="N1292" i="9"/>
  <c r="M1292" i="9"/>
  <c r="L1292" i="9"/>
  <c r="K1292" i="9"/>
  <c r="Q1292" i="9"/>
  <c r="P1292" i="9"/>
  <c r="G1293" i="9"/>
  <c r="I1294" i="9" l="1"/>
  <c r="H1294" i="9"/>
  <c r="A1295" i="9"/>
  <c r="Q1293" i="9"/>
  <c r="P1293" i="9"/>
  <c r="G1294" i="9"/>
  <c r="J1293" i="9"/>
  <c r="N1293" i="9"/>
  <c r="M1293" i="9"/>
  <c r="L1293" i="9"/>
  <c r="K1293" i="9"/>
  <c r="Q1294" i="9" l="1"/>
  <c r="P1294" i="9"/>
  <c r="G1295" i="9"/>
  <c r="J1294" i="9"/>
  <c r="N1294" i="9"/>
  <c r="M1294" i="9"/>
  <c r="L1294" i="9"/>
  <c r="K1294" i="9"/>
  <c r="I1295" i="9"/>
  <c r="H1295" i="9"/>
  <c r="A1296" i="9"/>
  <c r="I1296" i="9" l="1"/>
  <c r="H1296" i="9"/>
  <c r="A1297" i="9"/>
  <c r="Q1295" i="9"/>
  <c r="P1295" i="9"/>
  <c r="G1296" i="9"/>
  <c r="J1295" i="9"/>
  <c r="N1295" i="9"/>
  <c r="M1295" i="9"/>
  <c r="L1295" i="9"/>
  <c r="K1295" i="9"/>
  <c r="I1297" i="9" l="1"/>
  <c r="H1297" i="9"/>
  <c r="A1298" i="9"/>
  <c r="Q1296" i="9"/>
  <c r="P1296" i="9"/>
  <c r="G1297" i="9"/>
  <c r="J1296" i="9"/>
  <c r="N1296" i="9"/>
  <c r="M1296" i="9"/>
  <c r="L1296" i="9"/>
  <c r="K1296" i="9"/>
  <c r="J1297" i="9" l="1"/>
  <c r="N1297" i="9"/>
  <c r="M1297" i="9"/>
  <c r="L1297" i="9"/>
  <c r="K1297" i="9"/>
  <c r="Q1297" i="9"/>
  <c r="P1297" i="9"/>
  <c r="G1298" i="9"/>
  <c r="I1298" i="9"/>
  <c r="H1298" i="9"/>
  <c r="A1299" i="9"/>
  <c r="J1298" i="9" l="1"/>
  <c r="N1298" i="9"/>
  <c r="M1298" i="9"/>
  <c r="L1298" i="9"/>
  <c r="K1298" i="9"/>
  <c r="I1299" i="9"/>
  <c r="H1299" i="9"/>
  <c r="A1300" i="9"/>
  <c r="Q1298" i="9"/>
  <c r="P1298" i="9"/>
  <c r="G1299" i="9"/>
  <c r="J1299" i="9" l="1"/>
  <c r="N1299" i="9"/>
  <c r="M1299" i="9"/>
  <c r="L1299" i="9"/>
  <c r="K1299" i="9"/>
  <c r="Q1299" i="9"/>
  <c r="P1299" i="9"/>
  <c r="G1300" i="9"/>
  <c r="I1300" i="9"/>
  <c r="H1300" i="9"/>
  <c r="A1301" i="9"/>
  <c r="I1301" i="9" l="1"/>
  <c r="H1301" i="9"/>
  <c r="A1302" i="9"/>
  <c r="J1300" i="9"/>
  <c r="N1300" i="9"/>
  <c r="M1300" i="9"/>
  <c r="L1300" i="9"/>
  <c r="K1300" i="9"/>
  <c r="Q1300" i="9"/>
  <c r="P1300" i="9"/>
  <c r="G1301" i="9"/>
  <c r="Q1301" i="9" l="1"/>
  <c r="P1301" i="9"/>
  <c r="G1302" i="9"/>
  <c r="I1302" i="9"/>
  <c r="H1302" i="9"/>
  <c r="A1303" i="9"/>
  <c r="J1301" i="9"/>
  <c r="N1301" i="9"/>
  <c r="M1301" i="9"/>
  <c r="L1301" i="9"/>
  <c r="K1301" i="9"/>
  <c r="I1303" i="9" l="1"/>
  <c r="H1303" i="9"/>
  <c r="A1304" i="9"/>
  <c r="Q1302" i="9"/>
  <c r="P1302" i="9"/>
  <c r="G1303" i="9"/>
  <c r="J1302" i="9"/>
  <c r="N1302" i="9"/>
  <c r="M1302" i="9"/>
  <c r="L1302" i="9"/>
  <c r="K1302" i="9"/>
  <c r="Q1303" i="9" l="1"/>
  <c r="P1303" i="9"/>
  <c r="G1304" i="9"/>
  <c r="I1304" i="9"/>
  <c r="H1304" i="9"/>
  <c r="A1305" i="9"/>
  <c r="J1303" i="9"/>
  <c r="N1303" i="9"/>
  <c r="M1303" i="9"/>
  <c r="L1303" i="9"/>
  <c r="K1303" i="9"/>
  <c r="I1305" i="9" l="1"/>
  <c r="H1305" i="9"/>
  <c r="A1306" i="9"/>
  <c r="J1304" i="9"/>
  <c r="N1304" i="9"/>
  <c r="M1304" i="9"/>
  <c r="L1304" i="9"/>
  <c r="K1304" i="9"/>
  <c r="Q1304" i="9"/>
  <c r="P1304" i="9"/>
  <c r="G1305" i="9"/>
  <c r="J1305" i="9" l="1"/>
  <c r="N1305" i="9"/>
  <c r="M1305" i="9"/>
  <c r="L1305" i="9"/>
  <c r="K1305" i="9"/>
  <c r="Q1305" i="9"/>
  <c r="P1305" i="9"/>
  <c r="G1306" i="9"/>
  <c r="I1306" i="9"/>
  <c r="H1306" i="9"/>
  <c r="A1307" i="9"/>
  <c r="I1307" i="9" l="1"/>
  <c r="H1307" i="9"/>
  <c r="A1308" i="9"/>
  <c r="Q1306" i="9"/>
  <c r="P1306" i="9"/>
  <c r="G1307" i="9"/>
  <c r="J1306" i="9"/>
  <c r="N1306" i="9"/>
  <c r="M1306" i="9"/>
  <c r="L1306" i="9"/>
  <c r="K1306" i="9"/>
  <c r="Q1307" i="9" l="1"/>
  <c r="P1307" i="9"/>
  <c r="G1308" i="9"/>
  <c r="J1307" i="9"/>
  <c r="N1307" i="9"/>
  <c r="M1307" i="9"/>
  <c r="L1307" i="9"/>
  <c r="K1307" i="9"/>
  <c r="I1308" i="9"/>
  <c r="H1308" i="9"/>
  <c r="A1309" i="9"/>
  <c r="I1309" i="9" l="1"/>
  <c r="H1309" i="9"/>
  <c r="A1310" i="9"/>
  <c r="Q1308" i="9"/>
  <c r="P1308" i="9"/>
  <c r="G1309" i="9"/>
  <c r="J1308" i="9"/>
  <c r="N1308" i="9"/>
  <c r="M1308" i="9"/>
  <c r="L1308" i="9"/>
  <c r="K1308" i="9"/>
  <c r="Q1309" i="9" l="1"/>
  <c r="P1309" i="9"/>
  <c r="G1310" i="9"/>
  <c r="I1310" i="9"/>
  <c r="H1310" i="9"/>
  <c r="A1311" i="9"/>
  <c r="J1309" i="9"/>
  <c r="N1309" i="9"/>
  <c r="M1309" i="9"/>
  <c r="L1309" i="9"/>
  <c r="K1309" i="9"/>
  <c r="I1311" i="9" l="1"/>
  <c r="H1311" i="9"/>
  <c r="A1312" i="9"/>
  <c r="Q1310" i="9"/>
  <c r="P1310" i="9"/>
  <c r="G1311" i="9"/>
  <c r="J1310" i="9"/>
  <c r="N1310" i="9"/>
  <c r="M1310" i="9"/>
  <c r="L1310" i="9"/>
  <c r="K1310" i="9"/>
  <c r="Q1311" i="9" l="1"/>
  <c r="P1311" i="9"/>
  <c r="G1312" i="9"/>
  <c r="I1312" i="9"/>
  <c r="H1312" i="9"/>
  <c r="A1313" i="9"/>
  <c r="J1311" i="9"/>
  <c r="N1311" i="9"/>
  <c r="M1311" i="9"/>
  <c r="L1311" i="9"/>
  <c r="K1311" i="9"/>
  <c r="I1313" i="9" l="1"/>
  <c r="H1313" i="9"/>
  <c r="A1314" i="9"/>
  <c r="J1312" i="9"/>
  <c r="N1312" i="9"/>
  <c r="M1312" i="9"/>
  <c r="L1312" i="9"/>
  <c r="K1312" i="9"/>
  <c r="Q1312" i="9"/>
  <c r="P1312" i="9"/>
  <c r="G1313" i="9"/>
  <c r="J1313" i="9" l="1"/>
  <c r="N1313" i="9"/>
  <c r="M1313" i="9"/>
  <c r="L1313" i="9"/>
  <c r="K1313" i="9"/>
  <c r="Q1313" i="9"/>
  <c r="P1313" i="9"/>
  <c r="G1314" i="9"/>
  <c r="I1314" i="9"/>
  <c r="H1314" i="9"/>
  <c r="A1315" i="9"/>
  <c r="I1315" i="9" l="1"/>
  <c r="H1315" i="9"/>
  <c r="A1316" i="9"/>
  <c r="Q1314" i="9"/>
  <c r="P1314" i="9"/>
  <c r="G1315" i="9"/>
  <c r="J1314" i="9"/>
  <c r="N1314" i="9"/>
  <c r="M1314" i="9"/>
  <c r="L1314" i="9"/>
  <c r="K1314" i="9"/>
  <c r="J1315" i="9" l="1"/>
  <c r="N1315" i="9"/>
  <c r="M1315" i="9"/>
  <c r="L1315" i="9"/>
  <c r="K1315" i="9"/>
  <c r="Q1315" i="9"/>
  <c r="P1315" i="9"/>
  <c r="G1316" i="9"/>
  <c r="I1316" i="9"/>
  <c r="H1316" i="9"/>
  <c r="A1317" i="9"/>
  <c r="I1317" i="9" l="1"/>
  <c r="H1317" i="9"/>
  <c r="A1318" i="9"/>
  <c r="J1316" i="9"/>
  <c r="N1316" i="9"/>
  <c r="M1316" i="9"/>
  <c r="L1316" i="9"/>
  <c r="K1316" i="9"/>
  <c r="Q1316" i="9"/>
  <c r="P1316" i="9"/>
  <c r="G1317" i="9"/>
  <c r="Q1317" i="9" l="1"/>
  <c r="P1317" i="9"/>
  <c r="G1318" i="9"/>
  <c r="I1318" i="9"/>
  <c r="H1318" i="9"/>
  <c r="A1319" i="9"/>
  <c r="J1317" i="9"/>
  <c r="N1317" i="9"/>
  <c r="M1317" i="9"/>
  <c r="L1317" i="9"/>
  <c r="K1317" i="9"/>
  <c r="I1319" i="9" l="1"/>
  <c r="H1319" i="9"/>
  <c r="A1320" i="9"/>
  <c r="Q1318" i="9"/>
  <c r="P1318" i="9"/>
  <c r="G1319" i="9"/>
  <c r="J1318" i="9"/>
  <c r="N1318" i="9"/>
  <c r="M1318" i="9"/>
  <c r="L1318" i="9"/>
  <c r="K1318" i="9"/>
  <c r="Q1319" i="9" l="1"/>
  <c r="P1319" i="9"/>
  <c r="G1320" i="9"/>
  <c r="I1320" i="9"/>
  <c r="H1320" i="9"/>
  <c r="A1321" i="9"/>
  <c r="J1319" i="9"/>
  <c r="N1319" i="9"/>
  <c r="M1319" i="9"/>
  <c r="L1319" i="9"/>
  <c r="K1319" i="9"/>
  <c r="I1321" i="9" l="1"/>
  <c r="H1321" i="9"/>
  <c r="A1322" i="9"/>
  <c r="J1320" i="9"/>
  <c r="N1320" i="9"/>
  <c r="M1320" i="9"/>
  <c r="L1320" i="9"/>
  <c r="K1320" i="9"/>
  <c r="Q1320" i="9"/>
  <c r="P1320" i="9"/>
  <c r="G1321" i="9"/>
  <c r="J1321" i="9" l="1"/>
  <c r="N1321" i="9"/>
  <c r="M1321" i="9"/>
  <c r="L1321" i="9"/>
  <c r="K1321" i="9"/>
  <c r="Q1321" i="9"/>
  <c r="P1321" i="9"/>
  <c r="G1322" i="9"/>
  <c r="I1322" i="9"/>
  <c r="H1322" i="9"/>
  <c r="A1323" i="9"/>
  <c r="I1323" i="9" l="1"/>
  <c r="H1323" i="9"/>
  <c r="A1324" i="9"/>
  <c r="Q1322" i="9"/>
  <c r="P1322" i="9"/>
  <c r="G1323" i="9"/>
  <c r="J1322" i="9"/>
  <c r="N1322" i="9"/>
  <c r="M1322" i="9"/>
  <c r="L1322" i="9"/>
  <c r="K1322" i="9"/>
  <c r="J1323" i="9" l="1"/>
  <c r="N1323" i="9"/>
  <c r="M1323" i="9"/>
  <c r="L1323" i="9"/>
  <c r="K1323" i="9"/>
  <c r="Q1323" i="9"/>
  <c r="P1323" i="9"/>
  <c r="G1324" i="9"/>
  <c r="I1324" i="9"/>
  <c r="H1324" i="9"/>
  <c r="A1325" i="9"/>
  <c r="I1325" i="9" l="1"/>
  <c r="H1325" i="9"/>
  <c r="A1326" i="9"/>
  <c r="J1324" i="9"/>
  <c r="N1324" i="9"/>
  <c r="M1324" i="9"/>
  <c r="L1324" i="9"/>
  <c r="K1324" i="9"/>
  <c r="Q1324" i="9"/>
  <c r="P1324" i="9"/>
  <c r="G1325" i="9"/>
  <c r="Q1325" i="9" l="1"/>
  <c r="P1325" i="9"/>
  <c r="G1326" i="9"/>
  <c r="I1326" i="9"/>
  <c r="H1326" i="9"/>
  <c r="A1327" i="9"/>
  <c r="J1325" i="9"/>
  <c r="N1325" i="9"/>
  <c r="M1325" i="9"/>
  <c r="L1325" i="9"/>
  <c r="K1325" i="9"/>
  <c r="I1327" i="9" l="1"/>
  <c r="H1327" i="9"/>
  <c r="A1328" i="9"/>
  <c r="Q1326" i="9"/>
  <c r="P1326" i="9"/>
  <c r="G1327" i="9"/>
  <c r="J1326" i="9"/>
  <c r="N1326" i="9"/>
  <c r="M1326" i="9"/>
  <c r="L1326" i="9"/>
  <c r="K1326" i="9"/>
  <c r="Q1327" i="9" l="1"/>
  <c r="P1327" i="9"/>
  <c r="G1328" i="9"/>
  <c r="I1328" i="9"/>
  <c r="H1328" i="9"/>
  <c r="A1329" i="9"/>
  <c r="J1327" i="9"/>
  <c r="N1327" i="9"/>
  <c r="M1327" i="9"/>
  <c r="L1327" i="9"/>
  <c r="K1327" i="9"/>
  <c r="I1329" i="9" l="1"/>
  <c r="H1329" i="9"/>
  <c r="A1330" i="9"/>
  <c r="J1328" i="9"/>
  <c r="N1328" i="9"/>
  <c r="M1328" i="9"/>
  <c r="L1328" i="9"/>
  <c r="K1328" i="9"/>
  <c r="Q1328" i="9"/>
  <c r="P1328" i="9"/>
  <c r="G1329" i="9"/>
  <c r="J1329" i="9" l="1"/>
  <c r="N1329" i="9"/>
  <c r="M1329" i="9"/>
  <c r="L1329" i="9"/>
  <c r="K1329" i="9"/>
  <c r="Q1329" i="9"/>
  <c r="P1329" i="9"/>
  <c r="G1330" i="9"/>
  <c r="I1330" i="9"/>
  <c r="H1330" i="9"/>
  <c r="A1331" i="9"/>
  <c r="I1331" i="9" l="1"/>
  <c r="H1331" i="9"/>
  <c r="A1332" i="9"/>
  <c r="Q1330" i="9"/>
  <c r="P1330" i="9"/>
  <c r="G1331" i="9"/>
  <c r="J1330" i="9"/>
  <c r="N1330" i="9"/>
  <c r="M1330" i="9"/>
  <c r="L1330" i="9"/>
  <c r="K1330" i="9"/>
  <c r="J1331" i="9" l="1"/>
  <c r="N1331" i="9"/>
  <c r="M1331" i="9"/>
  <c r="L1331" i="9"/>
  <c r="K1331" i="9"/>
  <c r="Q1331" i="9"/>
  <c r="P1331" i="9"/>
  <c r="G1332" i="9"/>
  <c r="I1332" i="9"/>
  <c r="H1332" i="9"/>
  <c r="A1333" i="9"/>
  <c r="I1333" i="9" l="1"/>
  <c r="H1333" i="9"/>
  <c r="A1334" i="9"/>
  <c r="J1332" i="9"/>
  <c r="N1332" i="9"/>
  <c r="M1332" i="9"/>
  <c r="L1332" i="9"/>
  <c r="K1332" i="9"/>
  <c r="Q1332" i="9"/>
  <c r="P1332" i="9"/>
  <c r="G1333" i="9"/>
  <c r="I1334" i="9" l="1"/>
  <c r="H1334" i="9"/>
  <c r="A1335" i="9"/>
  <c r="Q1333" i="9"/>
  <c r="P1333" i="9"/>
  <c r="G1334" i="9"/>
  <c r="J1333" i="9"/>
  <c r="N1333" i="9"/>
  <c r="M1333" i="9"/>
  <c r="L1333" i="9"/>
  <c r="K1333" i="9"/>
  <c r="Q1334" i="9" l="1"/>
  <c r="P1334" i="9"/>
  <c r="G1335" i="9"/>
  <c r="J1334" i="9"/>
  <c r="N1334" i="9"/>
  <c r="M1334" i="9"/>
  <c r="L1334" i="9"/>
  <c r="K1334" i="9"/>
  <c r="I1335" i="9"/>
  <c r="H1335" i="9"/>
  <c r="A1336" i="9"/>
  <c r="I1336" i="9" l="1"/>
  <c r="H1336" i="9"/>
  <c r="A1337" i="9"/>
  <c r="Q1335" i="9"/>
  <c r="P1335" i="9"/>
  <c r="G1336" i="9"/>
  <c r="J1335" i="9"/>
  <c r="N1335" i="9"/>
  <c r="M1335" i="9"/>
  <c r="L1335" i="9"/>
  <c r="K1335" i="9"/>
  <c r="Q1336" i="9" l="1"/>
  <c r="P1336" i="9"/>
  <c r="G1337" i="9"/>
  <c r="I1337" i="9"/>
  <c r="H1337" i="9"/>
  <c r="A1338" i="9"/>
  <c r="J1336" i="9"/>
  <c r="N1336" i="9"/>
  <c r="M1336" i="9"/>
  <c r="L1336" i="9"/>
  <c r="K1336" i="9"/>
  <c r="I1338" i="9" l="1"/>
  <c r="H1338" i="9"/>
  <c r="A1339" i="9"/>
  <c r="J1337" i="9"/>
  <c r="N1337" i="9"/>
  <c r="M1337" i="9"/>
  <c r="L1337" i="9"/>
  <c r="K1337" i="9"/>
  <c r="Q1337" i="9"/>
  <c r="P1337" i="9"/>
  <c r="G1338" i="9"/>
  <c r="J1338" i="9" l="1"/>
  <c r="N1338" i="9"/>
  <c r="M1338" i="9"/>
  <c r="L1338" i="9"/>
  <c r="K1338" i="9"/>
  <c r="Q1338" i="9"/>
  <c r="P1338" i="9"/>
  <c r="G1339" i="9"/>
  <c r="I1339" i="9"/>
  <c r="H1339" i="9"/>
  <c r="A1340" i="9"/>
  <c r="I1340" i="9" l="1"/>
  <c r="H1340" i="9"/>
  <c r="A1341" i="9"/>
  <c r="J1339" i="9"/>
  <c r="N1339" i="9"/>
  <c r="M1339" i="9"/>
  <c r="L1339" i="9"/>
  <c r="K1339" i="9"/>
  <c r="Q1339" i="9"/>
  <c r="P1339" i="9"/>
  <c r="G1340" i="9"/>
  <c r="Q1340" i="9" l="1"/>
  <c r="P1340" i="9"/>
  <c r="G1341" i="9"/>
  <c r="I1341" i="9"/>
  <c r="H1341" i="9"/>
  <c r="A1342" i="9"/>
  <c r="J1340" i="9"/>
  <c r="N1340" i="9"/>
  <c r="M1340" i="9"/>
  <c r="L1340" i="9"/>
  <c r="K1340" i="9"/>
  <c r="I1342" i="9" l="1"/>
  <c r="H1342" i="9"/>
  <c r="A1343" i="9"/>
  <c r="Q1341" i="9"/>
  <c r="P1341" i="9"/>
  <c r="G1342" i="9"/>
  <c r="J1341" i="9"/>
  <c r="N1341" i="9"/>
  <c r="M1341" i="9"/>
  <c r="L1341" i="9"/>
  <c r="K1341" i="9"/>
  <c r="J1342" i="9" l="1"/>
  <c r="N1342" i="9"/>
  <c r="M1342" i="9"/>
  <c r="L1342" i="9"/>
  <c r="K1342" i="9"/>
  <c r="Q1342" i="9"/>
  <c r="P1342" i="9"/>
  <c r="G1343" i="9"/>
  <c r="I1343" i="9"/>
  <c r="H1343" i="9"/>
  <c r="A1344" i="9"/>
  <c r="I1344" i="9" l="1"/>
  <c r="H1344" i="9"/>
  <c r="A1345" i="9"/>
  <c r="Q1343" i="9"/>
  <c r="P1343" i="9"/>
  <c r="G1344" i="9"/>
  <c r="J1343" i="9"/>
  <c r="N1343" i="9"/>
  <c r="M1343" i="9"/>
  <c r="L1343" i="9"/>
  <c r="K1343" i="9"/>
  <c r="Q1344" i="9" l="1"/>
  <c r="P1344" i="9"/>
  <c r="G1345" i="9"/>
  <c r="I1345" i="9"/>
  <c r="H1345" i="9"/>
  <c r="A1346" i="9"/>
  <c r="J1344" i="9"/>
  <c r="N1344" i="9"/>
  <c r="M1344" i="9"/>
  <c r="L1344" i="9"/>
  <c r="K1344" i="9"/>
  <c r="I1346" i="9" l="1"/>
  <c r="H1346" i="9"/>
  <c r="A1347" i="9"/>
  <c r="J1345" i="9"/>
  <c r="N1345" i="9"/>
  <c r="M1345" i="9"/>
  <c r="L1345" i="9"/>
  <c r="K1345" i="9"/>
  <c r="Q1345" i="9"/>
  <c r="P1345" i="9"/>
  <c r="G1346" i="9"/>
  <c r="J1346" i="9" l="1"/>
  <c r="N1346" i="9"/>
  <c r="M1346" i="9"/>
  <c r="L1346" i="9"/>
  <c r="K1346" i="9"/>
  <c r="Q1346" i="9"/>
  <c r="P1346" i="9"/>
  <c r="G1347" i="9"/>
  <c r="I1347" i="9"/>
  <c r="H1347" i="9"/>
  <c r="A1348" i="9"/>
  <c r="I1348" i="9" l="1"/>
  <c r="H1348" i="9"/>
  <c r="A1349" i="9"/>
  <c r="J1347" i="9"/>
  <c r="N1347" i="9"/>
  <c r="M1347" i="9"/>
  <c r="L1347" i="9"/>
  <c r="K1347" i="9"/>
  <c r="Q1347" i="9"/>
  <c r="P1347" i="9"/>
  <c r="G1348" i="9"/>
  <c r="Q1348" i="9" l="1"/>
  <c r="P1348" i="9"/>
  <c r="G1349" i="9"/>
  <c r="I1349" i="9"/>
  <c r="H1349" i="9"/>
  <c r="A1350" i="9"/>
  <c r="J1348" i="9"/>
  <c r="N1348" i="9"/>
  <c r="M1348" i="9"/>
  <c r="L1348" i="9"/>
  <c r="K1348" i="9"/>
  <c r="I1350" i="9" l="1"/>
  <c r="H1350" i="9"/>
  <c r="A1351" i="9"/>
  <c r="Q1349" i="9"/>
  <c r="P1349" i="9"/>
  <c r="G1350" i="9"/>
  <c r="J1349" i="9"/>
  <c r="N1349" i="9"/>
  <c r="M1349" i="9"/>
  <c r="L1349" i="9"/>
  <c r="K1349" i="9"/>
  <c r="J1350" i="9" l="1"/>
  <c r="N1350" i="9"/>
  <c r="M1350" i="9"/>
  <c r="L1350" i="9"/>
  <c r="K1350" i="9"/>
  <c r="Q1350" i="9"/>
  <c r="P1350" i="9"/>
  <c r="G1351" i="9"/>
  <c r="I1351" i="9"/>
  <c r="H1351" i="9"/>
  <c r="A1352" i="9"/>
  <c r="I1352" i="9" l="1"/>
  <c r="H1352" i="9"/>
  <c r="A1353" i="9"/>
  <c r="Q1351" i="9"/>
  <c r="P1351" i="9"/>
  <c r="G1352" i="9"/>
  <c r="J1351" i="9"/>
  <c r="N1351" i="9"/>
  <c r="M1351" i="9"/>
  <c r="L1351" i="9"/>
  <c r="K1351" i="9"/>
  <c r="Q1352" i="9" l="1"/>
  <c r="P1352" i="9"/>
  <c r="G1353" i="9"/>
  <c r="I1353" i="9"/>
  <c r="H1353" i="9"/>
  <c r="A1354" i="9"/>
  <c r="J1352" i="9"/>
  <c r="N1352" i="9"/>
  <c r="M1352" i="9"/>
  <c r="L1352" i="9"/>
  <c r="K1352" i="9"/>
  <c r="I1354" i="9" l="1"/>
  <c r="H1354" i="9"/>
  <c r="A1355" i="9"/>
  <c r="J1353" i="9"/>
  <c r="N1353" i="9"/>
  <c r="M1353" i="9"/>
  <c r="L1353" i="9"/>
  <c r="K1353" i="9"/>
  <c r="Q1353" i="9"/>
  <c r="P1353" i="9"/>
  <c r="G1354" i="9"/>
  <c r="J1354" i="9" l="1"/>
  <c r="N1354" i="9"/>
  <c r="M1354" i="9"/>
  <c r="L1354" i="9"/>
  <c r="K1354" i="9"/>
  <c r="Q1354" i="9"/>
  <c r="P1354" i="9"/>
  <c r="G1355" i="9"/>
  <c r="I1355" i="9"/>
  <c r="H1355" i="9"/>
  <c r="A1356" i="9"/>
  <c r="I1356" i="9" l="1"/>
  <c r="H1356" i="9"/>
  <c r="A1357" i="9"/>
  <c r="J1355" i="9"/>
  <c r="N1355" i="9"/>
  <c r="M1355" i="9"/>
  <c r="L1355" i="9"/>
  <c r="K1355" i="9"/>
  <c r="Q1355" i="9"/>
  <c r="P1355" i="9"/>
  <c r="G1356" i="9"/>
  <c r="I1357" i="9" l="1"/>
  <c r="H1357" i="9"/>
  <c r="A1358" i="9"/>
  <c r="Q1356" i="9"/>
  <c r="P1356" i="9"/>
  <c r="G1357" i="9"/>
  <c r="J1356" i="9"/>
  <c r="N1356" i="9"/>
  <c r="M1356" i="9"/>
  <c r="L1356" i="9"/>
  <c r="K1356" i="9"/>
  <c r="Q1357" i="9" l="1"/>
  <c r="P1357" i="9"/>
  <c r="G1358" i="9"/>
  <c r="I1358" i="9"/>
  <c r="H1358" i="9"/>
  <c r="A1359" i="9"/>
  <c r="J1357" i="9"/>
  <c r="N1357" i="9"/>
  <c r="M1357" i="9"/>
  <c r="L1357" i="9"/>
  <c r="K1357" i="9"/>
  <c r="I1359" i="9" l="1"/>
  <c r="H1359" i="9"/>
  <c r="A1360" i="9"/>
  <c r="Q1358" i="9"/>
  <c r="P1358" i="9"/>
  <c r="G1359" i="9"/>
  <c r="J1358" i="9"/>
  <c r="N1358" i="9"/>
  <c r="M1358" i="9"/>
  <c r="L1358" i="9"/>
  <c r="K1358" i="9"/>
  <c r="Q1359" i="9" l="1"/>
  <c r="P1359" i="9"/>
  <c r="G1360" i="9"/>
  <c r="I1360" i="9"/>
  <c r="H1360" i="9"/>
  <c r="A1361" i="9"/>
  <c r="J1359" i="9"/>
  <c r="N1359" i="9"/>
  <c r="M1359" i="9"/>
  <c r="L1359" i="9"/>
  <c r="K1359" i="9"/>
  <c r="I1361" i="9" l="1"/>
  <c r="H1361" i="9"/>
  <c r="A1362" i="9"/>
  <c r="J1360" i="9"/>
  <c r="N1360" i="9"/>
  <c r="M1360" i="9"/>
  <c r="L1360" i="9"/>
  <c r="K1360" i="9"/>
  <c r="Q1360" i="9"/>
  <c r="P1360" i="9"/>
  <c r="G1361" i="9"/>
  <c r="J1361" i="9" l="1"/>
  <c r="N1361" i="9"/>
  <c r="M1361" i="9"/>
  <c r="L1361" i="9"/>
  <c r="K1361" i="9"/>
  <c r="Q1361" i="9"/>
  <c r="P1361" i="9"/>
  <c r="G1362" i="9"/>
  <c r="I1362" i="9"/>
  <c r="H1362" i="9"/>
  <c r="A1363" i="9"/>
  <c r="I1363" i="9" l="1"/>
  <c r="H1363" i="9"/>
  <c r="A1364" i="9"/>
  <c r="Q1362" i="9"/>
  <c r="P1362" i="9"/>
  <c r="G1363" i="9"/>
  <c r="J1362" i="9"/>
  <c r="N1362" i="9"/>
  <c r="M1362" i="9"/>
  <c r="L1362" i="9"/>
  <c r="K1362" i="9"/>
  <c r="J1363" i="9" l="1"/>
  <c r="N1363" i="9"/>
  <c r="M1363" i="9"/>
  <c r="L1363" i="9"/>
  <c r="K1363" i="9"/>
  <c r="I1364" i="9"/>
  <c r="H1364" i="9"/>
  <c r="A1365" i="9"/>
  <c r="Q1363" i="9"/>
  <c r="P1363" i="9"/>
  <c r="G1364" i="9"/>
  <c r="J1364" i="9" l="1"/>
  <c r="N1364" i="9"/>
  <c r="M1364" i="9"/>
  <c r="L1364" i="9"/>
  <c r="K1364" i="9"/>
  <c r="Q1364" i="9"/>
  <c r="P1364" i="9"/>
  <c r="G1365" i="9"/>
  <c r="I1365" i="9"/>
  <c r="H1365" i="9"/>
  <c r="A1366" i="9"/>
  <c r="I1366" i="9" l="1"/>
  <c r="H1366" i="9"/>
  <c r="A1367" i="9"/>
  <c r="J1365" i="9"/>
  <c r="N1365" i="9"/>
  <c r="M1365" i="9"/>
  <c r="L1365" i="9"/>
  <c r="K1365" i="9"/>
  <c r="Q1365" i="9"/>
  <c r="P1365" i="9"/>
  <c r="G1366" i="9"/>
  <c r="J1366" i="9" l="1"/>
  <c r="N1366" i="9"/>
  <c r="M1366" i="9"/>
  <c r="L1366" i="9"/>
  <c r="K1366" i="9"/>
  <c r="Q1366" i="9"/>
  <c r="P1366" i="9"/>
  <c r="G1367" i="9"/>
  <c r="I1367" i="9"/>
  <c r="H1367" i="9"/>
  <c r="A1368" i="9"/>
  <c r="I1368" i="9" l="1"/>
  <c r="H1368" i="9"/>
  <c r="A1369" i="9"/>
  <c r="J1367" i="9"/>
  <c r="N1367" i="9"/>
  <c r="M1367" i="9"/>
  <c r="L1367" i="9"/>
  <c r="K1367" i="9"/>
  <c r="Q1367" i="9"/>
  <c r="P1367" i="9"/>
  <c r="G1368" i="9"/>
  <c r="I1369" i="9" l="1"/>
  <c r="H1369" i="9"/>
  <c r="A1370" i="9"/>
  <c r="Q1368" i="9"/>
  <c r="P1368" i="9"/>
  <c r="G1369" i="9"/>
  <c r="J1368" i="9"/>
  <c r="N1368" i="9"/>
  <c r="M1368" i="9"/>
  <c r="L1368" i="9"/>
  <c r="K1368" i="9"/>
  <c r="Q1369" i="9" l="1"/>
  <c r="P1369" i="9"/>
  <c r="G1370" i="9"/>
  <c r="I1370" i="9"/>
  <c r="H1370" i="9"/>
  <c r="A1371" i="9"/>
  <c r="J1369" i="9"/>
  <c r="N1369" i="9"/>
  <c r="M1369" i="9"/>
  <c r="L1369" i="9"/>
  <c r="K1369" i="9"/>
  <c r="I1371" i="9" l="1"/>
  <c r="H1371" i="9"/>
  <c r="A1372" i="9"/>
  <c r="Q1370" i="9"/>
  <c r="P1370" i="9"/>
  <c r="G1371" i="9"/>
  <c r="J1370" i="9"/>
  <c r="N1370" i="9"/>
  <c r="M1370" i="9"/>
  <c r="L1370" i="9"/>
  <c r="K1370" i="9"/>
  <c r="Q1371" i="9" l="1"/>
  <c r="P1371" i="9"/>
  <c r="G1372" i="9"/>
  <c r="I1372" i="9"/>
  <c r="H1372" i="9"/>
  <c r="A1373" i="9"/>
  <c r="J1371" i="9"/>
  <c r="N1371" i="9"/>
  <c r="M1371" i="9"/>
  <c r="L1371" i="9"/>
  <c r="K1371" i="9"/>
  <c r="I1373" i="9" l="1"/>
  <c r="H1373" i="9"/>
  <c r="A1374" i="9"/>
  <c r="J1372" i="9"/>
  <c r="N1372" i="9"/>
  <c r="M1372" i="9"/>
  <c r="L1372" i="9"/>
  <c r="K1372" i="9"/>
  <c r="Q1372" i="9"/>
  <c r="P1372" i="9"/>
  <c r="G1373" i="9"/>
  <c r="J1373" i="9" l="1"/>
  <c r="N1373" i="9"/>
  <c r="M1373" i="9"/>
  <c r="L1373" i="9"/>
  <c r="K1373" i="9"/>
  <c r="Q1373" i="9"/>
  <c r="P1373" i="9"/>
  <c r="G1374" i="9"/>
  <c r="I1374" i="9"/>
  <c r="H1374" i="9"/>
  <c r="A1375" i="9"/>
  <c r="I1375" i="9" l="1"/>
  <c r="H1375" i="9"/>
  <c r="A1376" i="9"/>
  <c r="Q1374" i="9"/>
  <c r="P1374" i="9"/>
  <c r="G1375" i="9"/>
  <c r="J1374" i="9"/>
  <c r="N1374" i="9"/>
  <c r="M1374" i="9"/>
  <c r="L1374" i="9"/>
  <c r="K1374" i="9"/>
  <c r="J1375" i="9" l="1"/>
  <c r="N1375" i="9"/>
  <c r="M1375" i="9"/>
  <c r="L1375" i="9"/>
  <c r="K1375" i="9"/>
  <c r="Q1375" i="9"/>
  <c r="P1375" i="9"/>
  <c r="G1376" i="9"/>
  <c r="I1376" i="9"/>
  <c r="H1376" i="9"/>
  <c r="A1377" i="9"/>
  <c r="I1377" i="9" l="1"/>
  <c r="H1377" i="9"/>
  <c r="A1378" i="9"/>
  <c r="J1376" i="9"/>
  <c r="N1376" i="9"/>
  <c r="M1376" i="9"/>
  <c r="L1376" i="9"/>
  <c r="K1376" i="9"/>
  <c r="Q1376" i="9"/>
  <c r="P1376" i="9"/>
  <c r="G1377" i="9"/>
  <c r="I1378" i="9" l="1"/>
  <c r="H1378" i="9"/>
  <c r="A1379" i="9"/>
  <c r="Q1377" i="9"/>
  <c r="P1377" i="9"/>
  <c r="G1378" i="9"/>
  <c r="J1377" i="9"/>
  <c r="N1377" i="9"/>
  <c r="M1377" i="9"/>
  <c r="L1377" i="9"/>
  <c r="K1377" i="9"/>
  <c r="Q1378" i="9" l="1"/>
  <c r="P1378" i="9"/>
  <c r="G1379" i="9"/>
  <c r="J1378" i="9"/>
  <c r="N1378" i="9"/>
  <c r="M1378" i="9"/>
  <c r="L1378" i="9"/>
  <c r="K1378" i="9"/>
  <c r="I1379" i="9"/>
  <c r="H1379" i="9"/>
  <c r="A1380" i="9"/>
  <c r="I1380" i="9" l="1"/>
  <c r="H1380" i="9"/>
  <c r="A1381" i="9"/>
  <c r="Q1379" i="9"/>
  <c r="P1379" i="9"/>
  <c r="G1380" i="9"/>
  <c r="J1379" i="9"/>
  <c r="N1379" i="9"/>
  <c r="M1379" i="9"/>
  <c r="L1379" i="9"/>
  <c r="K1379" i="9"/>
  <c r="Q1380" i="9" l="1"/>
  <c r="P1380" i="9"/>
  <c r="G1381" i="9"/>
  <c r="I1381" i="9"/>
  <c r="H1381" i="9"/>
  <c r="A1382" i="9"/>
  <c r="J1380" i="9"/>
  <c r="N1380" i="9"/>
  <c r="M1380" i="9"/>
  <c r="L1380" i="9"/>
  <c r="K1380" i="9"/>
  <c r="I1382" i="9" l="1"/>
  <c r="H1382" i="9"/>
  <c r="A1383" i="9"/>
  <c r="J1381" i="9"/>
  <c r="N1381" i="9"/>
  <c r="M1381" i="9"/>
  <c r="L1381" i="9"/>
  <c r="K1381" i="9"/>
  <c r="Q1381" i="9"/>
  <c r="P1381" i="9"/>
  <c r="G1382" i="9"/>
  <c r="J1382" i="9" l="1"/>
  <c r="N1382" i="9"/>
  <c r="M1382" i="9"/>
  <c r="L1382" i="9"/>
  <c r="K1382" i="9"/>
  <c r="Q1382" i="9"/>
  <c r="P1382" i="9"/>
  <c r="G1383" i="9"/>
  <c r="I1383" i="9"/>
  <c r="H1383" i="9"/>
  <c r="A1384" i="9"/>
  <c r="I1384" i="9" l="1"/>
  <c r="H1384" i="9"/>
  <c r="A1385" i="9"/>
  <c r="J1383" i="9"/>
  <c r="N1383" i="9"/>
  <c r="M1383" i="9"/>
  <c r="L1383" i="9"/>
  <c r="K1383" i="9"/>
  <c r="Q1383" i="9"/>
  <c r="P1383" i="9"/>
  <c r="G1384" i="9"/>
  <c r="I1385" i="9" l="1"/>
  <c r="H1385" i="9"/>
  <c r="A1386" i="9"/>
  <c r="Q1384" i="9"/>
  <c r="P1384" i="9"/>
  <c r="G1385" i="9"/>
  <c r="J1384" i="9"/>
  <c r="N1384" i="9"/>
  <c r="M1384" i="9"/>
  <c r="L1384" i="9"/>
  <c r="K1384" i="9"/>
  <c r="Q1385" i="9" l="1"/>
  <c r="P1385" i="9"/>
  <c r="G1386" i="9"/>
  <c r="I1386" i="9"/>
  <c r="H1386" i="9"/>
  <c r="A1387" i="9"/>
  <c r="J1385" i="9"/>
  <c r="N1385" i="9"/>
  <c r="M1385" i="9"/>
  <c r="L1385" i="9"/>
  <c r="K1385" i="9"/>
  <c r="I1387" i="9" l="1"/>
  <c r="H1387" i="9"/>
  <c r="A1388" i="9"/>
  <c r="Q1386" i="9"/>
  <c r="P1386" i="9"/>
  <c r="G1387" i="9"/>
  <c r="J1386" i="9"/>
  <c r="N1386" i="9"/>
  <c r="M1386" i="9"/>
  <c r="L1386" i="9"/>
  <c r="K1386" i="9"/>
  <c r="Q1387" i="9" l="1"/>
  <c r="P1387" i="9"/>
  <c r="G1388" i="9"/>
  <c r="I1388" i="9"/>
  <c r="H1388" i="9"/>
  <c r="A1389" i="9"/>
  <c r="J1387" i="9"/>
  <c r="N1387" i="9"/>
  <c r="M1387" i="9"/>
  <c r="L1387" i="9"/>
  <c r="K1387" i="9"/>
  <c r="I1389" i="9" l="1"/>
  <c r="H1389" i="9"/>
  <c r="A1390" i="9"/>
  <c r="J1388" i="9"/>
  <c r="N1388" i="9"/>
  <c r="M1388" i="9"/>
  <c r="L1388" i="9"/>
  <c r="K1388" i="9"/>
  <c r="Q1388" i="9"/>
  <c r="P1388" i="9"/>
  <c r="G1389" i="9"/>
  <c r="J1389" i="9" l="1"/>
  <c r="N1389" i="9"/>
  <c r="M1389" i="9"/>
  <c r="L1389" i="9"/>
  <c r="K1389" i="9"/>
  <c r="Q1389" i="9"/>
  <c r="P1389" i="9"/>
  <c r="G1390" i="9"/>
  <c r="I1390" i="9"/>
  <c r="H1390" i="9"/>
  <c r="A1391" i="9"/>
  <c r="I1391" i="9" l="1"/>
  <c r="H1391" i="9"/>
  <c r="A1392" i="9"/>
  <c r="Q1390" i="9"/>
  <c r="P1390" i="9"/>
  <c r="G1391" i="9"/>
  <c r="J1390" i="9"/>
  <c r="N1390" i="9"/>
  <c r="M1390" i="9"/>
  <c r="L1390" i="9"/>
  <c r="K1390" i="9"/>
  <c r="J1391" i="9" l="1"/>
  <c r="N1391" i="9"/>
  <c r="M1391" i="9"/>
  <c r="L1391" i="9"/>
  <c r="K1391" i="9"/>
  <c r="Q1391" i="9"/>
  <c r="P1391" i="9"/>
  <c r="G1392" i="9"/>
  <c r="I1392" i="9"/>
  <c r="H1392" i="9"/>
  <c r="A1393" i="9"/>
  <c r="I1393" i="9" l="1"/>
  <c r="H1393" i="9"/>
  <c r="A1394" i="9"/>
  <c r="J1392" i="9"/>
  <c r="N1392" i="9"/>
  <c r="M1392" i="9"/>
  <c r="L1392" i="9"/>
  <c r="K1392" i="9"/>
  <c r="Q1392" i="9"/>
  <c r="P1392" i="9"/>
  <c r="G1393" i="9"/>
  <c r="Q1393" i="9" l="1"/>
  <c r="P1393" i="9"/>
  <c r="G1394" i="9"/>
  <c r="I1394" i="9"/>
  <c r="H1394" i="9"/>
  <c r="A1395" i="9"/>
  <c r="J1393" i="9"/>
  <c r="N1393" i="9"/>
  <c r="M1393" i="9"/>
  <c r="L1393" i="9"/>
  <c r="K1393" i="9"/>
  <c r="I1395" i="9" l="1"/>
  <c r="H1395" i="9"/>
  <c r="A1396" i="9"/>
  <c r="Q1394" i="9"/>
  <c r="P1394" i="9"/>
  <c r="G1395" i="9"/>
  <c r="J1394" i="9"/>
  <c r="N1394" i="9"/>
  <c r="M1394" i="9"/>
  <c r="L1394" i="9"/>
  <c r="K1394" i="9"/>
  <c r="Q1395" i="9" l="1"/>
  <c r="P1395" i="9"/>
  <c r="G1396" i="9"/>
  <c r="I1396" i="9"/>
  <c r="H1396" i="9"/>
  <c r="A1397" i="9"/>
  <c r="J1395" i="9"/>
  <c r="N1395" i="9"/>
  <c r="M1395" i="9"/>
  <c r="L1395" i="9"/>
  <c r="K1395" i="9"/>
  <c r="I1397" i="9" l="1"/>
  <c r="H1397" i="9"/>
  <c r="A1398" i="9"/>
  <c r="J1396" i="9"/>
  <c r="N1396" i="9"/>
  <c r="M1396" i="9"/>
  <c r="L1396" i="9"/>
  <c r="K1396" i="9"/>
  <c r="Q1396" i="9"/>
  <c r="P1396" i="9"/>
  <c r="G1397" i="9"/>
  <c r="J1397" i="9" l="1"/>
  <c r="N1397" i="9"/>
  <c r="M1397" i="9"/>
  <c r="L1397" i="9"/>
  <c r="K1397" i="9"/>
  <c r="Q1397" i="9"/>
  <c r="P1397" i="9"/>
  <c r="G1398" i="9"/>
  <c r="I1398" i="9"/>
  <c r="H1398" i="9"/>
  <c r="A1399" i="9"/>
  <c r="Q1398" i="9" l="1"/>
  <c r="P1398" i="9"/>
  <c r="G1399" i="9"/>
  <c r="I1399" i="9"/>
  <c r="H1399" i="9"/>
  <c r="A1400" i="9"/>
  <c r="J1398" i="9"/>
  <c r="N1398" i="9"/>
  <c r="M1398" i="9"/>
  <c r="L1398" i="9"/>
  <c r="K1398" i="9"/>
  <c r="Q1399" i="9" l="1"/>
  <c r="P1399" i="9"/>
  <c r="G1400" i="9"/>
  <c r="I1400" i="9"/>
  <c r="H1400" i="9"/>
  <c r="A1401" i="9"/>
  <c r="J1399" i="9"/>
  <c r="N1399" i="9"/>
  <c r="M1399" i="9"/>
  <c r="L1399" i="9"/>
  <c r="K1399" i="9"/>
  <c r="J1400" i="9" l="1"/>
  <c r="N1400" i="9"/>
  <c r="M1400" i="9"/>
  <c r="L1400" i="9"/>
  <c r="K1400" i="9"/>
  <c r="I1401" i="9"/>
  <c r="H1401" i="9"/>
  <c r="A1402" i="9"/>
  <c r="Q1400" i="9"/>
  <c r="P1400" i="9"/>
  <c r="G1401" i="9"/>
  <c r="J1401" i="9" l="1"/>
  <c r="N1401" i="9"/>
  <c r="M1401" i="9"/>
  <c r="L1401" i="9"/>
  <c r="K1401" i="9"/>
  <c r="Q1401" i="9"/>
  <c r="P1401" i="9"/>
  <c r="G1402" i="9"/>
  <c r="I1402" i="9"/>
  <c r="H1402" i="9"/>
  <c r="A1403" i="9"/>
  <c r="J1402" i="9" l="1"/>
  <c r="N1402" i="9"/>
  <c r="M1402" i="9"/>
  <c r="L1402" i="9"/>
  <c r="K1402" i="9"/>
  <c r="I1403" i="9"/>
  <c r="H1403" i="9"/>
  <c r="A1404" i="9"/>
  <c r="Q1402" i="9"/>
  <c r="P1402" i="9"/>
  <c r="G1403" i="9"/>
  <c r="J1403" i="9" l="1"/>
  <c r="N1403" i="9"/>
  <c r="M1403" i="9"/>
  <c r="L1403" i="9"/>
  <c r="K1403" i="9"/>
  <c r="Q1403" i="9"/>
  <c r="P1403" i="9"/>
  <c r="G1404" i="9"/>
  <c r="I1404" i="9"/>
  <c r="H1404" i="9"/>
  <c r="A1405" i="9"/>
  <c r="T5" i="6"/>
  <c r="W5" i="6" s="1"/>
  <c r="C4" i="6"/>
  <c r="Z4" i="6"/>
  <c r="AA4" i="6"/>
  <c r="C2" i="6" l="1"/>
  <c r="U5" i="6"/>
  <c r="J1404" i="9"/>
  <c r="N1404" i="9"/>
  <c r="M1404" i="9"/>
  <c r="L1404" i="9"/>
  <c r="K1404" i="9"/>
  <c r="I1405" i="9"/>
  <c r="H1405" i="9"/>
  <c r="A1406" i="9"/>
  <c r="Q1404" i="9"/>
  <c r="P1404" i="9"/>
  <c r="G1405" i="9"/>
  <c r="V5" i="6" l="1"/>
  <c r="T6" i="6"/>
  <c r="A31" i="6"/>
  <c r="A30" i="6"/>
  <c r="B30" i="6" s="1"/>
  <c r="C17" i="6" s="1"/>
  <c r="I1406" i="9"/>
  <c r="H1406" i="9"/>
  <c r="A1407" i="9"/>
  <c r="Q1405" i="9"/>
  <c r="P1405" i="9"/>
  <c r="G1406" i="9"/>
  <c r="J1405" i="9"/>
  <c r="N1405" i="9"/>
  <c r="M1405" i="9"/>
  <c r="L1405" i="9"/>
  <c r="K1405" i="9"/>
  <c r="C14" i="6" l="1"/>
  <c r="C8" i="24" s="1"/>
  <c r="T7" i="6"/>
  <c r="AA5" i="6"/>
  <c r="W6" i="6"/>
  <c r="U6" i="6"/>
  <c r="V6" i="6" s="1"/>
  <c r="X5" i="6"/>
  <c r="Z5" i="6"/>
  <c r="Q1406" i="9"/>
  <c r="P1406" i="9"/>
  <c r="G1407" i="9"/>
  <c r="B31" i="6"/>
  <c r="C18" i="6" s="1"/>
  <c r="J1406" i="9"/>
  <c r="N1406" i="9"/>
  <c r="M1406" i="9"/>
  <c r="L1406" i="9"/>
  <c r="K1406" i="9"/>
  <c r="I1407" i="9"/>
  <c r="H1407" i="9"/>
  <c r="A1408" i="9"/>
  <c r="C12" i="6" l="1"/>
  <c r="U7" i="6"/>
  <c r="V7" i="6" s="1"/>
  <c r="W7" i="6"/>
  <c r="T8" i="6"/>
  <c r="AA6" i="6"/>
  <c r="Y5" i="6"/>
  <c r="Z6" i="6"/>
  <c r="X6" i="6"/>
  <c r="I1408" i="9"/>
  <c r="H1408" i="9"/>
  <c r="A1409" i="9"/>
  <c r="J1407" i="9"/>
  <c r="N1407" i="9"/>
  <c r="M1407" i="9"/>
  <c r="L1407" i="9"/>
  <c r="K1407" i="9"/>
  <c r="D31" i="6"/>
  <c r="D30" i="6"/>
  <c r="C30" i="6" s="1"/>
  <c r="Q1407" i="9"/>
  <c r="P1407" i="9"/>
  <c r="G1408" i="9"/>
  <c r="W8" i="6" l="1"/>
  <c r="Z7" i="6"/>
  <c r="X7" i="6"/>
  <c r="AA7" i="6"/>
  <c r="T9" i="6"/>
  <c r="T10" i="6" s="1"/>
  <c r="T11" i="6" s="1"/>
  <c r="T12" i="6" s="1"/>
  <c r="T13" i="6" s="1"/>
  <c r="T14" i="6" s="1"/>
  <c r="T15" i="6" s="1"/>
  <c r="T16" i="6" s="1"/>
  <c r="T17" i="6" s="1"/>
  <c r="T18" i="6" s="1"/>
  <c r="T19" i="6" s="1"/>
  <c r="T20" i="6" s="1"/>
  <c r="T21" i="6" s="1"/>
  <c r="T22" i="6" s="1"/>
  <c r="T23" i="6" s="1"/>
  <c r="T24" i="6" s="1"/>
  <c r="T25" i="6" s="1"/>
  <c r="T26" i="6" s="1"/>
  <c r="T27" i="6" s="1"/>
  <c r="T28" i="6" s="1"/>
  <c r="T29" i="6" s="1"/>
  <c r="T30" i="6" s="1"/>
  <c r="T31" i="6" s="1"/>
  <c r="U8" i="6"/>
  <c r="V8" i="6" s="1"/>
  <c r="Y6" i="6"/>
  <c r="C31" i="6"/>
  <c r="J1408" i="9"/>
  <c r="N1408" i="9"/>
  <c r="M1408" i="9"/>
  <c r="L1408" i="9"/>
  <c r="K1408" i="9"/>
  <c r="Q1408" i="9"/>
  <c r="P1408" i="9"/>
  <c r="G1409" i="9"/>
  <c r="I1409" i="9"/>
  <c r="H1409" i="9"/>
  <c r="A1410" i="9"/>
  <c r="AA8" i="6" l="1"/>
  <c r="Y7" i="6"/>
  <c r="X8" i="6"/>
  <c r="Z8" i="6"/>
  <c r="U9" i="6"/>
  <c r="V9" i="6" s="1"/>
  <c r="W9" i="6"/>
  <c r="I1410" i="9"/>
  <c r="H1410" i="9"/>
  <c r="A1411" i="9"/>
  <c r="J1409" i="9"/>
  <c r="N1409" i="9"/>
  <c r="M1409" i="9"/>
  <c r="L1409" i="9"/>
  <c r="K1409" i="9"/>
  <c r="Q1409" i="9"/>
  <c r="P1409" i="9"/>
  <c r="G1410" i="9"/>
  <c r="E13" i="6"/>
  <c r="C32" i="6"/>
  <c r="Z9" i="6" l="1"/>
  <c r="X9" i="6"/>
  <c r="U10" i="6"/>
  <c r="V10" i="6" s="1"/>
  <c r="W10" i="6"/>
  <c r="AA9" i="6"/>
  <c r="Y8" i="6"/>
  <c r="J1410" i="9"/>
  <c r="N1410" i="9"/>
  <c r="M1410" i="9"/>
  <c r="L1410" i="9"/>
  <c r="K1410" i="9"/>
  <c r="Q1410" i="9"/>
  <c r="P1410" i="9"/>
  <c r="G1411" i="9"/>
  <c r="I1411" i="9"/>
  <c r="H1411" i="9"/>
  <c r="A1412" i="9"/>
  <c r="D17" i="6"/>
  <c r="B19" i="6"/>
  <c r="Y9" i="6" l="1"/>
  <c r="Z10" i="6"/>
  <c r="U11" i="6"/>
  <c r="V11" i="6" s="1"/>
  <c r="X10" i="6"/>
  <c r="AA10" i="6"/>
  <c r="W11" i="6"/>
  <c r="J1411" i="9"/>
  <c r="N1411" i="9"/>
  <c r="M1411" i="9"/>
  <c r="L1411" i="9"/>
  <c r="K1411" i="9"/>
  <c r="Q1411" i="9"/>
  <c r="P1411" i="9"/>
  <c r="G1412" i="9"/>
  <c r="I1412" i="9"/>
  <c r="H1412" i="9"/>
  <c r="A1413" i="9"/>
  <c r="B20" i="6"/>
  <c r="B21" i="6"/>
  <c r="W12" i="6" l="1"/>
  <c r="U12" i="6"/>
  <c r="V12" i="6" s="1"/>
  <c r="Z11" i="6"/>
  <c r="Y10" i="6"/>
  <c r="X11" i="6"/>
  <c r="AA11" i="6"/>
  <c r="J1412" i="9"/>
  <c r="N1412" i="9"/>
  <c r="M1412" i="9"/>
  <c r="L1412" i="9"/>
  <c r="K1412" i="9"/>
  <c r="I1413" i="9"/>
  <c r="H1413" i="9"/>
  <c r="A1414" i="9"/>
  <c r="Q1412" i="9"/>
  <c r="P1412" i="9"/>
  <c r="G1413" i="9"/>
  <c r="X12" i="6" l="1"/>
  <c r="U13" i="6"/>
  <c r="V13" i="6" s="1"/>
  <c r="W13" i="6"/>
  <c r="AA12" i="6"/>
  <c r="Z12" i="6"/>
  <c r="Y11" i="6"/>
  <c r="I1414" i="9"/>
  <c r="H1414" i="9"/>
  <c r="A1415" i="9"/>
  <c r="Q1413" i="9"/>
  <c r="P1413" i="9"/>
  <c r="G1414" i="9"/>
  <c r="J1413" i="9"/>
  <c r="N1413" i="9"/>
  <c r="M1413" i="9"/>
  <c r="L1413" i="9"/>
  <c r="K1413" i="9"/>
  <c r="W14" i="6" l="1"/>
  <c r="U14" i="6"/>
  <c r="V14" i="6" s="1"/>
  <c r="AA13" i="6"/>
  <c r="X13" i="6"/>
  <c r="Y12" i="6"/>
  <c r="Z13" i="6"/>
  <c r="Q1414" i="9"/>
  <c r="P1414" i="9"/>
  <c r="G1415" i="9"/>
  <c r="I1415" i="9"/>
  <c r="H1415" i="9"/>
  <c r="A1416" i="9"/>
  <c r="J1414" i="9"/>
  <c r="N1414" i="9"/>
  <c r="M1414" i="9"/>
  <c r="L1414" i="9"/>
  <c r="K1414" i="9"/>
  <c r="E30" i="6"/>
  <c r="E31" i="6"/>
  <c r="AA14" i="6" l="1"/>
  <c r="Z14" i="6"/>
  <c r="X14" i="6"/>
  <c r="U15" i="6"/>
  <c r="V15" i="6" s="1"/>
  <c r="W15" i="6"/>
  <c r="Y13" i="6"/>
  <c r="J1415" i="9"/>
  <c r="N1415" i="9"/>
  <c r="M1415" i="9"/>
  <c r="L1415" i="9"/>
  <c r="K1415" i="9"/>
  <c r="I1416" i="9"/>
  <c r="H1416" i="9"/>
  <c r="A1417" i="9"/>
  <c r="Q1415" i="9"/>
  <c r="P1415" i="9"/>
  <c r="G1416" i="9"/>
  <c r="Y14" i="6" l="1"/>
  <c r="U16" i="6"/>
  <c r="V16" i="6" s="1"/>
  <c r="AA15" i="6"/>
  <c r="W16" i="6"/>
  <c r="Z15" i="6"/>
  <c r="X15" i="6"/>
  <c r="J1416" i="9"/>
  <c r="N1416" i="9"/>
  <c r="M1416" i="9"/>
  <c r="L1416" i="9"/>
  <c r="K1416" i="9"/>
  <c r="Q1416" i="9"/>
  <c r="P1416" i="9"/>
  <c r="G1417" i="9"/>
  <c r="I1417" i="9"/>
  <c r="H1417" i="9"/>
  <c r="A1418" i="9"/>
  <c r="X16" i="6" l="1"/>
  <c r="W17" i="6"/>
  <c r="Y15" i="6"/>
  <c r="U17" i="6"/>
  <c r="V17" i="6" s="1"/>
  <c r="AA16" i="6"/>
  <c r="Z16" i="6"/>
  <c r="J1417" i="9"/>
  <c r="N1417" i="9"/>
  <c r="M1417" i="9"/>
  <c r="L1417" i="9"/>
  <c r="K1417" i="9"/>
  <c r="I1418" i="9"/>
  <c r="H1418" i="9"/>
  <c r="A1419" i="9"/>
  <c r="Q1417" i="9"/>
  <c r="P1417" i="9"/>
  <c r="G1418" i="9"/>
  <c r="W18" i="6" l="1"/>
  <c r="Y16" i="6"/>
  <c r="AA17" i="6"/>
  <c r="Z17" i="6"/>
  <c r="X17" i="6"/>
  <c r="U18" i="6"/>
  <c r="V18" i="6" s="1"/>
  <c r="J1418" i="9"/>
  <c r="N1418" i="9"/>
  <c r="M1418" i="9"/>
  <c r="L1418" i="9"/>
  <c r="K1418" i="9"/>
  <c r="Q1418" i="9"/>
  <c r="P1418" i="9"/>
  <c r="G1419" i="9"/>
  <c r="I1419" i="9"/>
  <c r="H1419" i="9"/>
  <c r="A1420" i="9"/>
  <c r="Z18" i="6" l="1"/>
  <c r="U19" i="6"/>
  <c r="V19" i="6" s="1"/>
  <c r="Y17" i="6"/>
  <c r="X18" i="6"/>
  <c r="W19" i="6"/>
  <c r="AA18" i="6"/>
  <c r="J1419" i="9"/>
  <c r="N1419" i="9"/>
  <c r="M1419" i="9"/>
  <c r="L1419" i="9"/>
  <c r="K1419" i="9"/>
  <c r="I1420" i="9"/>
  <c r="H1420" i="9"/>
  <c r="A1421" i="9"/>
  <c r="Q1419" i="9"/>
  <c r="P1419" i="9"/>
  <c r="G1420" i="9"/>
  <c r="Y18" i="6" l="1"/>
  <c r="X19" i="6"/>
  <c r="U20" i="6"/>
  <c r="V20" i="6" s="1"/>
  <c r="Z19" i="6"/>
  <c r="W20" i="6"/>
  <c r="AA19" i="6"/>
  <c r="Q1420" i="9"/>
  <c r="P1420" i="9"/>
  <c r="G1421" i="9"/>
  <c r="I1421" i="9"/>
  <c r="H1421" i="9"/>
  <c r="A1422" i="9"/>
  <c r="J1420" i="9"/>
  <c r="N1420" i="9"/>
  <c r="M1420" i="9"/>
  <c r="L1420" i="9"/>
  <c r="K1420" i="9"/>
  <c r="Y19" i="6" l="1"/>
  <c r="Z20" i="6"/>
  <c r="AA20" i="6"/>
  <c r="X20" i="6"/>
  <c r="W21" i="6"/>
  <c r="U21" i="6"/>
  <c r="V21" i="6" s="1"/>
  <c r="I1422" i="9"/>
  <c r="H1422" i="9"/>
  <c r="A1423" i="9"/>
  <c r="Q1421" i="9"/>
  <c r="P1421" i="9"/>
  <c r="G1422" i="9"/>
  <c r="J1421" i="9"/>
  <c r="N1421" i="9"/>
  <c r="M1421" i="9"/>
  <c r="L1421" i="9"/>
  <c r="K1421" i="9"/>
  <c r="Y20" i="6" l="1"/>
  <c r="Z21" i="6"/>
  <c r="AA21" i="6"/>
  <c r="U22" i="6"/>
  <c r="V22" i="6" s="1"/>
  <c r="X21" i="6"/>
  <c r="W22" i="6"/>
  <c r="I1423" i="9"/>
  <c r="H1423" i="9"/>
  <c r="A1424" i="9"/>
  <c r="Q1422" i="9"/>
  <c r="P1422" i="9"/>
  <c r="G1423" i="9"/>
  <c r="J1422" i="9"/>
  <c r="N1422" i="9"/>
  <c r="M1422" i="9"/>
  <c r="L1422" i="9"/>
  <c r="K1422" i="9"/>
  <c r="X22" i="6" l="1"/>
  <c r="Y21" i="6"/>
  <c r="Z22" i="6"/>
  <c r="AA22" i="6"/>
  <c r="U23" i="6"/>
  <c r="V23" i="6" s="1"/>
  <c r="W23" i="6"/>
  <c r="J1423" i="9"/>
  <c r="N1423" i="9"/>
  <c r="M1423" i="9"/>
  <c r="L1423" i="9"/>
  <c r="K1423" i="9"/>
  <c r="Q1423" i="9"/>
  <c r="P1423" i="9"/>
  <c r="G1424" i="9"/>
  <c r="I1424" i="9"/>
  <c r="H1424" i="9"/>
  <c r="A1425" i="9"/>
  <c r="X23" i="6" l="1"/>
  <c r="Y22" i="6"/>
  <c r="Z23" i="6"/>
  <c r="AA23" i="6"/>
  <c r="W24" i="6"/>
  <c r="U24" i="6"/>
  <c r="V24" i="6" s="1"/>
  <c r="I1425" i="9"/>
  <c r="H1425" i="9"/>
  <c r="A1426" i="9"/>
  <c r="Q1424" i="9"/>
  <c r="P1424" i="9"/>
  <c r="G1425" i="9"/>
  <c r="J1424" i="9"/>
  <c r="N1424" i="9"/>
  <c r="M1424" i="9"/>
  <c r="L1424" i="9"/>
  <c r="K1424" i="9"/>
  <c r="Z24" i="6" l="1"/>
  <c r="Y23" i="6"/>
  <c r="U25" i="6"/>
  <c r="V25" i="6" s="1"/>
  <c r="W25" i="6"/>
  <c r="X24" i="6"/>
  <c r="AA24" i="6"/>
  <c r="Q1425" i="9"/>
  <c r="P1425" i="9"/>
  <c r="G1426" i="9"/>
  <c r="I1426" i="9"/>
  <c r="H1426" i="9"/>
  <c r="A1427" i="9"/>
  <c r="J1425" i="9"/>
  <c r="N1425" i="9"/>
  <c r="M1425" i="9"/>
  <c r="L1425" i="9"/>
  <c r="K1425" i="9"/>
  <c r="Y24" i="6" l="1"/>
  <c r="X25" i="6"/>
  <c r="U26" i="6"/>
  <c r="V26" i="6" s="1"/>
  <c r="AA25" i="6"/>
  <c r="Z25" i="6"/>
  <c r="W26" i="6"/>
  <c r="I1427" i="9"/>
  <c r="H1427" i="9"/>
  <c r="A1428" i="9"/>
  <c r="Q1426" i="9"/>
  <c r="P1426" i="9"/>
  <c r="G1427" i="9"/>
  <c r="J1426" i="9"/>
  <c r="N1426" i="9"/>
  <c r="M1426" i="9"/>
  <c r="L1426" i="9"/>
  <c r="K1426" i="9"/>
  <c r="X26" i="6" l="1"/>
  <c r="U27" i="6"/>
  <c r="V27" i="6" s="1"/>
  <c r="Y25" i="6"/>
  <c r="AA26" i="6"/>
  <c r="W27" i="6"/>
  <c r="Z26" i="6"/>
  <c r="Q1427" i="9"/>
  <c r="P1427" i="9"/>
  <c r="G1428" i="9"/>
  <c r="I1428" i="9"/>
  <c r="H1428" i="9"/>
  <c r="A1429" i="9"/>
  <c r="J1427" i="9"/>
  <c r="N1427" i="9"/>
  <c r="M1427" i="9"/>
  <c r="L1427" i="9"/>
  <c r="K1427" i="9"/>
  <c r="U28" i="6" l="1"/>
  <c r="V28" i="6" s="1"/>
  <c r="W28" i="6"/>
  <c r="AA27" i="6"/>
  <c r="X27" i="6"/>
  <c r="Y26" i="6"/>
  <c r="Z27" i="6"/>
  <c r="I1429" i="9"/>
  <c r="H1429" i="9"/>
  <c r="A1430" i="9"/>
  <c r="Q1428" i="9"/>
  <c r="P1428" i="9"/>
  <c r="G1429" i="9"/>
  <c r="J1428" i="9"/>
  <c r="N1428" i="9"/>
  <c r="M1428" i="9"/>
  <c r="L1428" i="9"/>
  <c r="K1428" i="9"/>
  <c r="AA28" i="6" l="1"/>
  <c r="U29" i="6"/>
  <c r="V29" i="6" s="1"/>
  <c r="W29" i="6"/>
  <c r="X28" i="6"/>
  <c r="Y27" i="6"/>
  <c r="Z28" i="6"/>
  <c r="Q1429" i="9"/>
  <c r="P1429" i="9"/>
  <c r="G1430" i="9"/>
  <c r="I1430" i="9"/>
  <c r="H1430" i="9"/>
  <c r="J1429" i="9"/>
  <c r="N1429" i="9"/>
  <c r="M1429" i="9"/>
  <c r="L1429" i="9"/>
  <c r="K1429" i="9"/>
  <c r="W30" i="6" l="1"/>
  <c r="Z29" i="6"/>
  <c r="X29" i="6"/>
  <c r="U30" i="6"/>
  <c r="V30" i="6" s="1"/>
  <c r="Y28" i="6"/>
  <c r="AA29" i="6"/>
  <c r="Q1430" i="9"/>
  <c r="P1430" i="9"/>
  <c r="J1430" i="9"/>
  <c r="N1430" i="9"/>
  <c r="M1430" i="9"/>
  <c r="L1430" i="9"/>
  <c r="K1430" i="9"/>
  <c r="X30" i="6" l="1"/>
  <c r="Z30" i="6"/>
  <c r="T32" i="6"/>
  <c r="W31" i="6"/>
  <c r="AA30" i="6"/>
  <c r="U31" i="6"/>
  <c r="V31" i="6" s="1"/>
  <c r="Y29" i="6"/>
  <c r="Z31" i="6" l="1"/>
  <c r="Y30" i="6"/>
  <c r="U32" i="6"/>
  <c r="V32" i="6" s="1"/>
  <c r="T33" i="6"/>
  <c r="W32" i="6"/>
  <c r="AA31" i="6"/>
  <c r="X31" i="6"/>
  <c r="X32" i="6" l="1"/>
  <c r="W33" i="6"/>
  <c r="U33" i="6"/>
  <c r="V33" i="6" s="1"/>
  <c r="AA32" i="6"/>
  <c r="T34" i="6"/>
  <c r="Z32" i="6"/>
  <c r="Y31" i="6"/>
  <c r="Z33" i="6" l="1"/>
  <c r="X33" i="6"/>
  <c r="Y32" i="6"/>
  <c r="U34" i="6"/>
  <c r="V34" i="6" s="1"/>
  <c r="AA33" i="6"/>
  <c r="T35" i="6"/>
  <c r="T36" i="6" s="1"/>
  <c r="T37" i="6" s="1"/>
  <c r="T38" i="6" s="1"/>
  <c r="T39" i="6" s="1"/>
  <c r="T40" i="6" s="1"/>
  <c r="T41" i="6" s="1"/>
  <c r="T42" i="6" s="1"/>
  <c r="T43" i="6" s="1"/>
  <c r="T44" i="6" s="1"/>
  <c r="T45" i="6" s="1"/>
  <c r="T46" i="6" s="1"/>
  <c r="T47" i="6" s="1"/>
  <c r="T48" i="6" s="1"/>
  <c r="T49" i="6" s="1"/>
  <c r="T50" i="6" s="1"/>
  <c r="W34" i="6"/>
  <c r="Y33" i="6" l="1"/>
  <c r="U35" i="6"/>
  <c r="V35" i="6" s="1"/>
  <c r="AA34" i="6"/>
  <c r="W35" i="6"/>
  <c r="X34" i="6"/>
  <c r="Z34" i="6"/>
  <c r="AA35" i="6" l="1"/>
  <c r="X35" i="6"/>
  <c r="U36" i="6"/>
  <c r="V36" i="6" s="1"/>
  <c r="Z35" i="6"/>
  <c r="W36" i="6"/>
  <c r="Y34" i="6"/>
  <c r="Y35" i="6" l="1"/>
  <c r="W37" i="6"/>
  <c r="U37" i="6"/>
  <c r="V37" i="6" s="1"/>
  <c r="X36" i="6"/>
  <c r="AA36" i="6"/>
  <c r="Z36" i="6"/>
  <c r="AA37" i="6" l="1"/>
  <c r="Z37" i="6"/>
  <c r="X37" i="6"/>
  <c r="Y36" i="6"/>
  <c r="U38" i="6"/>
  <c r="V38" i="6" s="1"/>
  <c r="W38" i="6"/>
  <c r="Y37" i="6" l="1"/>
  <c r="Z38" i="6"/>
  <c r="X38" i="6"/>
  <c r="U39" i="6"/>
  <c r="V39" i="6" s="1"/>
  <c r="W39" i="6"/>
  <c r="AA38" i="6"/>
  <c r="U40" i="6" l="1"/>
  <c r="V40" i="6" s="1"/>
  <c r="W40" i="6"/>
  <c r="AA39" i="6"/>
  <c r="X39" i="6"/>
  <c r="Y38" i="6"/>
  <c r="Z39" i="6"/>
  <c r="U41" i="6" l="1"/>
  <c r="V41" i="6" s="1"/>
  <c r="W41" i="6"/>
  <c r="AA40" i="6"/>
  <c r="X40" i="6"/>
  <c r="Z40" i="6"/>
  <c r="Y39" i="6"/>
  <c r="U42" i="6" l="1"/>
  <c r="V42" i="6" s="1"/>
  <c r="X41" i="6"/>
  <c r="AA41" i="6"/>
  <c r="Z41" i="6"/>
  <c r="W42" i="6"/>
  <c r="Y40" i="6"/>
  <c r="Z42" i="6" l="1"/>
  <c r="AA42" i="6"/>
  <c r="X42" i="6"/>
  <c r="W43" i="6"/>
  <c r="Y41" i="6"/>
  <c r="U43" i="6"/>
  <c r="V43" i="6" s="1"/>
  <c r="Z43" i="6" l="1"/>
  <c r="Y42" i="6"/>
  <c r="AA43" i="6"/>
  <c r="U44" i="6"/>
  <c r="V44" i="6" s="1"/>
  <c r="X43" i="6"/>
  <c r="W44" i="6"/>
  <c r="Y43" i="6" l="1"/>
  <c r="W45" i="6"/>
  <c r="X44" i="6"/>
  <c r="U45" i="6"/>
  <c r="V45" i="6" s="1"/>
  <c r="Z44" i="6"/>
  <c r="AA44" i="6"/>
  <c r="X45" i="6" l="1"/>
  <c r="U46" i="6"/>
  <c r="V46" i="6" s="1"/>
  <c r="W46" i="6"/>
  <c r="AA45" i="6"/>
  <c r="Z45" i="6"/>
  <c r="Y44" i="6"/>
  <c r="W47" i="6" l="1"/>
  <c r="Z46" i="6"/>
  <c r="U47" i="6"/>
  <c r="V47" i="6" s="1"/>
  <c r="AA46" i="6"/>
  <c r="Y45" i="6"/>
  <c r="X46" i="6"/>
  <c r="AA47" i="6" l="1"/>
  <c r="U48" i="6"/>
  <c r="V48" i="6" s="1"/>
  <c r="W48" i="6"/>
  <c r="Z47" i="6"/>
  <c r="X47" i="6"/>
  <c r="Y46" i="6"/>
  <c r="AA48" i="6" l="1"/>
  <c r="Y47" i="6"/>
  <c r="X48" i="6"/>
  <c r="U49" i="6"/>
  <c r="V49" i="6" s="1"/>
  <c r="W49" i="6"/>
  <c r="Z48" i="6"/>
  <c r="U50" i="6" l="1"/>
  <c r="V50" i="6" s="1"/>
  <c r="W50" i="6"/>
  <c r="T51" i="6"/>
  <c r="AA49" i="6"/>
  <c r="Y48" i="6"/>
  <c r="Z49" i="6"/>
  <c r="X49" i="6"/>
  <c r="C15" i="6"/>
  <c r="C16" i="6" l="1"/>
  <c r="U51" i="6"/>
  <c r="V51" i="6" s="1"/>
  <c r="W51" i="6"/>
  <c r="T52" i="6"/>
  <c r="AA50" i="6"/>
  <c r="Z50" i="6"/>
  <c r="X50" i="6"/>
  <c r="Y49" i="6"/>
  <c r="Y1" i="6" l="1"/>
  <c r="Z51" i="6"/>
  <c r="AA51" i="6"/>
  <c r="X51" i="6"/>
  <c r="W52" i="6"/>
  <c r="T53" i="6"/>
  <c r="U52" i="6"/>
  <c r="V52" i="6" s="1"/>
  <c r="Y50" i="6"/>
  <c r="Z52" i="6" l="1"/>
  <c r="Y51" i="6"/>
  <c r="X52" i="6"/>
  <c r="AA52" i="6"/>
  <c r="U53" i="6"/>
  <c r="V53" i="6" s="1"/>
  <c r="W53" i="6"/>
  <c r="T54" i="6"/>
  <c r="Y52" i="6" l="1"/>
  <c r="Z53" i="6"/>
  <c r="X53" i="6"/>
  <c r="AA53" i="6"/>
  <c r="U54" i="6"/>
  <c r="V54" i="6" s="1"/>
  <c r="T55" i="6"/>
  <c r="W54" i="6"/>
  <c r="Y53" i="6" l="1"/>
  <c r="X54" i="6"/>
  <c r="T56" i="6"/>
  <c r="Z54" i="6"/>
  <c r="U55" i="6"/>
  <c r="V55" i="6" s="1"/>
  <c r="AA54" i="6"/>
  <c r="W55" i="6"/>
  <c r="W56" i="6" l="1"/>
  <c r="U56" i="6"/>
  <c r="V56" i="6" s="1"/>
  <c r="T57" i="6"/>
  <c r="Z55" i="6"/>
  <c r="Y54" i="6"/>
  <c r="AA55" i="6"/>
  <c r="X55" i="6"/>
  <c r="Z56" i="6" l="1"/>
  <c r="X56" i="6"/>
  <c r="AA56" i="6"/>
  <c r="W57" i="6"/>
  <c r="Y55" i="6"/>
  <c r="T58" i="6"/>
  <c r="U57" i="6"/>
  <c r="V57" i="6" s="1"/>
  <c r="Y56" i="6" l="1"/>
  <c r="AA57" i="6"/>
  <c r="X57" i="6"/>
  <c r="U58" i="6"/>
  <c r="V58" i="6" s="1"/>
  <c r="T59" i="6"/>
  <c r="Z57" i="6"/>
  <c r="W58" i="6"/>
  <c r="Y57" i="6" l="1"/>
  <c r="Z58" i="6"/>
  <c r="W59" i="6"/>
  <c r="U59" i="6"/>
  <c r="V59" i="6" s="1"/>
  <c r="AA58" i="6"/>
  <c r="T60" i="6"/>
  <c r="X58" i="6"/>
  <c r="Z59" i="6" l="1"/>
  <c r="Y58" i="6"/>
  <c r="AA59" i="6"/>
  <c r="X59" i="6"/>
  <c r="U60" i="6"/>
  <c r="V60" i="6" s="1"/>
  <c r="T61" i="6"/>
  <c r="W60" i="6"/>
  <c r="Y59" i="6" l="1"/>
  <c r="T62" i="6"/>
  <c r="X60" i="6"/>
  <c r="U61" i="6"/>
  <c r="V61" i="6" s="1"/>
  <c r="Z60" i="6"/>
  <c r="W61" i="6"/>
  <c r="AA60" i="6"/>
  <c r="U62" i="6" l="1"/>
  <c r="V62" i="6" s="1"/>
  <c r="Y60" i="6"/>
  <c r="T63" i="6"/>
  <c r="AA61" i="6"/>
  <c r="W62" i="6"/>
  <c r="Z61" i="6"/>
  <c r="X61" i="6"/>
  <c r="T64" i="6" l="1"/>
  <c r="Y61" i="6"/>
  <c r="U63" i="6"/>
  <c r="V63" i="6" s="1"/>
  <c r="W63" i="6"/>
  <c r="Z62" i="6"/>
  <c r="X62" i="6"/>
  <c r="AA62" i="6"/>
  <c r="U64" i="6" l="1"/>
  <c r="V64" i="6" s="1"/>
  <c r="T65" i="6"/>
  <c r="W64" i="6"/>
  <c r="Z63" i="6"/>
  <c r="AA63" i="6"/>
  <c r="X63" i="6"/>
  <c r="Y62" i="6"/>
  <c r="T66" i="6" l="1"/>
  <c r="W65" i="6"/>
  <c r="AA64" i="6"/>
  <c r="U65" i="6"/>
  <c r="V65" i="6" s="1"/>
  <c r="Y63" i="6"/>
  <c r="X64" i="6"/>
  <c r="Z64" i="6"/>
  <c r="U66" i="6" l="1"/>
  <c r="V66" i="6" s="1"/>
  <c r="Z65" i="6"/>
  <c r="AA65" i="6"/>
  <c r="X65" i="6"/>
  <c r="T67" i="6"/>
  <c r="W66" i="6"/>
  <c r="Y64" i="6"/>
  <c r="Y65" i="6" l="1"/>
  <c r="Z66" i="6"/>
  <c r="AA66" i="6"/>
  <c r="X66" i="6"/>
  <c r="W67" i="6"/>
  <c r="U67" i="6"/>
  <c r="V67" i="6" s="1"/>
  <c r="T68" i="6"/>
  <c r="AA67" i="6" l="1"/>
  <c r="Y66" i="6"/>
  <c r="Z67" i="6"/>
  <c r="T69" i="6"/>
  <c r="X67" i="6"/>
  <c r="W68" i="6"/>
  <c r="U68" i="6"/>
  <c r="V68" i="6" s="1"/>
  <c r="T70" i="6" l="1"/>
  <c r="W69" i="6"/>
  <c r="Y67" i="6"/>
  <c r="U69" i="6"/>
  <c r="V69" i="6" s="1"/>
  <c r="Z68" i="6"/>
  <c r="X68" i="6"/>
  <c r="AA68" i="6"/>
  <c r="U70" i="6" l="1"/>
  <c r="V70" i="6" s="1"/>
  <c r="T71" i="6"/>
  <c r="W70" i="6"/>
  <c r="Z69" i="6"/>
  <c r="AA69" i="6"/>
  <c r="X69" i="6"/>
  <c r="Y68" i="6"/>
  <c r="T72" i="6" l="1"/>
  <c r="Z70" i="6"/>
  <c r="X70" i="6"/>
  <c r="U71" i="6"/>
  <c r="V71" i="6" s="1"/>
  <c r="W71" i="6"/>
  <c r="AA70" i="6"/>
  <c r="Y69" i="6"/>
  <c r="U72" i="6" l="1"/>
  <c r="V72" i="6" s="1"/>
  <c r="T73" i="6"/>
  <c r="Y70" i="6"/>
  <c r="W72" i="6"/>
  <c r="X71" i="6"/>
  <c r="Z71" i="6"/>
  <c r="AA71" i="6"/>
  <c r="W73" i="6" l="1"/>
  <c r="U73" i="6"/>
  <c r="V73" i="6" s="1"/>
  <c r="AA72" i="6"/>
  <c r="T74" i="6"/>
  <c r="X72" i="6"/>
  <c r="Y71" i="6"/>
  <c r="Z72" i="6"/>
  <c r="X73" i="6" l="1"/>
  <c r="Z73" i="6"/>
  <c r="AA73" i="6"/>
  <c r="W74" i="6"/>
  <c r="T75" i="6"/>
  <c r="Y72" i="6"/>
  <c r="U74" i="6"/>
  <c r="V74" i="6" s="1"/>
  <c r="Y73" i="6" l="1"/>
  <c r="X74" i="6"/>
  <c r="U75" i="6"/>
  <c r="V75" i="6" s="1"/>
  <c r="T76" i="6"/>
  <c r="W75" i="6"/>
  <c r="Z74" i="6"/>
  <c r="AA74" i="6"/>
  <c r="Z75" i="6" l="1"/>
  <c r="W76" i="6"/>
  <c r="U76" i="6"/>
  <c r="V76" i="6" s="1"/>
  <c r="T77" i="6"/>
  <c r="X75" i="6"/>
  <c r="AA75" i="6"/>
  <c r="Y74" i="6"/>
  <c r="X76" i="6" l="1"/>
  <c r="AA76" i="6"/>
  <c r="Z76" i="6"/>
  <c r="U77" i="6"/>
  <c r="V77" i="6" s="1"/>
  <c r="W77" i="6"/>
  <c r="T78" i="6"/>
  <c r="Y75" i="6"/>
  <c r="Y76" i="6" l="1"/>
  <c r="AA77" i="6"/>
  <c r="Z77" i="6"/>
  <c r="X77" i="6"/>
  <c r="U78" i="6"/>
  <c r="V78" i="6" s="1"/>
  <c r="T79" i="6"/>
  <c r="W78" i="6"/>
  <c r="Y77" i="6" l="1"/>
  <c r="W79" i="6"/>
  <c r="Z78" i="6"/>
  <c r="U79" i="6"/>
  <c r="V79" i="6" s="1"/>
  <c r="AA78" i="6"/>
  <c r="T80" i="6"/>
  <c r="X78" i="6"/>
  <c r="Z79" i="6" l="1"/>
  <c r="X79" i="6"/>
  <c r="AA79" i="6"/>
  <c r="Y78" i="6"/>
  <c r="U80" i="6"/>
  <c r="V80" i="6" s="1"/>
  <c r="T81" i="6"/>
  <c r="W80" i="6"/>
  <c r="Y79" i="6" l="1"/>
  <c r="T82" i="6"/>
  <c r="X80" i="6"/>
  <c r="U81" i="6"/>
  <c r="V81" i="6" s="1"/>
  <c r="Z80" i="6"/>
  <c r="W81" i="6"/>
  <c r="AA80" i="6"/>
  <c r="T83" i="6" l="1"/>
  <c r="U82" i="6"/>
  <c r="V82" i="6" s="1"/>
  <c r="AA81" i="6"/>
  <c r="Y80" i="6"/>
  <c r="Z81" i="6"/>
  <c r="X81" i="6"/>
  <c r="W82" i="6"/>
  <c r="Y81" i="6" l="1"/>
  <c r="T84" i="6"/>
  <c r="U83" i="6"/>
  <c r="V83" i="6" s="1"/>
  <c r="W83" i="6"/>
  <c r="Z82" i="6"/>
  <c r="AA82" i="6"/>
  <c r="X82" i="6"/>
  <c r="X83" i="6" l="1"/>
  <c r="Z83" i="6"/>
  <c r="AA83" i="6"/>
  <c r="W84" i="6"/>
  <c r="U84" i="6"/>
  <c r="V84" i="6" s="1"/>
  <c r="T85" i="6"/>
  <c r="Y82" i="6"/>
  <c r="Z84" i="6" l="1"/>
  <c r="X84" i="6"/>
  <c r="Y83" i="6"/>
  <c r="T86" i="6"/>
  <c r="AB86" i="6" s="1"/>
  <c r="U85" i="6"/>
  <c r="V85" i="6" s="1"/>
  <c r="W85" i="6"/>
  <c r="AA84" i="6"/>
  <c r="Y84" i="6" l="1"/>
  <c r="V86" i="6"/>
  <c r="U86" i="6"/>
  <c r="Z85" i="6"/>
  <c r="AA85" i="6"/>
  <c r="T87" i="6"/>
  <c r="AB87" i="6" s="1"/>
  <c r="X85" i="6"/>
  <c r="W86" i="6"/>
  <c r="AC86" i="6" s="1"/>
  <c r="X86" i="6" l="1"/>
  <c r="AA86" i="6"/>
  <c r="U87" i="6"/>
  <c r="Z86" i="6"/>
  <c r="Y85" i="6"/>
  <c r="W87" i="6"/>
  <c r="AC87" i="6" s="1"/>
  <c r="V87" i="6"/>
  <c r="Y86" i="6" l="1"/>
  <c r="W2" i="6"/>
  <c r="W1" i="6" s="1"/>
  <c r="AA87" i="6"/>
  <c r="AA2" i="6" s="1"/>
  <c r="AA1" i="6" s="1"/>
  <c r="X87" i="6"/>
  <c r="D22" i="6" s="1"/>
  <c r="H9" i="6" s="1"/>
  <c r="Z87" i="6"/>
  <c r="Z2" i="6" s="1"/>
  <c r="C22" i="6" l="1"/>
  <c r="C21" i="6"/>
  <c r="X2" i="6"/>
  <c r="AC4" i="6" s="1"/>
  <c r="Y87" i="6"/>
  <c r="Z1" i="6"/>
  <c r="Y2" i="6" l="1"/>
  <c r="C20" i="6" s="1"/>
  <c r="Z3" i="6"/>
  <c r="C19" i="6"/>
  <c r="X1" i="6"/>
  <c r="AA3" i="6"/>
  <c r="H5" i="6" l="1"/>
  <c r="H4" i="6"/>
  <c r="H6" i="6"/>
  <c r="D23" i="6"/>
  <c r="C23" i="6" s="1"/>
  <c r="C24" i="6"/>
  <c r="H8" i="6" l="1"/>
  <c r="H7" i="6"/>
  <c r="N57" i="9"/>
  <c r="O57" i="9" s="1"/>
  <c r="N58" i="9"/>
  <c r="O58" i="9" s="1"/>
  <c r="AO58" i="9"/>
  <c r="N110" i="9"/>
  <c r="O110" i="9" s="1"/>
  <c r="N111" i="9"/>
  <c r="O111" i="9" s="1"/>
  <c r="N112" i="9"/>
  <c r="O112" i="9" s="1"/>
  <c r="N106" i="9"/>
  <c r="O106" i="9" s="1"/>
  <c r="AH40" i="3" s="1"/>
  <c r="N107" i="9"/>
  <c r="O107" i="9" s="1"/>
  <c r="AH41" i="3" s="1"/>
  <c r="N108" i="9"/>
  <c r="O108" i="9" s="1"/>
  <c r="AH42" i="3" s="1"/>
  <c r="N109" i="9"/>
  <c r="O109" i="9" s="1"/>
  <c r="AH43" i="3" s="1"/>
  <c r="N104" i="9"/>
  <c r="O104" i="9" s="1"/>
  <c r="AH36" i="3" s="1"/>
  <c r="N105" i="9"/>
  <c r="O105" i="9" s="1"/>
  <c r="AH38" i="3" s="1"/>
  <c r="N59" i="9"/>
  <c r="O59" i="9" s="1"/>
  <c r="N60" i="9"/>
  <c r="O60" i="9" s="1"/>
  <c r="N103" i="9"/>
  <c r="O103" i="9" s="1"/>
  <c r="AH35" i="3" s="1"/>
  <c r="N102" i="9"/>
  <c r="O102" i="9" s="1"/>
  <c r="AH34" i="3" s="1"/>
  <c r="AH44" i="3" l="1"/>
  <c r="C2" i="1"/>
  <c r="AH45" i="3" l="1"/>
  <c r="AI44" i="3"/>
  <c r="A77" i="1"/>
  <c r="H77" i="1" s="1"/>
  <c r="Y69" i="24" s="1"/>
  <c r="A78" i="1"/>
  <c r="H78" i="1" s="1"/>
  <c r="Y70" i="24" s="1"/>
  <c r="A66" i="1"/>
  <c r="H66" i="1" s="1"/>
  <c r="A74" i="1"/>
  <c r="H74" i="1" s="1"/>
  <c r="Y66" i="24" s="1"/>
  <c r="A69" i="1"/>
  <c r="H69" i="1" s="1"/>
  <c r="Y61" i="24" s="1"/>
  <c r="A68" i="1"/>
  <c r="H68" i="1" s="1"/>
  <c r="Y60" i="24" s="1"/>
  <c r="A70" i="1"/>
  <c r="H70" i="1" s="1"/>
  <c r="Y62" i="24" s="1"/>
  <c r="A71" i="1"/>
  <c r="H71" i="1" s="1"/>
  <c r="Y63" i="24" s="1"/>
  <c r="A72" i="1"/>
  <c r="H72" i="1" s="1"/>
  <c r="Y64" i="24" s="1"/>
  <c r="A73" i="1"/>
  <c r="H73" i="1" s="1"/>
  <c r="Y65" i="24" s="1"/>
  <c r="A67" i="1"/>
  <c r="H67" i="1" s="1"/>
  <c r="Y59" i="24" s="1"/>
  <c r="A75" i="1"/>
  <c r="H75" i="1" s="1"/>
  <c r="Y67" i="24" s="1"/>
  <c r="A76" i="1"/>
  <c r="H76" i="1" s="1"/>
  <c r="Y68" i="24" s="1"/>
  <c r="C4" i="1"/>
  <c r="AH46" i="3" l="1"/>
  <c r="AI46" i="3" s="1"/>
  <c r="AI45" i="3"/>
  <c r="O5" i="1"/>
  <c r="R5" i="1" s="1"/>
  <c r="Q4" i="1"/>
  <c r="O6" i="1" l="1"/>
  <c r="R6" i="1" s="1"/>
  <c r="P5" i="1"/>
  <c r="Q5" i="1" s="1"/>
  <c r="F43" i="1"/>
  <c r="G43" i="1" s="1"/>
  <c r="E42" i="1"/>
  <c r="O7" i="1" l="1"/>
  <c r="R7" i="1" s="1"/>
  <c r="P6" i="1"/>
  <c r="Q6" i="1" s="1"/>
  <c r="O8" i="1" l="1"/>
  <c r="R8" i="1" s="1"/>
  <c r="P7" i="1"/>
  <c r="Q7" i="1" s="1"/>
  <c r="O9" i="1" l="1"/>
  <c r="R9" i="1" s="1"/>
  <c r="P8" i="1"/>
  <c r="Q8" i="1" s="1"/>
  <c r="O10" i="1" l="1"/>
  <c r="R10" i="1" s="1"/>
  <c r="P9" i="1"/>
  <c r="Q9" i="1" s="1"/>
  <c r="O11" i="1" l="1"/>
  <c r="R11" i="1" s="1"/>
  <c r="P10" i="1"/>
  <c r="Q10" i="1" s="1"/>
  <c r="O12" i="1" l="1"/>
  <c r="R12" i="1" s="1"/>
  <c r="P11" i="1"/>
  <c r="Q11" i="1" s="1"/>
  <c r="O13" i="1" l="1"/>
  <c r="R13" i="1" s="1"/>
  <c r="P12" i="1"/>
  <c r="Q12" i="1" s="1"/>
  <c r="O14" i="1" l="1"/>
  <c r="R14" i="1" s="1"/>
  <c r="P13" i="1"/>
  <c r="Q13" i="1" s="1"/>
  <c r="O15" i="1" l="1"/>
  <c r="R15" i="1" s="1"/>
  <c r="P14" i="1"/>
  <c r="Q14" i="1" s="1"/>
  <c r="O16" i="1" l="1"/>
  <c r="R16" i="1" s="1"/>
  <c r="P15" i="1"/>
  <c r="Q15" i="1" s="1"/>
  <c r="O17" i="1" l="1"/>
  <c r="R17" i="1" s="1"/>
  <c r="P16" i="1"/>
  <c r="Q16" i="1" s="1"/>
  <c r="O18" i="1" l="1"/>
  <c r="R18" i="1" s="1"/>
  <c r="P17" i="1"/>
  <c r="Q17" i="1" s="1"/>
  <c r="O19" i="1" l="1"/>
  <c r="R19" i="1" s="1"/>
  <c r="P18" i="1"/>
  <c r="Q18" i="1" s="1"/>
  <c r="O20" i="1" l="1"/>
  <c r="R20" i="1" s="1"/>
  <c r="P19" i="1"/>
  <c r="Q19" i="1" s="1"/>
  <c r="O21" i="1" l="1"/>
  <c r="R21" i="1" s="1"/>
  <c r="P20" i="1"/>
  <c r="Q20" i="1" s="1"/>
  <c r="O22" i="1" l="1"/>
  <c r="R22" i="1" s="1"/>
  <c r="P21" i="1"/>
  <c r="Q21" i="1" s="1"/>
  <c r="O23" i="1" l="1"/>
  <c r="R23" i="1" s="1"/>
  <c r="P22" i="1"/>
  <c r="Q22" i="1" s="1"/>
  <c r="O24" i="1" l="1"/>
  <c r="P23" i="1"/>
  <c r="Q23" i="1" s="1"/>
  <c r="R24" i="1" l="1"/>
  <c r="O25" i="1"/>
  <c r="R25" i="1" s="1"/>
  <c r="P24" i="1"/>
  <c r="Q24" i="1" s="1"/>
  <c r="O26" i="1" l="1"/>
  <c r="P25" i="1"/>
  <c r="Q25" i="1" s="1"/>
  <c r="W26" i="1" l="1"/>
  <c r="R26" i="1"/>
  <c r="O27" i="1"/>
  <c r="P26" i="1"/>
  <c r="Q26" i="1" s="1"/>
  <c r="W27" i="1" l="1"/>
  <c r="R27" i="1"/>
  <c r="O28" i="1"/>
  <c r="R28" i="1" s="1"/>
  <c r="P27" i="1"/>
  <c r="Q27" i="1" s="1"/>
  <c r="O29" i="1" l="1"/>
  <c r="R29" i="1" s="1"/>
  <c r="W28" i="1"/>
  <c r="P28" i="1"/>
  <c r="Q28" i="1" s="1"/>
  <c r="O30" i="1" l="1"/>
  <c r="W29" i="1"/>
  <c r="P29" i="1"/>
  <c r="Q29" i="1" s="1"/>
  <c r="W30" i="1" l="1"/>
  <c r="R30" i="1"/>
  <c r="O31" i="1"/>
  <c r="R31" i="1" s="1"/>
  <c r="P30" i="1"/>
  <c r="Q30" i="1" s="1"/>
  <c r="O32" i="1" l="1"/>
  <c r="W31" i="1"/>
  <c r="P31" i="1"/>
  <c r="Q31" i="1" s="1"/>
  <c r="W32" i="1" l="1"/>
  <c r="R32" i="1"/>
  <c r="O33" i="1"/>
  <c r="R33" i="1" s="1"/>
  <c r="P32" i="1"/>
  <c r="Q32" i="1" s="1"/>
  <c r="O34" i="1" l="1"/>
  <c r="W33" i="1"/>
  <c r="P33" i="1"/>
  <c r="Q33" i="1" s="1"/>
  <c r="W34" i="1" l="1"/>
  <c r="R34" i="1"/>
  <c r="O35" i="1"/>
  <c r="P34" i="1"/>
  <c r="Q34" i="1" s="1"/>
  <c r="W35" i="1" l="1"/>
  <c r="R35" i="1"/>
  <c r="O36" i="1"/>
  <c r="P35" i="1"/>
  <c r="Q35" i="1" s="1"/>
  <c r="W36" i="1" l="1"/>
  <c r="R36" i="1"/>
  <c r="O37" i="1"/>
  <c r="P36" i="1"/>
  <c r="Q36" i="1" s="1"/>
  <c r="W37" i="1" l="1"/>
  <c r="R37" i="1"/>
  <c r="O38" i="1"/>
  <c r="P37" i="1"/>
  <c r="Q37" i="1" s="1"/>
  <c r="W38" i="1" l="1"/>
  <c r="R38" i="1"/>
  <c r="O39" i="1"/>
  <c r="P38" i="1"/>
  <c r="Q38" i="1" s="1"/>
  <c r="W39" i="1" l="1"/>
  <c r="R39" i="1"/>
  <c r="O40" i="1"/>
  <c r="R40" i="1" s="1"/>
  <c r="P39" i="1"/>
  <c r="Q39" i="1" s="1"/>
  <c r="O41" i="1" l="1"/>
  <c r="W40" i="1"/>
  <c r="P40" i="1"/>
  <c r="Q40" i="1" s="1"/>
  <c r="W41" i="1" l="1"/>
  <c r="R41" i="1"/>
  <c r="O42" i="1"/>
  <c r="P41" i="1"/>
  <c r="Q41" i="1" s="1"/>
  <c r="W42" i="1" l="1"/>
  <c r="R42" i="1"/>
  <c r="O43" i="1"/>
  <c r="P42" i="1"/>
  <c r="Q42" i="1" s="1"/>
  <c r="W43" i="1" l="1"/>
  <c r="R43" i="1"/>
  <c r="O44" i="1"/>
  <c r="R44" i="1" s="1"/>
  <c r="P43" i="1"/>
  <c r="Q43" i="1" s="1"/>
  <c r="O45" i="1" l="1"/>
  <c r="W44" i="1"/>
  <c r="P44" i="1"/>
  <c r="Q44" i="1" s="1"/>
  <c r="W45" i="1" l="1"/>
  <c r="R45" i="1"/>
  <c r="O46" i="1"/>
  <c r="P45" i="1"/>
  <c r="Q45" i="1" s="1"/>
  <c r="W46" i="1" l="1"/>
  <c r="R46" i="1"/>
  <c r="O47" i="1"/>
  <c r="P46" i="1"/>
  <c r="Q46" i="1" s="1"/>
  <c r="W47" i="1" l="1"/>
  <c r="R47" i="1"/>
  <c r="O48" i="1"/>
  <c r="R48" i="1" s="1"/>
  <c r="P47" i="1"/>
  <c r="Q47" i="1" s="1"/>
  <c r="O49" i="1" l="1"/>
  <c r="W48" i="1"/>
  <c r="P48" i="1"/>
  <c r="Q48" i="1" s="1"/>
  <c r="W49" i="1" l="1"/>
  <c r="R49" i="1"/>
  <c r="O50" i="1"/>
  <c r="R50" i="1" s="1"/>
  <c r="P49" i="1"/>
  <c r="Q49" i="1" s="1"/>
  <c r="O51" i="1" l="1"/>
  <c r="W50" i="1"/>
  <c r="P50" i="1"/>
  <c r="Q50" i="1" s="1"/>
  <c r="W51" i="1" l="1"/>
  <c r="R51" i="1"/>
  <c r="O52" i="1"/>
  <c r="P51" i="1"/>
  <c r="Q51" i="1" s="1"/>
  <c r="W52" i="1" l="1"/>
  <c r="R52" i="1"/>
  <c r="O53" i="1"/>
  <c r="P52" i="1"/>
  <c r="Q52" i="1" s="1"/>
  <c r="W53" i="1" l="1"/>
  <c r="R53" i="1"/>
  <c r="O54" i="1"/>
  <c r="P53" i="1"/>
  <c r="Q53" i="1" s="1"/>
  <c r="W54" i="1" l="1"/>
  <c r="R54" i="1"/>
  <c r="O55" i="1"/>
  <c r="P54" i="1"/>
  <c r="Q54" i="1" s="1"/>
  <c r="W55" i="1" l="1"/>
  <c r="R55" i="1"/>
  <c r="O56" i="1"/>
  <c r="R56" i="1" s="1"/>
  <c r="P55" i="1"/>
  <c r="Q55" i="1" s="1"/>
  <c r="O57" i="1" l="1"/>
  <c r="W56" i="1"/>
  <c r="P56" i="1"/>
  <c r="Q56" i="1" s="1"/>
  <c r="W57" i="1" l="1"/>
  <c r="R57" i="1"/>
  <c r="O58" i="1"/>
  <c r="P57" i="1"/>
  <c r="Q57" i="1" s="1"/>
  <c r="W58" i="1" l="1"/>
  <c r="R58" i="1"/>
  <c r="O59" i="1"/>
  <c r="P58" i="1"/>
  <c r="Q58" i="1" s="1"/>
  <c r="W59" i="1" l="1"/>
  <c r="R59" i="1"/>
  <c r="O60" i="1"/>
  <c r="R60" i="1" s="1"/>
  <c r="P59" i="1"/>
  <c r="Q59" i="1" s="1"/>
  <c r="O61" i="1" l="1"/>
  <c r="W60" i="1"/>
  <c r="P60" i="1"/>
  <c r="Q60" i="1" s="1"/>
  <c r="W61" i="1" l="1"/>
  <c r="R61" i="1"/>
  <c r="O62" i="1"/>
  <c r="R62" i="1" s="1"/>
  <c r="P61" i="1"/>
  <c r="Q61" i="1" s="1"/>
  <c r="O63" i="1" l="1"/>
  <c r="W62" i="1"/>
  <c r="P62" i="1"/>
  <c r="Q62" i="1" s="1"/>
  <c r="W63" i="1" l="1"/>
  <c r="R63" i="1"/>
  <c r="O64" i="1"/>
  <c r="R64" i="1" s="1"/>
  <c r="P63" i="1"/>
  <c r="Q63" i="1" s="1"/>
  <c r="O65" i="1" l="1"/>
  <c r="W64" i="1"/>
  <c r="P64" i="1"/>
  <c r="Q64" i="1" s="1"/>
  <c r="W65" i="1" l="1"/>
  <c r="R65" i="1"/>
  <c r="P65" i="1"/>
  <c r="Q65" i="1" s="1"/>
  <c r="O66" i="1" l="1"/>
  <c r="R66" i="1" s="1"/>
  <c r="O67" i="1" l="1"/>
  <c r="W66" i="1"/>
  <c r="P66" i="1"/>
  <c r="Q66" i="1" s="1"/>
  <c r="W67" i="1" l="1"/>
  <c r="R67" i="1"/>
  <c r="O68" i="1"/>
  <c r="R68" i="1" s="1"/>
  <c r="P67" i="1"/>
  <c r="Q67" i="1" s="1"/>
  <c r="O69" i="1" l="1"/>
  <c r="W68" i="1"/>
  <c r="P68" i="1"/>
  <c r="Q68" i="1" s="1"/>
  <c r="W69" i="1" l="1"/>
  <c r="R69" i="1"/>
  <c r="O70" i="1"/>
  <c r="P69" i="1"/>
  <c r="Q69" i="1" s="1"/>
  <c r="W70" i="1" l="1"/>
  <c r="R70" i="1"/>
  <c r="O71" i="1"/>
  <c r="P70" i="1"/>
  <c r="Q70" i="1" s="1"/>
  <c r="W71" i="1" l="1"/>
  <c r="R71" i="1"/>
  <c r="O72" i="1"/>
  <c r="R72" i="1" s="1"/>
  <c r="P71" i="1"/>
  <c r="Q71" i="1" s="1"/>
  <c r="O73" i="1" l="1"/>
  <c r="W72" i="1"/>
  <c r="P72" i="1"/>
  <c r="Q72" i="1" s="1"/>
  <c r="W73" i="1" l="1"/>
  <c r="R73" i="1"/>
  <c r="O74" i="1"/>
  <c r="P73" i="1"/>
  <c r="Q73" i="1" s="1"/>
  <c r="W74" i="1" l="1"/>
  <c r="R74" i="1"/>
  <c r="O75" i="1"/>
  <c r="P74" i="1"/>
  <c r="Q74" i="1" s="1"/>
  <c r="W75" i="1" l="1"/>
  <c r="R75" i="1"/>
  <c r="O76" i="1"/>
  <c r="R76" i="1" s="1"/>
  <c r="P75" i="1"/>
  <c r="Q75" i="1" s="1"/>
  <c r="O77" i="1" l="1"/>
  <c r="R77" i="1" s="1"/>
  <c r="W76" i="1"/>
  <c r="P76" i="1"/>
  <c r="Q76" i="1" s="1"/>
  <c r="O78" i="1" l="1"/>
  <c r="W77" i="1"/>
  <c r="P77" i="1"/>
  <c r="Q77" i="1" s="1"/>
  <c r="W78" i="1" l="1"/>
  <c r="R78" i="1"/>
  <c r="O79" i="1"/>
  <c r="R79" i="1" s="1"/>
  <c r="P78" i="1"/>
  <c r="Q78" i="1" s="1"/>
  <c r="O80" i="1" l="1"/>
  <c r="W79" i="1"/>
  <c r="P79" i="1"/>
  <c r="Q79" i="1" s="1"/>
  <c r="W80" i="1" l="1"/>
  <c r="R80" i="1"/>
  <c r="O81" i="1"/>
  <c r="P80" i="1"/>
  <c r="Q80" i="1" s="1"/>
  <c r="W81" i="1" l="1"/>
  <c r="R81" i="1"/>
  <c r="O82" i="1"/>
  <c r="P81" i="1"/>
  <c r="Q81" i="1" s="1"/>
  <c r="W82" i="1" l="1"/>
  <c r="R82" i="1"/>
  <c r="O83" i="1"/>
  <c r="P82" i="1"/>
  <c r="Q82" i="1" s="1"/>
  <c r="W83" i="1" l="1"/>
  <c r="R83" i="1"/>
  <c r="X83" i="1" s="1"/>
  <c r="O84" i="1"/>
  <c r="R84" i="1" s="1"/>
  <c r="P83" i="1"/>
  <c r="Q83" i="1"/>
  <c r="O85" i="1" l="1"/>
  <c r="X84" i="1"/>
  <c r="W84" i="1"/>
  <c r="Q84" i="1"/>
  <c r="P84" i="1"/>
  <c r="W85" i="1" l="1"/>
  <c r="R85" i="1"/>
  <c r="O86" i="1"/>
  <c r="R86" i="1" s="1"/>
  <c r="P85" i="1"/>
  <c r="Q85" i="1"/>
  <c r="O87" i="1" l="1"/>
  <c r="X86" i="1"/>
  <c r="W86" i="1"/>
  <c r="X85" i="1"/>
  <c r="P86" i="1"/>
  <c r="Q86" i="1"/>
  <c r="W87" i="1" l="1"/>
  <c r="R87" i="1"/>
  <c r="X87" i="1" s="1"/>
  <c r="O88" i="1"/>
  <c r="R88" i="1" s="1"/>
  <c r="P87" i="1"/>
  <c r="Q87" i="1"/>
  <c r="O89" i="1" l="1"/>
  <c r="X88" i="1"/>
  <c r="W88" i="1"/>
  <c r="P88" i="1"/>
  <c r="Q88" i="1"/>
  <c r="W89" i="1" l="1"/>
  <c r="R89" i="1"/>
  <c r="O90" i="1"/>
  <c r="R90" i="1" s="1"/>
  <c r="P89" i="1"/>
  <c r="Q89" i="1"/>
  <c r="X89" i="1" l="1"/>
  <c r="O91" i="1"/>
  <c r="X90" i="1"/>
  <c r="W90" i="1"/>
  <c r="P90" i="1"/>
  <c r="Q90" i="1"/>
  <c r="W91" i="1" l="1"/>
  <c r="R91" i="1"/>
  <c r="O92" i="1"/>
  <c r="R92" i="1" s="1"/>
  <c r="P91" i="1"/>
  <c r="Q91" i="1"/>
  <c r="X91" i="1" l="1"/>
  <c r="O93" i="1"/>
  <c r="X92" i="1"/>
  <c r="W92" i="1"/>
  <c r="Q92" i="1"/>
  <c r="P92" i="1"/>
  <c r="W93" i="1" l="1"/>
  <c r="R93" i="1"/>
  <c r="R1" i="1" s="1"/>
  <c r="O94" i="1"/>
  <c r="R94" i="1" s="1"/>
  <c r="Q93" i="1"/>
  <c r="P93" i="1"/>
  <c r="X93" i="1" l="1"/>
  <c r="O95" i="1"/>
  <c r="W94" i="1"/>
  <c r="P94" i="1"/>
  <c r="Q94" i="1"/>
  <c r="W95" i="1" l="1"/>
  <c r="R95" i="1"/>
  <c r="X95" i="1" s="1"/>
  <c r="X94" i="1"/>
  <c r="O96" i="1"/>
  <c r="Q95" i="1"/>
  <c r="P95" i="1"/>
  <c r="W96" i="1" l="1"/>
  <c r="R96" i="1"/>
  <c r="X96" i="1" s="1"/>
  <c r="O97" i="1"/>
  <c r="Q96" i="1"/>
  <c r="P96" i="1"/>
  <c r="W97" i="1" l="1"/>
  <c r="R97" i="1"/>
  <c r="O98" i="1"/>
  <c r="R98" i="1" s="1"/>
  <c r="Q97" i="1"/>
  <c r="P97" i="1"/>
  <c r="O99" i="1" l="1"/>
  <c r="X98" i="1"/>
  <c r="X97" i="1"/>
  <c r="W98" i="1"/>
  <c r="Q98" i="1"/>
  <c r="P98" i="1"/>
  <c r="W99" i="1" l="1"/>
  <c r="R99" i="1"/>
  <c r="O100" i="1"/>
  <c r="R100" i="1" s="1"/>
  <c r="P99" i="1"/>
  <c r="Q99" i="1"/>
  <c r="W100" i="1" l="1"/>
  <c r="X99" i="1"/>
  <c r="P100" i="1"/>
  <c r="Q100" i="1"/>
  <c r="X100" i="1" l="1"/>
  <c r="X62" i="1" l="1"/>
  <c r="X76" i="1"/>
  <c r="X44" i="1"/>
  <c r="X77" i="1"/>
  <c r="X33" i="1"/>
  <c r="X81" i="1"/>
  <c r="X37" i="1"/>
  <c r="X29" i="1"/>
  <c r="X73" i="1"/>
  <c r="X42" i="1"/>
  <c r="X47" i="1"/>
  <c r="X41" i="1"/>
  <c r="X34" i="1"/>
  <c r="X40" i="1"/>
  <c r="X45" i="1"/>
  <c r="X63" i="1"/>
  <c r="X68" i="1"/>
  <c r="X26" i="1"/>
  <c r="X36" i="1"/>
  <c r="X27" i="1"/>
  <c r="X28" i="1"/>
  <c r="X55" i="1"/>
  <c r="X60" i="1"/>
  <c r="X64" i="1"/>
  <c r="X74" i="1"/>
  <c r="X70" i="1"/>
  <c r="X79" i="1"/>
  <c r="X30" i="1"/>
  <c r="X52" i="1"/>
  <c r="X59" i="1"/>
  <c r="X54" i="1"/>
  <c r="X46" i="1"/>
  <c r="X35" i="1"/>
  <c r="X80" i="1"/>
  <c r="X39" i="1"/>
  <c r="X67" i="1"/>
  <c r="X71" i="1"/>
  <c r="X32" i="1"/>
  <c r="X69" i="1"/>
  <c r="X82" i="1"/>
  <c r="X53" i="1"/>
  <c r="X43" i="1"/>
  <c r="X49" i="1"/>
  <c r="X57" i="1"/>
  <c r="X51" i="1"/>
  <c r="X66" i="1"/>
  <c r="X31" i="1"/>
  <c r="X56" i="1"/>
  <c r="X50" i="1"/>
  <c r="X65" i="1"/>
  <c r="X58" i="1"/>
  <c r="X75" i="1"/>
  <c r="X38" i="1"/>
  <c r="X72" i="1"/>
  <c r="X48" i="1"/>
  <c r="X78" i="1"/>
  <c r="X61" i="1"/>
  <c r="B34" i="1" l="1"/>
  <c r="S4" i="1" l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U82" i="1"/>
  <c r="V36" i="1"/>
  <c r="V98" i="1"/>
  <c r="U29" i="1"/>
  <c r="V40" i="1"/>
  <c r="U19" i="1"/>
  <c r="V52" i="1"/>
  <c r="U87" i="1"/>
  <c r="U67" i="1"/>
  <c r="U77" i="1"/>
  <c r="V26" i="1"/>
  <c r="U21" i="1"/>
  <c r="V29" i="1"/>
  <c r="V47" i="1"/>
  <c r="U91" i="1"/>
  <c r="U70" i="1"/>
  <c r="V95" i="1"/>
  <c r="U7" i="1"/>
  <c r="V33" i="1"/>
  <c r="V64" i="1"/>
  <c r="U50" i="1"/>
  <c r="V34" i="1"/>
  <c r="V89" i="1"/>
  <c r="V80" i="1"/>
  <c r="V58" i="1"/>
  <c r="U37" i="1"/>
  <c r="V43" i="1"/>
  <c r="V67" i="1"/>
  <c r="U6" i="1"/>
  <c r="V65" i="1"/>
  <c r="U97" i="1"/>
  <c r="U48" i="1"/>
  <c r="V9" i="1"/>
  <c r="U56" i="1"/>
  <c r="U92" i="1"/>
  <c r="U35" i="1"/>
  <c r="U89" i="1"/>
  <c r="U85" i="1"/>
  <c r="U46" i="1"/>
  <c r="U57" i="1"/>
  <c r="V55" i="1"/>
  <c r="U93" i="1"/>
  <c r="U64" i="1"/>
  <c r="U55" i="1"/>
  <c r="V69" i="1"/>
  <c r="U83" i="1"/>
  <c r="V20" i="1"/>
  <c r="U28" i="1"/>
  <c r="V48" i="1"/>
  <c r="V50" i="1"/>
  <c r="U43" i="1"/>
  <c r="U86" i="1"/>
  <c r="U12" i="1"/>
  <c r="V25" i="1"/>
  <c r="V30" i="1"/>
  <c r="V7" i="1"/>
  <c r="V41" i="1"/>
  <c r="V35" i="1"/>
  <c r="U38" i="1"/>
  <c r="U51" i="1"/>
  <c r="V76" i="1"/>
  <c r="U44" i="1"/>
  <c r="U69" i="1"/>
  <c r="U15" i="1"/>
  <c r="V83" i="1"/>
  <c r="V81" i="1"/>
  <c r="V28" i="1"/>
  <c r="V39" i="1"/>
  <c r="V19" i="1"/>
  <c r="V91" i="1"/>
  <c r="U8" i="1"/>
  <c r="V32" i="1"/>
  <c r="U62" i="1"/>
  <c r="V15" i="1"/>
  <c r="U88" i="1"/>
  <c r="U71" i="1"/>
  <c r="V62" i="1"/>
  <c r="V68" i="1"/>
  <c r="V88" i="1"/>
  <c r="V53" i="1"/>
  <c r="V77" i="1"/>
  <c r="U25" i="1"/>
  <c r="V78" i="1"/>
  <c r="U79" i="1"/>
  <c r="U84" i="1"/>
  <c r="V37" i="1"/>
  <c r="U34" i="1"/>
  <c r="U47" i="1"/>
  <c r="V21" i="1"/>
  <c r="U13" i="1"/>
  <c r="U49" i="1"/>
  <c r="U58" i="1"/>
  <c r="V84" i="1"/>
  <c r="V8" i="1"/>
  <c r="V60" i="1"/>
  <c r="V42" i="1"/>
  <c r="U73" i="1"/>
  <c r="U72" i="1"/>
  <c r="V90" i="1"/>
  <c r="U95" i="1"/>
  <c r="V96" i="1"/>
  <c r="U32" i="1"/>
  <c r="U22" i="1"/>
  <c r="V100" i="1"/>
  <c r="V16" i="1"/>
  <c r="U9" i="1"/>
  <c r="U36" i="1"/>
  <c r="U11" i="1"/>
  <c r="U27" i="1"/>
  <c r="V72" i="1"/>
  <c r="V92" i="1"/>
  <c r="V12" i="1"/>
  <c r="U41" i="1"/>
  <c r="U66" i="1"/>
  <c r="V93" i="1"/>
  <c r="U30" i="1"/>
  <c r="U81" i="1"/>
  <c r="V99" i="1"/>
  <c r="U53" i="1"/>
  <c r="U18" i="1"/>
  <c r="U60" i="1"/>
  <c r="U90" i="1"/>
  <c r="V51" i="1"/>
  <c r="V10" i="1"/>
  <c r="V27" i="1"/>
  <c r="U63" i="1"/>
  <c r="U40" i="1"/>
  <c r="V54" i="1"/>
  <c r="V94" i="1"/>
  <c r="U10" i="1"/>
  <c r="U16" i="1"/>
  <c r="V61" i="1"/>
  <c r="U17" i="1"/>
  <c r="U31" i="1"/>
  <c r="V14" i="1"/>
  <c r="V4" i="1"/>
  <c r="V38" i="1"/>
  <c r="V82" i="1"/>
  <c r="U68" i="1"/>
  <c r="V6" i="1"/>
  <c r="V97" i="1"/>
  <c r="U33" i="1"/>
  <c r="V13" i="1"/>
  <c r="V87" i="1"/>
  <c r="V45" i="1"/>
  <c r="V24" i="1"/>
  <c r="U4" i="1"/>
  <c r="U52" i="1"/>
  <c r="U26" i="1"/>
  <c r="U94" i="1"/>
  <c r="V49" i="1"/>
  <c r="V59" i="1"/>
  <c r="U5" i="1"/>
  <c r="U76" i="1"/>
  <c r="U80" i="1"/>
  <c r="U96" i="1"/>
  <c r="U98" i="1"/>
  <c r="U24" i="1"/>
  <c r="U75" i="1"/>
  <c r="V46" i="1"/>
  <c r="U14" i="1"/>
  <c r="U100" i="1"/>
  <c r="V23" i="1"/>
  <c r="U61" i="1"/>
  <c r="V5" i="1"/>
  <c r="U78" i="1"/>
  <c r="V74" i="1"/>
  <c r="V73" i="1"/>
  <c r="V11" i="1"/>
  <c r="U74" i="1"/>
  <c r="U65" i="1"/>
  <c r="V44" i="1"/>
  <c r="U39" i="1"/>
  <c r="U45" i="1"/>
  <c r="U99" i="1"/>
  <c r="V71" i="1"/>
  <c r="V22" i="1"/>
  <c r="U54" i="1"/>
  <c r="V31" i="1"/>
  <c r="V56" i="1"/>
  <c r="U23" i="1"/>
  <c r="V17" i="1"/>
  <c r="U20" i="1"/>
  <c r="V85" i="1"/>
  <c r="V57" i="1"/>
  <c r="V66" i="1"/>
  <c r="U42" i="1"/>
  <c r="V86" i="1"/>
  <c r="V75" i="1"/>
  <c r="V18" i="1"/>
  <c r="V63" i="1"/>
  <c r="V70" i="1"/>
  <c r="U59" i="1"/>
  <c r="V79" i="1"/>
  <c r="S1" i="1" l="1"/>
  <c r="T47" i="1"/>
  <c r="T41" i="1"/>
  <c r="T24" i="1"/>
  <c r="T69" i="1"/>
  <c r="T52" i="1"/>
  <c r="T19" i="1"/>
  <c r="C11" i="1"/>
  <c r="T34" i="1"/>
  <c r="T55" i="1"/>
  <c r="T43" i="1"/>
  <c r="T82" i="1"/>
  <c r="T81" i="1"/>
  <c r="T58" i="1"/>
  <c r="T32" i="1"/>
  <c r="T89" i="1"/>
  <c r="T87" i="1"/>
  <c r="T8" i="1"/>
  <c r="T60" i="1"/>
  <c r="T25" i="1"/>
  <c r="T97" i="1"/>
  <c r="T73" i="1"/>
  <c r="T39" i="1"/>
  <c r="T76" i="1"/>
  <c r="T57" i="1"/>
  <c r="T84" i="1"/>
  <c r="T12" i="1"/>
  <c r="T13" i="1"/>
  <c r="T67" i="1"/>
  <c r="T91" i="1"/>
  <c r="T26" i="1"/>
  <c r="T10" i="1"/>
  <c r="T86" i="1"/>
  <c r="T77" i="1"/>
  <c r="T74" i="1"/>
  <c r="T92" i="1"/>
  <c r="T29" i="1"/>
  <c r="T68" i="1"/>
  <c r="T88" i="1"/>
  <c r="T35" i="1"/>
  <c r="T64" i="1"/>
  <c r="T79" i="1"/>
  <c r="T80" i="1"/>
  <c r="T48" i="1"/>
  <c r="T44" i="1"/>
  <c r="T28" i="1"/>
  <c r="T83" i="1"/>
  <c r="T95" i="1"/>
  <c r="T62" i="1"/>
  <c r="T30" i="1"/>
  <c r="T36" i="1"/>
  <c r="T98" i="1"/>
  <c r="T90" i="1"/>
  <c r="T37" i="1"/>
  <c r="T50" i="1"/>
  <c r="T7" i="1"/>
  <c r="T42" i="1"/>
  <c r="T20" i="1"/>
  <c r="T85" i="1"/>
  <c r="T53" i="1"/>
  <c r="T6" i="1"/>
  <c r="T93" i="1"/>
  <c r="T15" i="1"/>
  <c r="T27" i="1"/>
  <c r="T11" i="1"/>
  <c r="T22" i="1"/>
  <c r="T40" i="1"/>
  <c r="T94" i="1"/>
  <c r="T99" i="1"/>
  <c r="T78" i="1"/>
  <c r="T49" i="1"/>
  <c r="T72" i="1"/>
  <c r="T63" i="1"/>
  <c r="T100" i="1"/>
  <c r="T51" i="1"/>
  <c r="T4" i="1"/>
  <c r="C21" i="1" s="1"/>
  <c r="T61" i="1"/>
  <c r="T96" i="1"/>
  <c r="T38" i="1"/>
  <c r="T18" i="1"/>
  <c r="T54" i="1"/>
  <c r="T23" i="1"/>
  <c r="T66" i="1"/>
  <c r="T5" i="1"/>
  <c r="T14" i="1"/>
  <c r="T45" i="1"/>
  <c r="T46" i="1"/>
  <c r="T33" i="1"/>
  <c r="C22" i="1"/>
  <c r="T9" i="1"/>
  <c r="T17" i="1"/>
  <c r="C17" i="1"/>
  <c r="T56" i="1"/>
  <c r="T65" i="1"/>
  <c r="T71" i="1"/>
  <c r="T31" i="1"/>
  <c r="T70" i="1"/>
  <c r="T59" i="1"/>
  <c r="V1" i="1"/>
  <c r="U1" i="1"/>
  <c r="T16" i="1"/>
  <c r="T75" i="1"/>
  <c r="T21" i="1"/>
  <c r="AB85" i="6"/>
  <c r="V2" i="1" l="1"/>
  <c r="D18" i="1"/>
  <c r="C18" i="1" s="1"/>
  <c r="G50" i="1" s="1"/>
  <c r="C13" i="1"/>
  <c r="H50" i="1" s="1"/>
  <c r="T1" i="1"/>
  <c r="C16" i="1" s="1"/>
  <c r="U2" i="1"/>
  <c r="X3" i="1"/>
  <c r="C10" i="1"/>
  <c r="AC85" i="6"/>
  <c r="D19" i="1" l="1"/>
  <c r="C19" i="1" s="1"/>
  <c r="C28" i="1"/>
  <c r="C27" i="1"/>
  <c r="B28" i="1"/>
  <c r="B27" i="1"/>
  <c r="T89" i="9" l="1"/>
  <c r="T35" i="3" s="1"/>
  <c r="N97" i="9"/>
  <c r="O97" i="9" s="1"/>
  <c r="AH29" i="3" s="1"/>
  <c r="T61" i="9"/>
  <c r="T7" i="3" s="1"/>
  <c r="T82" i="9"/>
  <c r="T28" i="3" s="1"/>
  <c r="T58" i="9"/>
  <c r="T4" i="3" s="1"/>
  <c r="N77" i="9"/>
  <c r="O77" i="9" s="1"/>
  <c r="AH9" i="3" s="1"/>
  <c r="N90" i="9"/>
  <c r="O90" i="9" s="1"/>
  <c r="AH22" i="3" s="1"/>
  <c r="T84" i="9"/>
  <c r="T30" i="3" s="1"/>
  <c r="T88" i="9"/>
  <c r="T34" i="3" s="1"/>
  <c r="N65" i="9"/>
  <c r="O65" i="9" s="1"/>
  <c r="N99" i="9"/>
  <c r="O99" i="9" s="1"/>
  <c r="AH31" i="3" s="1"/>
  <c r="N78" i="9"/>
  <c r="O78" i="9" s="1"/>
  <c r="AH10" i="3" s="1"/>
  <c r="T83" i="9"/>
  <c r="T29" i="3" s="1"/>
  <c r="T93" i="9"/>
  <c r="T39" i="3" s="1"/>
  <c r="T75" i="9"/>
  <c r="T21" i="3" s="1"/>
  <c r="T77" i="9"/>
  <c r="T23" i="3" s="1"/>
  <c r="N80" i="9"/>
  <c r="O80" i="9" s="1"/>
  <c r="AH12" i="3" s="1"/>
  <c r="N74" i="9"/>
  <c r="N87" i="9"/>
  <c r="O87" i="9" s="1"/>
  <c r="AH19" i="3" s="1"/>
  <c r="N70" i="9"/>
  <c r="N101" i="9"/>
  <c r="O101" i="9" s="1"/>
  <c r="AH33" i="3" s="1"/>
  <c r="N61" i="9"/>
  <c r="O61" i="9" s="1"/>
  <c r="N64" i="9"/>
  <c r="N93" i="9"/>
  <c r="O93" i="9" s="1"/>
  <c r="AH25" i="3" s="1"/>
  <c r="N75" i="9"/>
  <c r="O75" i="9" s="1"/>
  <c r="AH7" i="3" s="1"/>
  <c r="N76" i="9"/>
  <c r="O76" i="9" s="1"/>
  <c r="AH8" i="3" s="1"/>
  <c r="N96" i="9"/>
  <c r="O96" i="9" s="1"/>
  <c r="AH28" i="3" s="1"/>
  <c r="T80" i="9"/>
  <c r="T26" i="3" s="1"/>
  <c r="N92" i="9"/>
  <c r="O92" i="9" s="1"/>
  <c r="AH24" i="3" s="1"/>
  <c r="N98" i="9"/>
  <c r="O98" i="9" s="1"/>
  <c r="AH30" i="3" s="1"/>
  <c r="N81" i="9"/>
  <c r="O81" i="9" s="1"/>
  <c r="AH13" i="3" s="1"/>
  <c r="N83" i="9"/>
  <c r="O83" i="9" s="1"/>
  <c r="N89" i="9"/>
  <c r="O89" i="9" s="1"/>
  <c r="AH21" i="3" s="1"/>
  <c r="N82" i="9"/>
  <c r="O82" i="9" s="1"/>
  <c r="AH14" i="3" s="1"/>
  <c r="T87" i="9"/>
  <c r="T33" i="3" s="1"/>
  <c r="N88" i="9"/>
  <c r="O88" i="9" s="1"/>
  <c r="AH20" i="3" s="1"/>
  <c r="N67" i="9"/>
  <c r="O67" i="9" s="1"/>
  <c r="AI30" i="3" l="1"/>
  <c r="BE30" i="3" s="1"/>
  <c r="AI21" i="3"/>
  <c r="BE21" i="3" s="1"/>
  <c r="AI29" i="3"/>
  <c r="BE29" i="3" s="1"/>
  <c r="AI7" i="3"/>
  <c r="BE7" i="3" s="1"/>
  <c r="P23" i="3"/>
  <c r="Q23" i="3" s="1"/>
  <c r="M23" i="3"/>
  <c r="R23" i="3"/>
  <c r="AS23" i="3"/>
  <c r="AF23" i="3"/>
  <c r="AG23" i="3"/>
  <c r="U30" i="3"/>
  <c r="R30" i="3"/>
  <c r="P30" i="3"/>
  <c r="Q30" i="3" s="1"/>
  <c r="M30" i="3"/>
  <c r="AS30" i="3"/>
  <c r="AF30" i="3"/>
  <c r="AG30" i="3"/>
  <c r="P28" i="3"/>
  <c r="Q28" i="3" s="1"/>
  <c r="M28" i="3"/>
  <c r="R28" i="3"/>
  <c r="AF28" i="3"/>
  <c r="AG28" i="3"/>
  <c r="AS28" i="3"/>
  <c r="P33" i="3"/>
  <c r="Q33" i="3" s="1"/>
  <c r="M33" i="3"/>
  <c r="R33" i="3"/>
  <c r="AG33" i="3"/>
  <c r="AF33" i="3"/>
  <c r="AS33" i="3"/>
  <c r="AI28" i="3"/>
  <c r="P21" i="3"/>
  <c r="Q21" i="3" s="1"/>
  <c r="M21" i="3"/>
  <c r="R21" i="3"/>
  <c r="AL8" i="3"/>
  <c r="AR7" i="3" s="1"/>
  <c r="AF21" i="3"/>
  <c r="AG21" i="3"/>
  <c r="AS21" i="3"/>
  <c r="AL6" i="3"/>
  <c r="AR5" i="3" s="1"/>
  <c r="R7" i="3"/>
  <c r="M7" i="3"/>
  <c r="P7" i="3"/>
  <c r="Q7" i="3" s="1"/>
  <c r="AS7" i="3"/>
  <c r="AF7" i="3"/>
  <c r="AG7" i="3"/>
  <c r="P39" i="3"/>
  <c r="Q39" i="3" s="1"/>
  <c r="M39" i="3"/>
  <c r="R39" i="3"/>
  <c r="AF39" i="3"/>
  <c r="AS39" i="3"/>
  <c r="AG39" i="3"/>
  <c r="BK29" i="3"/>
  <c r="P26" i="3"/>
  <c r="Q26" i="3" s="1"/>
  <c r="M26" i="3"/>
  <c r="R26" i="3"/>
  <c r="AF26" i="3"/>
  <c r="AG26" i="3"/>
  <c r="AS26" i="3"/>
  <c r="AI33" i="3"/>
  <c r="P29" i="3"/>
  <c r="Q29" i="3" s="1"/>
  <c r="M29" i="3"/>
  <c r="U29" i="3"/>
  <c r="R29" i="3"/>
  <c r="AF29" i="3"/>
  <c r="AG29" i="3"/>
  <c r="AS29" i="3"/>
  <c r="P34" i="3"/>
  <c r="Q34" i="3" s="1"/>
  <c r="M34" i="3"/>
  <c r="U34" i="3"/>
  <c r="R34" i="3"/>
  <c r="AF34" i="3"/>
  <c r="AG34" i="3"/>
  <c r="AS34" i="3"/>
  <c r="AI34" i="3"/>
  <c r="AF4" i="3"/>
  <c r="AF3" i="3" s="1"/>
  <c r="T3" i="3"/>
  <c r="M4" i="3"/>
  <c r="U4" i="3"/>
  <c r="R4" i="3"/>
  <c r="P4" i="3"/>
  <c r="Q4" i="3" s="1"/>
  <c r="AG4" i="3"/>
  <c r="AL5" i="3"/>
  <c r="AR4" i="3" s="1"/>
  <c r="AS4" i="3"/>
  <c r="AL4" i="3"/>
  <c r="U35" i="3"/>
  <c r="P35" i="3"/>
  <c r="Q35" i="3" s="1"/>
  <c r="R35" i="3"/>
  <c r="M35" i="3"/>
  <c r="AF35" i="3"/>
  <c r="AG35" i="3"/>
  <c r="AS35" i="3"/>
  <c r="AI35" i="3"/>
  <c r="Z93" i="9"/>
  <c r="O70" i="9"/>
  <c r="O74" i="9"/>
  <c r="AH6" i="3" s="1"/>
  <c r="Z87" i="9"/>
  <c r="Z80" i="9"/>
  <c r="Z58" i="9"/>
  <c r="O64" i="9"/>
  <c r="Z82" i="9"/>
  <c r="Z77" i="9"/>
  <c r="Z89" i="9"/>
  <c r="Z83" i="9"/>
  <c r="Z75" i="9"/>
  <c r="Z61" i="9"/>
  <c r="Z88" i="9"/>
  <c r="Z84" i="9"/>
  <c r="T99" i="9"/>
  <c r="T97" i="9"/>
  <c r="T43" i="3" s="1"/>
  <c r="T78" i="9"/>
  <c r="T24" i="3" s="1"/>
  <c r="AI24" i="3" s="1"/>
  <c r="T63" i="9"/>
  <c r="T9" i="3" s="1"/>
  <c r="T79" i="9"/>
  <c r="T25" i="3" s="1"/>
  <c r="AI25" i="3" s="1"/>
  <c r="T74" i="9"/>
  <c r="T20" i="3" s="1"/>
  <c r="U21" i="3" s="1"/>
  <c r="T94" i="9"/>
  <c r="T40" i="3" s="1"/>
  <c r="T69" i="9"/>
  <c r="T15" i="3" s="1"/>
  <c r="N68" i="9"/>
  <c r="T64" i="9"/>
  <c r="T10" i="3" s="1"/>
  <c r="AI10" i="3" s="1"/>
  <c r="T98" i="9"/>
  <c r="Z98" i="9" s="1"/>
  <c r="N86" i="9"/>
  <c r="O86" i="9" s="1"/>
  <c r="AH18" i="3" s="1"/>
  <c r="T86" i="9"/>
  <c r="T32" i="3" s="1"/>
  <c r="U33" i="3" s="1"/>
  <c r="T81" i="9"/>
  <c r="T27" i="3" s="1"/>
  <c r="T66" i="9"/>
  <c r="T12" i="3" s="1"/>
  <c r="AI12" i="3" s="1"/>
  <c r="T72" i="9"/>
  <c r="T18" i="3" s="1"/>
  <c r="T65" i="9"/>
  <c r="T11" i="3" s="1"/>
  <c r="T59" i="9"/>
  <c r="T5" i="3" s="1"/>
  <c r="T68" i="9"/>
  <c r="T14" i="3" s="1"/>
  <c r="N84" i="9"/>
  <c r="O84" i="9" s="1"/>
  <c r="AH15" i="3" s="1"/>
  <c r="AI15" i="3" s="1"/>
  <c r="N69" i="9"/>
  <c r="O69" i="9" s="1"/>
  <c r="T62" i="9"/>
  <c r="T8" i="3" s="1"/>
  <c r="N79" i="9"/>
  <c r="N95" i="9"/>
  <c r="O95" i="9" s="1"/>
  <c r="AH27" i="3" s="1"/>
  <c r="N71" i="9"/>
  <c r="N73" i="9"/>
  <c r="O73" i="9" s="1"/>
  <c r="AH5" i="3" s="1"/>
  <c r="AI5" i="3" s="1"/>
  <c r="N91" i="9"/>
  <c r="O91" i="9" s="1"/>
  <c r="AH23" i="3" s="1"/>
  <c r="AI23" i="3" s="1"/>
  <c r="N85" i="9"/>
  <c r="O85" i="9" s="1"/>
  <c r="AH17" i="3" s="1"/>
  <c r="T96" i="9"/>
  <c r="T42" i="3" s="1"/>
  <c r="T67" i="9"/>
  <c r="T13" i="3" s="1"/>
  <c r="AI13" i="3" s="1"/>
  <c r="N63" i="9"/>
  <c r="O63" i="9" s="1"/>
  <c r="T73" i="9"/>
  <c r="T19" i="3" s="1"/>
  <c r="AI19" i="3" s="1"/>
  <c r="T95" i="9"/>
  <c r="T41" i="3" s="1"/>
  <c r="N100" i="9"/>
  <c r="O100" i="9" s="1"/>
  <c r="AH32" i="3" s="1"/>
  <c r="T90" i="9"/>
  <c r="T36" i="3" s="1"/>
  <c r="N72" i="9"/>
  <c r="O72" i="9" s="1"/>
  <c r="AH4" i="3" s="1"/>
  <c r="AI4" i="3" s="1"/>
  <c r="T76" i="9"/>
  <c r="T22" i="3" s="1"/>
  <c r="U23" i="3" s="1"/>
  <c r="N94" i="9"/>
  <c r="O94" i="9" s="1"/>
  <c r="AH26" i="3" s="1"/>
  <c r="AI26" i="3" s="1"/>
  <c r="N66" i="9"/>
  <c r="N62" i="9"/>
  <c r="O62" i="9" s="1"/>
  <c r="T60" i="9"/>
  <c r="T6" i="3" s="1"/>
  <c r="T92" i="9"/>
  <c r="T38" i="3" s="1"/>
  <c r="T71" i="9"/>
  <c r="T17" i="3" s="1"/>
  <c r="T70" i="9"/>
  <c r="T16" i="3" s="1"/>
  <c r="T85" i="9"/>
  <c r="T31" i="3" s="1"/>
  <c r="U71" i="9"/>
  <c r="U87" i="9"/>
  <c r="U69" i="9"/>
  <c r="BK30" i="3" l="1"/>
  <c r="AI27" i="3"/>
  <c r="BK27" i="3" s="1"/>
  <c r="O29" i="3"/>
  <c r="AI32" i="3"/>
  <c r="BE32" i="3" s="1"/>
  <c r="O26" i="3"/>
  <c r="N29" i="3"/>
  <c r="BK7" i="3"/>
  <c r="BK21" i="3"/>
  <c r="N4" i="3"/>
  <c r="N34" i="3"/>
  <c r="N35" i="3"/>
  <c r="O35" i="3"/>
  <c r="O4" i="3"/>
  <c r="O34" i="3"/>
  <c r="O28" i="3"/>
  <c r="O33" i="3"/>
  <c r="N28" i="3"/>
  <c r="N26" i="3"/>
  <c r="O21" i="3"/>
  <c r="O39" i="3"/>
  <c r="K30" i="3"/>
  <c r="O23" i="3"/>
  <c r="AI17" i="3"/>
  <c r="BE17" i="3" s="1"/>
  <c r="AI6" i="3"/>
  <c r="BK6" i="3" s="1"/>
  <c r="N7" i="3"/>
  <c r="BE25" i="3"/>
  <c r="BK25" i="3"/>
  <c r="BE19" i="3"/>
  <c r="BK19" i="3"/>
  <c r="P16" i="3"/>
  <c r="Q16" i="3" s="1"/>
  <c r="M16" i="3"/>
  <c r="R16" i="3"/>
  <c r="U16" i="3"/>
  <c r="AF16" i="3"/>
  <c r="AG16" i="3"/>
  <c r="AS16" i="3"/>
  <c r="P18" i="3"/>
  <c r="Q18" i="3" s="1"/>
  <c r="M18" i="3"/>
  <c r="R18" i="3"/>
  <c r="U18" i="3"/>
  <c r="O18" i="3"/>
  <c r="AF18" i="3"/>
  <c r="AG18" i="3"/>
  <c r="AS18" i="3"/>
  <c r="P9" i="3"/>
  <c r="Q9" i="3" s="1"/>
  <c r="M9" i="3"/>
  <c r="U9" i="3"/>
  <c r="R9" i="3"/>
  <c r="AF9" i="3"/>
  <c r="AG9" i="3"/>
  <c r="AS9" i="3"/>
  <c r="P17" i="3"/>
  <c r="Q17" i="3" s="1"/>
  <c r="M17" i="3"/>
  <c r="U17" i="3"/>
  <c r="R17" i="3"/>
  <c r="AL7" i="3"/>
  <c r="AR6" i="3" s="1"/>
  <c r="AF17" i="3"/>
  <c r="AG17" i="3"/>
  <c r="AS17" i="3"/>
  <c r="P36" i="3"/>
  <c r="Q36" i="3" s="1"/>
  <c r="M36" i="3"/>
  <c r="U36" i="3"/>
  <c r="R36" i="3"/>
  <c r="AL11" i="3"/>
  <c r="AR10" i="3" s="1"/>
  <c r="AF36" i="3"/>
  <c r="AS36" i="3"/>
  <c r="AG36" i="3"/>
  <c r="U37" i="3"/>
  <c r="AI36" i="3"/>
  <c r="BE23" i="3"/>
  <c r="BK23" i="3"/>
  <c r="P14" i="3"/>
  <c r="Q14" i="3" s="1"/>
  <c r="M14" i="3"/>
  <c r="U14" i="3"/>
  <c r="R14" i="3"/>
  <c r="AF14" i="3"/>
  <c r="AG14" i="3"/>
  <c r="AS14" i="3"/>
  <c r="P12" i="3"/>
  <c r="Q12" i="3" s="1"/>
  <c r="M12" i="3"/>
  <c r="U12" i="3"/>
  <c r="R12" i="3"/>
  <c r="AF12" i="3"/>
  <c r="AG12" i="3"/>
  <c r="AS12" i="3"/>
  <c r="U40" i="3"/>
  <c r="R40" i="3"/>
  <c r="P40" i="3"/>
  <c r="Q40" i="3" s="1"/>
  <c r="M40" i="3"/>
  <c r="AL12" i="3"/>
  <c r="AR11" i="3" s="1"/>
  <c r="AF40" i="3"/>
  <c r="AS40" i="3"/>
  <c r="AG40" i="3"/>
  <c r="AI40" i="3"/>
  <c r="P24" i="3"/>
  <c r="Q24" i="3" s="1"/>
  <c r="M24" i="3"/>
  <c r="U24" i="3"/>
  <c r="R24" i="3"/>
  <c r="AF24" i="3"/>
  <c r="AG24" i="3"/>
  <c r="AS24" i="3"/>
  <c r="BE34" i="3"/>
  <c r="BK34" i="3"/>
  <c r="BG34" i="3"/>
  <c r="BH34" i="3"/>
  <c r="BE33" i="3"/>
  <c r="BK33" i="3"/>
  <c r="BG26" i="3"/>
  <c r="BH26" i="3"/>
  <c r="BH28" i="3"/>
  <c r="BG28" i="3"/>
  <c r="BE4" i="3"/>
  <c r="BK4" i="3"/>
  <c r="BE27" i="3"/>
  <c r="AI18" i="3"/>
  <c r="P38" i="3"/>
  <c r="Q38" i="3" s="1"/>
  <c r="M38" i="3"/>
  <c r="U38" i="3"/>
  <c r="R38" i="3"/>
  <c r="AF38" i="3"/>
  <c r="AS38" i="3"/>
  <c r="AG38" i="3"/>
  <c r="AI38" i="3"/>
  <c r="O2" i="3"/>
  <c r="U13" i="3"/>
  <c r="R13" i="3"/>
  <c r="P13" i="3"/>
  <c r="Q13" i="3" s="1"/>
  <c r="M13" i="3"/>
  <c r="AF13" i="3"/>
  <c r="AG13" i="3"/>
  <c r="AS13" i="3"/>
  <c r="BE5" i="3"/>
  <c r="BK5" i="3"/>
  <c r="P8" i="3"/>
  <c r="Q8" i="3" s="1"/>
  <c r="M8" i="3"/>
  <c r="R8" i="3"/>
  <c r="U8" i="3"/>
  <c r="AS8" i="3"/>
  <c r="AF8" i="3"/>
  <c r="AG8" i="3"/>
  <c r="U5" i="3"/>
  <c r="R5" i="3"/>
  <c r="M5" i="3"/>
  <c r="P5" i="3"/>
  <c r="Q5" i="3" s="1"/>
  <c r="AF5" i="3"/>
  <c r="AG5" i="3"/>
  <c r="AS5" i="3"/>
  <c r="P27" i="3"/>
  <c r="Q27" i="3" s="1"/>
  <c r="M27" i="3"/>
  <c r="U27" i="3"/>
  <c r="R27" i="3"/>
  <c r="AF27" i="3"/>
  <c r="AG27" i="3"/>
  <c r="AS27" i="3"/>
  <c r="P10" i="3"/>
  <c r="Q10" i="3" s="1"/>
  <c r="M10" i="3"/>
  <c r="R10" i="3"/>
  <c r="U10" i="3"/>
  <c r="AF10" i="3"/>
  <c r="AG10" i="3"/>
  <c r="AS10" i="3"/>
  <c r="P20" i="3"/>
  <c r="Q20" i="3" s="1"/>
  <c r="M20" i="3"/>
  <c r="R20" i="3"/>
  <c r="U20" i="3"/>
  <c r="AF20" i="3"/>
  <c r="AS20" i="3"/>
  <c r="AG20" i="3"/>
  <c r="P43" i="3"/>
  <c r="Q43" i="3" s="1"/>
  <c r="M43" i="3"/>
  <c r="U43" i="3"/>
  <c r="R43" i="3"/>
  <c r="AL13" i="3"/>
  <c r="AR12" i="3" s="1"/>
  <c r="AF43" i="3"/>
  <c r="AS43" i="3"/>
  <c r="AG43" i="3"/>
  <c r="U44" i="3"/>
  <c r="AI43" i="3"/>
  <c r="K35" i="3"/>
  <c r="K4" i="3"/>
  <c r="BG4" i="3"/>
  <c r="BH4" i="3"/>
  <c r="K34" i="3"/>
  <c r="BH29" i="3"/>
  <c r="BG29" i="3"/>
  <c r="U26" i="3"/>
  <c r="U39" i="3"/>
  <c r="AI8" i="3"/>
  <c r="O7" i="3"/>
  <c r="AI22" i="3"/>
  <c r="N33" i="3"/>
  <c r="U28" i="3"/>
  <c r="N30" i="3"/>
  <c r="O30" i="3"/>
  <c r="P19" i="3"/>
  <c r="Q19" i="3" s="1"/>
  <c r="M19" i="3"/>
  <c r="R19" i="3"/>
  <c r="U19" i="3"/>
  <c r="O19" i="3"/>
  <c r="AF19" i="3"/>
  <c r="AS19" i="3"/>
  <c r="AG19" i="3"/>
  <c r="BE15" i="3"/>
  <c r="BK15" i="3"/>
  <c r="P15" i="3"/>
  <c r="Q15" i="3" s="1"/>
  <c r="M15" i="3"/>
  <c r="R15" i="3"/>
  <c r="U15" i="3"/>
  <c r="AF15" i="3"/>
  <c r="AG15" i="3"/>
  <c r="AS15" i="3"/>
  <c r="BE12" i="3"/>
  <c r="BK12" i="3"/>
  <c r="BE24" i="3"/>
  <c r="BK24" i="3"/>
  <c r="BG39" i="3"/>
  <c r="BH39" i="3"/>
  <c r="BG7" i="3"/>
  <c r="BH7" i="3"/>
  <c r="BH21" i="3"/>
  <c r="BG21" i="3"/>
  <c r="BE13" i="3"/>
  <c r="BK13" i="3"/>
  <c r="BH33" i="3"/>
  <c r="BG33" i="3"/>
  <c r="BE10" i="3"/>
  <c r="BN10" i="3" s="1"/>
  <c r="BK10" i="3"/>
  <c r="BH23" i="3"/>
  <c r="BG23" i="3"/>
  <c r="BE26" i="3"/>
  <c r="BK26" i="3"/>
  <c r="P31" i="3"/>
  <c r="Q31" i="3" s="1"/>
  <c r="M31" i="3"/>
  <c r="U31" i="3"/>
  <c r="R31" i="3"/>
  <c r="AF31" i="3"/>
  <c r="AG31" i="3"/>
  <c r="AS31" i="3"/>
  <c r="P6" i="3"/>
  <c r="Q6" i="3" s="1"/>
  <c r="M6" i="3"/>
  <c r="R6" i="3"/>
  <c r="U6" i="3"/>
  <c r="AF6" i="3"/>
  <c r="AG6" i="3"/>
  <c r="AS6" i="3"/>
  <c r="P22" i="3"/>
  <c r="Q22" i="3" s="1"/>
  <c r="K23" i="3" s="1"/>
  <c r="M22" i="3"/>
  <c r="U22" i="3"/>
  <c r="R22" i="3"/>
  <c r="AF22" i="3"/>
  <c r="AS22" i="3"/>
  <c r="AG22" i="3"/>
  <c r="P41" i="3"/>
  <c r="Q41" i="3" s="1"/>
  <c r="M41" i="3"/>
  <c r="U41" i="3"/>
  <c r="R41" i="3"/>
  <c r="AF41" i="3"/>
  <c r="AS41" i="3"/>
  <c r="AG41" i="3"/>
  <c r="AI41" i="3"/>
  <c r="P42" i="3"/>
  <c r="Q42" i="3" s="1"/>
  <c r="M42" i="3"/>
  <c r="U42" i="3"/>
  <c r="R42" i="3"/>
  <c r="AF42" i="3"/>
  <c r="AS42" i="3"/>
  <c r="AG42" i="3"/>
  <c r="AI42" i="3"/>
  <c r="P11" i="3"/>
  <c r="Q11" i="3" s="1"/>
  <c r="M11" i="3"/>
  <c r="R11" i="3"/>
  <c r="U11" i="3"/>
  <c r="AF11" i="3"/>
  <c r="AG11" i="3"/>
  <c r="AS11" i="3"/>
  <c r="P32" i="3"/>
  <c r="Q32" i="3" s="1"/>
  <c r="M32" i="3"/>
  <c r="R32" i="3"/>
  <c r="U32" i="3"/>
  <c r="AL10" i="3"/>
  <c r="AR9" i="3" s="1"/>
  <c r="AS32" i="3"/>
  <c r="AF32" i="3"/>
  <c r="AG32" i="3"/>
  <c r="P25" i="3"/>
  <c r="Q25" i="3" s="1"/>
  <c r="M25" i="3"/>
  <c r="U25" i="3"/>
  <c r="R25" i="3"/>
  <c r="AL9" i="3"/>
  <c r="AR8" i="3" s="1"/>
  <c r="AF25" i="3"/>
  <c r="AG25" i="3"/>
  <c r="AS25" i="3"/>
  <c r="BE35" i="3"/>
  <c r="BK35" i="3"/>
  <c r="BH35" i="3"/>
  <c r="BG35" i="3"/>
  <c r="K29" i="3"/>
  <c r="AI9" i="3"/>
  <c r="N39" i="3"/>
  <c r="AI14" i="3"/>
  <c r="U7" i="3"/>
  <c r="AI31" i="3"/>
  <c r="N21" i="3"/>
  <c r="BE28" i="3"/>
  <c r="BK28" i="3"/>
  <c r="BH30" i="3"/>
  <c r="BG30" i="3"/>
  <c r="N23" i="3"/>
  <c r="AI20" i="3"/>
  <c r="AA87" i="9"/>
  <c r="AA71" i="9"/>
  <c r="AA69" i="9"/>
  <c r="Z96" i="9"/>
  <c r="Z94" i="9"/>
  <c r="Z92" i="9"/>
  <c r="Z97" i="9"/>
  <c r="Z90" i="9"/>
  <c r="Z95" i="9"/>
  <c r="U70" i="9"/>
  <c r="AA70" i="9" s="1"/>
  <c r="AH16" i="3" s="1"/>
  <c r="AI16" i="3" s="1"/>
  <c r="O71" i="9"/>
  <c r="O79" i="9"/>
  <c r="AH11" i="3" s="1"/>
  <c r="O66" i="9"/>
  <c r="Z59" i="9"/>
  <c r="Z64" i="9"/>
  <c r="Z60" i="9"/>
  <c r="Z65" i="9"/>
  <c r="O68" i="9"/>
  <c r="Z73" i="9"/>
  <c r="Z69" i="9"/>
  <c r="Z81" i="9"/>
  <c r="Z85" i="9"/>
  <c r="Z76" i="9"/>
  <c r="Z86" i="9"/>
  <c r="Z79" i="9"/>
  <c r="Z66" i="9"/>
  <c r="Z67" i="9"/>
  <c r="Z74" i="9"/>
  <c r="Z70" i="9"/>
  <c r="Z63" i="9"/>
  <c r="Z72" i="9"/>
  <c r="Z62" i="9"/>
  <c r="Z71" i="9"/>
  <c r="Z68" i="9"/>
  <c r="Z78" i="9"/>
  <c r="BJ16" i="3"/>
  <c r="BJ18" i="3"/>
  <c r="BJ9" i="3"/>
  <c r="BJ17" i="3"/>
  <c r="BJ36" i="3"/>
  <c r="BJ14" i="3"/>
  <c r="BJ12" i="3"/>
  <c r="BJ40" i="3"/>
  <c r="BJ24" i="3"/>
  <c r="BJ38" i="3"/>
  <c r="BJ13" i="3"/>
  <c r="BJ8" i="3"/>
  <c r="BJ5" i="3"/>
  <c r="BJ27" i="3"/>
  <c r="BJ10" i="3"/>
  <c r="BJ20" i="3"/>
  <c r="BJ43" i="3"/>
  <c r="BJ19" i="3"/>
  <c r="BJ15" i="3"/>
  <c r="BJ31" i="3"/>
  <c r="BJ6" i="3"/>
  <c r="BJ22" i="3"/>
  <c r="BJ41" i="3"/>
  <c r="BJ42" i="3"/>
  <c r="BJ11" i="3"/>
  <c r="BJ32" i="3"/>
  <c r="BJ25" i="3"/>
  <c r="BJ35" i="3"/>
  <c r="BJ4" i="3"/>
  <c r="BJ34" i="3"/>
  <c r="BJ29" i="3"/>
  <c r="BJ26" i="3"/>
  <c r="BJ7" i="3"/>
  <c r="BJ21" i="3"/>
  <c r="BJ33" i="3"/>
  <c r="BJ28" i="3"/>
  <c r="BJ30" i="3"/>
  <c r="BJ23" i="3"/>
  <c r="U73" i="9"/>
  <c r="U89" i="9"/>
  <c r="U80" i="9"/>
  <c r="U99" i="9"/>
  <c r="U66" i="9"/>
  <c r="U88" i="9"/>
  <c r="U77" i="9"/>
  <c r="U64" i="9"/>
  <c r="U75" i="9"/>
  <c r="U67" i="9"/>
  <c r="U74" i="9"/>
  <c r="U98" i="9"/>
  <c r="U82" i="9"/>
  <c r="U78" i="9"/>
  <c r="U90" i="9"/>
  <c r="U84" i="9"/>
  <c r="U72" i="9"/>
  <c r="U65" i="9"/>
  <c r="U59" i="9"/>
  <c r="U86" i="9"/>
  <c r="U60" i="9"/>
  <c r="U85" i="9"/>
  <c r="U83" i="9"/>
  <c r="U79" i="9"/>
  <c r="U61" i="9"/>
  <c r="U62" i="9"/>
  <c r="U92" i="9"/>
  <c r="U63" i="9"/>
  <c r="U58" i="9"/>
  <c r="U76" i="9"/>
  <c r="U95" i="9"/>
  <c r="U68" i="9"/>
  <c r="U97" i="9"/>
  <c r="U96" i="9"/>
  <c r="U94" i="9"/>
  <c r="U81" i="9"/>
  <c r="BK32" i="3" l="1"/>
  <c r="BL32" i="3" s="1"/>
  <c r="O43" i="3"/>
  <c r="BK17" i="3"/>
  <c r="BL17" i="3" s="1"/>
  <c r="N43" i="3"/>
  <c r="K26" i="3"/>
  <c r="K28" i="3"/>
  <c r="K24" i="3"/>
  <c r="N36" i="3"/>
  <c r="N16" i="3"/>
  <c r="O41" i="3"/>
  <c r="O22" i="3"/>
  <c r="O36" i="3"/>
  <c r="K31" i="3"/>
  <c r="O17" i="3"/>
  <c r="N11" i="3"/>
  <c r="O42" i="3"/>
  <c r="O13" i="3"/>
  <c r="K10" i="3"/>
  <c r="O14" i="3"/>
  <c r="N5" i="3"/>
  <c r="O9" i="3"/>
  <c r="O25" i="3"/>
  <c r="N22" i="3"/>
  <c r="O6" i="3"/>
  <c r="K15" i="3"/>
  <c r="N19" i="3"/>
  <c r="N27" i="3"/>
  <c r="K40" i="3"/>
  <c r="N14" i="3"/>
  <c r="N17" i="3"/>
  <c r="O24" i="3"/>
  <c r="K7" i="3"/>
  <c r="N25" i="3"/>
  <c r="N41" i="3"/>
  <c r="BE6" i="3"/>
  <c r="O27" i="3"/>
  <c r="O38" i="3"/>
  <c r="O12" i="3"/>
  <c r="K32" i="3"/>
  <c r="O11" i="3"/>
  <c r="K38" i="3"/>
  <c r="K12" i="3"/>
  <c r="N9" i="3"/>
  <c r="BL30" i="3"/>
  <c r="BL21" i="3"/>
  <c r="BL7" i="3"/>
  <c r="BL29" i="3"/>
  <c r="BG11" i="3"/>
  <c r="BH11" i="3"/>
  <c r="BL12" i="3"/>
  <c r="BL5" i="3"/>
  <c r="AI11" i="3"/>
  <c r="BE9" i="3"/>
  <c r="BN9" i="3" s="1"/>
  <c r="BK9" i="3"/>
  <c r="BL9" i="3" s="1"/>
  <c r="BL35" i="3"/>
  <c r="O32" i="3"/>
  <c r="BG32" i="3"/>
  <c r="BH32" i="3"/>
  <c r="K42" i="3"/>
  <c r="K6" i="3"/>
  <c r="O31" i="3"/>
  <c r="BG31" i="3"/>
  <c r="BH31" i="3"/>
  <c r="O15" i="3"/>
  <c r="BG15" i="3"/>
  <c r="BH15" i="3"/>
  <c r="K19" i="3"/>
  <c r="BE8" i="3"/>
  <c r="BN8" i="3" s="1"/>
  <c r="BK8" i="3"/>
  <c r="BL8" i="3" s="1"/>
  <c r="BE43" i="3"/>
  <c r="BK43" i="3"/>
  <c r="BL43" i="3" s="1"/>
  <c r="K20" i="3"/>
  <c r="BG10" i="3"/>
  <c r="BH10" i="3"/>
  <c r="BG5" i="3"/>
  <c r="BH5" i="3"/>
  <c r="K8" i="3"/>
  <c r="BL4" i="3"/>
  <c r="BH24" i="3"/>
  <c r="BG24" i="3"/>
  <c r="N40" i="3"/>
  <c r="BG12" i="3"/>
  <c r="BH12" i="3"/>
  <c r="K36" i="3"/>
  <c r="K37" i="3"/>
  <c r="K18" i="3"/>
  <c r="BL19" i="3"/>
  <c r="BE16" i="3"/>
  <c r="BK16" i="3"/>
  <c r="BL16" i="3" s="1"/>
  <c r="BE14" i="3"/>
  <c r="BK14" i="3"/>
  <c r="BL14" i="3" s="1"/>
  <c r="BE41" i="3"/>
  <c r="BK41" i="3"/>
  <c r="BL41" i="3" s="1"/>
  <c r="BH27" i="3"/>
  <c r="BG27" i="3"/>
  <c r="BE36" i="3"/>
  <c r="BK36" i="3"/>
  <c r="BL36" i="3" s="1"/>
  <c r="BE31" i="3"/>
  <c r="BK31" i="3"/>
  <c r="BL31" i="3" s="1"/>
  <c r="BG25" i="3"/>
  <c r="BH25" i="3"/>
  <c r="K11" i="3"/>
  <c r="N42" i="3"/>
  <c r="K41" i="3"/>
  <c r="BG22" i="3"/>
  <c r="BH22" i="3"/>
  <c r="N6" i="3"/>
  <c r="BL26" i="3"/>
  <c r="BL10" i="3"/>
  <c r="BL13" i="3"/>
  <c r="BL15" i="3"/>
  <c r="BE22" i="3"/>
  <c r="BK22" i="3"/>
  <c r="BL22" i="3" s="1"/>
  <c r="BG43" i="3"/>
  <c r="BH43" i="3"/>
  <c r="N20" i="3"/>
  <c r="O10" i="3"/>
  <c r="K27" i="3"/>
  <c r="K5" i="3"/>
  <c r="O5" i="3"/>
  <c r="N8" i="3"/>
  <c r="BG13" i="3"/>
  <c r="BH13" i="3"/>
  <c r="BL27" i="3"/>
  <c r="K21" i="3"/>
  <c r="BE40" i="3"/>
  <c r="BK40" i="3"/>
  <c r="BL40" i="3" s="1"/>
  <c r="O40" i="3"/>
  <c r="K14" i="3"/>
  <c r="K17" i="3"/>
  <c r="BG9" i="3"/>
  <c r="BH9" i="3"/>
  <c r="N18" i="3"/>
  <c r="O16" i="3"/>
  <c r="BG16" i="3"/>
  <c r="BH16" i="3"/>
  <c r="BL25" i="3"/>
  <c r="BG41" i="3"/>
  <c r="BH41" i="3"/>
  <c r="BE18" i="3"/>
  <c r="BK18" i="3"/>
  <c r="BL18" i="3" s="1"/>
  <c r="K33" i="3"/>
  <c r="BG14" i="3"/>
  <c r="BH14" i="3"/>
  <c r="BH17" i="3"/>
  <c r="BG17" i="3"/>
  <c r="BE20" i="3"/>
  <c r="BK20" i="3"/>
  <c r="BL20" i="3" s="1"/>
  <c r="BL28" i="3"/>
  <c r="K25" i="3"/>
  <c r="N32" i="3"/>
  <c r="BE42" i="3"/>
  <c r="BK42" i="3"/>
  <c r="BL42" i="3" s="1"/>
  <c r="BG42" i="3"/>
  <c r="BH42" i="3"/>
  <c r="K22" i="3"/>
  <c r="BG6" i="3"/>
  <c r="BH6" i="3"/>
  <c r="N31" i="3"/>
  <c r="BL24" i="3"/>
  <c r="BL6" i="3"/>
  <c r="N15" i="3"/>
  <c r="BG19" i="3"/>
  <c r="BH19" i="3"/>
  <c r="K43" i="3"/>
  <c r="K44" i="3"/>
  <c r="O20" i="3"/>
  <c r="BG20" i="3"/>
  <c r="BH20" i="3"/>
  <c r="N10" i="3"/>
  <c r="O8" i="3"/>
  <c r="BG8" i="3"/>
  <c r="BH8" i="3"/>
  <c r="K13" i="3"/>
  <c r="N13" i="3"/>
  <c r="BE38" i="3"/>
  <c r="BK38" i="3"/>
  <c r="BL38" i="3" s="1"/>
  <c r="N38" i="3"/>
  <c r="BG38" i="3"/>
  <c r="BH38" i="3"/>
  <c r="K39" i="3"/>
  <c r="BL33" i="3"/>
  <c r="BL34" i="3"/>
  <c r="N24" i="3"/>
  <c r="BG40" i="3"/>
  <c r="BH40" i="3"/>
  <c r="N12" i="3"/>
  <c r="BL23" i="3"/>
  <c r="BH36" i="3"/>
  <c r="BG36" i="3"/>
  <c r="K9" i="3"/>
  <c r="BH18" i="3"/>
  <c r="BG18" i="3"/>
  <c r="K16" i="3"/>
  <c r="AA97" i="9"/>
  <c r="AA90" i="9"/>
  <c r="AA80" i="9"/>
  <c r="AA86" i="9"/>
  <c r="AA88" i="9"/>
  <c r="AA64" i="9"/>
  <c r="AA83" i="9"/>
  <c r="AA92" i="9"/>
  <c r="AA76" i="9"/>
  <c r="AA77" i="9"/>
  <c r="AA84" i="9"/>
  <c r="AA68" i="9"/>
  <c r="AA98" i="9"/>
  <c r="AA82" i="9"/>
  <c r="AA74" i="9"/>
  <c r="AA89" i="9"/>
  <c r="AA95" i="9"/>
  <c r="AA85" i="9"/>
  <c r="AA65" i="9"/>
  <c r="AA81" i="9"/>
  <c r="AA62" i="9"/>
  <c r="AA73" i="9"/>
  <c r="AA72" i="9"/>
  <c r="AA61" i="9"/>
  <c r="AA78" i="9"/>
  <c r="AA96" i="9"/>
  <c r="AA79" i="9"/>
  <c r="AA67" i="9"/>
  <c r="AA63" i="9"/>
  <c r="AA60" i="9"/>
  <c r="AA59" i="9"/>
  <c r="AA75" i="9"/>
  <c r="AA94" i="9"/>
  <c r="AA66" i="9"/>
  <c r="AA58" i="9"/>
  <c r="U93" i="9"/>
  <c r="U91" i="9"/>
  <c r="D74" i="1"/>
  <c r="T66" i="24" s="1"/>
  <c r="U66" i="24" s="1"/>
  <c r="D77" i="1"/>
  <c r="T69" i="24" s="1"/>
  <c r="U69" i="24" s="1"/>
  <c r="J77" i="1"/>
  <c r="D76" i="1"/>
  <c r="T68" i="24" s="1"/>
  <c r="U68" i="24" s="1"/>
  <c r="D75" i="1"/>
  <c r="T67" i="24" s="1"/>
  <c r="U67" i="24" s="1"/>
  <c r="D78" i="1"/>
  <c r="T70" i="24" s="1"/>
  <c r="U70" i="24" s="1"/>
  <c r="J74" i="1"/>
  <c r="J78" i="1"/>
  <c r="J75" i="1"/>
  <c r="J76" i="1"/>
  <c r="D58" i="1"/>
  <c r="T53" i="24" s="1"/>
  <c r="U53" i="24" s="1"/>
  <c r="D59" i="1"/>
  <c r="T54" i="24" s="1"/>
  <c r="U54" i="24" s="1"/>
  <c r="D57" i="1"/>
  <c r="T52" i="24" s="1"/>
  <c r="U52" i="24" s="1"/>
  <c r="BG2" i="3" l="1"/>
  <c r="BH2" i="3" s="1"/>
  <c r="BE11" i="3"/>
  <c r="BK11" i="3"/>
  <c r="BL11" i="3" s="1"/>
  <c r="AA91" i="9"/>
  <c r="AH37" i="3" s="1"/>
  <c r="AI37" i="3" s="1"/>
  <c r="AA93" i="9"/>
  <c r="AH39" i="3" s="1"/>
  <c r="D69" i="1"/>
  <c r="T61" i="24" s="1"/>
  <c r="U61" i="24" s="1"/>
  <c r="D68" i="1"/>
  <c r="D67" i="1"/>
  <c r="J69" i="1"/>
  <c r="C53" i="24"/>
  <c r="C70" i="24"/>
  <c r="E77" i="1"/>
  <c r="V69" i="24" s="1"/>
  <c r="W69" i="24" s="1"/>
  <c r="C71" i="24"/>
  <c r="E78" i="1"/>
  <c r="V70" i="24" s="1"/>
  <c r="W70" i="24" s="1"/>
  <c r="C67" i="24"/>
  <c r="D16" i="6"/>
  <c r="C54" i="24"/>
  <c r="C55" i="24"/>
  <c r="C69" i="24"/>
  <c r="E76" i="1"/>
  <c r="V68" i="24" s="1"/>
  <c r="W68" i="24" s="1"/>
  <c r="E75" i="1"/>
  <c r="V67" i="24" s="1"/>
  <c r="W67" i="24" s="1"/>
  <c r="C68" i="24"/>
  <c r="E74" i="1"/>
  <c r="V66" i="24" s="1"/>
  <c r="W66" i="24" s="1"/>
  <c r="BJ39" i="3"/>
  <c r="AI39" i="3" l="1"/>
  <c r="BE37" i="3"/>
  <c r="BK37" i="3"/>
  <c r="C60" i="24"/>
  <c r="T59" i="24"/>
  <c r="U59" i="24" s="1"/>
  <c r="C61" i="24"/>
  <c r="T60" i="24"/>
  <c r="U60" i="24" s="1"/>
  <c r="D60" i="1"/>
  <c r="E69" i="1"/>
  <c r="D70" i="24"/>
  <c r="D69" i="24"/>
  <c r="C62" i="24"/>
  <c r="D71" i="24"/>
  <c r="D68" i="24"/>
  <c r="D67" i="24"/>
  <c r="W13" i="1"/>
  <c r="BE39" i="3" l="1"/>
  <c r="BK39" i="3"/>
  <c r="BL39" i="3" s="1"/>
  <c r="T55" i="24"/>
  <c r="U55" i="24" s="1"/>
  <c r="D62" i="24"/>
  <c r="V61" i="24"/>
  <c r="W61" i="24" s="1"/>
  <c r="C56" i="24"/>
  <c r="X13" i="1"/>
  <c r="W19" i="1"/>
  <c r="X19" i="1" l="1"/>
  <c r="W18" i="1"/>
  <c r="X18" i="1" l="1"/>
  <c r="W22" i="1"/>
  <c r="X22" i="1" l="1"/>
  <c r="W11" i="1"/>
  <c r="X11" i="1" l="1"/>
  <c r="W9" i="1"/>
  <c r="X9" i="1" l="1"/>
  <c r="W21" i="1"/>
  <c r="X21" i="1" l="1"/>
  <c r="W12" i="1"/>
  <c r="X12" i="1" l="1"/>
  <c r="W7" i="1"/>
  <c r="X7" i="1" l="1"/>
  <c r="W5" i="1"/>
  <c r="X5" i="1" l="1"/>
  <c r="W4" i="1"/>
  <c r="X4" i="1" l="1"/>
  <c r="C14" i="1"/>
  <c r="C15" i="1" s="1"/>
  <c r="I50" i="1" s="1"/>
  <c r="W17" i="1"/>
  <c r="X17" i="1" l="1"/>
  <c r="W16" i="1"/>
  <c r="X16" i="1" l="1"/>
  <c r="W6" i="1"/>
  <c r="X6" i="1" l="1"/>
  <c r="W8" i="1"/>
  <c r="X8" i="1" l="1"/>
  <c r="W14" i="1"/>
  <c r="X14" i="1" l="1"/>
  <c r="W15" i="1"/>
  <c r="X15" i="1" l="1"/>
  <c r="W20" i="1"/>
  <c r="X20" i="1" l="1"/>
  <c r="W10" i="1"/>
  <c r="X10" i="1" l="1"/>
  <c r="AB83" i="6" l="1"/>
  <c r="AC83" i="6" l="1"/>
  <c r="AB84" i="6" l="1"/>
  <c r="AC84" i="6" l="1"/>
  <c r="AB82" i="6" l="1"/>
  <c r="AC82" i="6" l="1"/>
  <c r="W25" i="1" l="1"/>
  <c r="W24" i="1"/>
  <c r="W23" i="1"/>
  <c r="X23" i="1" l="1"/>
  <c r="X25" i="1"/>
  <c r="X24" i="1"/>
  <c r="AA50" i="24"/>
  <c r="AA68" i="24"/>
  <c r="AA62" i="24"/>
  <c r="AA55" i="24"/>
  <c r="AA51" i="24"/>
  <c r="AA54" i="24"/>
  <c r="AA67" i="24"/>
  <c r="AA64" i="24"/>
  <c r="AA61" i="24"/>
  <c r="AA70" i="24"/>
  <c r="AA59" i="24"/>
  <c r="AA65" i="24"/>
  <c r="AA63" i="24"/>
  <c r="AA69" i="24"/>
  <c r="AA52" i="24"/>
  <c r="AA66" i="24"/>
  <c r="AA53" i="24"/>
  <c r="AA60" i="24"/>
  <c r="X2" i="1" l="1"/>
  <c r="E14" i="6"/>
  <c r="C8" i="1" l="1"/>
  <c r="C9" i="1" s="1"/>
  <c r="E16" i="6"/>
  <c r="C25" i="6" s="1"/>
  <c r="AB81" i="6" l="1"/>
  <c r="AB15" i="6"/>
  <c r="AB69" i="6"/>
  <c r="AB59" i="6"/>
  <c r="AB44" i="6"/>
  <c r="AB12" i="6"/>
  <c r="AB71" i="6"/>
  <c r="AB10" i="6"/>
  <c r="AB6" i="6"/>
  <c r="AB43" i="6"/>
  <c r="AB9" i="6"/>
  <c r="AB27" i="6"/>
  <c r="AB25" i="6"/>
  <c r="AB61" i="6"/>
  <c r="AB68" i="6"/>
  <c r="AB74" i="6"/>
  <c r="AB79" i="6"/>
  <c r="AB21" i="6"/>
  <c r="AB24" i="6"/>
  <c r="AB26" i="6"/>
  <c r="AB32" i="6"/>
  <c r="AB51" i="6"/>
  <c r="AB54" i="6"/>
  <c r="AB35" i="6"/>
  <c r="AB57" i="6"/>
  <c r="AB34" i="6"/>
  <c r="AB38" i="6"/>
  <c r="AB45" i="6"/>
  <c r="AB75" i="6"/>
  <c r="AB62" i="6"/>
  <c r="AB58" i="6"/>
  <c r="AB48" i="6"/>
  <c r="AB36" i="6"/>
  <c r="AB47" i="6"/>
  <c r="AB46" i="6"/>
  <c r="AB56" i="6"/>
  <c r="AB78" i="6"/>
  <c r="AB65" i="6"/>
  <c r="AB52" i="6"/>
  <c r="AB5" i="6"/>
  <c r="AB42" i="6"/>
  <c r="AB37" i="6"/>
  <c r="AB76" i="6"/>
  <c r="AB11" i="6"/>
  <c r="AB22" i="6"/>
  <c r="AB66" i="6"/>
  <c r="AB7" i="6"/>
  <c r="AB80" i="6"/>
  <c r="AB19" i="6"/>
  <c r="AB41" i="6"/>
  <c r="AB55" i="6"/>
  <c r="AB64" i="6"/>
  <c r="AB20" i="6"/>
  <c r="AB77" i="6"/>
  <c r="AB16" i="6"/>
  <c r="AB14" i="6"/>
  <c r="AB73" i="6"/>
  <c r="AB39" i="6"/>
  <c r="AB29" i="6"/>
  <c r="AB8" i="6"/>
  <c r="AB31" i="6"/>
  <c r="AB23" i="6"/>
  <c r="AB63" i="6"/>
  <c r="AB50" i="6"/>
  <c r="AB18" i="6"/>
  <c r="AB28" i="6"/>
  <c r="AB49" i="6"/>
  <c r="AB17" i="6"/>
  <c r="AB40" i="6"/>
  <c r="AB13" i="6"/>
  <c r="AB60" i="6"/>
  <c r="AB30" i="6"/>
  <c r="AB70" i="6"/>
  <c r="AB53" i="6"/>
  <c r="AB72" i="6"/>
  <c r="AB33" i="6"/>
  <c r="AB67" i="6"/>
  <c r="AC58" i="6" l="1"/>
  <c r="AC39" i="6"/>
  <c r="AC56" i="6"/>
  <c r="AC79" i="6"/>
  <c r="AC68" i="6"/>
  <c r="AC29" i="6"/>
  <c r="AC76" i="6"/>
  <c r="AC51" i="6"/>
  <c r="AC48" i="6"/>
  <c r="AC77" i="6"/>
  <c r="AC69" i="6"/>
  <c r="AC16" i="6"/>
  <c r="AC24" i="6"/>
  <c r="AC70" i="6"/>
  <c r="AC40" i="6"/>
  <c r="AC49" i="6"/>
  <c r="AC44" i="6"/>
  <c r="AC74" i="6"/>
  <c r="AC65" i="6"/>
  <c r="AC20" i="6"/>
  <c r="AC21" i="6"/>
  <c r="AC35" i="6"/>
  <c r="AC45" i="6"/>
  <c r="AC72" i="6"/>
  <c r="AC71" i="6"/>
  <c r="AC17" i="6"/>
  <c r="AC54" i="6"/>
  <c r="AC63" i="6"/>
  <c r="AC80" i="6"/>
  <c r="AC18" i="6"/>
  <c r="AC5" i="6"/>
  <c r="AC11" i="6"/>
  <c r="AC34" i="6"/>
  <c r="AC43" i="6"/>
  <c r="AC81" i="6"/>
  <c r="AC53" i="6"/>
  <c r="AC33" i="6"/>
  <c r="AC23" i="6"/>
  <c r="AC47" i="6"/>
  <c r="AC6" i="6"/>
  <c r="AC67" i="6"/>
  <c r="AC14" i="6"/>
  <c r="AC8" i="6"/>
  <c r="AC59" i="6"/>
  <c r="AC50" i="6"/>
  <c r="AC10" i="6"/>
  <c r="AC38" i="6"/>
  <c r="AC42" i="6"/>
  <c r="AC31" i="6"/>
  <c r="AC30" i="6"/>
  <c r="AC66" i="6"/>
  <c r="AC78" i="6"/>
  <c r="AC57" i="6"/>
  <c r="AC22" i="6"/>
  <c r="AC61" i="6"/>
  <c r="AC41" i="6"/>
  <c r="AC15" i="6"/>
  <c r="AC60" i="6"/>
  <c r="AC32" i="6"/>
  <c r="AC12" i="6"/>
  <c r="AC36" i="6"/>
  <c r="AC7" i="6"/>
  <c r="AC25" i="6"/>
  <c r="AC37" i="6"/>
  <c r="AC52" i="6"/>
  <c r="AC28" i="6"/>
  <c r="AC73" i="6"/>
  <c r="AC9" i="6"/>
  <c r="AC19" i="6"/>
  <c r="AC46" i="6"/>
  <c r="AC26" i="6"/>
  <c r="AC55" i="6"/>
  <c r="AC13" i="6"/>
  <c r="AC75" i="6"/>
  <c r="AC62" i="6"/>
  <c r="AC64" i="6"/>
  <c r="AC27" i="6"/>
  <c r="AC3" i="6" l="1"/>
  <c r="C8" i="6" s="1"/>
  <c r="H51" i="6" s="1"/>
  <c r="J67" i="1" l="1"/>
  <c r="J68" i="1"/>
  <c r="H49" i="6"/>
  <c r="R49" i="6" s="1"/>
  <c r="H50" i="6"/>
  <c r="H47" i="6"/>
  <c r="S47" i="6" s="1"/>
  <c r="H48" i="6"/>
  <c r="H45" i="6"/>
  <c r="S45" i="6" s="1"/>
  <c r="H46" i="6"/>
  <c r="H43" i="6"/>
  <c r="S43" i="6" s="1"/>
  <c r="H44" i="6"/>
  <c r="H41" i="6"/>
  <c r="S41" i="6" s="1"/>
  <c r="H42" i="6"/>
  <c r="H39" i="6"/>
  <c r="S39" i="6" s="1"/>
  <c r="H40" i="6"/>
  <c r="H37" i="6"/>
  <c r="R37" i="6" s="1"/>
  <c r="H38" i="6"/>
  <c r="H52" i="6"/>
  <c r="C9" i="6"/>
  <c r="C11" i="6"/>
  <c r="D54" i="1"/>
  <c r="E68" i="1"/>
  <c r="D61" i="24" l="1"/>
  <c r="V60" i="24"/>
  <c r="W60" i="24" s="1"/>
  <c r="S49" i="6"/>
  <c r="R47" i="6"/>
  <c r="I50" i="6"/>
  <c r="J50" i="6" s="1"/>
  <c r="I51" i="6"/>
  <c r="J51" i="6" s="1"/>
  <c r="R50" i="6"/>
  <c r="S50" i="6"/>
  <c r="I48" i="6"/>
  <c r="J48" i="6" s="1"/>
  <c r="I49" i="6"/>
  <c r="J49" i="6" s="1"/>
  <c r="R45" i="6"/>
  <c r="S48" i="6"/>
  <c r="R48" i="6"/>
  <c r="I46" i="6"/>
  <c r="J46" i="6" s="1"/>
  <c r="I47" i="6"/>
  <c r="J47" i="6" s="1"/>
  <c r="R43" i="6"/>
  <c r="S46" i="6"/>
  <c r="R46" i="6"/>
  <c r="I44" i="6"/>
  <c r="J44" i="6" s="1"/>
  <c r="I45" i="6"/>
  <c r="J45" i="6" s="1"/>
  <c r="R41" i="6"/>
  <c r="R44" i="6"/>
  <c r="S44" i="6"/>
  <c r="R39" i="6"/>
  <c r="I42" i="6"/>
  <c r="J42" i="6" s="1"/>
  <c r="I43" i="6"/>
  <c r="J43" i="6" s="1"/>
  <c r="R42" i="6"/>
  <c r="S42" i="6"/>
  <c r="I40" i="6"/>
  <c r="J40" i="6" s="1"/>
  <c r="I41" i="6"/>
  <c r="J41" i="6" s="1"/>
  <c r="S40" i="6"/>
  <c r="R40" i="6"/>
  <c r="I37" i="6"/>
  <c r="J37" i="6" s="1"/>
  <c r="I39" i="6"/>
  <c r="J39" i="6" s="1"/>
  <c r="R38" i="6"/>
  <c r="S38" i="6"/>
  <c r="I38" i="6"/>
  <c r="J38" i="6" s="1"/>
  <c r="I52" i="6"/>
  <c r="J52" i="6" s="1"/>
  <c r="E66" i="1"/>
  <c r="E67" i="1"/>
  <c r="D60" i="24" l="1"/>
  <c r="V59" i="24"/>
  <c r="W59" i="24" s="1"/>
  <c r="D55" i="1"/>
  <c r="T50" i="24" l="1"/>
  <c r="U50" i="24" s="1"/>
  <c r="C51" i="24"/>
  <c r="D70" i="1" l="1"/>
  <c r="T62" i="24" s="1"/>
  <c r="U62" i="24" s="1"/>
  <c r="D71" i="1"/>
  <c r="T63" i="24" s="1"/>
  <c r="U63" i="24" s="1"/>
  <c r="J71" i="1"/>
  <c r="J70" i="1"/>
  <c r="E71" i="1"/>
  <c r="V63" i="24" s="1"/>
  <c r="W63" i="24" s="1"/>
  <c r="D64" i="24" l="1"/>
  <c r="C64" i="24"/>
  <c r="E70" i="1"/>
  <c r="V62" i="24" s="1"/>
  <c r="W62" i="24" s="1"/>
  <c r="C63" i="24"/>
  <c r="D63" i="24" l="1"/>
  <c r="AA41" i="24"/>
  <c r="AA38" i="24"/>
  <c r="AA32" i="24"/>
  <c r="AA33" i="24"/>
  <c r="AA40" i="24"/>
  <c r="AA37" i="24"/>
  <c r="AA39" i="24"/>
  <c r="AA36" i="24"/>
  <c r="AA34" i="24"/>
  <c r="AA35" i="24"/>
  <c r="AA42" i="24"/>
  <c r="AA45" i="24"/>
  <c r="AA43" i="24"/>
  <c r="AA44" i="24"/>
  <c r="D72" i="1" l="1"/>
  <c r="T64" i="24" s="1"/>
  <c r="U64" i="24" s="1"/>
  <c r="D56" i="1"/>
  <c r="D6" i="1" s="1"/>
  <c r="J72" i="1"/>
  <c r="E73" i="1"/>
  <c r="V65" i="24" s="1"/>
  <c r="W65" i="24" s="1"/>
  <c r="D73" i="1"/>
  <c r="T65" i="24" s="1"/>
  <c r="U65" i="24" s="1"/>
  <c r="J73" i="1"/>
  <c r="E6" i="1"/>
  <c r="T51" i="24" l="1"/>
  <c r="U51" i="24" s="1"/>
  <c r="C34" i="1"/>
  <c r="E72" i="1"/>
  <c r="V64" i="24" s="1"/>
  <c r="W64" i="24" s="1"/>
  <c r="C52" i="24"/>
  <c r="C65" i="24"/>
  <c r="C66" i="24"/>
  <c r="D66" i="24"/>
  <c r="D34" i="1"/>
  <c r="D65" i="24" l="1"/>
  <c r="AV5" i="3"/>
  <c r="AV6" i="3"/>
  <c r="AV7" i="3"/>
  <c r="AV8" i="3"/>
  <c r="AV9" i="3"/>
  <c r="AZ9" i="3"/>
  <c r="BB9" i="3" s="1"/>
  <c r="AV10" i="3"/>
  <c r="AV11" i="3"/>
  <c r="BA9" i="3" l="1"/>
  <c r="BC9" i="3" s="1"/>
  <c r="BD9" i="3" s="1"/>
  <c r="AZ11" i="3"/>
  <c r="BA11" i="3" s="1"/>
  <c r="AV12" i="3"/>
  <c r="BB11" i="3" l="1"/>
  <c r="BC11" i="3" s="1"/>
  <c r="BD11" i="3" s="1"/>
  <c r="AZ12" i="3"/>
  <c r="BB12" i="3" s="1"/>
  <c r="AV13" i="3"/>
  <c r="AV14" i="3"/>
  <c r="BA12" i="3" l="1"/>
  <c r="BC12" i="3" s="1"/>
  <c r="BD12" i="3" s="1"/>
  <c r="AZ14" i="3"/>
  <c r="BA14" i="3" s="1"/>
  <c r="AV15" i="3"/>
  <c r="BB14" i="3" l="1"/>
  <c r="BC14" i="3" s="1"/>
  <c r="BD14" i="3" s="1"/>
  <c r="AZ15" i="3"/>
  <c r="BA15" i="3" s="1"/>
  <c r="AV16" i="3"/>
  <c r="BB15" i="3" l="1"/>
  <c r="BC15" i="3" s="1"/>
  <c r="BD15" i="3" s="1"/>
  <c r="AZ16" i="3"/>
  <c r="BA16" i="3" s="1"/>
  <c r="AV17" i="3"/>
  <c r="AV18" i="3"/>
  <c r="BB16" i="3" l="1"/>
  <c r="BC16" i="3" s="1"/>
  <c r="BD16" i="3" s="1"/>
  <c r="AZ18" i="3"/>
  <c r="BA18" i="3" s="1"/>
  <c r="AV19" i="3"/>
  <c r="AV20" i="3"/>
  <c r="BB18" i="3" l="1"/>
  <c r="BC18" i="3" s="1"/>
  <c r="BD18" i="3" s="1"/>
  <c r="AZ20" i="3"/>
  <c r="BB20" i="3" s="1"/>
  <c r="AV21" i="3"/>
  <c r="AV22" i="3"/>
  <c r="AV23" i="3"/>
  <c r="AV24" i="3"/>
  <c r="BA20" i="3" l="1"/>
  <c r="BC20" i="3" s="1"/>
  <c r="BD20" i="3" s="1"/>
  <c r="AZ24" i="3"/>
  <c r="BB24" i="3" s="1"/>
  <c r="BC24" i="3" s="1"/>
  <c r="BD24" i="3" s="1"/>
  <c r="AV25" i="3"/>
  <c r="AV26" i="3"/>
  <c r="BA24" i="3" l="1"/>
  <c r="AZ26" i="3"/>
  <c r="BB26" i="3" s="1"/>
  <c r="BC26" i="3" s="1"/>
  <c r="BD26" i="3" s="1"/>
  <c r="AV27" i="3"/>
  <c r="BA26" i="3" l="1"/>
  <c r="AZ27" i="3"/>
  <c r="BA27" i="3" s="1"/>
  <c r="AV28" i="3"/>
  <c r="AV29" i="3"/>
  <c r="AV30" i="3"/>
  <c r="BB27" i="3" l="1"/>
  <c r="BC27" i="3" s="1"/>
  <c r="BD27" i="3" s="1"/>
  <c r="AZ30" i="3"/>
  <c r="BB30" i="3" s="1"/>
  <c r="AV31" i="3"/>
  <c r="BA30" i="3" l="1"/>
  <c r="BC30" i="3" s="1"/>
  <c r="BD30" i="3" s="1"/>
  <c r="AZ31" i="3"/>
  <c r="BA31" i="3" s="1"/>
  <c r="AV32" i="3"/>
  <c r="AV33" i="3"/>
  <c r="BB31" i="3" l="1"/>
  <c r="BC31" i="3" s="1"/>
  <c r="BD31" i="3" s="1"/>
  <c r="AZ33" i="3"/>
  <c r="BA33" i="3" s="1"/>
  <c r="AV34" i="3"/>
  <c r="BB33" i="3" l="1"/>
  <c r="BC33" i="3" s="1"/>
  <c r="BD33" i="3" s="1"/>
  <c r="AZ34" i="3"/>
  <c r="BA34" i="3" s="1"/>
  <c r="AV35" i="3"/>
  <c r="BB34" i="3" l="1"/>
  <c r="BC34" i="3" s="1"/>
  <c r="BD34" i="3" s="1"/>
  <c r="AZ35" i="3"/>
  <c r="BA35" i="3" s="1"/>
  <c r="AV36" i="3"/>
  <c r="AV37" i="3"/>
  <c r="BB35" i="3" l="1"/>
  <c r="BC35" i="3" s="1"/>
  <c r="BD35" i="3" s="1"/>
  <c r="AZ37" i="3"/>
  <c r="BB37" i="3" s="1"/>
  <c r="AV38" i="3"/>
  <c r="BA37" i="3" l="1"/>
  <c r="BC37" i="3" s="1"/>
  <c r="BD37" i="3" s="1"/>
  <c r="AZ38" i="3"/>
  <c r="BB38" i="3" s="1"/>
  <c r="AV39" i="3"/>
  <c r="BA38" i="3" l="1"/>
  <c r="BC38" i="3" s="1"/>
  <c r="BD38" i="3" s="1"/>
  <c r="AZ39" i="3"/>
  <c r="BB39" i="3" s="1"/>
  <c r="AV40" i="3"/>
  <c r="AV41" i="3"/>
  <c r="BA39" i="3" l="1"/>
  <c r="BC39" i="3" s="1"/>
  <c r="BD39" i="3" s="1"/>
  <c r="AZ41" i="3"/>
  <c r="BB41" i="3" s="1"/>
  <c r="AV42" i="3"/>
  <c r="BA41" i="3" l="1"/>
  <c r="BC41" i="3" s="1"/>
  <c r="BD41" i="3" s="1"/>
  <c r="AZ42" i="3"/>
  <c r="BB42" i="3" s="1"/>
  <c r="AV43" i="3"/>
  <c r="BA42" i="3" l="1"/>
  <c r="BC42" i="3" s="1"/>
  <c r="BD42" i="3" s="1"/>
  <c r="AZ43" i="3"/>
  <c r="BB43" i="3" s="1"/>
  <c r="AV4" i="3"/>
  <c r="BJ37" i="3"/>
  <c r="BA43" i="3" l="1"/>
  <c r="BC43" i="3" s="1"/>
  <c r="BD43" i="3" s="1"/>
  <c r="BL37" i="3"/>
</calcChain>
</file>

<file path=xl/comments1.xml><?xml version="1.0" encoding="utf-8"?>
<comments xmlns="http://schemas.openxmlformats.org/spreadsheetml/2006/main">
  <authors>
    <author>Banco Itau S/A</author>
  </authors>
  <commentList>
    <comment ref="K1" authorId="0">
      <text>
        <r>
          <rPr>
            <b/>
            <sz val="8"/>
            <color indexed="81"/>
            <rFont val="Tahoma"/>
            <family val="2"/>
          </rPr>
          <t>Inserir o casado do dolar (DOL FUT - PRONTO X 1000)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" authorId="0">
      <text>
        <r>
          <rPr>
            <b/>
            <sz val="8"/>
            <color indexed="81"/>
            <rFont val="Tahoma"/>
            <family val="2"/>
          </rPr>
          <t>Inserir o casado do dolar (DOL FUT - PRONTO X 1000)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" authorId="0">
      <text>
        <r>
          <rPr>
            <sz val="10"/>
            <color indexed="81"/>
            <rFont val="Tahoma"/>
            <family val="2"/>
          </rPr>
          <t>Colocar um "X"se quiser o DV01 em R$. Se deixar em branco sera em US$.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" authorId="0">
      <text>
        <r>
          <rPr>
            <b/>
            <sz val="8"/>
            <color indexed="81"/>
            <rFont val="Tahoma"/>
            <family val="2"/>
          </rPr>
          <t>Número de dias úteis entre o pregao atual e o anterior. Normalmente é 1 dia, porem quando tiver feriado em São Paulo que tenha saque, alterar a célula.</t>
        </r>
      </text>
    </comment>
    <comment ref="P2" authorId="0">
      <text>
        <r>
          <rPr>
            <b/>
            <sz val="8"/>
            <color indexed="81"/>
            <rFont val="Tahoma"/>
            <family val="2"/>
          </rPr>
          <t>Variação que vai corresponder ao Dolar Duration (DIV01).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" authorId="0">
      <text>
        <r>
          <rPr>
            <sz val="10"/>
            <color indexed="81"/>
            <rFont val="Tahoma"/>
            <family val="2"/>
          </rPr>
          <t xml:space="preserve">Variação usada para o cálculo da duration e da Convexidade.
</t>
        </r>
      </text>
    </comment>
  </commentList>
</comments>
</file>

<file path=xl/comments2.xml><?xml version="1.0" encoding="utf-8"?>
<comments xmlns="http://schemas.openxmlformats.org/spreadsheetml/2006/main">
  <authors>
    <author>Ro_Xande</author>
    <author>Banco Itau S/A</author>
  </authors>
  <commentList>
    <comment ref="E1" authorId="0">
      <text>
        <r>
          <rPr>
            <sz val="12"/>
            <color indexed="81"/>
            <rFont val="Tahoma"/>
            <family val="2"/>
          </rPr>
          <t>Caso queira transformar em papel bullet colocar um "X" nesta célula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1">
      <text>
        <r>
          <rPr>
            <b/>
            <sz val="10"/>
            <color indexed="81"/>
            <rFont val="Tahoma"/>
            <family val="2"/>
          </rPr>
          <t>IPCA calculado desprezando que a NTN-B tenha prêmio de papel. Portando é a inflação embutida entre o DI e a NTN-B.</t>
        </r>
      </text>
    </comment>
    <comment ref="E9" authorId="1">
      <text>
        <r>
          <rPr>
            <b/>
            <sz val="10"/>
            <color indexed="81"/>
            <rFont val="Tahoma"/>
            <family val="2"/>
          </rPr>
          <t>Prêmio a ser inserido sobre o prêmio da NTN-F, caso queira.</t>
        </r>
      </text>
    </comment>
    <comment ref="C11" authorId="1">
      <text>
        <r>
          <rPr>
            <sz val="10"/>
            <color indexed="81"/>
            <rFont val="Tahoma"/>
            <family val="2"/>
          </rPr>
          <t>IPCA implicito entre a curva de NTN-F + prêmio adicional (caso queira usar) e a NTN-B. Neste caso, considera-se que a NTN-B tenha prêmio sobre o CDI como os demais títulos.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1">
      <text>
        <r>
          <rPr>
            <b/>
            <sz val="10"/>
            <color indexed="81"/>
            <rFont val="Tahoma"/>
            <family val="2"/>
          </rPr>
          <t>Número de lotes caso queira zerar por duration. Na célula ao lado (B25) escolhe-se o DI.</t>
        </r>
        <r>
          <rPr>
            <b/>
            <sz val="8"/>
            <color indexed="81"/>
            <rFont val="Tahoma"/>
            <family val="2"/>
          </rPr>
          <t xml:space="preserve">
</t>
        </r>
      </text>
    </comment>
    <comment ref="C26" authorId="1">
      <text>
        <r>
          <rPr>
            <sz val="10"/>
            <color indexed="81"/>
            <rFont val="Tahoma"/>
            <family val="2"/>
          </rPr>
          <t xml:space="preserve">
Variação Base para cálculo da Duration e DV01</t>
        </r>
      </text>
    </comment>
    <comment ref="C27" authorId="1">
      <text>
        <r>
          <rPr>
            <b/>
            <sz val="10"/>
            <color indexed="81"/>
            <rFont val="Tahoma"/>
            <family val="2"/>
          </rPr>
          <t>Variação inserida para cálculo das variações usando Duration e Convexidade. É uma aproximação.Resultado esta no quadro abaixo.</t>
        </r>
      </text>
    </comment>
  </commentList>
</comments>
</file>

<file path=xl/comments3.xml><?xml version="1.0" encoding="utf-8"?>
<comments xmlns="http://schemas.openxmlformats.org/spreadsheetml/2006/main">
  <authors>
    <author>Ro_Xande</author>
    <author>Banco Itau S/A</author>
  </authors>
  <commentList>
    <comment ref="E1" authorId="0">
      <text>
        <r>
          <rPr>
            <sz val="12"/>
            <color indexed="81"/>
            <rFont val="Tahoma"/>
            <family val="2"/>
          </rPr>
          <t>Caso queira transformar em papel bullet colocar um "X" nesta célula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" authorId="1">
      <text>
        <r>
          <rPr>
            <sz val="10"/>
            <color indexed="81"/>
            <rFont val="Tahoma"/>
            <family val="2"/>
          </rPr>
          <t>Colocar a data de vencimento do Título.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3" authorId="1">
      <text>
        <r>
          <rPr>
            <b/>
            <sz val="8"/>
            <color indexed="81"/>
            <rFont val="Tahoma"/>
            <family val="2"/>
          </rPr>
          <t>Numero de dias úteis entre o dia da liquidação do Papel e o dia do Trading</t>
        </r>
      </text>
    </comment>
    <comment ref="C20" authorId="1">
      <text>
        <r>
          <rPr>
            <b/>
            <sz val="8"/>
            <color indexed="81"/>
            <rFont val="Tahoma"/>
            <family val="2"/>
          </rPr>
          <t>Variação que baseia o cálculo da Duration e do DV01.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3" authorId="1">
      <text>
        <r>
          <rPr>
            <b/>
            <sz val="8"/>
            <color indexed="81"/>
            <rFont val="Tahoma"/>
            <family val="2"/>
          </rPr>
          <t>Variação inserida para cálculo das variações usando Duration e Convexidade. É uma aproximação.Resultado esta no quadro abaixo.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exão" type="4" refreshedVersion="4" savePassword="1" background="1" saveData="1">
    <webPr sourceData="1" parsePre="1" consecutive="1" xl2000="1" url="http://www2.bmf.com.br/pages/portal/bmfbovespa/boletim1/Ajustes1.asp?txt" htmlTables="1">
      <tables count="1">
        <s v="tblDadosAjustes"/>
      </tables>
    </webPr>
  </connection>
  <connection id="2" name="Conexão1" type="4" refreshedVersion="5" savePassword="1" background="1" saveData="1">
    <webPr sourceData="1" parsePre="1" consecutive="1" xl2000="1" url="http://www2.bmf.com.br/pages/portal/bmfbovespa/boletim1/Ajustes1.asp?txt" htmlTables="1">
      <tables count="1">
        <x v="7"/>
      </tables>
    </webPr>
  </connection>
  <connection id="3" name="Conexão10" type="4" refreshedVersion="5" savePassword="1" background="1" saveData="1">
    <webPr sourceData="1" parsePre="1" consecutive="1" xl2000="1" url="http://www.anbima.com.br/merc_sec/resultados/merc_sec_ntn-b.asp" htmlTables="1">
      <tables count="1">
        <x v="4"/>
      </tables>
    </webPr>
  </connection>
  <connection id="4" name="Conexão101" type="4" refreshedVersion="4" savePassword="1" background="1" saveData="1">
    <webPr sourceData="1" parsePre="1" consecutive="1" xl2000="1" url="http://www.anbima.com.br/merc_sec/resultados/merc_sec_ltn.asp" htmlTables="1">
      <tables count="1">
        <x v="4"/>
      </tables>
    </webPr>
  </connection>
  <connection id="5" name="Conexão11" type="4" refreshedVersion="4" savePassword="1" background="1" saveData="1">
    <webPr sourceData="1" parsePre="1" consecutive="1" xl2000="1" url="http://www.anbima.com.br/merc_sec/resultados/merc_sec_ntn-b.asp" htmlTables="1">
      <tables count="1">
        <x v="4"/>
      </tables>
    </webPr>
  </connection>
  <connection id="6" name="Conexão111" type="4" refreshedVersion="5" savePassword="1" background="1" saveData="1">
    <webPr sourceData="1" parsePre="1" consecutive="1" xl2000="1" url="http://www.anbima.com.br/merc_sec/resultados/merc_sec_ltn.asp" htmlTables="1">
      <tables count="1">
        <x v="4"/>
      </tables>
    </webPr>
  </connection>
  <connection id="7" name="Conexão12" type="4" refreshedVersion="5" savePassword="1" background="1" saveData="1">
    <webPr sourceData="1" parsePre="1" consecutive="1" xl2000="1" url="http://www.anbima.com.br/merc_sec/resultados/merc_sec_ntn-b.asp" htmlTables="1">
      <tables count="1">
        <x v="4"/>
      </tables>
    </webPr>
  </connection>
  <connection id="8" name="Conexão121" type="4" refreshedVersion="4" savePassword="1" background="1" saveData="1">
    <webPr sourceData="1" parsePre="1" consecutive="1" xl2000="1" url="http://www.anbima.com.br/merc_sec/resultados/merc_sec_ltn.asp" htmlTables="1">
      <tables count="1">
        <x v="4"/>
      </tables>
    </webPr>
  </connection>
  <connection id="9" name="Conexão2" type="4" refreshedVersion="4" savePassword="1" background="1" saveData="1">
    <webPr sourceData="1" parsePre="1" consecutive="1" xl2000="1" url="http://www2.bmf.com.br/pages/portal/bmfbovespa/boletim1/Ajustes1.asp?txt" htmlTables="1">
      <tables count="1">
        <s v="tblDadosAjustes"/>
      </tables>
    </webPr>
  </connection>
  <connection id="10" name="Conexão3" type="4" refreshedVersion="5" background="1" saveData="1">
    <webPr sourceData="1" parsePre="1" consecutive="1" xl2000="1" url="http://www2.bmf.com.br/pages/portal/bmfbovespa/boletim1/Ajustes1.asp?txt" htmlTables="1">
      <tables count="1">
        <x v="7"/>
      </tables>
    </webPr>
  </connection>
  <connection id="11" name="Conexão4" type="4" refreshedVersion="4" background="1" saveData="1">
    <webPr sourceData="1" parsePre="1" consecutive="1" xl2000="1" url="http://www.bmf.com.br/bmfbovespa/pages/boletim1/bd_manual/indicadoresFinanceiros1.asp"/>
  </connection>
  <connection id="12" name="Conexão5" type="4" refreshedVersion="4" savePassword="1" background="1" saveData="1">
    <webPr sourceData="1" parsePre="1" consecutive="1" xl2000="1" url="http://www.anbima.com.br/merc_sec/resultados/merc_sec_ntn-f.asp" htmlTables="1">
      <tables count="1">
        <x v="4"/>
      </tables>
    </webPr>
  </connection>
  <connection id="13" name="Conexão6" type="4" refreshedVersion="5" savePassword="1" background="1" saveData="1">
    <webPr sourceData="1" parsePre="1" consecutive="1" xl2000="1" url="http://www.anbima.com.br/merc_sec/resultados/merc_sec_ntn-f.asp" htmlTables="1">
      <tables count="1">
        <x v="4"/>
      </tables>
    </webPr>
  </connection>
  <connection id="14" name="Conexão7" type="4" refreshedVersion="4" savePassword="1" background="1" saveData="1">
    <webPr sourceData="1" parsePre="1" consecutive="1" xl2000="1" url="http://www.anbima.com.br/merc_sec/resultados/merc_sec_ntn-f.asp" htmlTables="1">
      <tables count="1">
        <x v="4"/>
      </tables>
    </webPr>
  </connection>
  <connection id="15" name="Conexão8" type="4" refreshedVersion="5" savePassword="1" background="1" saveData="1">
    <webPr sourceData="1" parsePre="1" consecutive="1" xl2000="1" url="http://www.anbima.com.br/merc_sec/resultados/merc_sec_ntn-f.asp" htmlTables="1">
      <tables count="1">
        <x v="4"/>
      </tables>
    </webPr>
  </connection>
  <connection id="16" name="Conexão9" type="4" refreshedVersion="4" savePassword="1" background="1" saveData="1">
    <webPr sourceData="1" parsePre="1" consecutive="1" xl2000="1" url="http://www.anbima.com.br/merc_sec/resultados/merc_sec_ntn-b.asp" htmlTables="1">
      <tables count="1">
        <x v="4"/>
      </tables>
    </webPr>
  </connection>
  <connection id="17" name="Conexão91" type="4" refreshedVersion="5" savePassword="1" background="1" saveData="1">
    <webPr sourceData="1" parsePre="1" consecutive="1" xl2000="1" url="http://www.anbima.com.br/merc_sec/resultados/merc_sec_ltn.asp" htmlTables="1">
      <tables count="1">
        <x v="4"/>
      </tables>
    </webPr>
  </connection>
</connections>
</file>

<file path=xl/sharedStrings.xml><?xml version="1.0" encoding="utf-8"?>
<sst xmlns="http://schemas.openxmlformats.org/spreadsheetml/2006/main" count="2479" uniqueCount="479">
  <si>
    <t>HOJE</t>
  </si>
  <si>
    <t>LIQUIDACAO</t>
  </si>
  <si>
    <t>PRINC</t>
  </si>
  <si>
    <t>CDI</t>
  </si>
  <si>
    <t>TERMO</t>
  </si>
  <si>
    <t>VENC</t>
  </si>
  <si>
    <t>VP</t>
  </si>
  <si>
    <t>NTN-B</t>
  </si>
  <si>
    <t>VENC ÚTIL</t>
  </si>
  <si>
    <t>DU</t>
  </si>
  <si>
    <t>VF</t>
  </si>
  <si>
    <t>DURATION</t>
  </si>
  <si>
    <t>DT LIQUIDAÇÃO</t>
  </si>
  <si>
    <t>TAXA</t>
  </si>
  <si>
    <t>VENCIMENTO</t>
  </si>
  <si>
    <t>IPCA ACUM</t>
  </si>
  <si>
    <t>PROJEÇÃO</t>
  </si>
  <si>
    <t>IPCA MÊS ANT</t>
  </si>
  <si>
    <t>VNA</t>
  </si>
  <si>
    <t>PRÓXIMO VENC</t>
  </si>
  <si>
    <t>PRÓXIMO ANT</t>
  </si>
  <si>
    <t>PU NTN-B PRINC - CURVA</t>
  </si>
  <si>
    <t>VAR % CALCULO DUR/CONV</t>
  </si>
  <si>
    <t>PROJ VIA DUR E CONV</t>
  </si>
  <si>
    <t>segunda-feira</t>
  </si>
  <si>
    <t>Confraternização Universal</t>
  </si>
  <si>
    <t xml:space="preserve"> Carnaval</t>
  </si>
  <si>
    <t>terça-feira</t>
  </si>
  <si>
    <t>Carnaval</t>
  </si>
  <si>
    <t>sexta-feira</t>
  </si>
  <si>
    <t>Paixão de Cristo</t>
  </si>
  <si>
    <t>sábado</t>
  </si>
  <si>
    <t>Tiradentes</t>
  </si>
  <si>
    <t>Dia do Trabalho</t>
  </si>
  <si>
    <t>quinta-feira</t>
  </si>
  <si>
    <t>Corpus Christi</t>
  </si>
  <si>
    <t>Independência do Brasil</t>
  </si>
  <si>
    <t>Finados</t>
  </si>
  <si>
    <t>Proclamação da República</t>
  </si>
  <si>
    <t>Natal</t>
  </si>
  <si>
    <t>domingo</t>
  </si>
  <si>
    <t>quarta-feira</t>
  </si>
  <si>
    <t>Nossa Srª. Aparecida - Padroeira do Brasil</t>
  </si>
  <si>
    <r>
      <t>Nossa Sr.</t>
    </r>
    <r>
      <rPr>
        <vertAlign val="superscript"/>
        <sz val="10"/>
        <rFont val="Arial"/>
        <family val="2"/>
      </rPr>
      <t xml:space="preserve">a </t>
    </r>
    <r>
      <rPr>
        <sz val="10"/>
        <rFont val="Arial"/>
        <family val="2"/>
      </rPr>
      <t>Aparecida - Padroeira do Brasil</t>
    </r>
  </si>
  <si>
    <t>NÚMERO ÍNDICE</t>
  </si>
  <si>
    <t>(%)</t>
  </si>
  <si>
    <t>(DEZ 93 = 100)</t>
  </si>
  <si>
    <t>MENSAL</t>
  </si>
  <si>
    <t>Índice Referencia</t>
  </si>
  <si>
    <t>Divulgação</t>
  </si>
  <si>
    <t>IPCA</t>
  </si>
  <si>
    <t>NTN-F</t>
  </si>
  <si>
    <t>DI1F22</t>
  </si>
  <si>
    <t>BRL DV01 PAPEL</t>
  </si>
  <si>
    <t>QUANT DI MATURITY</t>
  </si>
  <si>
    <t>Taxa Média DI - 100% Curva</t>
  </si>
  <si>
    <t>% CDI PAPEL</t>
  </si>
  <si>
    <t>DURATION NTN-F PRINC-CURVA</t>
  </si>
  <si>
    <t>CONVEX / 2 NTN-F PRINC-CURVA</t>
  </si>
  <si>
    <t>PRAZO MÉDIO</t>
  </si>
  <si>
    <t>LOTE TÍTULOS</t>
  </si>
  <si>
    <t>BRL DV01 DI MATURITY</t>
  </si>
  <si>
    <t>DURATION - DIAS</t>
  </si>
  <si>
    <t>TAXA TÍTULO</t>
  </si>
  <si>
    <t>CURVA DI</t>
  </si>
  <si>
    <t>IPCA IMPL. (CONSID PREMIO TÍT)</t>
  </si>
  <si>
    <t>↓</t>
  </si>
  <si>
    <t>PRÊMIO PAPEL %CDI</t>
  </si>
  <si>
    <t>BRL</t>
  </si>
  <si>
    <t>Tempo Mín 1</t>
  </si>
  <si>
    <t>Tempo Mín2</t>
  </si>
  <si>
    <t>DÓLAR DUR</t>
  </si>
  <si>
    <t>BASE</t>
  </si>
  <si>
    <t>abaixo da compra</t>
  </si>
  <si>
    <t>&lt;3 min</t>
  </si>
  <si>
    <t>&lt;30min</t>
  </si>
  <si>
    <t>INDICE</t>
  </si>
  <si>
    <t>ULT</t>
  </si>
  <si>
    <t>CPA</t>
  </si>
  <si>
    <t>VDA</t>
  </si>
  <si>
    <t>FECH</t>
  </si>
  <si>
    <t>DIF</t>
  </si>
  <si>
    <t>Duration</t>
  </si>
  <si>
    <t>Convex.</t>
  </si>
  <si>
    <t>PU último</t>
  </si>
  <si>
    <t>efetiva</t>
  </si>
  <si>
    <t>D.U Termo</t>
  </si>
  <si>
    <t>DI</t>
  </si>
  <si>
    <t>OCP</t>
  </si>
  <si>
    <t>OVD</t>
  </si>
  <si>
    <t>FEC</t>
  </si>
  <si>
    <t>AJU</t>
  </si>
  <si>
    <t>NSQ</t>
  </si>
  <si>
    <t>Minutos ULT</t>
  </si>
  <si>
    <t>TX AJUSTE</t>
  </si>
  <si>
    <t>TX AJ CORRIG</t>
  </si>
  <si>
    <t>ÚLTIMO</t>
  </si>
  <si>
    <t>VAR</t>
  </si>
  <si>
    <t>DU POST</t>
  </si>
  <si>
    <t>PRE</t>
  </si>
  <si>
    <t>VAR PRZ</t>
  </si>
  <si>
    <t>último acima da venda</t>
  </si>
  <si>
    <t>sem spread</t>
  </si>
  <si>
    <t>com spread</t>
  </si>
  <si>
    <t>CURVA 1</t>
  </si>
  <si>
    <t>AJUSTE1</t>
  </si>
  <si>
    <t>AJUSTE2</t>
  </si>
  <si>
    <t>CURVA AJUSTADA</t>
  </si>
  <si>
    <t/>
  </si>
  <si>
    <t>PU</t>
  </si>
  <si>
    <t>Mercadoria</t>
  </si>
  <si>
    <t>Vct</t>
  </si>
  <si>
    <t>Preço de Ajuste Anterior</t>
  </si>
  <si>
    <t>Preço de Ajuste Atual</t>
  </si>
  <si>
    <t>Variação</t>
  </si>
  <si>
    <t>Valor do Ajuste por Contrato (R$)</t>
  </si>
  <si>
    <t>AUD - Dólar comercial australiano</t>
  </si>
  <si>
    <t>BGI - Boi gordo</t>
  </si>
  <si>
    <t>V11</t>
  </si>
  <si>
    <t>X11</t>
  </si>
  <si>
    <t>CAD - Dólar comercial canadense</t>
  </si>
  <si>
    <t>CCM - Milho</t>
  </si>
  <si>
    <t>U11</t>
  </si>
  <si>
    <t>DAP - Cupom de DI x IPCA</t>
  </si>
  <si>
    <t>DDI - Cupom cambial</t>
  </si>
  <si>
    <t>V12</t>
  </si>
  <si>
    <t>F18</t>
  </si>
  <si>
    <t>F19</t>
  </si>
  <si>
    <t>F20</t>
  </si>
  <si>
    <t>F21</t>
  </si>
  <si>
    <t>F22</t>
  </si>
  <si>
    <t>F25</t>
  </si>
  <si>
    <t>DI1 - DI de 1 dia</t>
  </si>
  <si>
    <t>DOL - Dólar comercial</t>
  </si>
  <si>
    <t>Z11</t>
  </si>
  <si>
    <t>EUR - Euro</t>
  </si>
  <si>
    <t>FRC - FRA de cupom</t>
  </si>
  <si>
    <t>GBP - Libra Esterlina</t>
  </si>
  <si>
    <t>IND - Ibovespa</t>
  </si>
  <si>
    <t>Z12</t>
  </si>
  <si>
    <t>JPY - Iene</t>
  </si>
  <si>
    <t>MXN - Peso mexicano</t>
  </si>
  <si>
    <t>OZ1 - Ouro 250g</t>
  </si>
  <si>
    <t>SFI - Soja Financeira</t>
  </si>
  <si>
    <t>K12</t>
  </si>
  <si>
    <t>T10 - US T-Note 10 anos</t>
  </si>
  <si>
    <t>WDL - Dólar comercial Mini</t>
  </si>
  <si>
    <t>WIN - Ibovespa Mini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</si>
  <si>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</si>
  <si>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</si>
  <si>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</si>
  <si>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</si>
  <si>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</si>
  <si>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</si>
  <si>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</si>
  <si>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</si>
  <si>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</si>
  <si>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</si>
  <si>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</si>
  <si>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</si>
  <si>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ERRO: No primeiro dia útil do mês colocar os vencimentos existente no azul (coluna S) e ver se o range da formula spline esta correto(formula esta na coluna V e o range nas colunas I até O)</t>
  </si>
  <si>
    <t>PX_LAST</t>
  </si>
  <si>
    <t>PX_BID</t>
  </si>
  <si>
    <t>PX_ASK</t>
  </si>
  <si>
    <t>PREV_CLOSE_VAL</t>
  </si>
  <si>
    <t>LAST_UPDATE</t>
  </si>
  <si>
    <t>PX_LAST_ACTUAL</t>
  </si>
  <si>
    <t>LAST_PRICE</t>
  </si>
  <si>
    <t>PREV_SES_LAST_PRICE</t>
  </si>
  <si>
    <t>PX_MID</t>
  </si>
  <si>
    <t>LAST_DIR</t>
  </si>
  <si>
    <t>PETR4 BZ Equity</t>
  </si>
  <si>
    <t>DI1F18</t>
  </si>
  <si>
    <t>DI1F20</t>
  </si>
  <si>
    <t>DI1F21</t>
  </si>
  <si>
    <t>Títulos Públicos Federais</t>
  </si>
  <si>
    <t>Papel PREFIXADO</t>
  </si>
  <si>
    <t>NTN-F - Taxa (% a.a.)/252</t>
  </si>
  <si>
    <t>Código SELIC</t>
  </si>
  <si>
    <t>Data Base/Emissão</t>
  </si>
  <si>
    <t>Data de Vencimento</t>
  </si>
  <si>
    <t>Tx. Indicativas</t>
  </si>
  <si>
    <t>Intervalo Indicativo</t>
  </si>
  <si>
    <t>Mínimo (D0)</t>
  </si>
  <si>
    <t>Máximo (D0)</t>
  </si>
  <si>
    <t>Mínimo (D+1)</t>
  </si>
  <si>
    <t>Máximo (D+1)</t>
  </si>
  <si>
    <t>ANDIMA</t>
  </si>
  <si>
    <t>Andima</t>
  </si>
  <si>
    <t>PRÊMIO % OVER NTN-F</t>
  </si>
  <si>
    <t>IPCA IMPL. (DESC PRÊMIO TÍT)</t>
  </si>
  <si>
    <t>Último Pregão</t>
  </si>
  <si>
    <t>(*) O PREÇO ANTERIOR JÁ ESTÁ CORRIGIDO PELA TAXA CETIP PARA DI1;</t>
  </si>
  <si>
    <t>PELA DIFERENÇA ENTRE TAXA CETIP E VARIAÇÃO DO DÓLAR PARA DDI;</t>
  </si>
  <si>
    <t>PELA DIFERENÇA ENTRE TAXA CETIP E VARIAÇÃO DO IGP-M; PARA DDM;</t>
  </si>
  <si>
    <t>PELA DIFERENÇA ENTRE TAXA CETIP E VARIAÇÃO DO IPCA PARA DAP.</t>
  </si>
  <si>
    <t>OBS.: AS TAXAS DE CÂMBIO UTILIZADAS SEGUEM AS ESPECIFICAÇÕES CONTRATUAIS</t>
  </si>
  <si>
    <t>BRL DV01 TÍTULOS</t>
  </si>
  <si>
    <t>Curva</t>
  </si>
  <si>
    <t>Quant</t>
  </si>
  <si>
    <t>Corretagem</t>
  </si>
  <si>
    <t>V20</t>
  </si>
  <si>
    <t>LTN - Taxa (% a.a.)/252</t>
  </si>
  <si>
    <t>C/V</t>
  </si>
  <si>
    <t>V17</t>
  </si>
  <si>
    <t>CUPOM</t>
  </si>
  <si>
    <t>DI1V17</t>
  </si>
  <si>
    <t>CHF - FRANCO SUÍÇO</t>
  </si>
  <si>
    <t>DI1F19</t>
  </si>
  <si>
    <t>Contratos</t>
  </si>
  <si>
    <t>PU LTN</t>
  </si>
  <si>
    <t>Corret</t>
  </si>
  <si>
    <t>Taxa Papel</t>
  </si>
  <si>
    <t>F23</t>
  </si>
  <si>
    <t>DI1F23</t>
  </si>
  <si>
    <t>Lote DV01</t>
  </si>
  <si>
    <t>J18</t>
  </si>
  <si>
    <t>F24</t>
  </si>
  <si>
    <t>N18</t>
  </si>
  <si>
    <t>V18</t>
  </si>
  <si>
    <t>DI1N18</t>
  </si>
  <si>
    <t>Duration = X</t>
  </si>
  <si>
    <t>BRI - IBrX-50</t>
  </si>
  <si>
    <t>DI1V20</t>
  </si>
  <si>
    <t>N20</t>
  </si>
  <si>
    <t>ISP - S&amp;P 500</t>
  </si>
  <si>
    <t>J19</t>
  </si>
  <si>
    <t>N19</t>
  </si>
  <si>
    <t>CASADO</t>
  </si>
  <si>
    <t>V19</t>
  </si>
  <si>
    <t>DI1N20</t>
  </si>
  <si>
    <t>J20</t>
  </si>
  <si>
    <t>ETH - Etanol Hidratado</t>
  </si>
  <si>
    <t>DI1J18</t>
  </si>
  <si>
    <t>DI1V18</t>
  </si>
  <si>
    <t>N21</t>
  </si>
  <si>
    <t>N22</t>
  </si>
  <si>
    <t>CLP - PESO CHILENO</t>
  </si>
  <si>
    <t>SJC - Soja Financeira Cross Listing</t>
  </si>
  <si>
    <t>TRY - LIRA TURCA</t>
  </si>
  <si>
    <t>ZAR - RANDE DA ÁFRICA DO SUL</t>
  </si>
  <si>
    <t>F26</t>
  </si>
  <si>
    <t>J21</t>
  </si>
  <si>
    <t>N23</t>
  </si>
  <si>
    <t>F29</t>
  </si>
  <si>
    <t>ICF - Café Arábica 4/5</t>
  </si>
  <si>
    <t>DI1J19</t>
  </si>
  <si>
    <t>DI1N19</t>
  </si>
  <si>
    <t>DI1V19</t>
  </si>
  <si>
    <t>DI1N21</t>
  </si>
  <si>
    <t>DI1F24</t>
  </si>
  <si>
    <t>DI1F25</t>
  </si>
  <si>
    <t>LTN</t>
  </si>
  <si>
    <t>V21</t>
  </si>
  <si>
    <t>x</t>
  </si>
  <si>
    <t>ANBIMA</t>
  </si>
  <si>
    <t>BE</t>
  </si>
  <si>
    <t>DV01</t>
  </si>
  <si>
    <t>ROLL</t>
  </si>
  <si>
    <t>CARRY</t>
  </si>
  <si>
    <t>ROLL+CARRY</t>
  </si>
  <si>
    <t>DI1J20</t>
  </si>
  <si>
    <t>DI1J21</t>
  </si>
  <si>
    <t>DI1V21</t>
  </si>
  <si>
    <t>DI1N22</t>
  </si>
  <si>
    <t>DI1F29</t>
  </si>
  <si>
    <t>PZO MÉDIO</t>
  </si>
  <si>
    <t>Taxa Média</t>
  </si>
  <si>
    <t>C</t>
  </si>
  <si>
    <t>% CDI</t>
  </si>
  <si>
    <t>VENC UTIL</t>
  </si>
  <si>
    <t>Vencimento</t>
  </si>
  <si>
    <t>Anbima</t>
  </si>
  <si>
    <t>Compra</t>
  </si>
  <si>
    <t>Venda</t>
  </si>
  <si>
    <t>Último</t>
  </si>
  <si>
    <t>Implícita</t>
  </si>
  <si>
    <t>CURVA</t>
  </si>
  <si>
    <t>Implicita</t>
  </si>
  <si>
    <t>Curva NTN-B</t>
  </si>
  <si>
    <t>Curva Pré</t>
  </si>
  <si>
    <t>Spread DI Referência</t>
  </si>
  <si>
    <t>Δ Implicita</t>
  </si>
  <si>
    <t>Δ Anbima</t>
  </si>
  <si>
    <t>IPCA Proj</t>
  </si>
  <si>
    <t>Carry</t>
  </si>
  <si>
    <t>Coupom</t>
  </si>
  <si>
    <t>Result</t>
  </si>
  <si>
    <t>Carrego Taxa</t>
  </si>
  <si>
    <t>Taxa Estim Impl</t>
  </si>
  <si>
    <t>Taxa Inclinação</t>
  </si>
  <si>
    <t>LOTE/PV01</t>
  </si>
  <si>
    <t>ANDIMA D-1</t>
  </si>
  <si>
    <t>ANDIMA D-2</t>
  </si>
  <si>
    <t>Δ Ambima</t>
  </si>
  <si>
    <t>D-1/D-2</t>
  </si>
  <si>
    <t>Curva FRA</t>
  </si>
  <si>
    <t>FRA Implicita</t>
  </si>
  <si>
    <t>PZO Médio</t>
  </si>
  <si>
    <t>PV01</t>
  </si>
  <si>
    <t>NTNB</t>
  </si>
  <si>
    <t>D-1</t>
  </si>
  <si>
    <t>D-2</t>
  </si>
  <si>
    <t>Lote DI</t>
  </si>
  <si>
    <t>R$ PV 50k</t>
  </si>
  <si>
    <t>Call 09:45</t>
  </si>
  <si>
    <t>WTI - Petróleo Mini</t>
  </si>
  <si>
    <t>Δ BE        D-1/D-2</t>
  </si>
  <si>
    <t>DCSIMG</t>
  </si>
  <si>
    <t xml:space="preserve">IDI </t>
  </si>
  <si>
    <t>IDI</t>
  </si>
  <si>
    <t>Indicadores Financeiros</t>
  </si>
  <si>
    <t>Taxa SELIC*</t>
  </si>
  <si>
    <t>Taxas de Câmbio* R$/US$1,00</t>
  </si>
  <si>
    <t>Comercial:</t>
  </si>
  <si>
    <t>Taxa Referencial de DI / Cetip</t>
  </si>
  <si>
    <t>Taxas de Câmbio Referenciais BM&amp;F *</t>
  </si>
  <si>
    <t>Índice de taxa média de depósitos interfinanceiros de um dia - IDI</t>
  </si>
  <si>
    <t>*base 02/01/2003 = 100.000 pontos</t>
  </si>
  <si>
    <t>Depósitos Interfinanceiros</t>
  </si>
  <si>
    <t>**base 02/01/2009 = 100.000 pontos</t>
  </si>
  <si>
    <t>LIBOR</t>
  </si>
  <si>
    <t>Índice de Volatilidade - FXvol</t>
  </si>
  <si>
    <t>Taxa de Câmbio* US$/€1,00</t>
  </si>
  <si>
    <t>* Taxa referencial spot do Banco Central Europeu</t>
  </si>
  <si>
    <t>Dólar Casado R$/US$</t>
  </si>
  <si>
    <t>Índices de Liquidação</t>
  </si>
  <si>
    <t>Dólar – Cupom limpo R$/US$</t>
  </si>
  <si>
    <t>Índices de Inflação</t>
  </si>
  <si>
    <t>Tarifação – Valores de Referência*</t>
  </si>
  <si>
    <t>*Expectativa IGP-M p/ 11/11/2013 = 0,32%</t>
  </si>
  <si>
    <t>1Número - índice: agosto de 1994 = 100</t>
  </si>
  <si>
    <t>2Para ajuste dos futuros</t>
  </si>
  <si>
    <t>3Negociação Clearing de Ativos</t>
  </si>
  <si>
    <t>*Variação Negativa</t>
  </si>
  <si>
    <t>=</t>
  </si>
  <si>
    <t>Série Histórica de Taxa Referencial - TR prefixada (%)</t>
  </si>
  <si>
    <t>Custo de Oportunidade / DI *</t>
  </si>
  <si>
    <t>Prazo</t>
  </si>
  <si>
    <t>Data</t>
  </si>
  <si>
    <t>Dias úteis</t>
  </si>
  <si>
    <t>Taxa de juro (%)</t>
  </si>
  <si>
    <t>Taxas projetadas com base nos PREÇOS futuros (%)</t>
  </si>
  <si>
    <t>DI1</t>
  </si>
  <si>
    <t>Dólar Comercial</t>
  </si>
  <si>
    <t>Taxa efetiva até hoje</t>
  </si>
  <si>
    <t>Taxa efetiva esperada hoje fim mês</t>
  </si>
  <si>
    <t>II. O cálculo das taxas projetadas utiliza as cotações do contrato futuro para o último dia útil do mês anterior ao mês de vencimento.</t>
  </si>
  <si>
    <t>A projeção, portanto, refere-se à variação da taxa de câmbio do último dia útil do mês ao último dia útil do mês seguinte.</t>
  </si>
  <si>
    <t>Ibovespa a vista</t>
  </si>
  <si>
    <t>Índice Brasil -50 a vista</t>
  </si>
  <si>
    <t>mês</t>
  </si>
  <si>
    <t>% no mês</t>
  </si>
  <si>
    <t>% no ano</t>
  </si>
  <si>
    <t>% últ. 12 meses</t>
  </si>
  <si>
    <t>Ouro BM&amp;F</t>
  </si>
  <si>
    <t>variação cambial</t>
  </si>
  <si>
    <t>TR</t>
  </si>
  <si>
    <t>Taxa DI - Cetip</t>
  </si>
  <si>
    <t>SELIC: 14,15% ao ano *</t>
  </si>
  <si>
    <t>Taxa efetiva projetada para Novembro</t>
  </si>
  <si>
    <t>Taxa efetiva projetada para Dezembro</t>
  </si>
  <si>
    <t>Q18</t>
  </si>
  <si>
    <t>Papel IPCA</t>
  </si>
  <si>
    <t>NTN-B - Taxa (% a.a.)/252</t>
  </si>
  <si>
    <t>Taxa efetiva projetada para Janeiro</t>
  </si>
  <si>
    <t>DI over: 14,14% ao ano.*</t>
  </si>
  <si>
    <t>% a.a. (base: 252 dias úteis): 14,14</t>
  </si>
  <si>
    <t xml:space="preserve">US$ = R$ 3,8589 </t>
  </si>
  <si>
    <t xml:space="preserve">Euro = R$ 4,2660 </t>
  </si>
  <si>
    <t>IGP-M = 604,832 pontos</t>
  </si>
  <si>
    <t>IPCA = 4,370,120 pontos</t>
  </si>
  <si>
    <t xml:space="preserve">*Novembro/2015  </t>
  </si>
  <si>
    <t>Taxa efetiva projetada para Fevereiro</t>
  </si>
  <si>
    <t>WDO - Dólar Comercial Míni</t>
  </si>
  <si>
    <t>18/11/2015 a 18/12/2015</t>
  </si>
  <si>
    <t>Carrego (BPS)</t>
  </si>
  <si>
    <t>19/11/2015 a 19/12/2015</t>
  </si>
  <si>
    <t>20/11/2015 a 20/12/2015</t>
  </si>
  <si>
    <t>23/11/2015 a 23/12/2015</t>
  </si>
  <si>
    <t>21/11/2015 a 21/12/2015</t>
  </si>
  <si>
    <t>22/11/2015 a 22/12/2015</t>
  </si>
  <si>
    <t>24/11/2015 a 24/12/2015</t>
  </si>
  <si>
    <t>F30</t>
  </si>
  <si>
    <t>25/11/2015 a 25/12/2015</t>
  </si>
  <si>
    <t>1 mês (% a.a.): 0,2</t>
  </si>
  <si>
    <t>26/11/2015 a 26/12/2015</t>
  </si>
  <si>
    <t>Atualizado em: 30/11/2015</t>
  </si>
  <si>
    <t>*Em 30/11/2015 Prévia</t>
  </si>
  <si>
    <t>*Em 30/11/2015</t>
  </si>
  <si>
    <t>Em 30/11/2015 = 481.323,68 pontos*</t>
  </si>
  <si>
    <t>Em 30/11/2015 = 195.439,30 pontos**</t>
  </si>
  <si>
    <t>Em 27/11/2015 = 19,6250% ao ano   Leia Mais</t>
  </si>
  <si>
    <t>Em 30/11/2015 = 36,13</t>
  </si>
  <si>
    <t>Em 30/11/2015 = 3,8945</t>
  </si>
  <si>
    <t>IGP-M1,2 em  27/11/2015 = 614,051</t>
  </si>
  <si>
    <t>IGP-M2 pro rata em  30/11/2015 = 613,562</t>
  </si>
  <si>
    <t>IPCA2 pro rata em  01/12/2015 = 4.426,450</t>
  </si>
  <si>
    <t>Expectativa IGP-M3 para  30/11/2015 = 0,860%</t>
  </si>
  <si>
    <t>Expectativa IPCA3 para  30/11/2015 = 0,890%</t>
  </si>
  <si>
    <t>27/11/2015 a 27/12/2015</t>
  </si>
  <si>
    <t>compra = 3,8499</t>
  </si>
  <si>
    <t>venda = 3,8506</t>
  </si>
  <si>
    <t>média = 3,8503</t>
  </si>
  <si>
    <t>*cotações médias, apuradas pelo Banco Central e referentes ao dia 30/11/2015</t>
  </si>
  <si>
    <t>2 dias (R$/US$): 3,9091</t>
  </si>
  <si>
    <t>1 dia (R$/US$): 3,9071</t>
  </si>
  <si>
    <t>Valores pesquisados pela BM&amp;F, junto a instituições credenciadas, apurados das 15:30 às 16:00. * Em 30/11/2015</t>
  </si>
  <si>
    <t>Em 30/11/2015 = 1,0579</t>
  </si>
  <si>
    <t>Ibovespa = 45.627 pontos</t>
  </si>
  <si>
    <t>Índice Brasil - 50 = 7.760 pontos</t>
  </si>
  <si>
    <t>I. As taxas 1 e 2 para o dólar foram obtidas utilizando-se a prévia de hoje, que é R$3,9071  em relação à taxa do dia 30/10/2015 de R$R$3,8613.</t>
  </si>
  <si>
    <t>DI1F27</t>
  </si>
  <si>
    <t>F27</t>
  </si>
  <si>
    <t>Tx. Compra</t>
  </si>
  <si>
    <t>Tx. Venda</t>
  </si>
  <si>
    <t>N24</t>
  </si>
  <si>
    <t>DI1F26</t>
  </si>
  <si>
    <t>DI1N23</t>
  </si>
  <si>
    <t>Z17</t>
  </si>
  <si>
    <t>DI1N24</t>
  </si>
  <si>
    <t>DI1F30</t>
  </si>
  <si>
    <t>U17</t>
  </si>
  <si>
    <t>K19</t>
  </si>
  <si>
    <t>K23</t>
  </si>
  <si>
    <t>K21</t>
  </si>
  <si>
    <t>Q20</t>
  </si>
  <si>
    <t>Q22</t>
  </si>
  <si>
    <t>Q24</t>
  </si>
  <si>
    <t>F28</t>
  </si>
  <si>
    <t>Q30</t>
  </si>
  <si>
    <t>DI1X17</t>
  </si>
  <si>
    <t>Q26</t>
  </si>
  <si>
    <t>U18</t>
  </si>
  <si>
    <t>Z18</t>
  </si>
  <si>
    <t>DI1F28</t>
  </si>
  <si>
    <t>X17</t>
  </si>
  <si>
    <t>M18</t>
  </si>
  <si>
    <t>DI1Z17</t>
  </si>
  <si>
    <t>DI1G18</t>
  </si>
  <si>
    <t>G18</t>
  </si>
  <si>
    <t>Macaulay Duration</t>
  </si>
  <si>
    <t>% DI</t>
  </si>
  <si>
    <t>Δ %DI D-1/D-2</t>
  </si>
  <si>
    <t>Δ Spread</t>
  </si>
  <si>
    <t>FRA</t>
  </si>
  <si>
    <t>Δ % DI D-1/D-2</t>
  </si>
  <si>
    <t>Spread (Bond - DI)</t>
  </si>
  <si>
    <t>Spread  (Bond - DI)</t>
  </si>
  <si>
    <t>DI cts (50k Bonds)</t>
  </si>
  <si>
    <t>BRL PV01 (10k bonds)</t>
  </si>
  <si>
    <t>BRL PV01 (50k bonds)</t>
  </si>
  <si>
    <t>Δ Yield D-1/D-2</t>
  </si>
  <si>
    <t>Maturity</t>
  </si>
  <si>
    <t>Yield</t>
  </si>
  <si>
    <t>FRA (BE)</t>
  </si>
  <si>
    <t>H18</t>
  </si>
  <si>
    <t>DI1H18</t>
  </si>
  <si>
    <t>U19</t>
  </si>
  <si>
    <t>DI1K18</t>
  </si>
  <si>
    <t>K18</t>
  </si>
  <si>
    <t>J22</t>
  </si>
  <si>
    <t>DI1M18</t>
  </si>
  <si>
    <t>WEU - EURO MÍNI</t>
  </si>
  <si>
    <t>NZD - DÓLAR DA NOVA ZELÂNDIA</t>
  </si>
  <si>
    <t>SWAP PRE/DI</t>
  </si>
  <si>
    <t>Casado</t>
  </si>
  <si>
    <t>Δ Yield</t>
  </si>
  <si>
    <t>Δ Casado</t>
  </si>
  <si>
    <t>Δ %</t>
  </si>
  <si>
    <t>OC1 - Contrato Futuro de OC1</t>
  </si>
  <si>
    <t>DI1J22</t>
  </si>
  <si>
    <t>DI1N25</t>
  </si>
  <si>
    <t>DI1X18</t>
  </si>
  <si>
    <t>DI1N26</t>
  </si>
  <si>
    <t>--</t>
  </si>
  <si>
    <t>DI1Q18</t>
  </si>
  <si>
    <t>Alexandre Chichorro Lacerda,CFA  +55 11 3576-6642</t>
  </si>
  <si>
    <t>CNY - IUAN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</si>
</sst>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2">
    <numFmt numFmtId="164" formatCode="_(* #,##0.00_);_(* \(#,##0.00\);_(* &quot;-&quot;??_);_(@_)"/>
    <numFmt numFmtId="165" formatCode="_-* #,##0.00\ _€_-;\-* #,##0.00\ _€_-;_-* &quot;-&quot;??\ _€_-;_-@_-"/>
    <numFmt numFmtId="166" formatCode="_(* #,##0_);_(* \(#,##0\);_(* &quot;-&quot;??_);_(@_)"/>
    <numFmt numFmtId="167" formatCode="_(* #,##0.0000_);_(* \(#,##0.0000\);_(* &quot;-&quot;??_);_(@_)"/>
    <numFmt numFmtId="168" formatCode="dd/mm/yy;@"/>
    <numFmt numFmtId="169" formatCode="0.0000"/>
    <numFmt numFmtId="170" formatCode="_(* #,##0.00000_);_(* \(#,##0.00000\);_(* &quot;-&quot;??_);_(@_)"/>
    <numFmt numFmtId="171" formatCode="0.000%"/>
    <numFmt numFmtId="172" formatCode="0.0000%"/>
    <numFmt numFmtId="173" formatCode="[$-416]mmm\-yy;@"/>
    <numFmt numFmtId="174" formatCode="[$-407]mmm/\ yy;@"/>
    <numFmt numFmtId="175" formatCode="0.000000"/>
    <numFmt numFmtId="176" formatCode="_(* #,##0.000000_);_(* \(#,##0.000000\);_(* &quot;-&quot;??_);_(@_)"/>
    <numFmt numFmtId="177" formatCode="_(* #,##0.0000000_);_(* \(#,##0.0000000\);_(* &quot;-&quot;??_);_(@_)"/>
    <numFmt numFmtId="178" formatCode="_([$€-2]* #,##0.00_);_([$€-2]* \(#,##0.00\);_([$€-2]* &quot;-&quot;??_)"/>
    <numFmt numFmtId="179" formatCode="_-* #,##0.0000_-;\-* #,##0.0000_-;_-* &quot;-&quot;????_-;_-@_-"/>
    <numFmt numFmtId="180" formatCode="d/m/yy;@"/>
    <numFmt numFmtId="181" formatCode="_(* #,##0.000000_);_(* \(#,##0.000000\);_(* &quot;-&quot;??????_);_(@_)"/>
    <numFmt numFmtId="182" formatCode="_(* #,##0.0000_);_(* \(#,##0.0000\);_(* &quot;-&quot;????_);_(@_)"/>
    <numFmt numFmtId="183" formatCode="h:mm;@"/>
    <numFmt numFmtId="184" formatCode="[$-409]d/m/yy\ h:mm\ AM/PM;@"/>
    <numFmt numFmtId="185" formatCode="h:mm:ss;@"/>
    <numFmt numFmtId="186" formatCode="_-* #,##0_-;\-* #,##0_-;_-* &quot;-&quot;??_-;_-@_-"/>
    <numFmt numFmtId="187" formatCode="d/m/yy\ h:mm;@"/>
    <numFmt numFmtId="188" formatCode="dd/mm/yyyy;@"/>
    <numFmt numFmtId="189" formatCode="0.00000%"/>
    <numFmt numFmtId="190" formatCode="_-* #,##0.00_-;\-* #,##0.00_-;_-* &quot;-&quot;??????_-;_-@_-"/>
    <numFmt numFmtId="191" formatCode="_-* #,##0.00000_-;\-* #,##0.00000_-;_-* &quot;-&quot;??_-;_-@_-"/>
    <numFmt numFmtId="192" formatCode="0.000000%"/>
    <numFmt numFmtId="193" formatCode="0.00000"/>
    <numFmt numFmtId="194" formatCode="#,##0.0000"/>
    <numFmt numFmtId="195" formatCode="_-* #,##0.0000000000000_-;\-* #,##0.0000000000000_-;_-* &quot;-&quot;??_-;_-@_-"/>
    <numFmt numFmtId="196" formatCode="_-* #,##0.0000000000000_-;\-* #,##0.0000000000000_-;_-* &quot;-&quot;?????????????_-;_-@_-"/>
    <numFmt numFmtId="197" formatCode="_-* #,##0.0000_-;\-* #,##0.0000_-;_-* &quot;-&quot;??_-;_-@_-"/>
    <numFmt numFmtId="198" formatCode="_-* #,##0.000_-;\-* #,##0.000_-;_-* &quot;-&quot;??_-;_-@_-"/>
    <numFmt numFmtId="199" formatCode="_-* #,##0.000000_-;\-* #,##0.000000_-;_-* &quot;-&quot;??_-;_-@_-"/>
    <numFmt numFmtId="200" formatCode="0.000"/>
    <numFmt numFmtId="201" formatCode="#,##0.00;[Red]#,##0.00"/>
    <numFmt numFmtId="202" formatCode="#,##0.00_ ;[Red]\-#,##0.00\ "/>
    <numFmt numFmtId="203" formatCode="#,##0.000;[Red]#,##0.000"/>
    <numFmt numFmtId="204" formatCode="#,##0.000_ ;[Red]\-#,##0.000\ "/>
    <numFmt numFmtId="205" formatCode="_(* #,##0.000_);_(* \(#,##0.000\);_(* &quot;-&quot;??_);_(@_)"/>
    <numFmt numFmtId="206" formatCode="0.000000000"/>
    <numFmt numFmtId="207" formatCode="_(* #,##0.000000000_);_(* \(#,##0.000000000\);_(* &quot;-&quot;??_);_(@_)"/>
    <numFmt numFmtId="208" formatCode="0.0000000000"/>
    <numFmt numFmtId="209" formatCode="_(* #,##0.0_);_(* \(#,##0.0\);_(* &quot;-&quot;??_);_(@_)"/>
    <numFmt numFmtId="210" formatCode="[$-409]mmm\-yy;@"/>
    <numFmt numFmtId="211" formatCode="[$-409]d\-mmm\-yy;@"/>
    <numFmt numFmtId="212" formatCode="000000"/>
    <numFmt numFmtId="213" formatCode="#,##0.000000"/>
    <numFmt numFmtId="214" formatCode="0.0000000"/>
    <numFmt numFmtId="215" formatCode="[$-409]d\-mmm;@"/>
  </numFmts>
  <fonts count="7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u/>
      <sz val="10"/>
      <color indexed="12"/>
      <name val="Arial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sz val="12"/>
      <color indexed="81"/>
      <name val="Tahoma"/>
      <family val="2"/>
    </font>
    <font>
      <sz val="8"/>
      <color indexed="81"/>
      <name val="Tahoma"/>
      <family val="2"/>
    </font>
    <font>
      <sz val="8"/>
      <color indexed="8"/>
      <name val="Verdana"/>
      <family val="2"/>
    </font>
    <font>
      <vertAlign val="superscript"/>
      <sz val="10"/>
      <name val="Arial"/>
      <family val="2"/>
    </font>
    <font>
      <sz val="25"/>
      <name val="Arial"/>
      <family val="2"/>
    </font>
    <font>
      <b/>
      <sz val="25"/>
      <name val="Arial"/>
      <family val="2"/>
    </font>
    <font>
      <sz val="10"/>
      <color indexed="8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9"/>
      <name val="Arial"/>
      <family val="2"/>
    </font>
    <font>
      <sz val="10"/>
      <color indexed="22"/>
      <name val="MS Sans Serif"/>
      <family val="2"/>
    </font>
    <font>
      <b/>
      <sz val="8"/>
      <color indexed="81"/>
      <name val="Tahoma"/>
      <family val="2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color theme="0"/>
      <name val="Arial"/>
      <family val="2"/>
    </font>
    <font>
      <b/>
      <sz val="10"/>
      <color theme="3" tint="0.39997558519241921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8"/>
      <name val="Arial"/>
      <family val="2"/>
    </font>
    <font>
      <b/>
      <sz val="8"/>
      <color indexed="8"/>
      <name val="Arial"/>
      <family val="2"/>
    </font>
    <font>
      <b/>
      <sz val="10"/>
      <color theme="4" tint="-0.249977111117893"/>
      <name val="Arial"/>
      <family val="2"/>
    </font>
    <font>
      <b/>
      <sz val="12"/>
      <name val="Arial"/>
      <family val="2"/>
    </font>
    <font>
      <b/>
      <sz val="18"/>
      <name val="Tahoma"/>
      <family val="2"/>
    </font>
    <font>
      <b/>
      <sz val="18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6"/>
      <color theme="0"/>
      <name val="Arial"/>
      <family val="2"/>
    </font>
    <font>
      <b/>
      <sz val="10"/>
      <name val="Verdana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b/>
      <sz val="14"/>
      <color theme="1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2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FF00"/>
        <bgColor indexed="64"/>
      </patternFill>
    </fill>
  </fills>
  <borders count="6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medium">
        <color indexed="9"/>
      </right>
      <top style="medium">
        <color indexed="64"/>
      </top>
      <bottom style="thin">
        <color indexed="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12"/>
      </right>
      <top style="medium">
        <color indexed="64"/>
      </top>
      <bottom style="medium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9"/>
      </left>
      <right style="medium">
        <color indexed="9"/>
      </right>
      <top style="medium">
        <color indexed="9"/>
      </top>
      <bottom style="medium">
        <color indexed="9"/>
      </bottom>
      <diagonal/>
    </border>
    <border>
      <left/>
      <right/>
      <top style="double">
        <color indexed="64"/>
      </top>
      <bottom/>
      <diagonal/>
    </border>
    <border>
      <left/>
      <right style="medium">
        <color indexed="12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0"/>
      </left>
      <right style="thin">
        <color indexed="0"/>
      </right>
      <top style="thin">
        <color indexed="64"/>
      </top>
      <bottom/>
      <diagonal/>
    </border>
    <border>
      <left style="thin">
        <color indexed="0"/>
      </left>
      <right style="thin">
        <color indexed="0"/>
      </right>
      <top style="thin">
        <color indexed="64"/>
      </top>
      <bottom style="thin">
        <color indexed="64"/>
      </bottom>
      <diagonal/>
    </border>
    <border>
      <left style="thin">
        <color indexed="0"/>
      </left>
      <right style="thin">
        <color indexed="0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/>
      <bottom/>
      <diagonal/>
    </border>
    <border>
      <left style="thin">
        <color indexed="0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068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5" borderId="0" applyNumberFormat="0" applyBorder="0" applyAlignment="0" applyProtection="0"/>
    <xf numFmtId="0" fontId="7" fillId="8" borderId="0" applyNumberFormat="0" applyBorder="0" applyAlignment="0" applyProtection="0"/>
    <xf numFmtId="0" fontId="7" fillId="11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5" borderId="0" applyNumberFormat="0" applyBorder="0" applyAlignment="0" applyProtection="0"/>
    <xf numFmtId="0" fontId="7" fillId="8" borderId="0" applyNumberFormat="0" applyBorder="0" applyAlignment="0" applyProtection="0"/>
    <xf numFmtId="0" fontId="7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2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9" borderId="0" applyNumberFormat="0" applyBorder="0" applyAlignment="0" applyProtection="0"/>
    <xf numFmtId="0" fontId="15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20" borderId="1" applyNumberFormat="0" applyAlignment="0" applyProtection="0"/>
    <xf numFmtId="0" fontId="10" fillId="20" borderId="1" applyNumberFormat="0" applyAlignment="0" applyProtection="0"/>
    <xf numFmtId="0" fontId="11" fillId="21" borderId="2" applyNumberFormat="0" applyAlignment="0" applyProtection="0"/>
    <xf numFmtId="0" fontId="12" fillId="0" borderId="3" applyNumberFormat="0" applyFill="0" applyAlignment="0" applyProtection="0"/>
    <xf numFmtId="0" fontId="11" fillId="21" borderId="2" applyNumberFormat="0" applyAlignment="0" applyProtection="0"/>
    <xf numFmtId="3" fontId="41" fillId="0" borderId="0" applyFont="0" applyFill="0" applyBorder="0" applyAlignment="0" applyProtection="0"/>
    <xf numFmtId="1" fontId="41" fillId="0" borderId="0" applyFont="0" applyFill="0" applyBorder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9" borderId="0" applyNumberFormat="0" applyBorder="0" applyAlignment="0" applyProtection="0"/>
    <xf numFmtId="0" fontId="13" fillId="7" borderId="1" applyNumberFormat="0" applyAlignment="0" applyProtection="0"/>
    <xf numFmtId="0" fontId="6" fillId="0" borderId="0"/>
    <xf numFmtId="178" fontId="6" fillId="0" borderId="0" applyFont="0" applyFill="0" applyBorder="0" applyAlignment="0" applyProtection="0"/>
    <xf numFmtId="0" fontId="19" fillId="0" borderId="0" applyNumberFormat="0" applyFill="0" applyBorder="0" applyAlignment="0" applyProtection="0"/>
    <xf numFmtId="0" fontId="48" fillId="22" borderId="4" applyNumberFormat="0" applyFont="0" applyAlignment="0" applyProtection="0">
      <alignment horizontal="centerContinuous"/>
    </xf>
    <xf numFmtId="0" fontId="9" fillId="4" borderId="0" applyNumberFormat="0" applyBorder="0" applyAlignment="0" applyProtection="0"/>
    <xf numFmtId="0" fontId="21" fillId="0" borderId="5" applyNumberFormat="0" applyFill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3" fillId="0" borderId="0" applyNumberFormat="0" applyFill="0" applyBorder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15" fillId="3" borderId="0" applyNumberFormat="0" applyBorder="0" applyAlignment="0" applyProtection="0"/>
    <xf numFmtId="0" fontId="13" fillId="7" borderId="1" applyNumberFormat="0" applyAlignment="0" applyProtection="0"/>
    <xf numFmtId="0" fontId="12" fillId="0" borderId="3" applyNumberFormat="0" applyFill="0" applyAlignment="0" applyProtection="0"/>
    <xf numFmtId="0" fontId="16" fillId="23" borderId="0" applyNumberFormat="0" applyBorder="0" applyAlignment="0" applyProtection="0"/>
    <xf numFmtId="0" fontId="16" fillId="23" borderId="0" applyNumberFormat="0" applyBorder="0" applyAlignment="0" applyProtection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30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30" fillId="0" borderId="0"/>
    <xf numFmtId="0" fontId="47" fillId="0" borderId="0"/>
    <xf numFmtId="0" fontId="47" fillId="0" borderId="0"/>
    <xf numFmtId="0" fontId="47" fillId="0" borderId="0"/>
    <xf numFmtId="0" fontId="47" fillId="0" borderId="0"/>
    <xf numFmtId="0" fontId="6" fillId="24" borderId="8" applyNumberFormat="0" applyFont="0" applyAlignment="0" applyProtection="0"/>
    <xf numFmtId="0" fontId="30" fillId="24" borderId="8" applyNumberFormat="0" applyFont="0" applyAlignment="0" applyProtection="0"/>
    <xf numFmtId="0" fontId="17" fillId="20" borderId="9" applyNumberFormat="0" applyAlignment="0" applyProtection="0"/>
    <xf numFmtId="9" fontId="6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9" fontId="47" fillId="0" borderId="0" applyFont="0" applyFill="0" applyBorder="0" applyAlignment="0" applyProtection="0"/>
    <xf numFmtId="0" fontId="17" fillId="20" borderId="9" applyNumberFormat="0" applyAlignment="0" applyProtection="0"/>
    <xf numFmtId="164" fontId="6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30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47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48" fillId="22" borderId="0" applyNumberFormat="0" applyFont="0" applyAlignment="0"/>
    <xf numFmtId="0" fontId="48" fillId="25" borderId="10" applyNumberFormat="0" applyFont="0" applyAlignment="0" applyProtection="0">
      <alignment horizontal="center"/>
    </xf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5" applyNumberFormat="0" applyFill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11" applyNumberFormat="0" applyFill="0" applyAlignment="0" applyProtection="0"/>
    <xf numFmtId="164" fontId="30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6" fillId="24" borderId="8" applyNumberFormat="0" applyFont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3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0" fontId="51" fillId="0" borderId="0"/>
    <xf numFmtId="178" fontId="51" fillId="0" borderId="0" applyFont="0" applyFill="0" applyBorder="0" applyAlignment="0" applyProtection="0"/>
    <xf numFmtId="0" fontId="37" fillId="0" borderId="0"/>
    <xf numFmtId="0" fontId="51" fillId="24" borderId="8" applyNumberFormat="0" applyFont="0" applyAlignment="0" applyProtection="0"/>
    <xf numFmtId="9" fontId="51" fillId="0" borderId="0" applyFont="0" applyFill="0" applyBorder="0" applyAlignment="0" applyProtection="0"/>
    <xf numFmtId="9" fontId="37" fillId="0" borderId="0" applyFont="0" applyFill="0" applyBorder="0" applyAlignment="0" applyProtection="0"/>
    <xf numFmtId="164" fontId="51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4" fillId="0" borderId="0"/>
    <xf numFmtId="164" fontId="6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0" fontId="6" fillId="0" borderId="0"/>
    <xf numFmtId="178" fontId="6" fillId="0" borderId="0" applyFont="0" applyFill="0" applyBorder="0" applyAlignment="0" applyProtection="0"/>
    <xf numFmtId="0" fontId="6" fillId="24" borderId="8" applyNumberFormat="0" applyFont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3" fillId="0" borderId="0"/>
    <xf numFmtId="0" fontId="3" fillId="0" borderId="0"/>
    <xf numFmtId="0" fontId="6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5" borderId="0" applyNumberFormat="0" applyBorder="0" applyAlignment="0" applyProtection="0"/>
    <xf numFmtId="0" fontId="7" fillId="8" borderId="0" applyNumberFormat="0" applyBorder="0" applyAlignment="0" applyProtection="0"/>
    <xf numFmtId="0" fontId="7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9" fillId="4" borderId="0" applyNumberFormat="0" applyBorder="0" applyAlignment="0" applyProtection="0"/>
    <xf numFmtId="0" fontId="10" fillId="20" borderId="1" applyNumberFormat="0" applyAlignment="0" applyProtection="0"/>
    <xf numFmtId="0" fontId="11" fillId="21" borderId="2" applyNumberFormat="0" applyAlignment="0" applyProtection="0"/>
    <xf numFmtId="0" fontId="12" fillId="0" borderId="3" applyNumberFormat="0" applyFill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9" borderId="0" applyNumberFormat="0" applyBorder="0" applyAlignment="0" applyProtection="0"/>
    <xf numFmtId="0" fontId="13" fillId="7" borderId="1" applyNumberFormat="0" applyAlignment="0" applyProtection="0"/>
    <xf numFmtId="0" fontId="15" fillId="3" borderId="0" applyNumberFormat="0" applyBorder="0" applyAlignment="0" applyProtection="0"/>
    <xf numFmtId="0" fontId="16" fillId="23" borderId="0" applyNumberFormat="0" applyBorder="0" applyAlignment="0" applyProtection="0"/>
    <xf numFmtId="0" fontId="6" fillId="24" borderId="8" applyNumberFormat="0" applyFont="0" applyAlignment="0" applyProtection="0"/>
    <xf numFmtId="9" fontId="6" fillId="0" borderId="0" applyFont="0" applyFill="0" applyBorder="0" applyAlignment="0" applyProtection="0"/>
    <xf numFmtId="0" fontId="17" fillId="20" borderId="9" applyNumberFormat="0" applyAlignment="0" applyProtection="0"/>
    <xf numFmtId="164" fontId="6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5" applyNumberFormat="0" applyFill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11" applyNumberFormat="0" applyFill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  <xf numFmtId="178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0" fontId="53" fillId="0" borderId="0" applyNumberFormat="0" applyFill="0" applyBorder="0" applyAlignment="0" applyProtection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11" fillId="32" borderId="0"/>
    <xf numFmtId="0" fontId="3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5" borderId="0" applyNumberFormat="0" applyBorder="0" applyAlignment="0" applyProtection="0"/>
    <xf numFmtId="0" fontId="7" fillId="8" borderId="0" applyNumberFormat="0" applyBorder="0" applyAlignment="0" applyProtection="0"/>
    <xf numFmtId="0" fontId="7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5" borderId="0" applyNumberFormat="0" applyBorder="0" applyAlignment="0" applyProtection="0"/>
    <xf numFmtId="0" fontId="9" fillId="4" borderId="0" applyNumberFormat="0" applyBorder="0" applyAlignment="0" applyProtection="0"/>
    <xf numFmtId="0" fontId="10" fillId="20" borderId="1" applyNumberFormat="0" applyAlignment="0" applyProtection="0"/>
    <xf numFmtId="0" fontId="11" fillId="21" borderId="2" applyNumberFormat="0" applyAlignment="0" applyProtection="0"/>
    <xf numFmtId="0" fontId="12" fillId="0" borderId="3" applyNumberFormat="0" applyFill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9" borderId="0" applyNumberFormat="0" applyBorder="0" applyAlignment="0" applyProtection="0"/>
    <xf numFmtId="0" fontId="13" fillId="7" borderId="1" applyNumberFormat="0" applyAlignment="0" applyProtection="0"/>
    <xf numFmtId="0" fontId="15" fillId="3" borderId="0" applyNumberFormat="0" applyBorder="0" applyAlignment="0" applyProtection="0"/>
    <xf numFmtId="0" fontId="16" fillId="23" borderId="0" applyNumberFormat="0" applyBorder="0" applyAlignment="0" applyProtection="0"/>
    <xf numFmtId="0" fontId="37" fillId="0" borderId="0"/>
    <xf numFmtId="0" fontId="6" fillId="0" borderId="0"/>
    <xf numFmtId="0" fontId="6" fillId="24" borderId="8" applyNumberFormat="0" applyFont="0" applyAlignment="0" applyProtection="0"/>
    <xf numFmtId="9" fontId="6" fillId="0" borderId="0" applyFont="0" applyFill="0" applyBorder="0" applyAlignment="0" applyProtection="0"/>
    <xf numFmtId="0" fontId="17" fillId="20" borderId="9" applyNumberFormat="0" applyAlignment="0" applyProtection="0"/>
    <xf numFmtId="164" fontId="6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5" applyNumberFormat="0" applyFill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11" applyNumberFormat="0" applyFill="0" applyAlignment="0" applyProtection="0"/>
    <xf numFmtId="164" fontId="6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3" fillId="0" borderId="0"/>
    <xf numFmtId="0" fontId="3" fillId="0" borderId="0"/>
    <xf numFmtId="164" fontId="6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0" fontId="2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24" borderId="8" applyNumberFormat="0" applyFont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3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" fillId="0" borderId="0"/>
    <xf numFmtId="0" fontId="70" fillId="0" borderId="0"/>
    <xf numFmtId="0" fontId="1" fillId="0" borderId="0"/>
    <xf numFmtId="0" fontId="1" fillId="0" borderId="0"/>
    <xf numFmtId="0" fontId="1" fillId="0" borderId="0"/>
  </cellStyleXfs>
  <cellXfs count="748">
    <xf numFmtId="0" fontId="0" fillId="0" borderId="0" xfId="0"/>
    <xf numFmtId="0" fontId="26" fillId="26" borderId="12" xfId="0" applyFont="1" applyFill="1" applyBorder="1" applyAlignment="1">
      <alignment horizontal="center"/>
    </xf>
    <xf numFmtId="0" fontId="26" fillId="26" borderId="13" xfId="0" applyFont="1" applyFill="1" applyBorder="1" applyAlignment="1">
      <alignment horizontal="center"/>
    </xf>
    <xf numFmtId="0" fontId="26" fillId="26" borderId="14" xfId="0" applyFont="1" applyFill="1" applyBorder="1" applyAlignment="1">
      <alignment horizontal="center"/>
    </xf>
    <xf numFmtId="0" fontId="27" fillId="27" borderId="15" xfId="0" applyFont="1" applyFill="1" applyBorder="1" applyAlignment="1">
      <alignment horizontal="center"/>
    </xf>
    <xf numFmtId="0" fontId="0" fillId="26" borderId="0" xfId="0" applyFill="1"/>
    <xf numFmtId="175" fontId="0" fillId="26" borderId="0" xfId="0" applyNumberFormat="1" applyFill="1"/>
    <xf numFmtId="170" fontId="0" fillId="26" borderId="0" xfId="0" applyNumberFormat="1" applyFill="1"/>
    <xf numFmtId="10" fontId="0" fillId="26" borderId="0" xfId="0" applyNumberFormat="1" applyFill="1"/>
    <xf numFmtId="0" fontId="26" fillId="26" borderId="0" xfId="0" applyFont="1" applyFill="1"/>
    <xf numFmtId="0" fontId="26" fillId="26" borderId="0" xfId="0" applyFont="1" applyFill="1" applyAlignment="1">
      <alignment horizontal="center"/>
    </xf>
    <xf numFmtId="167" fontId="0" fillId="26" borderId="0" xfId="0" applyNumberFormat="1" applyFill="1"/>
    <xf numFmtId="176" fontId="0" fillId="26" borderId="0" xfId="0" applyNumberFormat="1" applyFill="1"/>
    <xf numFmtId="168" fontId="0" fillId="26" borderId="0" xfId="0" applyNumberFormat="1" applyFill="1"/>
    <xf numFmtId="164" fontId="0" fillId="26" borderId="0" xfId="0" applyNumberFormat="1" applyFill="1"/>
    <xf numFmtId="164" fontId="26" fillId="26" borderId="0" xfId="227" applyFont="1" applyFill="1"/>
    <xf numFmtId="0" fontId="27" fillId="26" borderId="16" xfId="0" applyFont="1" applyFill="1" applyBorder="1" applyAlignment="1">
      <alignment horizontal="left"/>
    </xf>
    <xf numFmtId="10" fontId="26" fillId="26" borderId="17" xfId="0" applyNumberFormat="1" applyFont="1" applyFill="1" applyBorder="1" applyAlignment="1">
      <alignment horizontal="center"/>
    </xf>
    <xf numFmtId="10" fontId="26" fillId="26" borderId="0" xfId="0" applyNumberFormat="1" applyFont="1" applyFill="1" applyAlignment="1"/>
    <xf numFmtId="0" fontId="26" fillId="26" borderId="0" xfId="0" applyFont="1" applyFill="1" applyBorder="1"/>
    <xf numFmtId="0" fontId="27" fillId="26" borderId="18" xfId="0" applyFont="1" applyFill="1" applyBorder="1" applyAlignment="1">
      <alignment horizontal="left"/>
    </xf>
    <xf numFmtId="166" fontId="6" fillId="26" borderId="0" xfId="227" applyNumberFormat="1" applyFont="1" applyFill="1" applyAlignment="1"/>
    <xf numFmtId="169" fontId="0" fillId="26" borderId="0" xfId="0" applyNumberFormat="1" applyFill="1"/>
    <xf numFmtId="167" fontId="6" fillId="26" borderId="0" xfId="227" applyNumberFormat="1" applyFont="1" applyFill="1"/>
    <xf numFmtId="0" fontId="26" fillId="26" borderId="18" xfId="0" applyFont="1" applyFill="1" applyBorder="1" applyAlignment="1">
      <alignment horizontal="left"/>
    </xf>
    <xf numFmtId="0" fontId="29" fillId="26" borderId="18" xfId="0" applyFont="1" applyFill="1" applyBorder="1" applyAlignment="1">
      <alignment horizontal="left"/>
    </xf>
    <xf numFmtId="14" fontId="29" fillId="26" borderId="18" xfId="0" applyNumberFormat="1" applyFont="1" applyFill="1" applyBorder="1" applyAlignment="1">
      <alignment horizontal="left"/>
    </xf>
    <xf numFmtId="169" fontId="26" fillId="26" borderId="19" xfId="0" applyNumberFormat="1" applyFont="1" applyFill="1" applyBorder="1"/>
    <xf numFmtId="17" fontId="29" fillId="26" borderId="18" xfId="0" applyNumberFormat="1" applyFont="1" applyFill="1" applyBorder="1" applyAlignment="1">
      <alignment horizontal="left"/>
    </xf>
    <xf numFmtId="14" fontId="26" fillId="26" borderId="19" xfId="0" applyNumberFormat="1" applyFont="1" applyFill="1" applyBorder="1"/>
    <xf numFmtId="0" fontId="26" fillId="26" borderId="18" xfId="0" applyFont="1" applyFill="1" applyBorder="1"/>
    <xf numFmtId="164" fontId="26" fillId="26" borderId="19" xfId="227" applyFont="1" applyFill="1" applyBorder="1"/>
    <xf numFmtId="164" fontId="26" fillId="26" borderId="19" xfId="0" applyNumberFormat="1" applyFont="1" applyFill="1" applyBorder="1"/>
    <xf numFmtId="0" fontId="33" fillId="26" borderId="20" xfId="0" applyFont="1" applyFill="1" applyBorder="1" applyAlignment="1">
      <alignment wrapText="1"/>
    </xf>
    <xf numFmtId="0" fontId="33" fillId="26" borderId="20" xfId="0" applyFont="1" applyFill="1" applyBorder="1" applyAlignment="1">
      <alignment horizontal="center" wrapText="1"/>
    </xf>
    <xf numFmtId="4" fontId="33" fillId="26" borderId="20" xfId="0" applyNumberFormat="1" applyFont="1" applyFill="1" applyBorder="1" applyAlignment="1">
      <alignment horizontal="right" wrapText="1"/>
    </xf>
    <xf numFmtId="0" fontId="33" fillId="26" borderId="20" xfId="0" applyFont="1" applyFill="1" applyBorder="1" applyAlignment="1">
      <alignment horizontal="right" wrapText="1"/>
    </xf>
    <xf numFmtId="0" fontId="0" fillId="26" borderId="0" xfId="0" applyFill="1" applyBorder="1"/>
    <xf numFmtId="14" fontId="26" fillId="26" borderId="0" xfId="0" applyNumberFormat="1" applyFont="1" applyFill="1" applyBorder="1"/>
    <xf numFmtId="0" fontId="26" fillId="26" borderId="0" xfId="0" applyFont="1" applyFill="1" applyBorder="1" applyAlignment="1">
      <alignment horizontal="centerContinuous"/>
    </xf>
    <xf numFmtId="2" fontId="0" fillId="26" borderId="0" xfId="0" applyNumberFormat="1" applyFill="1" applyBorder="1"/>
    <xf numFmtId="10" fontId="26" fillId="26" borderId="0" xfId="0" applyNumberFormat="1" applyFont="1" applyFill="1" applyBorder="1" applyAlignment="1">
      <alignment horizontal="center"/>
    </xf>
    <xf numFmtId="168" fontId="26" fillId="26" borderId="19" xfId="0" applyNumberFormat="1" applyFont="1" applyFill="1" applyBorder="1"/>
    <xf numFmtId="181" fontId="0" fillId="26" borderId="0" xfId="0" applyNumberFormat="1" applyFill="1"/>
    <xf numFmtId="0" fontId="35" fillId="26" borderId="0" xfId="0" applyFont="1" applyFill="1" applyAlignment="1">
      <alignment horizontal="center"/>
    </xf>
    <xf numFmtId="174" fontId="26" fillId="22" borderId="21" xfId="0" applyNumberFormat="1" applyFont="1" applyFill="1" applyBorder="1" applyAlignment="1">
      <alignment horizontal="center"/>
    </xf>
    <xf numFmtId="171" fontId="26" fillId="22" borderId="21" xfId="153" applyNumberFormat="1" applyFont="1" applyFill="1" applyBorder="1"/>
    <xf numFmtId="174" fontId="26" fillId="26" borderId="0" xfId="0" applyNumberFormat="1" applyFont="1" applyFill="1" applyBorder="1" applyAlignment="1">
      <alignment horizontal="center"/>
    </xf>
    <xf numFmtId="171" fontId="26" fillId="26" borderId="0" xfId="153" applyNumberFormat="1" applyFont="1" applyFill="1" applyBorder="1"/>
    <xf numFmtId="174" fontId="26" fillId="22" borderId="0" xfId="0" applyNumberFormat="1" applyFont="1" applyFill="1" applyBorder="1" applyAlignment="1">
      <alignment horizontal="center"/>
    </xf>
    <xf numFmtId="171" fontId="26" fillId="22" borderId="0" xfId="153" applyNumberFormat="1" applyFont="1" applyFill="1" applyBorder="1"/>
    <xf numFmtId="168" fontId="26" fillId="22" borderId="21" xfId="0" applyNumberFormat="1" applyFont="1" applyFill="1" applyBorder="1"/>
    <xf numFmtId="168" fontId="26" fillId="26" borderId="0" xfId="0" applyNumberFormat="1" applyFont="1" applyFill="1" applyBorder="1"/>
    <xf numFmtId="168" fontId="26" fillId="22" borderId="0" xfId="0" applyNumberFormat="1" applyFont="1" applyFill="1" applyBorder="1"/>
    <xf numFmtId="0" fontId="0" fillId="22" borderId="0" xfId="0" applyFill="1" applyBorder="1"/>
    <xf numFmtId="10" fontId="0" fillId="26" borderId="0" xfId="153" applyNumberFormat="1" applyFont="1" applyFill="1"/>
    <xf numFmtId="0" fontId="0" fillId="26" borderId="0" xfId="0" applyFill="1" applyAlignment="1">
      <alignment horizontal="center"/>
    </xf>
    <xf numFmtId="0" fontId="26" fillId="26" borderId="22" xfId="0" applyFont="1" applyFill="1" applyBorder="1" applyAlignment="1">
      <alignment horizontal="center"/>
    </xf>
    <xf numFmtId="0" fontId="29" fillId="26" borderId="18" xfId="0" applyFont="1" applyFill="1" applyBorder="1"/>
    <xf numFmtId="166" fontId="29" fillId="26" borderId="19" xfId="0" applyNumberFormat="1" applyFont="1" applyFill="1" applyBorder="1"/>
    <xf numFmtId="166" fontId="26" fillId="26" borderId="19" xfId="0" applyNumberFormat="1" applyFont="1" applyFill="1" applyBorder="1"/>
    <xf numFmtId="166" fontId="26" fillId="26" borderId="0" xfId="0" applyNumberFormat="1" applyFont="1" applyFill="1"/>
    <xf numFmtId="14" fontId="26" fillId="26" borderId="16" xfId="0" applyNumberFormat="1" applyFont="1" applyFill="1" applyBorder="1" applyAlignment="1">
      <alignment horizontal="center"/>
    </xf>
    <xf numFmtId="14" fontId="26" fillId="26" borderId="23" xfId="0" applyNumberFormat="1" applyFont="1" applyFill="1" applyBorder="1" applyAlignment="1">
      <alignment horizontal="center"/>
    </xf>
    <xf numFmtId="10" fontId="26" fillId="26" borderId="19" xfId="153" applyNumberFormat="1" applyFont="1" applyFill="1" applyBorder="1"/>
    <xf numFmtId="164" fontId="0" fillId="26" borderId="0" xfId="227" applyFont="1" applyFill="1"/>
    <xf numFmtId="166" fontId="27" fillId="27" borderId="19" xfId="227" applyNumberFormat="1" applyFont="1" applyFill="1" applyBorder="1"/>
    <xf numFmtId="0" fontId="26" fillId="28" borderId="18" xfId="0" applyFont="1" applyFill="1" applyBorder="1" applyAlignment="1">
      <alignment horizontal="left"/>
    </xf>
    <xf numFmtId="175" fontId="26" fillId="28" borderId="19" xfId="0" applyNumberFormat="1" applyFont="1" applyFill="1" applyBorder="1"/>
    <xf numFmtId="0" fontId="26" fillId="28" borderId="18" xfId="0" applyFont="1" applyFill="1" applyBorder="1"/>
    <xf numFmtId="168" fontId="26" fillId="28" borderId="0" xfId="0" applyNumberFormat="1" applyFont="1" applyFill="1"/>
    <xf numFmtId="168" fontId="0" fillId="28" borderId="0" xfId="0" applyNumberFormat="1" applyFill="1"/>
    <xf numFmtId="166" fontId="6" fillId="28" borderId="0" xfId="227" applyNumberFormat="1" applyFont="1" applyFill="1" applyAlignment="1"/>
    <xf numFmtId="169" fontId="0" fillId="28" borderId="0" xfId="0" applyNumberFormat="1" applyFill="1"/>
    <xf numFmtId="167" fontId="6" fillId="28" borderId="0" xfId="227" applyNumberFormat="1" applyFont="1" applyFill="1"/>
    <xf numFmtId="164" fontId="0" fillId="28" borderId="0" xfId="0" applyNumberFormat="1" applyFill="1"/>
    <xf numFmtId="167" fontId="0" fillId="28" borderId="0" xfId="0" applyNumberFormat="1" applyFill="1"/>
    <xf numFmtId="10" fontId="27" fillId="27" borderId="19" xfId="0" applyNumberFormat="1" applyFont="1" applyFill="1" applyBorder="1"/>
    <xf numFmtId="0" fontId="27" fillId="26" borderId="18" xfId="0" applyFont="1" applyFill="1" applyBorder="1"/>
    <xf numFmtId="0" fontId="27" fillId="26" borderId="24" xfId="0" applyFont="1" applyFill="1" applyBorder="1"/>
    <xf numFmtId="17" fontId="27" fillId="27" borderId="23" xfId="0" applyNumberFormat="1" applyFont="1" applyFill="1" applyBorder="1"/>
    <xf numFmtId="10" fontId="27" fillId="27" borderId="25" xfId="0" applyNumberFormat="1" applyFont="1" applyFill="1" applyBorder="1"/>
    <xf numFmtId="166" fontId="26" fillId="26" borderId="0" xfId="0" applyNumberFormat="1" applyFont="1" applyFill="1" applyBorder="1"/>
    <xf numFmtId="14" fontId="29" fillId="26" borderId="19" xfId="0" applyNumberFormat="1" applyFont="1" applyFill="1" applyBorder="1"/>
    <xf numFmtId="10" fontId="26" fillId="26" borderId="12" xfId="0" applyNumberFormat="1" applyFont="1" applyFill="1" applyBorder="1" applyAlignment="1">
      <alignment horizontal="center"/>
    </xf>
    <xf numFmtId="10" fontId="26" fillId="26" borderId="13" xfId="0" applyNumberFormat="1" applyFont="1" applyFill="1" applyBorder="1" applyAlignment="1">
      <alignment horizontal="center"/>
    </xf>
    <xf numFmtId="10" fontId="26" fillId="26" borderId="25" xfId="153" applyNumberFormat="1" applyFont="1" applyFill="1" applyBorder="1" applyAlignment="1">
      <alignment horizontal="center"/>
    </xf>
    <xf numFmtId="0" fontId="26" fillId="26" borderId="0" xfId="0" applyFont="1" applyFill="1" applyBorder="1" applyAlignment="1">
      <alignment horizontal="center"/>
    </xf>
    <xf numFmtId="168" fontId="26" fillId="26" borderId="19" xfId="0" applyNumberFormat="1" applyFont="1" applyFill="1" applyBorder="1" applyAlignment="1">
      <alignment horizontal="right"/>
    </xf>
    <xf numFmtId="2" fontId="26" fillId="26" borderId="26" xfId="0" applyNumberFormat="1" applyFont="1" applyFill="1" applyBorder="1" applyAlignment="1">
      <alignment horizontal="center"/>
    </xf>
    <xf numFmtId="2" fontId="26" fillId="26" borderId="23" xfId="0" applyNumberFormat="1" applyFont="1" applyFill="1" applyBorder="1" applyAlignment="1">
      <alignment horizontal="center"/>
    </xf>
    <xf numFmtId="10" fontId="26" fillId="26" borderId="27" xfId="153" applyNumberFormat="1" applyFont="1" applyFill="1" applyBorder="1" applyAlignment="1">
      <alignment horizontal="center"/>
    </xf>
    <xf numFmtId="0" fontId="29" fillId="26" borderId="16" xfId="0" applyFont="1" applyFill="1" applyBorder="1" applyAlignment="1">
      <alignment horizontal="left"/>
    </xf>
    <xf numFmtId="0" fontId="29" fillId="26" borderId="24" xfId="0" applyFont="1" applyFill="1" applyBorder="1"/>
    <xf numFmtId="10" fontId="26" fillId="26" borderId="0" xfId="227" applyNumberFormat="1" applyFont="1" applyFill="1" applyAlignment="1">
      <alignment horizontal="center"/>
    </xf>
    <xf numFmtId="10" fontId="26" fillId="26" borderId="0" xfId="0" applyNumberFormat="1" applyFont="1" applyFill="1" applyAlignment="1">
      <alignment horizontal="center"/>
    </xf>
    <xf numFmtId="10" fontId="26" fillId="26" borderId="0" xfId="153" applyNumberFormat="1" applyFont="1" applyFill="1" applyAlignment="1">
      <alignment horizontal="center"/>
    </xf>
    <xf numFmtId="166" fontId="26" fillId="26" borderId="0" xfId="227" applyNumberFormat="1" applyFont="1" applyFill="1" applyBorder="1"/>
    <xf numFmtId="10" fontId="26" fillId="26" borderId="0" xfId="153" applyNumberFormat="1" applyFont="1" applyFill="1" applyBorder="1"/>
    <xf numFmtId="171" fontId="0" fillId="26" borderId="0" xfId="153" applyNumberFormat="1" applyFont="1" applyFill="1"/>
    <xf numFmtId="0" fontId="26" fillId="26" borderId="16" xfId="0" applyFont="1" applyFill="1" applyBorder="1"/>
    <xf numFmtId="180" fontId="26" fillId="26" borderId="26" xfId="0" applyNumberFormat="1" applyFont="1" applyFill="1" applyBorder="1"/>
    <xf numFmtId="169" fontId="26" fillId="0" borderId="26" xfId="0" applyNumberFormat="1" applyFont="1" applyBorder="1" applyAlignment="1">
      <alignment horizontal="center"/>
    </xf>
    <xf numFmtId="0" fontId="26" fillId="26" borderId="26" xfId="0" applyFont="1" applyFill="1" applyBorder="1" applyAlignment="1">
      <alignment horizontal="center"/>
    </xf>
    <xf numFmtId="0" fontId="26" fillId="0" borderId="16" xfId="0" applyFont="1" applyBorder="1"/>
    <xf numFmtId="0" fontId="26" fillId="26" borderId="23" xfId="0" applyFont="1" applyFill="1" applyBorder="1"/>
    <xf numFmtId="14" fontId="0" fillId="26" borderId="0" xfId="0" applyNumberFormat="1" applyFill="1"/>
    <xf numFmtId="0" fontId="26" fillId="26" borderId="23" xfId="0" applyFont="1" applyFill="1" applyBorder="1" applyAlignment="1">
      <alignment horizontal="center"/>
    </xf>
    <xf numFmtId="165" fontId="0" fillId="26" borderId="0" xfId="0" applyNumberFormat="1" applyFill="1"/>
    <xf numFmtId="166" fontId="27" fillId="27" borderId="18" xfId="227" applyNumberFormat="1" applyFont="1" applyFill="1" applyBorder="1" applyAlignment="1">
      <alignment horizontal="center"/>
    </xf>
    <xf numFmtId="0" fontId="27" fillId="27" borderId="19" xfId="0" applyFont="1" applyFill="1" applyBorder="1" applyAlignment="1">
      <alignment horizontal="center"/>
    </xf>
    <xf numFmtId="0" fontId="14" fillId="26" borderId="0" xfId="68" applyFill="1" applyAlignment="1" applyProtection="1"/>
    <xf numFmtId="10" fontId="27" fillId="27" borderId="18" xfId="0" applyNumberFormat="1" applyFont="1" applyFill="1" applyBorder="1" applyAlignment="1">
      <alignment horizontal="center"/>
    </xf>
    <xf numFmtId="10" fontId="27" fillId="27" borderId="19" xfId="153" applyNumberFormat="1" applyFont="1" applyFill="1" applyBorder="1" applyAlignment="1">
      <alignment horizontal="center"/>
    </xf>
    <xf numFmtId="172" fontId="0" fillId="26" borderId="0" xfId="153" applyNumberFormat="1" applyFont="1" applyFill="1"/>
    <xf numFmtId="0" fontId="26" fillId="26" borderId="28" xfId="0" applyFont="1" applyFill="1" applyBorder="1" applyAlignment="1">
      <alignment horizontal="center"/>
    </xf>
    <xf numFmtId="171" fontId="26" fillId="26" borderId="0" xfId="0" applyNumberFormat="1" applyFont="1" applyFill="1"/>
    <xf numFmtId="0" fontId="0" fillId="26" borderId="16" xfId="0" applyFill="1" applyBorder="1"/>
    <xf numFmtId="0" fontId="0" fillId="26" borderId="29" xfId="0" applyFill="1" applyBorder="1" applyAlignment="1">
      <alignment horizontal="center"/>
    </xf>
    <xf numFmtId="0" fontId="0" fillId="26" borderId="29" xfId="0" applyFill="1" applyBorder="1"/>
    <xf numFmtId="0" fontId="0" fillId="26" borderId="23" xfId="0" applyFill="1" applyBorder="1"/>
    <xf numFmtId="0" fontId="28" fillId="26" borderId="0" xfId="0" applyFont="1" applyFill="1"/>
    <xf numFmtId="172" fontId="27" fillId="22" borderId="21" xfId="153" applyNumberFormat="1" applyFont="1" applyFill="1" applyBorder="1"/>
    <xf numFmtId="10" fontId="27" fillId="22" borderId="21" xfId="153" applyNumberFormat="1" applyFont="1" applyFill="1" applyBorder="1"/>
    <xf numFmtId="10" fontId="29" fillId="22" borderId="21" xfId="153" applyNumberFormat="1" applyFont="1" applyFill="1" applyBorder="1"/>
    <xf numFmtId="10" fontId="0" fillId="22" borderId="21" xfId="153" applyNumberFormat="1" applyFont="1" applyFill="1" applyBorder="1"/>
    <xf numFmtId="2" fontId="0" fillId="22" borderId="21" xfId="0" applyNumberFormat="1" applyFill="1" applyBorder="1"/>
    <xf numFmtId="172" fontId="33" fillId="26" borderId="20" xfId="153" applyNumberFormat="1" applyFont="1" applyFill="1" applyBorder="1" applyAlignment="1">
      <alignment wrapText="1"/>
    </xf>
    <xf numFmtId="174" fontId="27" fillId="27" borderId="18" xfId="0" applyNumberFormat="1" applyFont="1" applyFill="1" applyBorder="1" applyAlignment="1">
      <alignment horizontal="center"/>
    </xf>
    <xf numFmtId="10" fontId="0" fillId="26" borderId="0" xfId="0" applyNumberFormat="1" applyFill="1" applyBorder="1"/>
    <xf numFmtId="172" fontId="0" fillId="26" borderId="0" xfId="0" applyNumberFormat="1" applyFill="1" applyBorder="1"/>
    <xf numFmtId="172" fontId="27" fillId="26" borderId="0" xfId="0" applyNumberFormat="1" applyFont="1" applyFill="1" applyBorder="1"/>
    <xf numFmtId="174" fontId="0" fillId="26" borderId="0" xfId="0" applyNumberFormat="1" applyFill="1"/>
    <xf numFmtId="166" fontId="0" fillId="26" borderId="0" xfId="227" applyNumberFormat="1" applyFont="1" applyFill="1"/>
    <xf numFmtId="10" fontId="28" fillId="26" borderId="0" xfId="153" applyNumberFormat="1" applyFont="1" applyFill="1"/>
    <xf numFmtId="171" fontId="0" fillId="26" borderId="0" xfId="0" applyNumberFormat="1" applyFill="1"/>
    <xf numFmtId="172" fontId="27" fillId="26" borderId="0" xfId="153" applyNumberFormat="1" applyFont="1" applyFill="1" applyBorder="1"/>
    <xf numFmtId="10" fontId="27" fillId="26" borderId="0" xfId="153" applyNumberFormat="1" applyFont="1" applyFill="1" applyBorder="1"/>
    <xf numFmtId="10" fontId="29" fillId="26" borderId="0" xfId="153" applyNumberFormat="1" applyFont="1" applyFill="1" applyBorder="1"/>
    <xf numFmtId="10" fontId="0" fillId="26" borderId="0" xfId="153" applyNumberFormat="1" applyFont="1" applyFill="1" applyBorder="1"/>
    <xf numFmtId="172" fontId="27" fillId="22" borderId="0" xfId="153" applyNumberFormat="1" applyFont="1" applyFill="1" applyBorder="1"/>
    <xf numFmtId="10" fontId="27" fillId="22" borderId="0" xfId="153" applyNumberFormat="1" applyFont="1" applyFill="1" applyBorder="1"/>
    <xf numFmtId="10" fontId="29" fillId="22" borderId="0" xfId="153" applyNumberFormat="1" applyFont="1" applyFill="1" applyBorder="1"/>
    <xf numFmtId="10" fontId="0" fillId="22" borderId="0" xfId="153" applyNumberFormat="1" applyFont="1" applyFill="1" applyBorder="1"/>
    <xf numFmtId="2" fontId="0" fillId="22" borderId="0" xfId="0" applyNumberFormat="1" applyFill="1" applyBorder="1"/>
    <xf numFmtId="10" fontId="26" fillId="22" borderId="0" xfId="153" applyNumberFormat="1" applyFont="1" applyFill="1" applyBorder="1"/>
    <xf numFmtId="174" fontId="27" fillId="27" borderId="24" xfId="0" applyNumberFormat="1" applyFont="1" applyFill="1" applyBorder="1" applyAlignment="1">
      <alignment horizontal="center"/>
    </xf>
    <xf numFmtId="0" fontId="0" fillId="26" borderId="30" xfId="0" applyFill="1" applyBorder="1"/>
    <xf numFmtId="10" fontId="0" fillId="26" borderId="30" xfId="0" applyNumberFormat="1" applyFill="1" applyBorder="1"/>
    <xf numFmtId="172" fontId="0" fillId="26" borderId="30" xfId="0" applyNumberFormat="1" applyFill="1" applyBorder="1"/>
    <xf numFmtId="172" fontId="27" fillId="26" borderId="30" xfId="0" applyNumberFormat="1" applyFont="1" applyFill="1" applyBorder="1"/>
    <xf numFmtId="0" fontId="0" fillId="22" borderId="31" xfId="0" applyFill="1" applyBorder="1"/>
    <xf numFmtId="169" fontId="0" fillId="0" borderId="0" xfId="0" applyNumberFormat="1"/>
    <xf numFmtId="1" fontId="0" fillId="26" borderId="0" xfId="0" applyNumberFormat="1" applyFill="1"/>
    <xf numFmtId="166" fontId="26" fillId="26" borderId="0" xfId="227" applyNumberFormat="1" applyFont="1" applyFill="1"/>
    <xf numFmtId="0" fontId="36" fillId="26" borderId="29" xfId="0" applyFont="1" applyFill="1" applyBorder="1" applyAlignment="1">
      <alignment horizontal="center"/>
    </xf>
    <xf numFmtId="0" fontId="35" fillId="26" borderId="30" xfId="0" applyFont="1" applyFill="1" applyBorder="1" applyAlignment="1">
      <alignment horizontal="center"/>
    </xf>
    <xf numFmtId="4" fontId="0" fillId="0" borderId="0" xfId="0" applyNumberFormat="1"/>
    <xf numFmtId="0" fontId="28" fillId="0" borderId="0" xfId="0" applyFont="1"/>
    <xf numFmtId="14" fontId="0" fillId="0" borderId="0" xfId="0" applyNumberFormat="1"/>
    <xf numFmtId="0" fontId="33" fillId="27" borderId="20" xfId="0" applyFont="1" applyFill="1" applyBorder="1" applyAlignment="1">
      <alignment wrapText="1"/>
    </xf>
    <xf numFmtId="0" fontId="33" fillId="27" borderId="34" xfId="0" applyFont="1" applyFill="1" applyBorder="1" applyAlignment="1">
      <alignment horizontal="center" wrapText="1"/>
    </xf>
    <xf numFmtId="14" fontId="0" fillId="26" borderId="0" xfId="0" applyNumberFormat="1" applyFill="1" applyAlignment="1">
      <alignment horizontal="center"/>
    </xf>
    <xf numFmtId="168" fontId="27" fillId="26" borderId="0" xfId="0" applyNumberFormat="1" applyFont="1" applyFill="1" applyAlignment="1">
      <alignment horizontal="center"/>
    </xf>
    <xf numFmtId="15" fontId="0" fillId="0" borderId="0" xfId="0" applyNumberFormat="1"/>
    <xf numFmtId="10" fontId="26" fillId="26" borderId="0" xfId="0" applyNumberFormat="1" applyFont="1" applyFill="1"/>
    <xf numFmtId="164" fontId="27" fillId="27" borderId="0" xfId="227" applyFont="1" applyFill="1" applyBorder="1" applyAlignment="1">
      <alignment horizontal="center"/>
    </xf>
    <xf numFmtId="4" fontId="0" fillId="26" borderId="0" xfId="0" applyNumberFormat="1" applyFill="1"/>
    <xf numFmtId="3" fontId="0" fillId="26" borderId="0" xfId="0" applyNumberFormat="1" applyFill="1"/>
    <xf numFmtId="0" fontId="27" fillId="27" borderId="0" xfId="0" applyFont="1" applyFill="1" applyAlignment="1">
      <alignment horizontal="center"/>
    </xf>
    <xf numFmtId="166" fontId="0" fillId="26" borderId="0" xfId="0" applyNumberFormat="1" applyFill="1"/>
    <xf numFmtId="0" fontId="26" fillId="26" borderId="0" xfId="0" applyFont="1" applyFill="1" applyBorder="1" applyAlignment="1"/>
    <xf numFmtId="10" fontId="27" fillId="27" borderId="26" xfId="153" applyNumberFormat="1" applyFont="1" applyFill="1" applyBorder="1"/>
    <xf numFmtId="0" fontId="27" fillId="27" borderId="26" xfId="0" applyFont="1" applyFill="1" applyBorder="1" applyAlignment="1">
      <alignment horizontal="center"/>
    </xf>
    <xf numFmtId="170" fontId="0" fillId="26" borderId="29" xfId="0" applyNumberFormat="1" applyFill="1" applyBorder="1"/>
    <xf numFmtId="0" fontId="29" fillId="26" borderId="36" xfId="0" applyFont="1" applyFill="1" applyBorder="1" applyAlignment="1">
      <alignment horizontal="center"/>
    </xf>
    <xf numFmtId="10" fontId="29" fillId="26" borderId="36" xfId="0" applyNumberFormat="1" applyFont="1" applyFill="1" applyBorder="1" applyAlignment="1">
      <alignment horizontal="center"/>
    </xf>
    <xf numFmtId="0" fontId="29" fillId="26" borderId="36" xfId="0" applyFont="1" applyFill="1" applyBorder="1"/>
    <xf numFmtId="0" fontId="29" fillId="26" borderId="37" xfId="0" applyFont="1" applyFill="1" applyBorder="1" applyAlignment="1">
      <alignment horizontal="center"/>
    </xf>
    <xf numFmtId="0" fontId="0" fillId="22" borderId="33" xfId="0" applyFill="1" applyBorder="1"/>
    <xf numFmtId="0" fontId="0" fillId="22" borderId="19" xfId="0" applyFill="1" applyBorder="1" applyAlignment="1">
      <alignment horizontal="right"/>
    </xf>
    <xf numFmtId="0" fontId="0" fillId="26" borderId="19" xfId="0" applyFill="1" applyBorder="1" applyAlignment="1">
      <alignment horizontal="right"/>
    </xf>
    <xf numFmtId="172" fontId="0" fillId="26" borderId="0" xfId="0" applyNumberFormat="1" applyFill="1"/>
    <xf numFmtId="164" fontId="26" fillId="26" borderId="0" xfId="0" applyNumberFormat="1" applyFont="1" applyFill="1"/>
    <xf numFmtId="183" fontId="28" fillId="26" borderId="0" xfId="0" applyNumberFormat="1" applyFont="1" applyFill="1"/>
    <xf numFmtId="2" fontId="29" fillId="26" borderId="0" xfId="0" applyNumberFormat="1" applyFont="1" applyFill="1"/>
    <xf numFmtId="10" fontId="26" fillId="26" borderId="0" xfId="165" applyNumberFormat="1" applyFont="1" applyFill="1" applyAlignment="1">
      <alignment horizontal="center"/>
    </xf>
    <xf numFmtId="164" fontId="26" fillId="29" borderId="0" xfId="227" applyFont="1" applyFill="1" applyBorder="1"/>
    <xf numFmtId="0" fontId="0" fillId="29" borderId="0" xfId="0" applyFill="1"/>
    <xf numFmtId="172" fontId="26" fillId="26" borderId="0" xfId="165" applyNumberFormat="1" applyFont="1" applyFill="1" applyBorder="1"/>
    <xf numFmtId="10" fontId="0" fillId="26" borderId="0" xfId="165" applyNumberFormat="1" applyFont="1" applyFill="1"/>
    <xf numFmtId="164" fontId="26" fillId="26" borderId="0" xfId="239" applyNumberFormat="1" applyFont="1" applyFill="1" applyBorder="1" applyAlignment="1">
      <alignment horizontal="centerContinuous"/>
    </xf>
    <xf numFmtId="171" fontId="0" fillId="26" borderId="0" xfId="165" applyNumberFormat="1" applyFont="1" applyFill="1"/>
    <xf numFmtId="10" fontId="26" fillId="26" borderId="0" xfId="239" applyNumberFormat="1" applyFont="1" applyFill="1" applyAlignment="1"/>
    <xf numFmtId="166" fontId="27" fillId="27" borderId="19" xfId="239" applyNumberFormat="1" applyFont="1" applyFill="1" applyBorder="1"/>
    <xf numFmtId="166" fontId="30" fillId="28" borderId="0" xfId="239" applyNumberFormat="1" applyFont="1" applyFill="1" applyAlignment="1"/>
    <xf numFmtId="167" fontId="30" fillId="28" borderId="0" xfId="239" applyNumberFormat="1" applyFont="1" applyFill="1"/>
    <xf numFmtId="164" fontId="0" fillId="26" borderId="0" xfId="239" applyNumberFormat="1" applyFont="1" applyFill="1" applyBorder="1"/>
    <xf numFmtId="166" fontId="30" fillId="26" borderId="0" xfId="239" applyNumberFormat="1" applyFont="1" applyFill="1" applyAlignment="1"/>
    <xf numFmtId="167" fontId="30" fillId="26" borderId="0" xfId="239" applyNumberFormat="1" applyFont="1" applyFill="1"/>
    <xf numFmtId="177" fontId="30" fillId="26" borderId="0" xfId="239" applyNumberFormat="1" applyFill="1"/>
    <xf numFmtId="164" fontId="26" fillId="26" borderId="19" xfId="239" applyFont="1" applyFill="1" applyBorder="1"/>
    <xf numFmtId="166" fontId="26" fillId="26" borderId="0" xfId="239" applyNumberFormat="1" applyFont="1" applyFill="1" applyAlignment="1"/>
    <xf numFmtId="10" fontId="26" fillId="26" borderId="0" xfId="165" applyNumberFormat="1" applyFont="1" applyFill="1"/>
    <xf numFmtId="166" fontId="28" fillId="26" borderId="0" xfId="239" applyNumberFormat="1" applyFont="1" applyFill="1"/>
    <xf numFmtId="166" fontId="0" fillId="26" borderId="0" xfId="239" applyNumberFormat="1" applyFont="1" applyFill="1"/>
    <xf numFmtId="168" fontId="27" fillId="29" borderId="0" xfId="0" applyNumberFormat="1" applyFont="1" applyFill="1" applyBorder="1" applyAlignment="1">
      <alignment horizontal="center"/>
    </xf>
    <xf numFmtId="0" fontId="0" fillId="29" borderId="0" xfId="0" applyFill="1" applyBorder="1"/>
    <xf numFmtId="2" fontId="0" fillId="26" borderId="0" xfId="0" applyNumberFormat="1" applyFill="1"/>
    <xf numFmtId="10" fontId="0" fillId="29" borderId="0" xfId="0" applyNumberFormat="1" applyFill="1"/>
    <xf numFmtId="164" fontId="0" fillId="29" borderId="0" xfId="0" applyNumberFormat="1" applyFill="1"/>
    <xf numFmtId="164" fontId="0" fillId="0" borderId="0" xfId="227" applyFont="1"/>
    <xf numFmtId="166" fontId="0" fillId="29" borderId="0" xfId="0" applyNumberFormat="1" applyFill="1"/>
    <xf numFmtId="0" fontId="26" fillId="29" borderId="0" xfId="0" applyFont="1" applyFill="1" applyBorder="1"/>
    <xf numFmtId="0" fontId="26" fillId="29" borderId="0" xfId="0" applyFont="1" applyFill="1" applyBorder="1" applyAlignment="1">
      <alignment horizontal="center"/>
    </xf>
    <xf numFmtId="166" fontId="26" fillId="29" borderId="0" xfId="0" applyNumberFormat="1" applyFont="1" applyFill="1" applyBorder="1"/>
    <xf numFmtId="0" fontId="26" fillId="29" borderId="0" xfId="0" applyFont="1" applyFill="1"/>
    <xf numFmtId="0" fontId="27" fillId="27" borderId="38" xfId="0" applyFont="1" applyFill="1" applyBorder="1" applyAlignment="1">
      <alignment horizontal="center"/>
    </xf>
    <xf numFmtId="171" fontId="26" fillId="29" borderId="0" xfId="153" applyNumberFormat="1" applyFont="1" applyFill="1"/>
    <xf numFmtId="0" fontId="6" fillId="0" borderId="0" xfId="0" applyFont="1"/>
    <xf numFmtId="14" fontId="0" fillId="29" borderId="0" xfId="0" applyNumberFormat="1" applyFill="1"/>
    <xf numFmtId="179" fontId="0" fillId="29" borderId="0" xfId="0" applyNumberFormat="1" applyFill="1"/>
    <xf numFmtId="0" fontId="6" fillId="27" borderId="0" xfId="0" applyFont="1" applyFill="1"/>
    <xf numFmtId="164" fontId="0" fillId="26" borderId="0" xfId="0" applyNumberFormat="1" applyFill="1" applyBorder="1"/>
    <xf numFmtId="171" fontId="26" fillId="26" borderId="0" xfId="153" applyNumberFormat="1" applyFont="1" applyFill="1"/>
    <xf numFmtId="166" fontId="26" fillId="26" borderId="0" xfId="227" applyNumberFormat="1" applyFont="1" applyFill="1" applyAlignment="1">
      <alignment horizontal="center"/>
    </xf>
    <xf numFmtId="170" fontId="26" fillId="26" borderId="0" xfId="0" applyNumberFormat="1" applyFont="1" applyFill="1"/>
    <xf numFmtId="164" fontId="26" fillId="26" borderId="0" xfId="227" applyFont="1" applyFill="1" applyAlignment="1">
      <alignment horizontal="center"/>
    </xf>
    <xf numFmtId="166" fontId="27" fillId="29" borderId="0" xfId="227" applyNumberFormat="1" applyFont="1" applyFill="1"/>
    <xf numFmtId="164" fontId="26" fillId="29" borderId="0" xfId="227" applyFont="1" applyFill="1" applyAlignment="1">
      <alignment horizontal="center"/>
    </xf>
    <xf numFmtId="1" fontId="26" fillId="26" borderId="0" xfId="0" applyNumberFormat="1" applyFont="1" applyFill="1"/>
    <xf numFmtId="189" fontId="0" fillId="26" borderId="0" xfId="153" applyNumberFormat="1" applyFont="1" applyFill="1"/>
    <xf numFmtId="10" fontId="0" fillId="26" borderId="0" xfId="153" applyNumberFormat="1" applyFont="1" applyFill="1" applyAlignment="1">
      <alignment horizontal="center"/>
    </xf>
    <xf numFmtId="168" fontId="26" fillId="26" borderId="0" xfId="0" applyNumberFormat="1" applyFont="1" applyFill="1"/>
    <xf numFmtId="10" fontId="50" fillId="26" borderId="0" xfId="0" applyNumberFormat="1" applyFont="1" applyFill="1" applyAlignment="1">
      <alignment horizontal="center"/>
    </xf>
    <xf numFmtId="168" fontId="0" fillId="29" borderId="0" xfId="0" applyNumberFormat="1" applyFill="1"/>
    <xf numFmtId="14" fontId="0" fillId="29" borderId="0" xfId="0" applyNumberFormat="1" applyFill="1" applyAlignment="1">
      <alignment horizontal="center"/>
    </xf>
    <xf numFmtId="171" fontId="0" fillId="29" borderId="0" xfId="153" applyNumberFormat="1" applyFont="1" applyFill="1" applyAlignment="1">
      <alignment horizontal="center"/>
    </xf>
    <xf numFmtId="166" fontId="0" fillId="29" borderId="0" xfId="227" applyNumberFormat="1" applyFont="1" applyFill="1" applyAlignment="1">
      <alignment horizontal="center"/>
    </xf>
    <xf numFmtId="172" fontId="27" fillId="29" borderId="0" xfId="165" applyNumberFormat="1" applyFont="1" applyFill="1" applyAlignment="1">
      <alignment horizontal="center"/>
    </xf>
    <xf numFmtId="10" fontId="26" fillId="29" borderId="0" xfId="153" applyNumberFormat="1" applyFont="1" applyFill="1" applyAlignment="1">
      <alignment horizontal="center"/>
    </xf>
    <xf numFmtId="168" fontId="26" fillId="29" borderId="0" xfId="0" applyNumberFormat="1" applyFont="1" applyFill="1"/>
    <xf numFmtId="10" fontId="26" fillId="29" borderId="0" xfId="165" applyNumberFormat="1" applyFont="1" applyFill="1"/>
    <xf numFmtId="166" fontId="0" fillId="29" borderId="0" xfId="227" applyNumberFormat="1" applyFont="1" applyFill="1"/>
    <xf numFmtId="188" fontId="27" fillId="27" borderId="38" xfId="239" applyNumberFormat="1" applyFont="1" applyFill="1" applyBorder="1" applyAlignment="1">
      <alignment horizontal="center"/>
    </xf>
    <xf numFmtId="0" fontId="26" fillId="26" borderId="30" xfId="0" applyFont="1" applyFill="1" applyBorder="1" applyAlignment="1">
      <alignment horizontal="right"/>
    </xf>
    <xf numFmtId="0" fontId="26" fillId="26" borderId="0" xfId="0" applyFont="1" applyFill="1"/>
    <xf numFmtId="172" fontId="26" fillId="26" borderId="0" xfId="0" applyNumberFormat="1" applyFont="1" applyFill="1"/>
    <xf numFmtId="166" fontId="27" fillId="27" borderId="0" xfId="227" applyNumberFormat="1" applyFont="1" applyFill="1" applyBorder="1" applyAlignment="1">
      <alignment horizontal="center"/>
    </xf>
    <xf numFmtId="164" fontId="27" fillId="27" borderId="0" xfId="227" applyNumberFormat="1" applyFont="1" applyFill="1" applyBorder="1" applyAlignment="1">
      <alignment horizontal="center"/>
    </xf>
    <xf numFmtId="10" fontId="27" fillId="27" borderId="0" xfId="153" applyNumberFormat="1" applyFont="1" applyFill="1" applyBorder="1" applyAlignment="1">
      <alignment horizontal="center"/>
    </xf>
    <xf numFmtId="176" fontId="26" fillId="26" borderId="38" xfId="0" applyNumberFormat="1" applyFont="1" applyFill="1" applyBorder="1"/>
    <xf numFmtId="190" fontId="26" fillId="26" borderId="13" xfId="0" applyNumberFormat="1" applyFont="1" applyFill="1" applyBorder="1" applyAlignment="1">
      <alignment horizontal="center"/>
    </xf>
    <xf numFmtId="172" fontId="26" fillId="26" borderId="0" xfId="0" applyNumberFormat="1" applyFont="1" applyFill="1" applyBorder="1"/>
    <xf numFmtId="0" fontId="26" fillId="31" borderId="18" xfId="0" applyFont="1" applyFill="1" applyBorder="1"/>
    <xf numFmtId="10" fontId="26" fillId="31" borderId="19" xfId="165" applyNumberFormat="1" applyFont="1" applyFill="1" applyBorder="1"/>
    <xf numFmtId="176" fontId="29" fillId="26" borderId="19" xfId="239" applyNumberFormat="1" applyFont="1" applyFill="1" applyBorder="1"/>
    <xf numFmtId="168" fontId="27" fillId="27" borderId="23" xfId="0" applyNumberFormat="1" applyFont="1" applyFill="1" applyBorder="1"/>
    <xf numFmtId="0" fontId="0" fillId="0" borderId="0" xfId="0" applyAlignment="1">
      <alignment horizontal="center"/>
    </xf>
    <xf numFmtId="168" fontId="26" fillId="26" borderId="16" xfId="0" applyNumberFormat="1" applyFon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10" fontId="0" fillId="26" borderId="0" xfId="0" applyNumberFormat="1" applyFill="1" applyAlignment="1">
      <alignment horizontal="center"/>
    </xf>
    <xf numFmtId="171" fontId="26" fillId="26" borderId="19" xfId="0" applyNumberFormat="1" applyFont="1" applyFill="1" applyBorder="1"/>
    <xf numFmtId="0" fontId="49" fillId="30" borderId="18" xfId="0" applyFont="1" applyFill="1" applyBorder="1"/>
    <xf numFmtId="0" fontId="27" fillId="29" borderId="0" xfId="0" applyFont="1" applyFill="1" applyBorder="1" applyAlignment="1">
      <alignment horizontal="center"/>
    </xf>
    <xf numFmtId="171" fontId="27" fillId="27" borderId="19" xfId="153" applyNumberFormat="1" applyFont="1" applyFill="1" applyBorder="1"/>
    <xf numFmtId="164" fontId="26" fillId="26" borderId="19" xfId="239" applyNumberFormat="1" applyFont="1" applyFill="1" applyBorder="1"/>
    <xf numFmtId="10" fontId="0" fillId="29" borderId="0" xfId="0" applyNumberFormat="1" applyFill="1" applyBorder="1"/>
    <xf numFmtId="0" fontId="26" fillId="26" borderId="0" xfId="0" applyFont="1" applyFill="1" applyAlignment="1">
      <alignment horizontal="center"/>
    </xf>
    <xf numFmtId="10" fontId="26" fillId="29" borderId="0" xfId="153" applyNumberFormat="1" applyFont="1" applyFill="1"/>
    <xf numFmtId="0" fontId="26" fillId="26" borderId="0" xfId="0" applyFont="1" applyFill="1" applyAlignment="1">
      <alignment horizontal="center"/>
    </xf>
    <xf numFmtId="191" fontId="0" fillId="26" borderId="0" xfId="0" applyNumberFormat="1" applyFill="1"/>
    <xf numFmtId="1" fontId="26" fillId="26" borderId="0" xfId="0" applyNumberFormat="1" applyFont="1" applyFill="1" applyBorder="1" applyAlignment="1">
      <alignment horizontal="center"/>
    </xf>
    <xf numFmtId="192" fontId="0" fillId="26" borderId="0" xfId="153" applyNumberFormat="1" applyFont="1" applyFill="1"/>
    <xf numFmtId="193" fontId="26" fillId="26" borderId="19" xfId="0" applyNumberFormat="1" applyFont="1" applyFill="1" applyBorder="1"/>
    <xf numFmtId="166" fontId="0" fillId="0" borderId="0" xfId="227" applyNumberFormat="1" applyFont="1" applyAlignment="1">
      <alignment horizontal="center"/>
    </xf>
    <xf numFmtId="173" fontId="0" fillId="0" borderId="0" xfId="0" applyNumberFormat="1"/>
    <xf numFmtId="0" fontId="26" fillId="29" borderId="0" xfId="0" applyFont="1" applyFill="1" applyAlignment="1">
      <alignment horizontal="center"/>
    </xf>
    <xf numFmtId="0" fontId="26" fillId="26" borderId="0" xfId="0" applyFont="1" applyFill="1" applyAlignment="1">
      <alignment horizontal="center"/>
    </xf>
    <xf numFmtId="14" fontId="38" fillId="29" borderId="0" xfId="0" applyNumberFormat="1" applyFont="1" applyFill="1" applyAlignment="1">
      <alignment horizontal="center"/>
    </xf>
    <xf numFmtId="0" fontId="39" fillId="29" borderId="0" xfId="0" applyFont="1" applyFill="1" applyAlignment="1">
      <alignment horizontal="center"/>
    </xf>
    <xf numFmtId="0" fontId="39" fillId="29" borderId="0" xfId="0" applyFont="1" applyFill="1"/>
    <xf numFmtId="0" fontId="38" fillId="29" borderId="0" xfId="0" applyFont="1" applyFill="1" applyAlignment="1">
      <alignment horizontal="center"/>
    </xf>
    <xf numFmtId="10" fontId="27" fillId="29" borderId="0" xfId="153" applyNumberFormat="1" applyFont="1" applyFill="1"/>
    <xf numFmtId="0" fontId="27" fillId="29" borderId="0" xfId="0" applyFont="1" applyFill="1" applyAlignment="1">
      <alignment horizontal="right"/>
    </xf>
    <xf numFmtId="168" fontId="27" fillId="29" borderId="0" xfId="0" applyNumberFormat="1" applyFont="1" applyFill="1" applyAlignment="1">
      <alignment horizontal="center"/>
    </xf>
    <xf numFmtId="171" fontId="26" fillId="29" borderId="0" xfId="153" applyNumberFormat="1" applyFont="1" applyFill="1" applyAlignment="1">
      <alignment horizontal="center"/>
    </xf>
    <xf numFmtId="171" fontId="27" fillId="29" borderId="0" xfId="153" applyNumberFormat="1" applyFont="1" applyFill="1"/>
    <xf numFmtId="0" fontId="27" fillId="29" borderId="0" xfId="0" applyFont="1" applyFill="1"/>
    <xf numFmtId="166" fontId="26" fillId="29" borderId="0" xfId="227" applyNumberFormat="1" applyFont="1" applyFill="1" applyAlignment="1">
      <alignment horizontal="center"/>
    </xf>
    <xf numFmtId="166" fontId="27" fillId="29" borderId="0" xfId="227" applyNumberFormat="1" applyFont="1" applyFill="1" applyAlignment="1">
      <alignment horizontal="right"/>
    </xf>
    <xf numFmtId="175" fontId="0" fillId="29" borderId="0" xfId="0" applyNumberFormat="1" applyFill="1"/>
    <xf numFmtId="10" fontId="26" fillId="29" borderId="0" xfId="153" applyNumberFormat="1" applyFont="1" applyFill="1" applyBorder="1"/>
    <xf numFmtId="10" fontId="27" fillId="29" borderId="0" xfId="165" applyNumberFormat="1" applyFont="1" applyFill="1"/>
    <xf numFmtId="171" fontId="26" fillId="26" borderId="19" xfId="153" applyNumberFormat="1" applyFont="1" applyFill="1" applyBorder="1"/>
    <xf numFmtId="176" fontId="0" fillId="29" borderId="0" xfId="0" applyNumberFormat="1" applyFill="1"/>
    <xf numFmtId="2" fontId="0" fillId="0" borderId="0" xfId="0" applyNumberFormat="1"/>
    <xf numFmtId="194" fontId="26" fillId="26" borderId="0" xfId="153" applyNumberFormat="1" applyFont="1" applyFill="1" applyAlignment="1">
      <alignment horizontal="center"/>
    </xf>
    <xf numFmtId="2" fontId="26" fillId="28" borderId="19" xfId="0" applyNumberFormat="1" applyFont="1" applyFill="1" applyBorder="1"/>
    <xf numFmtId="0" fontId="26" fillId="29" borderId="0" xfId="0" applyFont="1" applyFill="1" applyAlignment="1">
      <alignment horizontal="center"/>
    </xf>
    <xf numFmtId="0" fontId="26" fillId="26" borderId="0" xfId="0" applyFont="1" applyFill="1" applyAlignment="1"/>
    <xf numFmtId="164" fontId="0" fillId="26" borderId="0" xfId="902" applyNumberFormat="1" applyFont="1" applyFill="1" applyBorder="1"/>
    <xf numFmtId="14" fontId="26" fillId="27" borderId="0" xfId="0" applyNumberFormat="1" applyFont="1" applyFill="1" applyBorder="1" applyAlignment="1"/>
    <xf numFmtId="2" fontId="0" fillId="27" borderId="0" xfId="0" applyNumberFormat="1" applyFill="1" applyBorder="1"/>
    <xf numFmtId="2" fontId="0" fillId="27" borderId="0" xfId="0" applyNumberFormat="1" applyFill="1" applyBorder="1" applyAlignment="1">
      <alignment horizontal="right"/>
    </xf>
    <xf numFmtId="2" fontId="0" fillId="27" borderId="0" xfId="0" applyNumberFormat="1" applyFill="1" applyBorder="1" applyAlignment="1"/>
    <xf numFmtId="2" fontId="6" fillId="27" borderId="0" xfId="0" applyNumberFormat="1" applyFont="1" applyFill="1" applyBorder="1" applyAlignment="1">
      <alignment horizontal="right"/>
    </xf>
    <xf numFmtId="0" fontId="0" fillId="27" borderId="0" xfId="0" applyFill="1" applyBorder="1"/>
    <xf numFmtId="164" fontId="0" fillId="26" borderId="0" xfId="0" applyNumberFormat="1" applyFill="1"/>
    <xf numFmtId="0" fontId="25" fillId="27" borderId="0" xfId="0" applyFont="1" applyFill="1" applyBorder="1"/>
    <xf numFmtId="195" fontId="0" fillId="26" borderId="0" xfId="0" applyNumberFormat="1" applyFill="1"/>
    <xf numFmtId="196" fontId="0" fillId="26" borderId="0" xfId="0" applyNumberFormat="1" applyFill="1"/>
    <xf numFmtId="164" fontId="0" fillId="26" borderId="0" xfId="964" applyFont="1" applyFill="1"/>
    <xf numFmtId="2" fontId="0" fillId="29" borderId="0" xfId="0" applyNumberFormat="1" applyFill="1" applyBorder="1"/>
    <xf numFmtId="10" fontId="0" fillId="29" borderId="0" xfId="317" applyNumberFormat="1" applyFont="1" applyFill="1"/>
    <xf numFmtId="171" fontId="0" fillId="28" borderId="0" xfId="317" applyNumberFormat="1" applyFont="1" applyFill="1"/>
    <xf numFmtId="171" fontId="0" fillId="26" borderId="0" xfId="317" applyNumberFormat="1" applyFont="1" applyFill="1"/>
    <xf numFmtId="10" fontId="0" fillId="26" borderId="0" xfId="317" applyNumberFormat="1" applyFont="1" applyFill="1"/>
    <xf numFmtId="171" fontId="27" fillId="29" borderId="16" xfId="153" applyNumberFormat="1" applyFont="1" applyFill="1" applyBorder="1"/>
    <xf numFmtId="10" fontId="26" fillId="29" borderId="29" xfId="153" applyNumberFormat="1" applyFont="1" applyFill="1" applyBorder="1"/>
    <xf numFmtId="0" fontId="27" fillId="29" borderId="29" xfId="0" applyFont="1" applyFill="1" applyBorder="1"/>
    <xf numFmtId="166" fontId="27" fillId="29" borderId="29" xfId="227" applyNumberFormat="1" applyFont="1" applyFill="1" applyBorder="1"/>
    <xf numFmtId="164" fontId="26" fillId="29" borderId="23" xfId="227" applyFont="1" applyFill="1" applyBorder="1" applyAlignment="1">
      <alignment horizontal="center"/>
    </xf>
    <xf numFmtId="171" fontId="27" fillId="29" borderId="18" xfId="153" applyNumberFormat="1" applyFont="1" applyFill="1" applyBorder="1"/>
    <xf numFmtId="0" fontId="27" fillId="29" borderId="0" xfId="0" applyFont="1" applyFill="1" applyBorder="1"/>
    <xf numFmtId="166" fontId="27" fillId="29" borderId="0" xfId="227" applyNumberFormat="1" applyFont="1" applyFill="1" applyBorder="1"/>
    <xf numFmtId="164" fontId="26" fillId="29" borderId="19" xfId="227" applyFont="1" applyFill="1" applyBorder="1" applyAlignment="1">
      <alignment horizontal="center"/>
    </xf>
    <xf numFmtId="166" fontId="26" fillId="26" borderId="18" xfId="0" applyNumberFormat="1" applyFont="1" applyFill="1" applyBorder="1" applyAlignment="1">
      <alignment horizontal="center"/>
    </xf>
    <xf numFmtId="182" fontId="26" fillId="26" borderId="0" xfId="0" applyNumberFormat="1" applyFont="1" applyFill="1" applyBorder="1"/>
    <xf numFmtId="179" fontId="26" fillId="26" borderId="0" xfId="0" applyNumberFormat="1" applyFont="1" applyFill="1" applyBorder="1" applyAlignment="1">
      <alignment horizontal="center"/>
    </xf>
    <xf numFmtId="0" fontId="26" fillId="26" borderId="19" xfId="0" applyFont="1" applyFill="1" applyBorder="1" applyAlignment="1">
      <alignment horizontal="center"/>
    </xf>
    <xf numFmtId="171" fontId="27" fillId="27" borderId="19" xfId="153" applyNumberFormat="1" applyFont="1" applyFill="1" applyBorder="1" applyAlignment="1"/>
    <xf numFmtId="0" fontId="0" fillId="26" borderId="18" xfId="0" applyFill="1" applyBorder="1"/>
    <xf numFmtId="0" fontId="0" fillId="26" borderId="19" xfId="0" applyFill="1" applyBorder="1"/>
    <xf numFmtId="171" fontId="0" fillId="29" borderId="24" xfId="0" applyNumberFormat="1" applyFill="1" applyBorder="1"/>
    <xf numFmtId="10" fontId="27" fillId="29" borderId="30" xfId="153" applyNumberFormat="1" applyFont="1" applyFill="1" applyBorder="1"/>
    <xf numFmtId="0" fontId="27" fillId="29" borderId="30" xfId="0" applyFont="1" applyFill="1" applyBorder="1"/>
    <xf numFmtId="166" fontId="27" fillId="29" borderId="30" xfId="227" applyNumberFormat="1" applyFont="1" applyFill="1" applyBorder="1"/>
    <xf numFmtId="164" fontId="0" fillId="29" borderId="25" xfId="227" applyFont="1" applyFill="1" applyBorder="1"/>
    <xf numFmtId="166" fontId="0" fillId="29" borderId="0" xfId="239" applyNumberFormat="1" applyFont="1" applyFill="1"/>
    <xf numFmtId="171" fontId="0" fillId="29" borderId="0" xfId="165" applyNumberFormat="1" applyFont="1" applyFill="1"/>
    <xf numFmtId="10" fontId="0" fillId="29" borderId="0" xfId="153" applyNumberFormat="1" applyFont="1" applyFill="1" applyAlignment="1">
      <alignment horizontal="center"/>
    </xf>
    <xf numFmtId="10" fontId="26" fillId="29" borderId="0" xfId="0" applyNumberFormat="1" applyFont="1" applyFill="1"/>
    <xf numFmtId="10" fontId="0" fillId="29" borderId="0" xfId="165" applyNumberFormat="1" applyFont="1" applyFill="1"/>
    <xf numFmtId="171" fontId="0" fillId="29" borderId="0" xfId="153" applyNumberFormat="1" applyFont="1" applyFill="1"/>
    <xf numFmtId="168" fontId="26" fillId="29" borderId="0" xfId="317" applyNumberFormat="1" applyFont="1" applyFill="1" applyBorder="1"/>
    <xf numFmtId="172" fontId="6" fillId="29" borderId="0" xfId="153" applyNumberFormat="1" applyFont="1" applyFill="1"/>
    <xf numFmtId="10" fontId="26" fillId="29" borderId="0" xfId="316" applyNumberFormat="1" applyFont="1" applyFill="1"/>
    <xf numFmtId="2" fontId="26" fillId="29" borderId="0" xfId="0" applyNumberFormat="1" applyFont="1" applyFill="1" applyBorder="1"/>
    <xf numFmtId="164" fontId="26" fillId="29" borderId="0" xfId="0" applyNumberFormat="1" applyFont="1" applyFill="1" applyBorder="1"/>
    <xf numFmtId="0" fontId="35" fillId="29" borderId="0" xfId="0" applyFont="1" applyFill="1" applyBorder="1" applyAlignment="1">
      <alignment horizontal="center"/>
    </xf>
    <xf numFmtId="0" fontId="26" fillId="29" borderId="0" xfId="0" applyFont="1" applyFill="1" applyAlignment="1">
      <alignment horizontal="center"/>
    </xf>
    <xf numFmtId="14" fontId="26" fillId="29" borderId="0" xfId="0" applyNumberFormat="1" applyFont="1" applyFill="1" applyBorder="1"/>
    <xf numFmtId="14" fontId="26" fillId="29" borderId="0" xfId="0" applyNumberFormat="1" applyFont="1" applyFill="1" applyBorder="1" applyAlignment="1">
      <alignment horizontal="center"/>
    </xf>
    <xf numFmtId="172" fontId="27" fillId="27" borderId="19" xfId="0" applyNumberFormat="1" applyFont="1" applyFill="1" applyBorder="1"/>
    <xf numFmtId="10" fontId="26" fillId="26" borderId="16" xfId="153" applyNumberFormat="1" applyFont="1" applyFill="1" applyBorder="1"/>
    <xf numFmtId="179" fontId="26" fillId="29" borderId="0" xfId="0" applyNumberFormat="1" applyFont="1" applyFill="1"/>
    <xf numFmtId="197" fontId="26" fillId="29" borderId="0" xfId="964" applyNumberFormat="1" applyFont="1" applyFill="1"/>
    <xf numFmtId="2" fontId="27" fillId="27" borderId="26" xfId="0" applyNumberFormat="1" applyFont="1" applyFill="1" applyBorder="1" applyAlignment="1">
      <alignment horizontal="center"/>
    </xf>
    <xf numFmtId="164" fontId="0" fillId="29" borderId="0" xfId="964" applyFont="1" applyFill="1"/>
    <xf numFmtId="180" fontId="0" fillId="26" borderId="0" xfId="964" applyNumberFormat="1" applyFont="1" applyFill="1"/>
    <xf numFmtId="164" fontId="0" fillId="26" borderId="0" xfId="964" applyFont="1" applyFill="1" applyBorder="1"/>
    <xf numFmtId="184" fontId="26" fillId="26" borderId="0" xfId="964" applyNumberFormat="1" applyFont="1" applyFill="1" applyBorder="1"/>
    <xf numFmtId="0" fontId="6" fillId="26" borderId="0" xfId="0" applyFont="1" applyFill="1"/>
    <xf numFmtId="14" fontId="56" fillId="26" borderId="16" xfId="0" applyNumberFormat="1" applyFont="1" applyFill="1" applyBorder="1"/>
    <xf numFmtId="168" fontId="45" fillId="26" borderId="0" xfId="964" applyNumberFormat="1" applyFont="1" applyFill="1" applyAlignment="1">
      <alignment horizontal="center"/>
    </xf>
    <xf numFmtId="166" fontId="27" fillId="27" borderId="18" xfId="964" applyNumberFormat="1" applyFont="1" applyFill="1" applyBorder="1" applyAlignment="1">
      <alignment horizontal="center"/>
    </xf>
    <xf numFmtId="164" fontId="0" fillId="26" borderId="0" xfId="964" applyFont="1" applyFill="1" applyAlignment="1">
      <alignment horizontal="center"/>
    </xf>
    <xf numFmtId="184" fontId="26" fillId="27" borderId="18" xfId="964" applyNumberFormat="1" applyFont="1" applyFill="1" applyBorder="1"/>
    <xf numFmtId="164" fontId="26" fillId="26" borderId="0" xfId="0" applyNumberFormat="1" applyFont="1" applyFill="1"/>
    <xf numFmtId="0" fontId="57" fillId="26" borderId="35" xfId="0" applyFont="1" applyFill="1" applyBorder="1" applyAlignment="1">
      <alignment horizontal="center"/>
    </xf>
    <xf numFmtId="166" fontId="27" fillId="22" borderId="32" xfId="964" applyNumberFormat="1" applyFont="1" applyFill="1" applyBorder="1" applyAlignment="1">
      <alignment horizontal="center"/>
    </xf>
    <xf numFmtId="166" fontId="27" fillId="22" borderId="21" xfId="964" applyNumberFormat="1" applyFont="1" applyFill="1" applyBorder="1" applyAlignment="1">
      <alignment horizontal="center"/>
    </xf>
    <xf numFmtId="164" fontId="29" fillId="22" borderId="21" xfId="964" applyFont="1" applyFill="1" applyBorder="1"/>
    <xf numFmtId="164" fontId="0" fillId="22" borderId="21" xfId="964" applyFont="1" applyFill="1" applyBorder="1"/>
    <xf numFmtId="164" fontId="26" fillId="22" borderId="21" xfId="964" applyFont="1" applyFill="1" applyBorder="1"/>
    <xf numFmtId="166" fontId="0" fillId="26" borderId="0" xfId="964" applyNumberFormat="1" applyFont="1" applyFill="1" applyBorder="1"/>
    <xf numFmtId="164" fontId="26" fillId="22" borderId="0" xfId="964" applyFont="1" applyFill="1" applyBorder="1"/>
    <xf numFmtId="164" fontId="6" fillId="22" borderId="0" xfId="964" applyFont="1" applyFill="1" applyBorder="1"/>
    <xf numFmtId="185" fontId="26" fillId="22" borderId="0" xfId="964" applyNumberFormat="1" applyFont="1" applyFill="1" applyBorder="1"/>
    <xf numFmtId="172" fontId="6" fillId="26" borderId="0" xfId="153" applyNumberFormat="1" applyFont="1" applyFill="1" applyBorder="1"/>
    <xf numFmtId="166" fontId="0" fillId="26" borderId="19" xfId="964" applyNumberFormat="1" applyFont="1" applyFill="1" applyBorder="1"/>
    <xf numFmtId="166" fontId="27" fillId="26" borderId="18" xfId="964" applyNumberFormat="1" applyFont="1" applyFill="1" applyBorder="1" applyAlignment="1">
      <alignment horizontal="center"/>
    </xf>
    <xf numFmtId="166" fontId="27" fillId="26" borderId="0" xfId="964" applyNumberFormat="1" applyFont="1" applyFill="1" applyBorder="1" applyAlignment="1">
      <alignment horizontal="center"/>
    </xf>
    <xf numFmtId="164" fontId="29" fillId="26" borderId="0" xfId="964" applyFont="1" applyFill="1" applyBorder="1"/>
    <xf numFmtId="164" fontId="26" fillId="26" borderId="0" xfId="964" applyFont="1" applyFill="1" applyBorder="1"/>
    <xf numFmtId="166" fontId="0" fillId="26" borderId="19" xfId="964" applyNumberFormat="1" applyFont="1" applyFill="1" applyBorder="1" applyAlignment="1">
      <alignment horizontal="right"/>
    </xf>
    <xf numFmtId="185" fontId="26" fillId="26" borderId="0" xfId="964" applyNumberFormat="1" applyFont="1" applyFill="1" applyBorder="1"/>
    <xf numFmtId="166" fontId="27" fillId="22" borderId="18" xfId="964" applyNumberFormat="1" applyFont="1" applyFill="1" applyBorder="1" applyAlignment="1">
      <alignment horizontal="center"/>
    </xf>
    <xf numFmtId="166" fontId="27" fillId="22" borderId="0" xfId="964" applyNumberFormat="1" applyFont="1" applyFill="1" applyBorder="1" applyAlignment="1">
      <alignment horizontal="center"/>
    </xf>
    <xf numFmtId="164" fontId="29" fillId="22" borderId="0" xfId="964" applyFont="1" applyFill="1" applyBorder="1"/>
    <xf numFmtId="164" fontId="0" fillId="22" borderId="0" xfId="964" applyFont="1" applyFill="1" applyBorder="1"/>
    <xf numFmtId="166" fontId="0" fillId="22" borderId="19" xfId="964" applyNumberFormat="1" applyFont="1" applyFill="1" applyBorder="1" applyAlignment="1">
      <alignment horizontal="right"/>
    </xf>
    <xf numFmtId="172" fontId="0" fillId="26" borderId="0" xfId="964" applyNumberFormat="1" applyFont="1" applyFill="1"/>
    <xf numFmtId="198" fontId="0" fillId="26" borderId="0" xfId="964" applyNumberFormat="1" applyFont="1" applyFill="1"/>
    <xf numFmtId="186" fontId="27" fillId="22" borderId="0" xfId="964" applyNumberFormat="1" applyFont="1" applyFill="1" applyBorder="1" applyAlignment="1">
      <alignment horizontal="center"/>
    </xf>
    <xf numFmtId="166" fontId="0" fillId="26" borderId="25" xfId="964" applyNumberFormat="1" applyFont="1" applyFill="1" applyBorder="1"/>
    <xf numFmtId="199" fontId="0" fillId="26" borderId="0" xfId="964" applyNumberFormat="1" applyFont="1" applyFill="1"/>
    <xf numFmtId="0" fontId="26" fillId="26" borderId="0" xfId="0" applyFont="1" applyFill="1" applyAlignment="1">
      <alignment horizontal="right"/>
    </xf>
    <xf numFmtId="174" fontId="26" fillId="26" borderId="0" xfId="0" applyNumberFormat="1" applyFont="1" applyFill="1" applyAlignment="1">
      <alignment horizontal="right"/>
    </xf>
    <xf numFmtId="186" fontId="26" fillId="26" borderId="0" xfId="964" applyNumberFormat="1" applyFont="1" applyFill="1"/>
    <xf numFmtId="167" fontId="0" fillId="26" borderId="0" xfId="964" applyNumberFormat="1" applyFont="1" applyFill="1"/>
    <xf numFmtId="197" fontId="0" fillId="26" borderId="0" xfId="964" applyNumberFormat="1" applyFont="1" applyFill="1"/>
    <xf numFmtId="170" fontId="0" fillId="26" borderId="0" xfId="964" applyNumberFormat="1" applyFont="1" applyFill="1"/>
    <xf numFmtId="164" fontId="26" fillId="22" borderId="0" xfId="964" applyNumberFormat="1" applyFont="1" applyFill="1" applyBorder="1"/>
    <xf numFmtId="164" fontId="26" fillId="22" borderId="31" xfId="964" applyFont="1" applyFill="1" applyBorder="1"/>
    <xf numFmtId="185" fontId="26" fillId="22" borderId="31" xfId="964" applyNumberFormat="1" applyFont="1" applyFill="1" applyBorder="1"/>
    <xf numFmtId="0" fontId="0" fillId="26" borderId="0" xfId="0" applyFill="1" applyBorder="1" applyAlignment="1">
      <alignment horizontal="right"/>
    </xf>
    <xf numFmtId="172" fontId="27" fillId="26" borderId="0" xfId="153" applyNumberFormat="1" applyFont="1" applyFill="1" applyBorder="1" applyAlignment="1">
      <alignment horizontal="center"/>
    </xf>
    <xf numFmtId="164" fontId="26" fillId="29" borderId="0" xfId="964" applyFont="1" applyFill="1" applyBorder="1"/>
    <xf numFmtId="164" fontId="27" fillId="26" borderId="0" xfId="964" applyFont="1" applyFill="1" applyBorder="1"/>
    <xf numFmtId="172" fontId="0" fillId="28" borderId="0" xfId="153" applyNumberFormat="1" applyFont="1" applyFill="1"/>
    <xf numFmtId="189" fontId="49" fillId="30" borderId="19" xfId="153" applyNumberFormat="1" applyFont="1" applyFill="1" applyBorder="1"/>
    <xf numFmtId="166" fontId="58" fillId="35" borderId="0" xfId="227" applyNumberFormat="1" applyFont="1" applyFill="1" applyBorder="1" applyAlignment="1">
      <alignment horizontal="center"/>
    </xf>
    <xf numFmtId="166" fontId="58" fillId="35" borderId="0" xfId="227" applyNumberFormat="1" applyFont="1" applyFill="1" applyBorder="1"/>
    <xf numFmtId="10" fontId="58" fillId="35" borderId="0" xfId="153" applyNumberFormat="1" applyFont="1" applyFill="1" applyBorder="1" applyAlignment="1">
      <alignment horizontal="center"/>
    </xf>
    <xf numFmtId="171" fontId="26" fillId="29" borderId="0" xfId="227" applyNumberFormat="1" applyFont="1" applyFill="1" applyAlignment="1">
      <alignment horizontal="center"/>
    </xf>
    <xf numFmtId="164" fontId="26" fillId="29" borderId="0" xfId="227" applyFont="1" applyFill="1" applyBorder="1" applyAlignment="1">
      <alignment horizontal="center"/>
    </xf>
    <xf numFmtId="0" fontId="59" fillId="26" borderId="12" xfId="0" applyFont="1" applyFill="1" applyBorder="1" applyAlignment="1">
      <alignment horizontal="center"/>
    </xf>
    <xf numFmtId="0" fontId="59" fillId="26" borderId="17" xfId="0" applyFont="1" applyFill="1" applyBorder="1" applyAlignment="1">
      <alignment horizontal="center"/>
    </xf>
    <xf numFmtId="0" fontId="59" fillId="26" borderId="17" xfId="0" applyFont="1" applyFill="1" applyBorder="1"/>
    <xf numFmtId="0" fontId="59" fillId="26" borderId="13" xfId="0" applyFont="1" applyFill="1" applyBorder="1" applyAlignment="1">
      <alignment horizontal="center"/>
    </xf>
    <xf numFmtId="180" fontId="6" fillId="0" borderId="0" xfId="0" applyNumberFormat="1" applyFont="1"/>
    <xf numFmtId="172" fontId="6" fillId="0" borderId="0" xfId="153" applyNumberFormat="1" applyFont="1"/>
    <xf numFmtId="187" fontId="6" fillId="0" borderId="0" xfId="0" applyNumberFormat="1" applyFont="1"/>
    <xf numFmtId="10" fontId="6" fillId="0" borderId="0" xfId="153" applyNumberFormat="1" applyFont="1"/>
    <xf numFmtId="186" fontId="6" fillId="0" borderId="0" xfId="300" applyNumberFormat="1" applyFont="1"/>
    <xf numFmtId="166" fontId="6" fillId="0" borderId="0" xfId="227" applyNumberFormat="1" applyFont="1"/>
    <xf numFmtId="172" fontId="26" fillId="31" borderId="19" xfId="165" applyNumberFormat="1" applyFont="1" applyFill="1" applyBorder="1"/>
    <xf numFmtId="172" fontId="27" fillId="33" borderId="0" xfId="153" applyNumberFormat="1" applyFont="1" applyFill="1" applyBorder="1"/>
    <xf numFmtId="0" fontId="26" fillId="29" borderId="0" xfId="0" applyFont="1" applyFill="1" applyAlignment="1">
      <alignment horizontal="center"/>
    </xf>
    <xf numFmtId="0" fontId="60" fillId="29" borderId="0" xfId="144" applyFont="1" applyFill="1" applyAlignment="1">
      <alignment vertical="center"/>
    </xf>
    <xf numFmtId="0" fontId="0" fillId="29" borderId="0" xfId="0" applyFill="1" applyAlignment="1">
      <alignment horizontal="center" vertical="center"/>
    </xf>
    <xf numFmtId="201" fontId="66" fillId="37" borderId="39" xfId="375" applyNumberFormat="1" applyFont="1" applyFill="1" applyBorder="1" applyAlignment="1">
      <alignment horizontal="center" vertical="center"/>
    </xf>
    <xf numFmtId="17" fontId="65" fillId="34" borderId="44" xfId="375" applyNumberFormat="1" applyFont="1" applyFill="1" applyBorder="1" applyAlignment="1">
      <alignment horizontal="center" vertical="center"/>
    </xf>
    <xf numFmtId="200" fontId="65" fillId="34" borderId="45" xfId="375" applyNumberFormat="1" applyFont="1" applyFill="1" applyBorder="1" applyAlignment="1">
      <alignment horizontal="center" vertical="center"/>
    </xf>
    <xf numFmtId="200" fontId="65" fillId="34" borderId="46" xfId="375" applyNumberFormat="1" applyFont="1" applyFill="1" applyBorder="1" applyAlignment="1">
      <alignment horizontal="center" vertical="center"/>
    </xf>
    <xf numFmtId="201" fontId="66" fillId="37" borderId="43" xfId="375" applyNumberFormat="1" applyFont="1" applyFill="1" applyBorder="1" applyAlignment="1">
      <alignment horizontal="center" vertical="center"/>
    </xf>
    <xf numFmtId="17" fontId="65" fillId="34" borderId="48" xfId="375" applyNumberFormat="1" applyFont="1" applyFill="1" applyBorder="1" applyAlignment="1">
      <alignment horizontal="center" vertical="center"/>
    </xf>
    <xf numFmtId="200" fontId="65" fillId="34" borderId="49" xfId="375" applyNumberFormat="1" applyFont="1" applyFill="1" applyBorder="1" applyAlignment="1">
      <alignment horizontal="center" vertical="center"/>
    </xf>
    <xf numFmtId="200" fontId="65" fillId="34" borderId="50" xfId="375" applyNumberFormat="1" applyFont="1" applyFill="1" applyBorder="1" applyAlignment="1">
      <alignment horizontal="center" vertical="center"/>
    </xf>
    <xf numFmtId="201" fontId="66" fillId="37" borderId="47" xfId="375" applyNumberFormat="1" applyFont="1" applyFill="1" applyBorder="1" applyAlignment="1">
      <alignment horizontal="center" vertical="center"/>
    </xf>
    <xf numFmtId="14" fontId="61" fillId="36" borderId="23" xfId="0" applyNumberFormat="1" applyFont="1" applyFill="1" applyBorder="1" applyAlignment="1">
      <alignment horizontal="center" vertical="center"/>
    </xf>
    <xf numFmtId="14" fontId="61" fillId="36" borderId="24" xfId="0" applyNumberFormat="1" applyFont="1" applyFill="1" applyBorder="1" applyAlignment="1">
      <alignment horizontal="center" vertical="center"/>
    </xf>
    <xf numFmtId="14" fontId="61" fillId="36" borderId="25" xfId="0" applyNumberFormat="1" applyFont="1" applyFill="1" applyBorder="1" applyAlignment="1">
      <alignment horizontal="center" vertical="center"/>
    </xf>
    <xf numFmtId="0" fontId="62" fillId="36" borderId="23" xfId="0" applyFont="1" applyFill="1" applyBorder="1" applyAlignment="1">
      <alignment horizontal="center" vertical="center"/>
    </xf>
    <xf numFmtId="0" fontId="62" fillId="36" borderId="24" xfId="0" applyFont="1" applyFill="1" applyBorder="1" applyAlignment="1">
      <alignment horizontal="center" vertical="center"/>
    </xf>
    <xf numFmtId="0" fontId="62" fillId="36" borderId="25" xfId="0" applyFont="1" applyFill="1" applyBorder="1" applyAlignment="1">
      <alignment horizontal="center" vertical="center"/>
    </xf>
    <xf numFmtId="0" fontId="59" fillId="29" borderId="12" xfId="0" applyFont="1" applyFill="1" applyBorder="1" applyAlignment="1">
      <alignment horizontal="center"/>
    </xf>
    <xf numFmtId="173" fontId="26" fillId="26" borderId="0" xfId="0" applyNumberFormat="1" applyFont="1" applyFill="1" applyAlignment="1">
      <alignment horizontal="center"/>
    </xf>
    <xf numFmtId="164" fontId="58" fillId="35" borderId="0" xfId="227" applyFont="1" applyFill="1" applyBorder="1" applyAlignment="1">
      <alignment horizontal="center"/>
    </xf>
    <xf numFmtId="171" fontId="58" fillId="35" borderId="0" xfId="153" applyNumberFormat="1" applyFont="1" applyFill="1" applyBorder="1" applyAlignment="1">
      <alignment horizontal="center"/>
    </xf>
    <xf numFmtId="0" fontId="64" fillId="37" borderId="38" xfId="375" applyFont="1" applyFill="1" applyBorder="1" applyAlignment="1">
      <alignment horizontal="center" vertical="center" wrapText="1"/>
    </xf>
    <xf numFmtId="0" fontId="64" fillId="37" borderId="13" xfId="375" applyFont="1" applyFill="1" applyBorder="1" applyAlignment="1">
      <alignment horizontal="center" vertical="center" wrapText="1"/>
    </xf>
    <xf numFmtId="14" fontId="67" fillId="36" borderId="16" xfId="0" applyNumberFormat="1" applyFont="1" applyFill="1" applyBorder="1" applyAlignment="1">
      <alignment horizontal="center" vertical="center"/>
    </xf>
    <xf numFmtId="0" fontId="67" fillId="36" borderId="16" xfId="0" applyFont="1" applyFill="1" applyBorder="1" applyAlignment="1">
      <alignment horizontal="center" vertical="center"/>
    </xf>
    <xf numFmtId="0" fontId="61" fillId="36" borderId="16" xfId="0" applyFont="1" applyFill="1" applyBorder="1" applyAlignment="1">
      <alignment horizontal="center" vertical="center"/>
    </xf>
    <xf numFmtId="10" fontId="67" fillId="36" borderId="23" xfId="153" applyNumberFormat="1" applyFont="1" applyFill="1" applyBorder="1" applyAlignment="1">
      <alignment horizontal="center" vertical="center"/>
    </xf>
    <xf numFmtId="0" fontId="26" fillId="26" borderId="18" xfId="0" applyFont="1" applyFill="1" applyBorder="1" applyAlignment="1">
      <alignment horizontal="center"/>
    </xf>
    <xf numFmtId="186" fontId="27" fillId="29" borderId="19" xfId="964" applyNumberFormat="1" applyFont="1" applyFill="1" applyBorder="1" applyAlignment="1">
      <alignment horizontal="center"/>
    </xf>
    <xf numFmtId="164" fontId="26" fillId="26" borderId="18" xfId="0" applyNumberFormat="1" applyFont="1" applyFill="1" applyBorder="1" applyAlignment="1">
      <alignment horizontal="center"/>
    </xf>
    <xf numFmtId="181" fontId="26" fillId="26" borderId="18" xfId="0" applyNumberFormat="1" applyFont="1" applyFill="1" applyBorder="1" applyAlignment="1">
      <alignment horizontal="center"/>
    </xf>
    <xf numFmtId="0" fontId="26" fillId="26" borderId="24" xfId="0" applyFont="1" applyFill="1" applyBorder="1" applyAlignment="1">
      <alignment horizontal="center"/>
    </xf>
    <xf numFmtId="172" fontId="26" fillId="26" borderId="25" xfId="153" applyNumberFormat="1" applyFont="1" applyFill="1" applyBorder="1" applyAlignment="1">
      <alignment horizontal="center"/>
    </xf>
    <xf numFmtId="0" fontId="46" fillId="26" borderId="16" xfId="0" applyFont="1" applyFill="1" applyBorder="1" applyAlignment="1">
      <alignment horizontal="center"/>
    </xf>
    <xf numFmtId="0" fontId="46" fillId="26" borderId="23" xfId="0" applyFont="1" applyFill="1" applyBorder="1" applyAlignment="1">
      <alignment horizontal="center"/>
    </xf>
    <xf numFmtId="203" fontId="66" fillId="37" borderId="39" xfId="375" applyNumberFormat="1" applyFont="1" applyFill="1" applyBorder="1" applyAlignment="1">
      <alignment horizontal="center" vertical="center"/>
    </xf>
    <xf numFmtId="167" fontId="66" fillId="37" borderId="43" xfId="227" applyNumberFormat="1" applyFont="1" applyFill="1" applyBorder="1" applyAlignment="1">
      <alignment horizontal="center" vertical="center"/>
    </xf>
    <xf numFmtId="167" fontId="66" fillId="37" borderId="47" xfId="227" applyNumberFormat="1" applyFont="1" applyFill="1" applyBorder="1" applyAlignment="1">
      <alignment horizontal="center" vertical="center"/>
    </xf>
    <xf numFmtId="167" fontId="66" fillId="37" borderId="39" xfId="227" applyNumberFormat="1" applyFont="1" applyFill="1" applyBorder="1" applyAlignment="1">
      <alignment horizontal="center" vertical="center"/>
    </xf>
    <xf numFmtId="10" fontId="26" fillId="26" borderId="0" xfId="153" applyNumberFormat="1" applyFont="1" applyFill="1"/>
    <xf numFmtId="14" fontId="26" fillId="26" borderId="0" xfId="0" applyNumberFormat="1" applyFont="1" applyFill="1" applyAlignment="1">
      <alignment horizontal="center"/>
    </xf>
    <xf numFmtId="203" fontId="66" fillId="37" borderId="43" xfId="375" applyNumberFormat="1" applyFont="1" applyFill="1" applyBorder="1" applyAlignment="1">
      <alignment horizontal="center" vertical="center"/>
    </xf>
    <xf numFmtId="203" fontId="66" fillId="37" borderId="47" xfId="375" applyNumberFormat="1" applyFont="1" applyFill="1" applyBorder="1" applyAlignment="1">
      <alignment horizontal="center" vertical="center"/>
    </xf>
    <xf numFmtId="0" fontId="59" fillId="26" borderId="12" xfId="0" applyFont="1" applyFill="1" applyBorder="1" applyAlignment="1">
      <alignment horizontal="center" wrapText="1"/>
    </xf>
    <xf numFmtId="0" fontId="59" fillId="26" borderId="17" xfId="0" applyFont="1" applyFill="1" applyBorder="1" applyAlignment="1">
      <alignment horizontal="center" wrapText="1"/>
    </xf>
    <xf numFmtId="0" fontId="59" fillId="26" borderId="13" xfId="0" applyFont="1" applyFill="1" applyBorder="1" applyAlignment="1">
      <alignment horizontal="center" wrapText="1"/>
    </xf>
    <xf numFmtId="0" fontId="26" fillId="26" borderId="12" xfId="0" applyFont="1" applyFill="1" applyBorder="1" applyAlignment="1">
      <alignment horizontal="center" wrapText="1"/>
    </xf>
    <xf numFmtId="0" fontId="26" fillId="26" borderId="17" xfId="0" applyFont="1" applyFill="1" applyBorder="1" applyAlignment="1">
      <alignment horizontal="center" wrapText="1"/>
    </xf>
    <xf numFmtId="0" fontId="26" fillId="26" borderId="13" xfId="0" applyFont="1" applyFill="1" applyBorder="1" applyAlignment="1">
      <alignment horizontal="center" wrapText="1"/>
    </xf>
    <xf numFmtId="17" fontId="65" fillId="34" borderId="40" xfId="375" applyNumberFormat="1" applyFont="1" applyFill="1" applyBorder="1" applyAlignment="1">
      <alignment horizontal="center" vertical="center"/>
    </xf>
    <xf numFmtId="200" fontId="65" fillId="34" borderId="41" xfId="375" applyNumberFormat="1" applyFont="1" applyFill="1" applyBorder="1" applyAlignment="1">
      <alignment horizontal="center" vertical="center"/>
    </xf>
    <xf numFmtId="200" fontId="65" fillId="34" borderId="42" xfId="375" applyNumberFormat="1" applyFont="1" applyFill="1" applyBorder="1" applyAlignment="1">
      <alignment horizontal="center" vertical="center"/>
    </xf>
    <xf numFmtId="0" fontId="59" fillId="29" borderId="13" xfId="0" applyFont="1" applyFill="1" applyBorder="1" applyAlignment="1">
      <alignment horizontal="center"/>
    </xf>
    <xf numFmtId="171" fontId="26" fillId="29" borderId="18" xfId="153" applyNumberFormat="1" applyFont="1" applyFill="1" applyBorder="1"/>
    <xf numFmtId="10" fontId="0" fillId="26" borderId="23" xfId="165" applyNumberFormat="1" applyFont="1" applyFill="1" applyBorder="1"/>
    <xf numFmtId="14" fontId="26" fillId="29" borderId="18" xfId="0" applyNumberFormat="1" applyFont="1" applyFill="1" applyBorder="1" applyAlignment="1">
      <alignment horizontal="center"/>
    </xf>
    <xf numFmtId="172" fontId="58" fillId="35" borderId="19" xfId="153" applyNumberFormat="1" applyFont="1" applyFill="1" applyBorder="1" applyAlignment="1">
      <alignment horizontal="center"/>
    </xf>
    <xf numFmtId="0" fontId="59" fillId="29" borderId="38" xfId="0" applyFont="1" applyFill="1" applyBorder="1" applyAlignment="1">
      <alignment horizontal="center"/>
    </xf>
    <xf numFmtId="171" fontId="26" fillId="26" borderId="18" xfId="153" applyNumberFormat="1" applyFont="1" applyFill="1" applyBorder="1" applyAlignment="1">
      <alignment horizontal="center"/>
    </xf>
    <xf numFmtId="171" fontId="26" fillId="26" borderId="19" xfId="153" applyNumberFormat="1" applyFont="1" applyFill="1" applyBorder="1" applyAlignment="1">
      <alignment horizontal="center"/>
    </xf>
    <xf numFmtId="164" fontId="65" fillId="29" borderId="0" xfId="227" applyFont="1" applyFill="1" applyBorder="1" applyAlignment="1">
      <alignment vertical="center"/>
    </xf>
    <xf numFmtId="10" fontId="0" fillId="29" borderId="16" xfId="165" applyNumberFormat="1" applyFont="1" applyFill="1" applyBorder="1"/>
    <xf numFmtId="10" fontId="26" fillId="26" borderId="13" xfId="165" applyNumberFormat="1" applyFont="1" applyFill="1" applyBorder="1"/>
    <xf numFmtId="171" fontId="26" fillId="29" borderId="51" xfId="153" applyNumberFormat="1" applyFont="1" applyFill="1" applyBorder="1"/>
    <xf numFmtId="204" fontId="65" fillId="37" borderId="39" xfId="375" applyNumberFormat="1" applyFont="1" applyFill="1" applyBorder="1" applyAlignment="1">
      <alignment horizontal="center" vertical="center"/>
    </xf>
    <xf numFmtId="204" fontId="65" fillId="37" borderId="43" xfId="375" applyNumberFormat="1" applyFont="1" applyFill="1" applyBorder="1" applyAlignment="1">
      <alignment horizontal="center" vertical="center"/>
    </xf>
    <xf numFmtId="204" fontId="65" fillId="37" borderId="47" xfId="375" applyNumberFormat="1" applyFont="1" applyFill="1" applyBorder="1" applyAlignment="1">
      <alignment horizontal="center" vertical="center"/>
    </xf>
    <xf numFmtId="14" fontId="66" fillId="37" borderId="39" xfId="375" applyNumberFormat="1" applyFont="1" applyFill="1" applyBorder="1" applyAlignment="1">
      <alignment horizontal="center" vertical="center"/>
    </xf>
    <xf numFmtId="169" fontId="66" fillId="37" borderId="39" xfId="375" applyNumberFormat="1" applyFont="1" applyFill="1" applyBorder="1" applyAlignment="1">
      <alignment horizontal="center" vertical="center"/>
    </xf>
    <xf numFmtId="164" fontId="66" fillId="29" borderId="40" xfId="227" applyFont="1" applyFill="1" applyBorder="1" applyAlignment="1">
      <alignment horizontal="center" vertical="center"/>
    </xf>
    <xf numFmtId="164" fontId="66" fillId="29" borderId="41" xfId="227" applyFont="1" applyFill="1" applyBorder="1" applyAlignment="1">
      <alignment horizontal="center" vertical="center"/>
    </xf>
    <xf numFmtId="164" fontId="66" fillId="29" borderId="42" xfId="227" applyFont="1" applyFill="1" applyBorder="1" applyAlignment="1">
      <alignment horizontal="center" vertical="center"/>
    </xf>
    <xf numFmtId="14" fontId="66" fillId="37" borderId="43" xfId="375" applyNumberFormat="1" applyFont="1" applyFill="1" applyBorder="1" applyAlignment="1">
      <alignment horizontal="center" vertical="center"/>
    </xf>
    <xf numFmtId="169" fontId="66" fillId="37" borderId="43" xfId="375" applyNumberFormat="1" applyFont="1" applyFill="1" applyBorder="1" applyAlignment="1">
      <alignment horizontal="center" vertical="center"/>
    </xf>
    <xf numFmtId="164" fontId="66" fillId="29" borderId="44" xfId="227" applyFont="1" applyFill="1" applyBorder="1" applyAlignment="1">
      <alignment horizontal="center" vertical="center"/>
    </xf>
    <xf numFmtId="164" fontId="66" fillId="29" borderId="45" xfId="227" applyFont="1" applyFill="1" applyBorder="1" applyAlignment="1">
      <alignment horizontal="center" vertical="center"/>
    </xf>
    <xf numFmtId="164" fontId="66" fillId="29" borderId="46" xfId="227" applyFont="1" applyFill="1" applyBorder="1" applyAlignment="1">
      <alignment horizontal="center" vertical="center"/>
    </xf>
    <xf numFmtId="164" fontId="66" fillId="29" borderId="46" xfId="227" quotePrefix="1" applyFont="1" applyFill="1" applyBorder="1" applyAlignment="1">
      <alignment horizontal="center" vertical="center"/>
    </xf>
    <xf numFmtId="14" fontId="66" fillId="37" borderId="47" xfId="375" applyNumberFormat="1" applyFont="1" applyFill="1" applyBorder="1" applyAlignment="1">
      <alignment horizontal="center" vertical="center"/>
    </xf>
    <xf numFmtId="169" fontId="66" fillId="37" borderId="47" xfId="375" applyNumberFormat="1" applyFont="1" applyFill="1" applyBorder="1" applyAlignment="1">
      <alignment horizontal="center" vertical="center"/>
    </xf>
    <xf numFmtId="164" fontId="66" fillId="29" borderId="48" xfId="227" quotePrefix="1" applyFont="1" applyFill="1" applyBorder="1" applyAlignment="1">
      <alignment horizontal="center" vertical="center"/>
    </xf>
    <xf numFmtId="164" fontId="66" fillId="29" borderId="49" xfId="227" applyFont="1" applyFill="1" applyBorder="1" applyAlignment="1">
      <alignment horizontal="center" vertical="center"/>
    </xf>
    <xf numFmtId="164" fontId="66" fillId="29" borderId="50" xfId="227" applyFont="1" applyFill="1" applyBorder="1" applyAlignment="1">
      <alignment horizontal="center" vertical="center"/>
    </xf>
    <xf numFmtId="168" fontId="58" fillId="35" borderId="0" xfId="227" applyNumberFormat="1" applyFont="1" applyFill="1" applyBorder="1" applyAlignment="1">
      <alignment horizontal="center"/>
    </xf>
    <xf numFmtId="180" fontId="58" fillId="35" borderId="0" xfId="227" applyNumberFormat="1" applyFont="1" applyFill="1" applyBorder="1" applyAlignment="1">
      <alignment horizontal="center"/>
    </xf>
    <xf numFmtId="10" fontId="58" fillId="35" borderId="19" xfId="153" applyNumberFormat="1" applyFont="1" applyFill="1" applyBorder="1" applyAlignment="1">
      <alignment horizontal="center"/>
    </xf>
    <xf numFmtId="0" fontId="64" fillId="38" borderId="16" xfId="375" applyFont="1" applyFill="1" applyBorder="1" applyAlignment="1">
      <alignment horizontal="center" vertical="center" wrapText="1"/>
    </xf>
    <xf numFmtId="0" fontId="64" fillId="38" borderId="23" xfId="375" applyFont="1" applyFill="1" applyBorder="1" applyAlignment="1">
      <alignment horizontal="center" vertical="center" wrapText="1"/>
    </xf>
    <xf numFmtId="169" fontId="66" fillId="34" borderId="18" xfId="375" applyNumberFormat="1" applyFont="1" applyFill="1" applyBorder="1" applyAlignment="1">
      <alignment horizontal="center" vertical="center"/>
    </xf>
    <xf numFmtId="202" fontId="65" fillId="34" borderId="19" xfId="227" applyNumberFormat="1" applyFont="1" applyFill="1" applyBorder="1" applyAlignment="1">
      <alignment horizontal="center" vertical="center"/>
    </xf>
    <xf numFmtId="169" fontId="66" fillId="29" borderId="18" xfId="375" applyNumberFormat="1" applyFont="1" applyFill="1" applyBorder="1" applyAlignment="1">
      <alignment horizontal="center" vertical="center"/>
    </xf>
    <xf numFmtId="202" fontId="65" fillId="29" borderId="19" xfId="227" applyNumberFormat="1" applyFont="1" applyFill="1" applyBorder="1" applyAlignment="1">
      <alignment horizontal="center" vertical="center"/>
    </xf>
    <xf numFmtId="164" fontId="66" fillId="34" borderId="18" xfId="227" applyFont="1" applyFill="1" applyBorder="1" applyAlignment="1">
      <alignment horizontal="center" vertical="center"/>
    </xf>
    <xf numFmtId="164" fontId="66" fillId="29" borderId="18" xfId="227" applyFont="1" applyFill="1" applyBorder="1" applyAlignment="1">
      <alignment horizontal="center" vertical="center"/>
    </xf>
    <xf numFmtId="164" fontId="66" fillId="34" borderId="19" xfId="227" applyFont="1" applyFill="1" applyBorder="1" applyAlignment="1">
      <alignment horizontal="center" vertical="center"/>
    </xf>
    <xf numFmtId="164" fontId="66" fillId="29" borderId="19" xfId="227" applyFont="1" applyFill="1" applyBorder="1" applyAlignment="1">
      <alignment horizontal="center" vertical="center"/>
    </xf>
    <xf numFmtId="0" fontId="64" fillId="38" borderId="29" xfId="375" applyFont="1" applyFill="1" applyBorder="1" applyAlignment="1">
      <alignment horizontal="center" vertical="center" wrapText="1"/>
    </xf>
    <xf numFmtId="168" fontId="65" fillId="34" borderId="18" xfId="227" applyNumberFormat="1" applyFont="1" applyFill="1" applyBorder="1" applyAlignment="1">
      <alignment horizontal="center" vertical="center"/>
    </xf>
    <xf numFmtId="167" fontId="65" fillId="34" borderId="19" xfId="227" applyNumberFormat="1" applyFont="1" applyFill="1" applyBorder="1" applyAlignment="1">
      <alignment horizontal="center" vertical="center"/>
    </xf>
    <xf numFmtId="167" fontId="65" fillId="29" borderId="19" xfId="227" applyNumberFormat="1" applyFont="1" applyFill="1" applyBorder="1" applyAlignment="1">
      <alignment horizontal="center" vertical="center"/>
    </xf>
    <xf numFmtId="14" fontId="66" fillId="34" borderId="18" xfId="375" applyNumberFormat="1" applyFont="1" applyFill="1" applyBorder="1" applyAlignment="1">
      <alignment horizontal="center" vertical="center"/>
    </xf>
    <xf numFmtId="0" fontId="26" fillId="29" borderId="0" xfId="0" applyFont="1" applyFill="1" applyAlignment="1">
      <alignment horizontal="center"/>
    </xf>
    <xf numFmtId="0" fontId="6" fillId="29" borderId="0" xfId="0" applyFont="1" applyFill="1"/>
    <xf numFmtId="169" fontId="0" fillId="29" borderId="0" xfId="0" applyNumberFormat="1" applyFill="1"/>
    <xf numFmtId="205" fontId="0" fillId="29" borderId="0" xfId="0" applyNumberFormat="1" applyFill="1"/>
    <xf numFmtId="10" fontId="0" fillId="29" borderId="0" xfId="153" applyNumberFormat="1" applyFont="1" applyFill="1"/>
    <xf numFmtId="164" fontId="0" fillId="29" borderId="0" xfId="227" applyFont="1" applyFill="1"/>
    <xf numFmtId="14" fontId="26" fillId="29" borderId="0" xfId="0" applyNumberFormat="1" applyFont="1" applyFill="1" applyAlignment="1">
      <alignment horizontal="center"/>
    </xf>
    <xf numFmtId="169" fontId="26" fillId="29" borderId="0" xfId="0" applyNumberFormat="1" applyFont="1" applyFill="1" applyAlignment="1">
      <alignment horizontal="center"/>
    </xf>
    <xf numFmtId="190" fontId="26" fillId="26" borderId="0" xfId="0" applyNumberFormat="1" applyFont="1" applyFill="1" applyBorder="1" applyAlignment="1">
      <alignment horizontal="center"/>
    </xf>
    <xf numFmtId="164" fontId="0" fillId="29" borderId="0" xfId="227" applyFont="1" applyFill="1" applyBorder="1"/>
    <xf numFmtId="171" fontId="55" fillId="29" borderId="0" xfId="153" applyNumberFormat="1" applyFont="1" applyFill="1" applyBorder="1" applyAlignment="1">
      <alignment horizontal="center"/>
    </xf>
    <xf numFmtId="10" fontId="55" fillId="29" borderId="0" xfId="153" applyNumberFormat="1" applyFont="1" applyFill="1" applyBorder="1" applyAlignment="1">
      <alignment horizontal="center"/>
    </xf>
    <xf numFmtId="0" fontId="55" fillId="29" borderId="0" xfId="0" applyFont="1" applyFill="1" applyBorder="1" applyAlignment="1">
      <alignment horizontal="center"/>
    </xf>
    <xf numFmtId="171" fontId="54" fillId="29" borderId="0" xfId="153" applyNumberFormat="1" applyFont="1" applyFill="1" applyBorder="1"/>
    <xf numFmtId="10" fontId="54" fillId="29" borderId="0" xfId="153" applyNumberFormat="1" applyFont="1" applyFill="1" applyBorder="1" applyAlignment="1">
      <alignment horizontal="center"/>
    </xf>
    <xf numFmtId="0" fontId="54" fillId="29" borderId="0" xfId="0" applyFont="1" applyFill="1" applyBorder="1"/>
    <xf numFmtId="172" fontId="55" fillId="34" borderId="0" xfId="153" applyNumberFormat="1" applyFont="1" applyFill="1" applyBorder="1" applyAlignment="1">
      <alignment horizontal="center"/>
    </xf>
    <xf numFmtId="164" fontId="55" fillId="34" borderId="0" xfId="227" applyFont="1" applyFill="1" applyBorder="1" applyAlignment="1">
      <alignment horizontal="center"/>
    </xf>
    <xf numFmtId="10" fontId="55" fillId="34" borderId="0" xfId="153" applyNumberFormat="1" applyFont="1" applyFill="1" applyBorder="1" applyAlignment="1">
      <alignment horizontal="center"/>
    </xf>
    <xf numFmtId="172" fontId="55" fillId="29" borderId="0" xfId="153" applyNumberFormat="1" applyFont="1" applyFill="1" applyBorder="1" applyAlignment="1">
      <alignment horizontal="center"/>
    </xf>
    <xf numFmtId="164" fontId="55" fillId="29" borderId="0" xfId="227" applyFont="1" applyFill="1" applyBorder="1" applyAlignment="1">
      <alignment horizontal="center"/>
    </xf>
    <xf numFmtId="166" fontId="54" fillId="26" borderId="0" xfId="227" applyNumberFormat="1" applyFont="1" applyFill="1" applyBorder="1"/>
    <xf numFmtId="10" fontId="54" fillId="26" borderId="0" xfId="0" applyNumberFormat="1" applyFont="1" applyFill="1" applyBorder="1"/>
    <xf numFmtId="0" fontId="54" fillId="26" borderId="0" xfId="0" applyFont="1" applyFill="1" applyBorder="1"/>
    <xf numFmtId="168" fontId="68" fillId="35" borderId="18" xfId="0" applyNumberFormat="1" applyFont="1" applyFill="1" applyBorder="1" applyAlignment="1">
      <alignment horizontal="center"/>
    </xf>
    <xf numFmtId="171" fontId="68" fillId="35" borderId="0" xfId="153" applyNumberFormat="1" applyFont="1" applyFill="1" applyBorder="1" applyAlignment="1">
      <alignment horizontal="center"/>
    </xf>
    <xf numFmtId="10" fontId="68" fillId="35" borderId="0" xfId="153" applyNumberFormat="1" applyFont="1" applyFill="1" applyBorder="1" applyAlignment="1">
      <alignment horizontal="center"/>
    </xf>
    <xf numFmtId="0" fontId="68" fillId="35" borderId="19" xfId="0" applyFont="1" applyFill="1" applyBorder="1" applyAlignment="1">
      <alignment horizontal="center"/>
    </xf>
    <xf numFmtId="168" fontId="69" fillId="35" borderId="18" xfId="0" applyNumberFormat="1" applyFont="1" applyFill="1" applyBorder="1" applyAlignment="1">
      <alignment horizontal="center"/>
    </xf>
    <xf numFmtId="171" fontId="69" fillId="35" borderId="0" xfId="153" applyNumberFormat="1" applyFont="1" applyFill="1" applyBorder="1"/>
    <xf numFmtId="10" fontId="69" fillId="35" borderId="0" xfId="153" applyNumberFormat="1" applyFont="1" applyFill="1" applyBorder="1" applyAlignment="1">
      <alignment horizontal="center"/>
    </xf>
    <xf numFmtId="0" fontId="69" fillId="35" borderId="19" xfId="0" applyFont="1" applyFill="1" applyBorder="1"/>
    <xf numFmtId="173" fontId="68" fillId="35" borderId="18" xfId="0" applyNumberFormat="1" applyFont="1" applyFill="1" applyBorder="1" applyAlignment="1">
      <alignment horizontal="center"/>
    </xf>
    <xf numFmtId="172" fontId="68" fillId="35" borderId="0" xfId="153" applyNumberFormat="1" applyFont="1" applyFill="1" applyBorder="1" applyAlignment="1">
      <alignment horizontal="center"/>
    </xf>
    <xf numFmtId="164" fontId="68" fillId="35" borderId="0" xfId="227" applyFont="1" applyFill="1" applyBorder="1" applyAlignment="1">
      <alignment horizontal="center"/>
    </xf>
    <xf numFmtId="10" fontId="68" fillId="35" borderId="19" xfId="153" applyNumberFormat="1" applyFont="1" applyFill="1" applyBorder="1" applyAlignment="1">
      <alignment horizontal="center"/>
    </xf>
    <xf numFmtId="166" fontId="69" fillId="35" borderId="0" xfId="227" applyNumberFormat="1" applyFont="1" applyFill="1" applyBorder="1"/>
    <xf numFmtId="166" fontId="69" fillId="35" borderId="19" xfId="227" applyNumberFormat="1" applyFont="1" applyFill="1" applyBorder="1"/>
    <xf numFmtId="171" fontId="68" fillId="35" borderId="19" xfId="153" applyNumberFormat="1" applyFont="1" applyFill="1" applyBorder="1" applyAlignment="1">
      <alignment horizontal="center"/>
    </xf>
    <xf numFmtId="10" fontId="69" fillId="35" borderId="0" xfId="0" applyNumberFormat="1" applyFont="1" applyFill="1" applyBorder="1"/>
    <xf numFmtId="0" fontId="69" fillId="35" borderId="0" xfId="0" applyFont="1" applyFill="1" applyBorder="1"/>
    <xf numFmtId="10" fontId="69" fillId="35" borderId="19" xfId="0" applyNumberFormat="1" applyFont="1" applyFill="1" applyBorder="1"/>
    <xf numFmtId="173" fontId="68" fillId="35" borderId="24" xfId="0" applyNumberFormat="1" applyFont="1" applyFill="1" applyBorder="1" applyAlignment="1">
      <alignment horizontal="center"/>
    </xf>
    <xf numFmtId="172" fontId="68" fillId="35" borderId="30" xfId="153" applyNumberFormat="1" applyFont="1" applyFill="1" applyBorder="1" applyAlignment="1">
      <alignment horizontal="center"/>
    </xf>
    <xf numFmtId="164" fontId="68" fillId="35" borderId="30" xfId="227" applyFont="1" applyFill="1" applyBorder="1" applyAlignment="1">
      <alignment horizontal="center"/>
    </xf>
    <xf numFmtId="10" fontId="68" fillId="35" borderId="25" xfId="153" applyNumberFormat="1" applyFont="1" applyFill="1" applyBorder="1" applyAlignment="1">
      <alignment horizontal="center"/>
    </xf>
    <xf numFmtId="10" fontId="66" fillId="34" borderId="18" xfId="153" applyNumberFormat="1" applyFont="1" applyFill="1" applyBorder="1" applyAlignment="1">
      <alignment horizontal="center" vertical="center"/>
    </xf>
    <xf numFmtId="10" fontId="66" fillId="34" borderId="19" xfId="153" applyNumberFormat="1" applyFont="1" applyFill="1" applyBorder="1" applyAlignment="1">
      <alignment horizontal="center" vertical="center"/>
    </xf>
    <xf numFmtId="0" fontId="26" fillId="26" borderId="16" xfId="0" applyFont="1" applyFill="1" applyBorder="1" applyAlignment="1"/>
    <xf numFmtId="0" fontId="26" fillId="26" borderId="29" xfId="0" applyFont="1" applyFill="1" applyBorder="1" applyAlignment="1"/>
    <xf numFmtId="0" fontId="26" fillId="26" borderId="23" xfId="0" applyFont="1" applyFill="1" applyBorder="1" applyAlignment="1"/>
    <xf numFmtId="168" fontId="55" fillId="29" borderId="0" xfId="0" applyNumberFormat="1" applyFont="1" applyFill="1" applyBorder="1" applyAlignment="1">
      <alignment horizontal="center"/>
    </xf>
    <xf numFmtId="10" fontId="55" fillId="26" borderId="0" xfId="153" applyNumberFormat="1" applyFont="1" applyFill="1" applyBorder="1" applyAlignment="1">
      <alignment horizontal="center"/>
    </xf>
    <xf numFmtId="168" fontId="54" fillId="29" borderId="0" xfId="0" applyNumberFormat="1" applyFont="1" applyFill="1" applyBorder="1" applyAlignment="1">
      <alignment horizontal="center"/>
    </xf>
    <xf numFmtId="166" fontId="26" fillId="29" borderId="0" xfId="227" applyNumberFormat="1" applyFont="1" applyFill="1" applyBorder="1" applyAlignment="1">
      <alignment horizontal="center"/>
    </xf>
    <xf numFmtId="173" fontId="55" fillId="34" borderId="0" xfId="0" applyNumberFormat="1" applyFont="1" applyFill="1" applyBorder="1" applyAlignment="1">
      <alignment horizontal="center"/>
    </xf>
    <xf numFmtId="168" fontId="55" fillId="34" borderId="0" xfId="0" applyNumberFormat="1" applyFont="1" applyFill="1" applyBorder="1" applyAlignment="1">
      <alignment horizontal="center"/>
    </xf>
    <xf numFmtId="173" fontId="55" fillId="29" borderId="0" xfId="0" applyNumberFormat="1" applyFont="1" applyFill="1" applyBorder="1" applyAlignment="1">
      <alignment horizontal="center"/>
    </xf>
    <xf numFmtId="10" fontId="54" fillId="26" borderId="0" xfId="153" applyNumberFormat="1" applyFont="1" applyFill="1" applyBorder="1"/>
    <xf numFmtId="173" fontId="55" fillId="26" borderId="0" xfId="0" applyNumberFormat="1" applyFont="1" applyFill="1" applyBorder="1" applyAlignment="1">
      <alignment horizontal="center"/>
    </xf>
    <xf numFmtId="166" fontId="55" fillId="29" borderId="0" xfId="227" applyNumberFormat="1" applyFont="1" applyFill="1" applyBorder="1" applyAlignment="1">
      <alignment horizontal="center"/>
    </xf>
    <xf numFmtId="166" fontId="55" fillId="34" borderId="0" xfId="227" applyNumberFormat="1" applyFont="1" applyFill="1" applyBorder="1" applyAlignment="1">
      <alignment horizontal="center"/>
    </xf>
    <xf numFmtId="166" fontId="65" fillId="34" borderId="19" xfId="227" applyNumberFormat="1" applyFont="1" applyFill="1" applyBorder="1" applyAlignment="1">
      <alignment horizontal="center" vertical="center"/>
    </xf>
    <xf numFmtId="166" fontId="65" fillId="34" borderId="0" xfId="227" applyNumberFormat="1" applyFont="1" applyFill="1" applyBorder="1" applyAlignment="1">
      <alignment horizontal="center" vertical="center"/>
    </xf>
    <xf numFmtId="166" fontId="65" fillId="29" borderId="0" xfId="227" applyNumberFormat="1" applyFont="1" applyFill="1" applyBorder="1" applyAlignment="1">
      <alignment horizontal="center" vertical="center"/>
    </xf>
    <xf numFmtId="166" fontId="65" fillId="29" borderId="19" xfId="227" applyNumberFormat="1" applyFont="1" applyFill="1" applyBorder="1" applyAlignment="1">
      <alignment horizontal="center" vertical="center"/>
    </xf>
    <xf numFmtId="10" fontId="66" fillId="29" borderId="18" xfId="153" applyNumberFormat="1" applyFont="1" applyFill="1" applyBorder="1" applyAlignment="1">
      <alignment horizontal="center" vertical="center"/>
    </xf>
    <xf numFmtId="10" fontId="66" fillId="29" borderId="19" xfId="153" applyNumberFormat="1" applyFont="1" applyFill="1" applyBorder="1" applyAlignment="1">
      <alignment horizontal="center" vertical="center"/>
    </xf>
    <xf numFmtId="205" fontId="66" fillId="29" borderId="42" xfId="227" applyNumberFormat="1" applyFont="1" applyFill="1" applyBorder="1" applyAlignment="1">
      <alignment horizontal="center" vertical="center"/>
    </xf>
    <xf numFmtId="205" fontId="66" fillId="29" borderId="46" xfId="227" applyNumberFormat="1" applyFont="1" applyFill="1" applyBorder="1" applyAlignment="1">
      <alignment horizontal="center" vertical="center"/>
    </xf>
    <xf numFmtId="205" fontId="66" fillId="29" borderId="46" xfId="227" quotePrefix="1" applyNumberFormat="1" applyFont="1" applyFill="1" applyBorder="1" applyAlignment="1">
      <alignment horizontal="center" vertical="center"/>
    </xf>
    <xf numFmtId="205" fontId="66" fillId="29" borderId="50" xfId="227" applyNumberFormat="1" applyFont="1" applyFill="1" applyBorder="1" applyAlignment="1">
      <alignment horizontal="center" vertical="center"/>
    </xf>
    <xf numFmtId="206" fontId="0" fillId="28" borderId="0" xfId="0" applyNumberFormat="1" applyFill="1"/>
    <xf numFmtId="206" fontId="0" fillId="26" borderId="0" xfId="0" applyNumberFormat="1" applyFill="1"/>
    <xf numFmtId="207" fontId="0" fillId="26" borderId="0" xfId="0" applyNumberFormat="1" applyFill="1"/>
    <xf numFmtId="208" fontId="0" fillId="28" borderId="0" xfId="0" applyNumberFormat="1" applyFill="1"/>
    <xf numFmtId="208" fontId="6" fillId="26" borderId="0" xfId="227" applyNumberFormat="1" applyFont="1" applyFill="1"/>
    <xf numFmtId="209" fontId="66" fillId="34" borderId="18" xfId="227" applyNumberFormat="1" applyFont="1" applyFill="1" applyBorder="1" applyAlignment="1">
      <alignment horizontal="center" vertical="center"/>
    </xf>
    <xf numFmtId="209" fontId="65" fillId="34" borderId="19" xfId="227" applyNumberFormat="1" applyFont="1" applyFill="1" applyBorder="1" applyAlignment="1">
      <alignment horizontal="center" vertical="center"/>
    </xf>
    <xf numFmtId="209" fontId="66" fillId="29" borderId="18" xfId="227" applyNumberFormat="1" applyFont="1" applyFill="1" applyBorder="1" applyAlignment="1">
      <alignment horizontal="center" vertical="center"/>
    </xf>
    <xf numFmtId="209" fontId="65" fillId="29" borderId="19" xfId="227" applyNumberFormat="1" applyFont="1" applyFill="1" applyBorder="1" applyAlignment="1">
      <alignment horizontal="center" vertical="center"/>
    </xf>
    <xf numFmtId="167" fontId="0" fillId="26" borderId="0" xfId="227" applyNumberFormat="1" applyFont="1" applyFill="1" applyAlignment="1">
      <alignment horizontal="center"/>
    </xf>
    <xf numFmtId="0" fontId="6" fillId="0" borderId="0" xfId="316"/>
    <xf numFmtId="10" fontId="6" fillId="0" borderId="0" xfId="317" applyNumberFormat="1"/>
    <xf numFmtId="168" fontId="6" fillId="0" borderId="0" xfId="316" applyNumberFormat="1"/>
    <xf numFmtId="197" fontId="6" fillId="0" borderId="0" xfId="227" applyNumberFormat="1" applyFont="1"/>
    <xf numFmtId="0" fontId="6" fillId="0" borderId="0" xfId="316" applyFont="1"/>
    <xf numFmtId="14" fontId="6" fillId="0" borderId="0" xfId="316" applyNumberFormat="1"/>
    <xf numFmtId="17" fontId="6" fillId="0" borderId="0" xfId="316" applyNumberFormat="1"/>
    <xf numFmtId="172" fontId="58" fillId="35" borderId="18" xfId="153" applyNumberFormat="1" applyFont="1" applyFill="1" applyBorder="1" applyAlignment="1">
      <alignment horizontal="center"/>
    </xf>
    <xf numFmtId="164" fontId="66" fillId="29" borderId="0" xfId="227" applyFont="1" applyFill="1" applyBorder="1" applyAlignment="1">
      <alignment horizontal="center" vertical="center"/>
    </xf>
    <xf numFmtId="40" fontId="65" fillId="29" borderId="0" xfId="227" applyNumberFormat="1" applyFont="1" applyFill="1" applyBorder="1" applyAlignment="1">
      <alignment horizontal="center" vertical="center"/>
    </xf>
    <xf numFmtId="164" fontId="66" fillId="34" borderId="0" xfId="227" applyFont="1" applyFill="1" applyBorder="1" applyAlignment="1">
      <alignment horizontal="center" vertical="center"/>
    </xf>
    <xf numFmtId="40" fontId="65" fillId="34" borderId="0" xfId="227" applyNumberFormat="1" applyFont="1" applyFill="1" applyBorder="1" applyAlignment="1">
      <alignment horizontal="center" vertical="center"/>
    </xf>
    <xf numFmtId="0" fontId="64" fillId="38" borderId="26" xfId="375" applyFont="1" applyFill="1" applyBorder="1" applyAlignment="1">
      <alignment horizontal="center" vertical="center" wrapText="1"/>
    </xf>
    <xf numFmtId="14" fontId="66" fillId="34" borderId="51" xfId="375" applyNumberFormat="1" applyFont="1" applyFill="1" applyBorder="1" applyAlignment="1">
      <alignment horizontal="center" vertical="center"/>
    </xf>
    <xf numFmtId="10" fontId="0" fillId="29" borderId="0" xfId="153" applyNumberFormat="1" applyFont="1" applyFill="1" applyAlignment="1">
      <alignment horizontal="left"/>
    </xf>
    <xf numFmtId="205" fontId="0" fillId="29" borderId="0" xfId="0" applyNumberFormat="1" applyFill="1" applyAlignment="1">
      <alignment horizontal="left"/>
    </xf>
    <xf numFmtId="0" fontId="0" fillId="29" borderId="0" xfId="0" applyFill="1" applyAlignment="1">
      <alignment horizontal="left"/>
    </xf>
    <xf numFmtId="10" fontId="26" fillId="29" borderId="0" xfId="153" applyNumberFormat="1" applyFont="1" applyFill="1" applyAlignment="1">
      <alignment horizontal="left"/>
    </xf>
    <xf numFmtId="10" fontId="6" fillId="40" borderId="0" xfId="153" applyNumberFormat="1" applyFont="1" applyFill="1"/>
    <xf numFmtId="210" fontId="66" fillId="29" borderId="51" xfId="375" applyNumberFormat="1" applyFont="1" applyFill="1" applyBorder="1" applyAlignment="1">
      <alignment horizontal="center" vertical="center"/>
    </xf>
    <xf numFmtId="210" fontId="66" fillId="34" borderId="51" xfId="375" applyNumberFormat="1" applyFont="1" applyFill="1" applyBorder="1" applyAlignment="1">
      <alignment horizontal="center" vertical="center"/>
    </xf>
    <xf numFmtId="210" fontId="66" fillId="29" borderId="18" xfId="375" applyNumberFormat="1" applyFont="1" applyFill="1" applyBorder="1" applyAlignment="1">
      <alignment horizontal="center" vertical="center"/>
    </xf>
    <xf numFmtId="210" fontId="66" fillId="34" borderId="18" xfId="375" applyNumberFormat="1" applyFont="1" applyFill="1" applyBorder="1" applyAlignment="1">
      <alignment horizontal="center" vertical="center"/>
    </xf>
    <xf numFmtId="211" fontId="65" fillId="29" borderId="18" xfId="227" applyNumberFormat="1" applyFont="1" applyFill="1" applyBorder="1" applyAlignment="1">
      <alignment horizontal="center" vertical="center"/>
    </xf>
    <xf numFmtId="211" fontId="65" fillId="34" borderId="18" xfId="227" applyNumberFormat="1" applyFont="1" applyFill="1" applyBorder="1" applyAlignment="1">
      <alignment horizontal="center" vertical="center"/>
    </xf>
    <xf numFmtId="171" fontId="0" fillId="29" borderId="0" xfId="153" applyNumberFormat="1" applyFont="1" applyFill="1" applyBorder="1"/>
    <xf numFmtId="14" fontId="29" fillId="26" borderId="36" xfId="0" applyNumberFormat="1" applyFont="1" applyFill="1" applyBorder="1" applyAlignment="1">
      <alignment horizontal="center"/>
    </xf>
    <xf numFmtId="0" fontId="71" fillId="0" borderId="52" xfId="1064" applyNumberFormat="1" applyFont="1" applyBorder="1" applyAlignment="1">
      <alignment horizontal="center" vertical="center" wrapText="1"/>
    </xf>
    <xf numFmtId="14" fontId="71" fillId="0" borderId="52" xfId="1064" applyNumberFormat="1" applyFont="1" applyBorder="1" applyAlignment="1">
      <alignment horizontal="center" vertical="center" wrapText="1"/>
    </xf>
    <xf numFmtId="194" fontId="71" fillId="0" borderId="52" xfId="1064" applyNumberFormat="1" applyFont="1" applyBorder="1" applyAlignment="1">
      <alignment horizontal="center" vertical="center" wrapText="1"/>
    </xf>
    <xf numFmtId="0" fontId="1" fillId="0" borderId="54" xfId="1065" applyBorder="1" applyAlignment="1">
      <alignment horizontal="center" vertical="center" wrapText="1"/>
    </xf>
    <xf numFmtId="0" fontId="71" fillId="0" borderId="53" xfId="1065" applyFont="1" applyBorder="1" applyAlignment="1">
      <alignment horizontal="center" vertical="center" wrapText="1"/>
    </xf>
    <xf numFmtId="212" fontId="70" fillId="0" borderId="55" xfId="1064" applyNumberFormat="1" applyFont="1" applyBorder="1" applyAlignment="1">
      <alignment horizontal="center"/>
    </xf>
    <xf numFmtId="14" fontId="70" fillId="0" borderId="55" xfId="1064" applyNumberFormat="1" applyFont="1" applyBorder="1" applyAlignment="1">
      <alignment horizontal="center"/>
    </xf>
    <xf numFmtId="194" fontId="70" fillId="0" borderId="55" xfId="1064" applyNumberFormat="1" applyFont="1" applyBorder="1" applyAlignment="1">
      <alignment horizontal="center"/>
    </xf>
    <xf numFmtId="213" fontId="70" fillId="0" borderId="55" xfId="1064" applyNumberFormat="1" applyFont="1" applyBorder="1" applyAlignment="1">
      <alignment horizontal="center"/>
    </xf>
    <xf numFmtId="212" fontId="70" fillId="0" borderId="55" xfId="1064" applyNumberFormat="1" applyFont="1" applyBorder="1" applyAlignment="1">
      <alignment horizontal="center"/>
    </xf>
    <xf numFmtId="14" fontId="70" fillId="0" borderId="55" xfId="1064" applyNumberFormat="1" applyFont="1" applyBorder="1" applyAlignment="1">
      <alignment horizontal="center"/>
    </xf>
    <xf numFmtId="194" fontId="70" fillId="0" borderId="55" xfId="1064" applyNumberFormat="1" applyFont="1" applyBorder="1" applyAlignment="1">
      <alignment horizontal="center"/>
    </xf>
    <xf numFmtId="213" fontId="70" fillId="0" borderId="55" xfId="1064" applyNumberFormat="1" applyFont="1" applyBorder="1" applyAlignment="1">
      <alignment horizontal="center"/>
    </xf>
    <xf numFmtId="0" fontId="71" fillId="0" borderId="56" xfId="1064" applyFont="1" applyBorder="1" applyAlignment="1">
      <alignment horizontal="center" vertical="center" wrapText="1"/>
    </xf>
    <xf numFmtId="0" fontId="71" fillId="0" borderId="57" xfId="1064" applyFont="1" applyBorder="1" applyAlignment="1">
      <alignment horizontal="center" vertical="center" wrapText="1"/>
    </xf>
    <xf numFmtId="0" fontId="71" fillId="0" borderId="58" xfId="1064" applyFont="1" applyBorder="1" applyAlignment="1">
      <alignment horizontal="center" vertical="center" wrapText="1"/>
    </xf>
    <xf numFmtId="212" fontId="0" fillId="0" borderId="59" xfId="0" applyNumberFormat="1" applyBorder="1"/>
    <xf numFmtId="14" fontId="0" fillId="0" borderId="59" xfId="0" applyNumberFormat="1" applyBorder="1"/>
    <xf numFmtId="4" fontId="0" fillId="0" borderId="59" xfId="0" applyNumberFormat="1" applyBorder="1"/>
    <xf numFmtId="194" fontId="0" fillId="0" borderId="59" xfId="0" applyNumberFormat="1" applyBorder="1"/>
    <xf numFmtId="194" fontId="71" fillId="0" borderId="53" xfId="1065" applyNumberFormat="1" applyFont="1" applyBorder="1" applyAlignment="1">
      <alignment horizontal="center" vertical="center" wrapText="1"/>
    </xf>
    <xf numFmtId="212" fontId="0" fillId="0" borderId="0" xfId="0" applyNumberFormat="1"/>
    <xf numFmtId="194" fontId="0" fillId="0" borderId="0" xfId="0" applyNumberFormat="1"/>
    <xf numFmtId="0" fontId="0" fillId="29" borderId="16" xfId="0" applyFill="1" applyBorder="1"/>
    <xf numFmtId="0" fontId="0" fillId="29" borderId="29" xfId="0" applyFill="1" applyBorder="1"/>
    <xf numFmtId="0" fontId="0" fillId="29" borderId="23" xfId="0" applyFill="1" applyBorder="1"/>
    <xf numFmtId="0" fontId="0" fillId="29" borderId="18" xfId="0" applyFill="1" applyBorder="1"/>
    <xf numFmtId="0" fontId="0" fillId="29" borderId="19" xfId="0" applyFill="1" applyBorder="1"/>
    <xf numFmtId="210" fontId="66" fillId="29" borderId="24" xfId="375" applyNumberFormat="1" applyFont="1" applyFill="1" applyBorder="1" applyAlignment="1">
      <alignment horizontal="center" vertical="center"/>
    </xf>
    <xf numFmtId="169" fontId="66" fillId="29" borderId="24" xfId="375" applyNumberFormat="1" applyFont="1" applyFill="1" applyBorder="1" applyAlignment="1">
      <alignment horizontal="center" vertical="center"/>
    </xf>
    <xf numFmtId="202" fontId="65" fillId="29" borderId="25" xfId="227" applyNumberFormat="1" applyFont="1" applyFill="1" applyBorder="1" applyAlignment="1">
      <alignment horizontal="center" vertical="center"/>
    </xf>
    <xf numFmtId="209" fontId="66" fillId="29" borderId="24" xfId="227" applyNumberFormat="1" applyFont="1" applyFill="1" applyBorder="1" applyAlignment="1">
      <alignment horizontal="center" vertical="center"/>
    </xf>
    <xf numFmtId="209" fontId="65" fillId="29" borderId="25" xfId="227" applyNumberFormat="1" applyFont="1" applyFill="1" applyBorder="1" applyAlignment="1">
      <alignment horizontal="center" vertical="center"/>
    </xf>
    <xf numFmtId="10" fontId="66" fillId="29" borderId="24" xfId="153" applyNumberFormat="1" applyFont="1" applyFill="1" applyBorder="1" applyAlignment="1">
      <alignment horizontal="center" vertical="center"/>
    </xf>
    <xf numFmtId="10" fontId="66" fillId="29" borderId="25" xfId="153" applyNumberFormat="1" applyFont="1" applyFill="1" applyBorder="1" applyAlignment="1">
      <alignment horizontal="center" vertical="center"/>
    </xf>
    <xf numFmtId="211" fontId="65" fillId="29" borderId="24" xfId="227" applyNumberFormat="1" applyFont="1" applyFill="1" applyBorder="1" applyAlignment="1">
      <alignment horizontal="center" vertical="center"/>
    </xf>
    <xf numFmtId="166" fontId="65" fillId="29" borderId="30" xfId="227" applyNumberFormat="1" applyFont="1" applyFill="1" applyBorder="1" applyAlignment="1">
      <alignment horizontal="center" vertical="center"/>
    </xf>
    <xf numFmtId="166" fontId="65" fillId="29" borderId="25" xfId="227" applyNumberFormat="1" applyFont="1" applyFill="1" applyBorder="1" applyAlignment="1">
      <alignment horizontal="center" vertical="center"/>
    </xf>
    <xf numFmtId="0" fontId="0" fillId="39" borderId="23" xfId="0" applyFill="1" applyBorder="1"/>
    <xf numFmtId="0" fontId="0" fillId="39" borderId="19" xfId="0" applyFill="1" applyBorder="1"/>
    <xf numFmtId="169" fontId="66" fillId="34" borderId="19" xfId="375" applyNumberFormat="1" applyFont="1" applyFill="1" applyBorder="1" applyAlignment="1">
      <alignment horizontal="center" vertical="center"/>
    </xf>
    <xf numFmtId="169" fontId="66" fillId="29" borderId="19" xfId="375" applyNumberFormat="1" applyFont="1" applyFill="1" applyBorder="1" applyAlignment="1">
      <alignment horizontal="center" vertical="center"/>
    </xf>
    <xf numFmtId="171" fontId="66" fillId="34" borderId="19" xfId="153" applyNumberFormat="1" applyFont="1" applyFill="1" applyBorder="1" applyAlignment="1">
      <alignment horizontal="center" vertical="center"/>
    </xf>
    <xf numFmtId="171" fontId="66" fillId="29" borderId="19" xfId="153" applyNumberFormat="1" applyFont="1" applyFill="1" applyBorder="1" applyAlignment="1">
      <alignment horizontal="center" vertical="center"/>
    </xf>
    <xf numFmtId="171" fontId="66" fillId="29" borderId="25" xfId="153" applyNumberFormat="1" applyFont="1" applyFill="1" applyBorder="1" applyAlignment="1">
      <alignment horizontal="center" vertical="center"/>
    </xf>
    <xf numFmtId="214" fontId="0" fillId="27" borderId="0" xfId="0" applyNumberFormat="1" applyFill="1" applyBorder="1"/>
    <xf numFmtId="0" fontId="6" fillId="27" borderId="0" xfId="0" applyFont="1" applyFill="1" applyBorder="1"/>
    <xf numFmtId="0" fontId="64" fillId="38" borderId="51" xfId="375" applyFont="1" applyFill="1" applyBorder="1" applyAlignment="1">
      <alignment horizontal="center" vertical="center" wrapText="1"/>
    </xf>
    <xf numFmtId="0" fontId="64" fillId="38" borderId="18" xfId="375" applyFont="1" applyFill="1" applyBorder="1" applyAlignment="1">
      <alignment horizontal="center" vertical="center" wrapText="1"/>
    </xf>
    <xf numFmtId="0" fontId="64" fillId="38" borderId="0" xfId="375" applyFont="1" applyFill="1" applyBorder="1" applyAlignment="1">
      <alignment horizontal="center" vertical="center" wrapText="1"/>
    </xf>
    <xf numFmtId="0" fontId="64" fillId="38" borderId="19" xfId="375" applyFont="1" applyFill="1" applyBorder="1" applyAlignment="1">
      <alignment horizontal="center" vertical="center" wrapText="1"/>
    </xf>
    <xf numFmtId="209" fontId="66" fillId="34" borderId="0" xfId="227" applyNumberFormat="1" applyFont="1" applyFill="1" applyBorder="1" applyAlignment="1">
      <alignment horizontal="center" vertical="center"/>
    </xf>
    <xf numFmtId="10" fontId="66" fillId="34" borderId="0" xfId="153" applyNumberFormat="1" applyFont="1" applyFill="1" applyBorder="1" applyAlignment="1">
      <alignment horizontal="center" vertical="center"/>
    </xf>
    <xf numFmtId="209" fontId="66" fillId="29" borderId="0" xfId="227" applyNumberFormat="1" applyFont="1" applyFill="1" applyBorder="1" applyAlignment="1">
      <alignment horizontal="center" vertical="center"/>
    </xf>
    <xf numFmtId="210" fontId="66" fillId="34" borderId="27" xfId="375" applyNumberFormat="1" applyFont="1" applyFill="1" applyBorder="1" applyAlignment="1">
      <alignment horizontal="center" vertical="center"/>
    </xf>
    <xf numFmtId="169" fontId="66" fillId="34" borderId="24" xfId="375" applyNumberFormat="1" applyFont="1" applyFill="1" applyBorder="1" applyAlignment="1">
      <alignment horizontal="center" vertical="center"/>
    </xf>
    <xf numFmtId="209" fontId="66" fillId="34" borderId="30" xfId="227" applyNumberFormat="1" applyFont="1" applyFill="1" applyBorder="1" applyAlignment="1">
      <alignment horizontal="center" vertical="center"/>
    </xf>
    <xf numFmtId="10" fontId="66" fillId="34" borderId="25" xfId="153" applyNumberFormat="1" applyFont="1" applyFill="1" applyBorder="1" applyAlignment="1">
      <alignment horizontal="center" vertical="center"/>
    </xf>
    <xf numFmtId="164" fontId="66" fillId="34" borderId="24" xfId="227" applyFont="1" applyFill="1" applyBorder="1" applyAlignment="1">
      <alignment horizontal="center" vertical="center"/>
    </xf>
    <xf numFmtId="164" fontId="66" fillId="34" borderId="30" xfId="227" applyFont="1" applyFill="1" applyBorder="1" applyAlignment="1">
      <alignment horizontal="center" vertical="center"/>
    </xf>
    <xf numFmtId="210" fontId="66" fillId="29" borderId="0" xfId="375" applyNumberFormat="1" applyFont="1" applyFill="1" applyBorder="1" applyAlignment="1">
      <alignment horizontal="center" vertical="center"/>
    </xf>
    <xf numFmtId="169" fontId="66" fillId="29" borderId="0" xfId="375" applyNumberFormat="1" applyFont="1" applyFill="1" applyBorder="1" applyAlignment="1">
      <alignment horizontal="center" vertical="center"/>
    </xf>
    <xf numFmtId="10" fontId="66" fillId="29" borderId="0" xfId="153" applyNumberFormat="1" applyFont="1" applyFill="1" applyBorder="1" applyAlignment="1">
      <alignment horizontal="center" vertical="center"/>
    </xf>
    <xf numFmtId="210" fontId="66" fillId="29" borderId="27" xfId="375" applyNumberFormat="1" applyFont="1" applyFill="1" applyBorder="1" applyAlignment="1">
      <alignment horizontal="center" vertical="center"/>
    </xf>
    <xf numFmtId="209" fontId="66" fillId="29" borderId="30" xfId="227" applyNumberFormat="1" applyFont="1" applyFill="1" applyBorder="1" applyAlignment="1">
      <alignment horizontal="center" vertical="center"/>
    </xf>
    <xf numFmtId="10" fontId="66" fillId="29" borderId="30" xfId="153" applyNumberFormat="1" applyFont="1" applyFill="1" applyBorder="1" applyAlignment="1">
      <alignment horizontal="center" vertical="center"/>
    </xf>
    <xf numFmtId="10" fontId="6" fillId="0" borderId="0" xfId="0" applyNumberFormat="1" applyFont="1"/>
    <xf numFmtId="0" fontId="0" fillId="29" borderId="24" xfId="0" applyFill="1" applyBorder="1"/>
    <xf numFmtId="0" fontId="0" fillId="29" borderId="30" xfId="0" applyFill="1" applyBorder="1"/>
    <xf numFmtId="0" fontId="0" fillId="29" borderId="25" xfId="0" applyFill="1" applyBorder="1"/>
    <xf numFmtId="209" fontId="0" fillId="29" borderId="0" xfId="227" applyNumberFormat="1" applyFont="1" applyFill="1"/>
    <xf numFmtId="0" fontId="26" fillId="29" borderId="0" xfId="0" applyFont="1" applyFill="1" applyAlignment="1">
      <alignment horizontal="center"/>
    </xf>
    <xf numFmtId="10" fontId="40" fillId="26" borderId="29" xfId="0" applyNumberFormat="1" applyFont="1" applyFill="1" applyBorder="1" applyAlignment="1">
      <alignment horizontal="justify" vertical="center" wrapText="1"/>
    </xf>
    <xf numFmtId="10" fontId="40" fillId="26" borderId="30" xfId="0" applyNumberFormat="1" applyFont="1" applyFill="1" applyBorder="1" applyAlignment="1">
      <alignment horizontal="justify" vertical="center" wrapText="1"/>
    </xf>
    <xf numFmtId="10" fontId="27" fillId="27" borderId="26" xfId="0" applyNumberFormat="1" applyFont="1" applyFill="1" applyBorder="1" applyAlignment="1">
      <alignment horizontal="center" vertical="center" wrapText="1"/>
    </xf>
    <xf numFmtId="10" fontId="27" fillId="27" borderId="27" xfId="0" applyNumberFormat="1" applyFont="1" applyFill="1" applyBorder="1" applyAlignment="1">
      <alignment horizontal="center" vertical="center" wrapText="1"/>
    </xf>
    <xf numFmtId="0" fontId="26" fillId="26" borderId="12" xfId="0" applyFont="1" applyFill="1" applyBorder="1" applyAlignment="1">
      <alignment horizontal="center"/>
    </xf>
    <xf numFmtId="0" fontId="26" fillId="26" borderId="17" xfId="0" applyFont="1" applyFill="1" applyBorder="1" applyAlignment="1">
      <alignment horizontal="center"/>
    </xf>
    <xf numFmtId="0" fontId="26" fillId="26" borderId="13" xfId="0" applyFont="1" applyFill="1" applyBorder="1" applyAlignment="1">
      <alignment horizontal="center"/>
    </xf>
    <xf numFmtId="10" fontId="26" fillId="29" borderId="12" xfId="165" applyNumberFormat="1" applyFont="1" applyFill="1" applyBorder="1" applyAlignment="1">
      <alignment horizontal="center"/>
    </xf>
    <xf numFmtId="10" fontId="26" fillId="29" borderId="13" xfId="165" applyNumberFormat="1" applyFont="1" applyFill="1" applyBorder="1" applyAlignment="1">
      <alignment horizontal="center"/>
    </xf>
    <xf numFmtId="0" fontId="26" fillId="26" borderId="0" xfId="0" applyFont="1" applyFill="1" applyBorder="1" applyAlignment="1">
      <alignment horizontal="center"/>
    </xf>
    <xf numFmtId="0" fontId="63" fillId="39" borderId="18" xfId="0" applyFont="1" applyFill="1" applyBorder="1" applyAlignment="1">
      <alignment horizontal="center"/>
    </xf>
    <xf numFmtId="0" fontId="63" fillId="39" borderId="0" xfId="0" applyFont="1" applyFill="1" applyBorder="1" applyAlignment="1">
      <alignment horizontal="center"/>
    </xf>
    <xf numFmtId="0" fontId="63" fillId="39" borderId="19" xfId="0" applyFont="1" applyFill="1" applyBorder="1" applyAlignment="1">
      <alignment horizontal="center"/>
    </xf>
    <xf numFmtId="0" fontId="63" fillId="39" borderId="24" xfId="0" applyFont="1" applyFill="1" applyBorder="1" applyAlignment="1">
      <alignment horizontal="center"/>
    </xf>
    <xf numFmtId="0" fontId="63" fillId="39" borderId="30" xfId="0" applyFont="1" applyFill="1" applyBorder="1" applyAlignment="1">
      <alignment horizontal="center"/>
    </xf>
    <xf numFmtId="0" fontId="63" fillId="39" borderId="25" xfId="0" applyFont="1" applyFill="1" applyBorder="1" applyAlignment="1">
      <alignment horizontal="center"/>
    </xf>
    <xf numFmtId="0" fontId="63" fillId="39" borderId="16" xfId="0" applyFont="1" applyFill="1" applyBorder="1" applyAlignment="1">
      <alignment horizontal="center"/>
    </xf>
    <xf numFmtId="0" fontId="63" fillId="39" borderId="29" xfId="0" applyFont="1" applyFill="1" applyBorder="1" applyAlignment="1">
      <alignment horizontal="center"/>
    </xf>
    <xf numFmtId="0" fontId="63" fillId="39" borderId="23" xfId="0" applyFont="1" applyFill="1" applyBorder="1" applyAlignment="1">
      <alignment horizontal="center"/>
    </xf>
    <xf numFmtId="0" fontId="64" fillId="37" borderId="12" xfId="375" applyFont="1" applyFill="1" applyBorder="1" applyAlignment="1">
      <alignment horizontal="center" vertical="center" wrapText="1"/>
    </xf>
    <xf numFmtId="0" fontId="64" fillId="37" borderId="17" xfId="375" applyFont="1" applyFill="1" applyBorder="1" applyAlignment="1">
      <alignment horizontal="center" vertical="center" wrapText="1"/>
    </xf>
    <xf numFmtId="0" fontId="64" fillId="37" borderId="13" xfId="375" applyFont="1" applyFill="1" applyBorder="1" applyAlignment="1">
      <alignment horizontal="center" vertical="center" wrapText="1"/>
    </xf>
    <xf numFmtId="0" fontId="63" fillId="36" borderId="12" xfId="0" applyFont="1" applyFill="1" applyBorder="1" applyAlignment="1">
      <alignment horizontal="center" vertical="center"/>
    </xf>
    <xf numFmtId="0" fontId="63" fillId="36" borderId="17" xfId="0" applyFont="1" applyFill="1" applyBorder="1" applyAlignment="1">
      <alignment horizontal="center" vertical="center"/>
    </xf>
    <xf numFmtId="0" fontId="63" fillId="36" borderId="29" xfId="0" applyFont="1" applyFill="1" applyBorder="1" applyAlignment="1">
      <alignment horizontal="center" vertical="center"/>
    </xf>
    <xf numFmtId="0" fontId="63" fillId="36" borderId="23" xfId="0" applyFont="1" applyFill="1" applyBorder="1" applyAlignment="1">
      <alignment horizontal="center" vertical="center"/>
    </xf>
    <xf numFmtId="0" fontId="40" fillId="29" borderId="0" xfId="0" applyFont="1" applyFill="1" applyBorder="1" applyAlignment="1">
      <alignment horizontal="center"/>
    </xf>
    <xf numFmtId="0" fontId="40" fillId="29" borderId="30" xfId="0" applyFont="1" applyFill="1" applyBorder="1" applyAlignment="1">
      <alignment horizontal="center"/>
    </xf>
    <xf numFmtId="0" fontId="72" fillId="0" borderId="16" xfId="0" applyFont="1" applyBorder="1" applyAlignment="1">
      <alignment horizontal="center"/>
    </xf>
    <xf numFmtId="0" fontId="72" fillId="0" borderId="29" xfId="0" applyFont="1" applyBorder="1" applyAlignment="1">
      <alignment horizontal="center"/>
    </xf>
    <xf numFmtId="0" fontId="72" fillId="0" borderId="23" xfId="0" applyFont="1" applyBorder="1" applyAlignment="1">
      <alignment horizontal="center"/>
    </xf>
    <xf numFmtId="215" fontId="64" fillId="38" borderId="16" xfId="375" applyNumberFormat="1" applyFont="1" applyFill="1" applyBorder="1" applyAlignment="1">
      <alignment horizontal="center" vertical="center" wrapText="1"/>
    </xf>
    <xf numFmtId="215" fontId="64" fillId="38" borderId="29" xfId="375" applyNumberFormat="1" applyFont="1" applyFill="1" applyBorder="1" applyAlignment="1">
      <alignment horizontal="center" vertical="center" wrapText="1"/>
    </xf>
    <xf numFmtId="215" fontId="64" fillId="38" borderId="23" xfId="375" applyNumberFormat="1" applyFont="1" applyFill="1" applyBorder="1" applyAlignment="1">
      <alignment horizontal="center" vertical="center" wrapText="1"/>
    </xf>
    <xf numFmtId="168" fontId="6" fillId="0" borderId="0" xfId="316" applyNumberFormat="1" applyAlignment="1">
      <alignment horizontal="center"/>
    </xf>
  </cellXfs>
  <cellStyles count="1068"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20% - Ênfase1" xfId="7" builtinId="30" customBuiltin="1"/>
    <cellStyle name="20% - Ênfase1 2" xfId="701"/>
    <cellStyle name="20% - Ênfase1 3" xfId="770"/>
    <cellStyle name="20% - Ênfase2" xfId="8" builtinId="34" customBuiltin="1"/>
    <cellStyle name="20% - Ênfase2 2" xfId="702"/>
    <cellStyle name="20% - Ênfase2 3" xfId="771"/>
    <cellStyle name="20% - Ênfase3" xfId="9" builtinId="38" customBuiltin="1"/>
    <cellStyle name="20% - Ênfase3 2" xfId="703"/>
    <cellStyle name="20% - Ênfase3 3" xfId="772"/>
    <cellStyle name="20% - Ênfase4" xfId="10" builtinId="42" customBuiltin="1"/>
    <cellStyle name="20% - Ênfase4 2" xfId="704"/>
    <cellStyle name="20% - Ênfase4 3" xfId="773"/>
    <cellStyle name="20% - Ênfase5" xfId="11" builtinId="46" customBuiltin="1"/>
    <cellStyle name="20% - Ênfase5 2" xfId="705"/>
    <cellStyle name="20% - Ênfase5 3" xfId="774"/>
    <cellStyle name="20% - Ênfase6" xfId="12" builtinId="50" customBuiltin="1"/>
    <cellStyle name="20% - Ênfase6 2" xfId="706"/>
    <cellStyle name="20% - Ênfase6 3" xfId="775"/>
    <cellStyle name="40% - Accent1" xfId="13"/>
    <cellStyle name="40% - Accent2" xfId="14"/>
    <cellStyle name="40% - Accent3" xfId="15"/>
    <cellStyle name="40% - Accent4" xfId="16"/>
    <cellStyle name="40% - Accent5" xfId="17"/>
    <cellStyle name="40% - Accent6" xfId="18"/>
    <cellStyle name="40% - Ênfase1" xfId="19" builtinId="31" customBuiltin="1"/>
    <cellStyle name="40% - Ênfase1 2" xfId="707"/>
    <cellStyle name="40% - Ênfase1 3" xfId="776"/>
    <cellStyle name="40% - Ênfase2" xfId="20" builtinId="35" customBuiltin="1"/>
    <cellStyle name="40% - Ênfase2 2" xfId="708"/>
    <cellStyle name="40% - Ênfase2 3" xfId="777"/>
    <cellStyle name="40% - Ênfase3" xfId="21" builtinId="39" customBuiltin="1"/>
    <cellStyle name="40% - Ênfase3 2" xfId="709"/>
    <cellStyle name="40% - Ênfase3 3" xfId="778"/>
    <cellStyle name="40% - Ênfase4" xfId="22" builtinId="43" customBuiltin="1"/>
    <cellStyle name="40% - Ênfase4 2" xfId="710"/>
    <cellStyle name="40% - Ênfase4 3" xfId="779"/>
    <cellStyle name="40% - Ênfase5" xfId="23" builtinId="47" customBuiltin="1"/>
    <cellStyle name="40% - Ênfase5 2" xfId="711"/>
    <cellStyle name="40% - Ênfase5 3" xfId="780"/>
    <cellStyle name="40% - Ênfase6" xfId="24" builtinId="51" customBuiltin="1"/>
    <cellStyle name="40% - Ênfase6 2" xfId="712"/>
    <cellStyle name="40% - Ênfase6 3" xfId="781"/>
    <cellStyle name="60% - Accent1" xfId="25"/>
    <cellStyle name="60% - Accent2" xfId="26"/>
    <cellStyle name="60% - Accent3" xfId="27"/>
    <cellStyle name="60% - Accent4" xfId="28"/>
    <cellStyle name="60% - Accent5" xfId="29"/>
    <cellStyle name="60% - Accent6" xfId="30"/>
    <cellStyle name="60% - Ênfase1" xfId="31" builtinId="32" customBuiltin="1"/>
    <cellStyle name="60% - Ênfase1 2" xfId="713"/>
    <cellStyle name="60% - Ênfase1 3" xfId="782"/>
    <cellStyle name="60% - Ênfase2" xfId="32" builtinId="36" customBuiltin="1"/>
    <cellStyle name="60% - Ênfase2 2" xfId="714"/>
    <cellStyle name="60% - Ênfase2 3" xfId="783"/>
    <cellStyle name="60% - Ênfase3" xfId="33" builtinId="40" customBuiltin="1"/>
    <cellStyle name="60% - Ênfase3 2" xfId="715"/>
    <cellStyle name="60% - Ênfase3 3" xfId="784"/>
    <cellStyle name="60% - Ênfase4" xfId="34" builtinId="44" customBuiltin="1"/>
    <cellStyle name="60% - Ênfase4 2" xfId="716"/>
    <cellStyle name="60% - Ênfase4 3" xfId="785"/>
    <cellStyle name="60% - Ênfase5" xfId="35" builtinId="48" customBuiltin="1"/>
    <cellStyle name="60% - Ênfase5 2" xfId="717"/>
    <cellStyle name="60% - Ênfase5 3" xfId="786"/>
    <cellStyle name="60% - Ênfase6" xfId="36" builtinId="52" customBuiltin="1"/>
    <cellStyle name="60% - Ênfase6 2" xfId="718"/>
    <cellStyle name="60% - Ênfase6 3" xfId="787"/>
    <cellStyle name="Accent1" xfId="37"/>
    <cellStyle name="Accent2" xfId="38"/>
    <cellStyle name="Accent3" xfId="39"/>
    <cellStyle name="Accent4" xfId="40"/>
    <cellStyle name="Accent5" xfId="41"/>
    <cellStyle name="Accent6" xfId="42"/>
    <cellStyle name="Bad" xfId="43"/>
    <cellStyle name="blp_column_header" xfId="768"/>
    <cellStyle name="Bom" xfId="44" builtinId="26" customBuiltin="1"/>
    <cellStyle name="Bom 2" xfId="719"/>
    <cellStyle name="Bom 3" xfId="788"/>
    <cellStyle name="Calculation" xfId="45"/>
    <cellStyle name="Cálculo" xfId="46" builtinId="22" customBuiltin="1"/>
    <cellStyle name="Cálculo 2" xfId="720"/>
    <cellStyle name="Cálculo 3" xfId="789"/>
    <cellStyle name="Célula de Verificação" xfId="47" builtinId="23" customBuiltin="1"/>
    <cellStyle name="Célula de Verificação 2" xfId="721"/>
    <cellStyle name="Célula de Verificação 3" xfId="790"/>
    <cellStyle name="Célula Vinculada" xfId="48" builtinId="24" customBuiltin="1"/>
    <cellStyle name="Célula Vinculada 2" xfId="722"/>
    <cellStyle name="Célula Vinculada 3" xfId="791"/>
    <cellStyle name="Check Cell" xfId="49"/>
    <cellStyle name="Comma0" xfId="50"/>
    <cellStyle name="Currency0" xfId="51"/>
    <cellStyle name="Ênfase1" xfId="52" builtinId="29" customBuiltin="1"/>
    <cellStyle name="Ênfase1 2" xfId="723"/>
    <cellStyle name="Ênfase1 3" xfId="792"/>
    <cellStyle name="Ênfase2" xfId="53" builtinId="33" customBuiltin="1"/>
    <cellStyle name="Ênfase2 2" xfId="724"/>
    <cellStyle name="Ênfase2 3" xfId="793"/>
    <cellStyle name="Ênfase3" xfId="54" builtinId="37" customBuiltin="1"/>
    <cellStyle name="Ênfase3 2" xfId="725"/>
    <cellStyle name="Ênfase3 3" xfId="794"/>
    <cellStyle name="Ênfase4" xfId="55" builtinId="41" customBuiltin="1"/>
    <cellStyle name="Ênfase4 2" xfId="726"/>
    <cellStyle name="Ênfase4 3" xfId="795"/>
    <cellStyle name="Ênfase5" xfId="56" builtinId="45" customBuiltin="1"/>
    <cellStyle name="Ênfase5 2" xfId="727"/>
    <cellStyle name="Ênfase5 3" xfId="796"/>
    <cellStyle name="Ênfase6" xfId="57" builtinId="49" customBuiltin="1"/>
    <cellStyle name="Ênfase6 2" xfId="728"/>
    <cellStyle name="Ênfase6 3" xfId="797"/>
    <cellStyle name="Entrada" xfId="58" builtinId="20" customBuiltin="1"/>
    <cellStyle name="Entrada 2" xfId="729"/>
    <cellStyle name="Entrada 3" xfId="798"/>
    <cellStyle name="Estilo 1" xfId="59"/>
    <cellStyle name="Estilo 1 2" xfId="535"/>
    <cellStyle name="Estilo 1 2 2" xfId="748"/>
    <cellStyle name="Estilo 1 2 3" xfId="692"/>
    <cellStyle name="Estilo 1 3" xfId="984"/>
    <cellStyle name="Euro" xfId="60"/>
    <cellStyle name="Euro 2" xfId="536"/>
    <cellStyle name="Euro 2 2" xfId="749"/>
    <cellStyle name="Euro 2 3" xfId="693"/>
    <cellStyle name="Explanatory Text" xfId="61"/>
    <cellStyle name="Fundo" xfId="62"/>
    <cellStyle name="Good" xfId="63"/>
    <cellStyle name="Heading 1" xfId="64"/>
    <cellStyle name="Heading 2" xfId="65"/>
    <cellStyle name="Heading 3" xfId="66"/>
    <cellStyle name="Heading 4" xfId="67"/>
    <cellStyle name="Hiperlink" xfId="68" builtinId="8"/>
    <cellStyle name="Hiperlink 2" xfId="765"/>
    <cellStyle name="Incorreto" xfId="69" builtinId="27" customBuiltin="1"/>
    <cellStyle name="Incorreto 2" xfId="730"/>
    <cellStyle name="Incorreto 3" xfId="799"/>
    <cellStyle name="Input" xfId="70"/>
    <cellStyle name="Linked Cell" xfId="71"/>
    <cellStyle name="Neutra" xfId="72" builtinId="28" customBuiltin="1"/>
    <cellStyle name="Neutra 2" xfId="731"/>
    <cellStyle name="Neutra 3" xfId="800"/>
    <cellStyle name="Neutral" xfId="73"/>
    <cellStyle name="Normal" xfId="0" builtinId="0"/>
    <cellStyle name="Normal 10" xfId="74"/>
    <cellStyle name="Normal 10 2" xfId="318"/>
    <cellStyle name="Normal 11" xfId="75"/>
    <cellStyle name="Normal 11 2" xfId="319"/>
    <cellStyle name="Normal 12" xfId="76"/>
    <cellStyle name="Normal 12 2" xfId="320"/>
    <cellStyle name="Normal 13" xfId="77"/>
    <cellStyle name="Normal 13 2" xfId="321"/>
    <cellStyle name="Normal 14" xfId="78"/>
    <cellStyle name="Normal 14 2" xfId="322"/>
    <cellStyle name="Normal 15" xfId="79"/>
    <cellStyle name="Normal 15 2" xfId="323"/>
    <cellStyle name="Normal 16" xfId="80"/>
    <cellStyle name="Normal 16 2" xfId="324"/>
    <cellStyle name="Normal 17" xfId="81"/>
    <cellStyle name="Normal 17 2" xfId="325"/>
    <cellStyle name="Normal 18" xfId="82"/>
    <cellStyle name="Normal 18 2" xfId="326"/>
    <cellStyle name="Normal 19" xfId="83"/>
    <cellStyle name="Normal 19 2" xfId="327"/>
    <cellStyle name="Normal 2" xfId="84"/>
    <cellStyle name="Normal 2 10" xfId="85"/>
    <cellStyle name="Normal 2 10 2" xfId="316"/>
    <cellStyle name="Normal 2 11" xfId="86"/>
    <cellStyle name="Normal 2 11 2" xfId="328"/>
    <cellStyle name="Normal 2 11 3" xfId="985"/>
    <cellStyle name="Normal 2 12" xfId="87"/>
    <cellStyle name="Normal 2 12 2" xfId="329"/>
    <cellStyle name="Normal 2 12 3" xfId="986"/>
    <cellStyle name="Normal 2 13" xfId="88"/>
    <cellStyle name="Normal 2 13 2" xfId="330"/>
    <cellStyle name="Normal 2 13 3" xfId="987"/>
    <cellStyle name="Normal 2 14" xfId="89"/>
    <cellStyle name="Normal 2 14 2" xfId="331"/>
    <cellStyle name="Normal 2 14 3" xfId="988"/>
    <cellStyle name="Normal 2 15" xfId="90"/>
    <cellStyle name="Normal 2 15 2" xfId="332"/>
    <cellStyle name="Normal 2 15 3" xfId="989"/>
    <cellStyle name="Normal 2 16" xfId="91"/>
    <cellStyle name="Normal 2 16 2" xfId="92"/>
    <cellStyle name="Normal 2 16 2 2" xfId="334"/>
    <cellStyle name="Normal 2 16 2 3" xfId="990"/>
    <cellStyle name="Normal 2 16 3" xfId="333"/>
    <cellStyle name="Normal 2 16 4" xfId="991"/>
    <cellStyle name="Normal 2 17" xfId="93"/>
    <cellStyle name="Normal 2 17 2" xfId="335"/>
    <cellStyle name="Normal 2 17 3" xfId="992"/>
    <cellStyle name="Normal 2 18" xfId="94"/>
    <cellStyle name="Normal 2 18 2" xfId="336"/>
    <cellStyle name="Normal 2 18 3" xfId="993"/>
    <cellStyle name="Normal 2 19" xfId="95"/>
    <cellStyle name="Normal 2 19 2" xfId="337"/>
    <cellStyle name="Normal 2 19 3" xfId="994"/>
    <cellStyle name="Normal 2 2" xfId="96"/>
    <cellStyle name="Normal 2 2 2" xfId="338"/>
    <cellStyle name="Normal 2 2 3" xfId="995"/>
    <cellStyle name="Normal 2 20" xfId="97"/>
    <cellStyle name="Normal 2 20 2" xfId="339"/>
    <cellStyle name="Normal 2 20 3" xfId="996"/>
    <cellStyle name="Normal 2 21" xfId="98"/>
    <cellStyle name="Normal 2 21 2" xfId="340"/>
    <cellStyle name="Normal 2 21 3" xfId="997"/>
    <cellStyle name="Normal 2 22" xfId="99"/>
    <cellStyle name="Normal 2 22 2" xfId="341"/>
    <cellStyle name="Normal 2 22 3" xfId="998"/>
    <cellStyle name="Normal 2 23" xfId="100"/>
    <cellStyle name="Normal 2 23 2" xfId="342"/>
    <cellStyle name="Normal 2 23 3" xfId="999"/>
    <cellStyle name="Normal 2 24" xfId="101"/>
    <cellStyle name="Normal 2 24 2" xfId="343"/>
    <cellStyle name="Normal 2 24 3" xfId="1000"/>
    <cellStyle name="Normal 2 25" xfId="102"/>
    <cellStyle name="Normal 2 25 2" xfId="344"/>
    <cellStyle name="Normal 2 25 3" xfId="1001"/>
    <cellStyle name="Normal 2 26" xfId="103"/>
    <cellStyle name="Normal 2 26 2" xfId="345"/>
    <cellStyle name="Normal 2 26 3" xfId="1002"/>
    <cellStyle name="Normal 2 27" xfId="104"/>
    <cellStyle name="Normal 2 27 2" xfId="346"/>
    <cellStyle name="Normal 2 27 3" xfId="1003"/>
    <cellStyle name="Normal 2 28" xfId="105"/>
    <cellStyle name="Normal 2 28 2" xfId="347"/>
    <cellStyle name="Normal 2 28 3" xfId="1004"/>
    <cellStyle name="Normal 2 29" xfId="106"/>
    <cellStyle name="Normal 2 29 2" xfId="348"/>
    <cellStyle name="Normal 2 29 3" xfId="1005"/>
    <cellStyle name="Normal 2 3" xfId="107"/>
    <cellStyle name="Normal 2 3 2" xfId="349"/>
    <cellStyle name="Normal 2 3 3" xfId="1006"/>
    <cellStyle name="Normal 2 30" xfId="108"/>
    <cellStyle name="Normal 2 30 2" xfId="350"/>
    <cellStyle name="Normal 2 30 3" xfId="1007"/>
    <cellStyle name="Normal 2 31" xfId="109"/>
    <cellStyle name="Normal 2 31 2" xfId="351"/>
    <cellStyle name="Normal 2 31 3" xfId="1008"/>
    <cellStyle name="Normal 2 32" xfId="110"/>
    <cellStyle name="Normal 2 32 2" xfId="352"/>
    <cellStyle name="Normal 2 32 3" xfId="1009"/>
    <cellStyle name="Normal 2 33" xfId="111"/>
    <cellStyle name="Normal 2 33 2" xfId="353"/>
    <cellStyle name="Normal 2 33 3" xfId="1010"/>
    <cellStyle name="Normal 2 34" xfId="112"/>
    <cellStyle name="Normal 2 34 2" xfId="354"/>
    <cellStyle name="Normal 2 34 3" xfId="1011"/>
    <cellStyle name="Normal 2 35" xfId="113"/>
    <cellStyle name="Normal 2 35 2" xfId="355"/>
    <cellStyle name="Normal 2 35 3" xfId="1012"/>
    <cellStyle name="Normal 2 36" xfId="114"/>
    <cellStyle name="Normal 2 36 2" xfId="356"/>
    <cellStyle name="Normal 2 36 3" xfId="1013"/>
    <cellStyle name="Normal 2 37" xfId="115"/>
    <cellStyle name="Normal 2 37 2" xfId="357"/>
    <cellStyle name="Normal 2 37 3" xfId="1014"/>
    <cellStyle name="Normal 2 38" xfId="116"/>
    <cellStyle name="Normal 2 38 2" xfId="358"/>
    <cellStyle name="Normal 2 38 3" xfId="1015"/>
    <cellStyle name="Normal 2 39" xfId="537"/>
    <cellStyle name="Normal 2 4" xfId="117"/>
    <cellStyle name="Normal 2 4 2" xfId="359"/>
    <cellStyle name="Normal 2 4 3" xfId="1016"/>
    <cellStyle name="Normal 2 40" xfId="801"/>
    <cellStyle name="Normal 2 5" xfId="118"/>
    <cellStyle name="Normal 2 5 2" xfId="360"/>
    <cellStyle name="Normal 2 5 3" xfId="1017"/>
    <cellStyle name="Normal 2 6" xfId="119"/>
    <cellStyle name="Normal 2 6 2" xfId="361"/>
    <cellStyle name="Normal 2 6 3" xfId="1018"/>
    <cellStyle name="Normal 2 7" xfId="120"/>
    <cellStyle name="Normal 2 7 2" xfId="362"/>
    <cellStyle name="Normal 2 7 3" xfId="1019"/>
    <cellStyle name="Normal 2 8" xfId="121"/>
    <cellStyle name="Normal 2 8 2" xfId="363"/>
    <cellStyle name="Normal 2 8 3" xfId="1020"/>
    <cellStyle name="Normal 2 9" xfId="122"/>
    <cellStyle name="Normal 2 9 2" xfId="364"/>
    <cellStyle name="Normal 2 9 3" xfId="1021"/>
    <cellStyle name="Normal 2_Main_Dol" xfId="123"/>
    <cellStyle name="Normal 20" xfId="124"/>
    <cellStyle name="Normal 20 2" xfId="365"/>
    <cellStyle name="Normal 21" xfId="125"/>
    <cellStyle name="Normal 21 2" xfId="366"/>
    <cellStyle name="Normal 22" xfId="126"/>
    <cellStyle name="Normal 22 2" xfId="367"/>
    <cellStyle name="Normal 23" xfId="127"/>
    <cellStyle name="Normal 23 2" xfId="368"/>
    <cellStyle name="Normal 24" xfId="128"/>
    <cellStyle name="Normal 24 2" xfId="369"/>
    <cellStyle name="Normal 25" xfId="129"/>
    <cellStyle name="Normal 25 2" xfId="370"/>
    <cellStyle name="Normal 26" xfId="130"/>
    <cellStyle name="Normal 26 2" xfId="371"/>
    <cellStyle name="Normal 27" xfId="131"/>
    <cellStyle name="Normal 27 2" xfId="372"/>
    <cellStyle name="Normal 28" xfId="132"/>
    <cellStyle name="Normal 28 2" xfId="373"/>
    <cellStyle name="Normal 29" xfId="133"/>
    <cellStyle name="Normal 29 2" xfId="374"/>
    <cellStyle name="Normal 3" xfId="134"/>
    <cellStyle name="Normal 3 2" xfId="375"/>
    <cellStyle name="Normal 3 3" xfId="759"/>
    <cellStyle name="Normal 3 3 2" xfId="981"/>
    <cellStyle name="Normal 3 4" xfId="760"/>
    <cellStyle name="Normal 3 4 2" xfId="982"/>
    <cellStyle name="Normal 3 5" xfId="802"/>
    <cellStyle name="Normal 3 6" xfId="769"/>
    <cellStyle name="Normal 30" xfId="135"/>
    <cellStyle name="Normal 30 2" xfId="376"/>
    <cellStyle name="Normal 31" xfId="136"/>
    <cellStyle name="Normal 31 2" xfId="377"/>
    <cellStyle name="Normal 32" xfId="137"/>
    <cellStyle name="Normal 32 2" xfId="378"/>
    <cellStyle name="Normal 33" xfId="138"/>
    <cellStyle name="Normal 33 2" xfId="379"/>
    <cellStyle name="Normal 34" xfId="139"/>
    <cellStyle name="Normal 34 2" xfId="380"/>
    <cellStyle name="Normal 35" xfId="140"/>
    <cellStyle name="Normal 35 2" xfId="381"/>
    <cellStyle name="Normal 36" xfId="141"/>
    <cellStyle name="Normal 36 2" xfId="382"/>
    <cellStyle name="Normal 37" xfId="142"/>
    <cellStyle name="Normal 37 2" xfId="383"/>
    <cellStyle name="Normal 38" xfId="143"/>
    <cellStyle name="Normal 38 2" xfId="384"/>
    <cellStyle name="Normal 39" xfId="314"/>
    <cellStyle name="Normal 39 2" xfId="744"/>
    <cellStyle name="Normal 39 2 2" xfId="968"/>
    <cellStyle name="Normal 39 3" xfId="888"/>
    <cellStyle name="Normal 39 4" xfId="618"/>
    <cellStyle name="Normal 4" xfId="144"/>
    <cellStyle name="Normal 4 2" xfId="385"/>
    <cellStyle name="Normal 40" xfId="543"/>
    <cellStyle name="Normal 40 2" xfId="700"/>
    <cellStyle name="Normal 40 3" xfId="965"/>
    <cellStyle name="Normal 40 4" xfId="698"/>
    <cellStyle name="Normal 41" xfId="699"/>
    <cellStyle name="Normal 41 2" xfId="966"/>
    <cellStyle name="Normal 42" xfId="751"/>
    <cellStyle name="Normal 42 2" xfId="973"/>
    <cellStyle name="Normal 43" xfId="752"/>
    <cellStyle name="Normal 43 2" xfId="974"/>
    <cellStyle name="Normal 44" xfId="753"/>
    <cellStyle name="Normal 44 2" xfId="975"/>
    <cellStyle name="Normal 45" xfId="754"/>
    <cellStyle name="Normal 45 2" xfId="976"/>
    <cellStyle name="Normal 46" xfId="755"/>
    <cellStyle name="Normal 46 2" xfId="977"/>
    <cellStyle name="Normal 47" xfId="756"/>
    <cellStyle name="Normal 47 2" xfId="978"/>
    <cellStyle name="Normal 48" xfId="761"/>
    <cellStyle name="Normal 49" xfId="764"/>
    <cellStyle name="Normal 5" xfId="145"/>
    <cellStyle name="Normal 5 2" xfId="386"/>
    <cellStyle name="Normal 5 3" xfId="1022"/>
    <cellStyle name="Normal 50" xfId="1063"/>
    <cellStyle name="Normal 51" xfId="983"/>
    <cellStyle name="Normal 52" xfId="1065"/>
    <cellStyle name="Normal 53" xfId="1066"/>
    <cellStyle name="Normal 54" xfId="1067"/>
    <cellStyle name="Normal 6" xfId="146"/>
    <cellStyle name="Normal 6 2" xfId="387"/>
    <cellStyle name="Normal 7" xfId="147"/>
    <cellStyle name="Normal 7 2" xfId="388"/>
    <cellStyle name="Normal 8" xfId="148"/>
    <cellStyle name="Normal 8 2" xfId="389"/>
    <cellStyle name="Normal 9" xfId="149"/>
    <cellStyle name="Normal 9 2" xfId="390"/>
    <cellStyle name="Normal_MATRIZ97" xfId="1064"/>
    <cellStyle name="Nota" xfId="150" builtinId="10" customBuiltin="1"/>
    <cellStyle name="Nota 2" xfId="538"/>
    <cellStyle name="Nota 2 2" xfId="732"/>
    <cellStyle name="Nota 2 3" xfId="694"/>
    <cellStyle name="Nota 3" xfId="803"/>
    <cellStyle name="Note" xfId="151"/>
    <cellStyle name="Note 2" xfId="391"/>
    <cellStyle name="Note 3" xfId="1023"/>
    <cellStyle name="Output" xfId="152"/>
    <cellStyle name="Porcentagem" xfId="153" builtinId="5"/>
    <cellStyle name="Porcentagem 10" xfId="154"/>
    <cellStyle name="Porcentagem 10 2" xfId="392"/>
    <cellStyle name="Porcentagem 11" xfId="155"/>
    <cellStyle name="Porcentagem 11 2" xfId="393"/>
    <cellStyle name="Porcentagem 12" xfId="156"/>
    <cellStyle name="Porcentagem 12 2" xfId="394"/>
    <cellStyle name="Porcentagem 13" xfId="157"/>
    <cellStyle name="Porcentagem 13 2" xfId="395"/>
    <cellStyle name="Porcentagem 14" xfId="158"/>
    <cellStyle name="Porcentagem 14 2" xfId="396"/>
    <cellStyle name="Porcentagem 15" xfId="159"/>
    <cellStyle name="Porcentagem 15 2" xfId="397"/>
    <cellStyle name="Porcentagem 16" xfId="160"/>
    <cellStyle name="Porcentagem 16 2" xfId="398"/>
    <cellStyle name="Porcentagem 17" xfId="161"/>
    <cellStyle name="Porcentagem 17 2" xfId="399"/>
    <cellStyle name="Porcentagem 18" xfId="162"/>
    <cellStyle name="Porcentagem 18 2" xfId="400"/>
    <cellStyle name="Porcentagem 19" xfId="163"/>
    <cellStyle name="Porcentagem 19 2" xfId="401"/>
    <cellStyle name="Porcentagem 2" xfId="164"/>
    <cellStyle name="Porcentagem 2 10" xfId="165"/>
    <cellStyle name="Porcentagem 2 10 2" xfId="317"/>
    <cellStyle name="Porcentagem 2 10 3" xfId="1024"/>
    <cellStyle name="Porcentagem 2 11" xfId="166"/>
    <cellStyle name="Porcentagem 2 11 2" xfId="402"/>
    <cellStyle name="Porcentagem 2 11 3" xfId="1025"/>
    <cellStyle name="Porcentagem 2 12" xfId="167"/>
    <cellStyle name="Porcentagem 2 12 2" xfId="403"/>
    <cellStyle name="Porcentagem 2 12 3" xfId="1026"/>
    <cellStyle name="Porcentagem 2 13" xfId="168"/>
    <cellStyle name="Porcentagem 2 13 2" xfId="404"/>
    <cellStyle name="Porcentagem 2 13 3" xfId="1027"/>
    <cellStyle name="Porcentagem 2 14" xfId="169"/>
    <cellStyle name="Porcentagem 2 14 2" xfId="405"/>
    <cellStyle name="Porcentagem 2 14 3" xfId="1028"/>
    <cellStyle name="Porcentagem 2 15" xfId="170"/>
    <cellStyle name="Porcentagem 2 15 2" xfId="406"/>
    <cellStyle name="Porcentagem 2 15 3" xfId="1029"/>
    <cellStyle name="Porcentagem 2 16" xfId="171"/>
    <cellStyle name="Porcentagem 2 16 2" xfId="407"/>
    <cellStyle name="Porcentagem 2 16 3" xfId="1030"/>
    <cellStyle name="Porcentagem 2 17" xfId="172"/>
    <cellStyle name="Porcentagem 2 17 2" xfId="408"/>
    <cellStyle name="Porcentagem 2 17 3" xfId="1031"/>
    <cellStyle name="Porcentagem 2 18" xfId="173"/>
    <cellStyle name="Porcentagem 2 18 2" xfId="409"/>
    <cellStyle name="Porcentagem 2 18 3" xfId="1032"/>
    <cellStyle name="Porcentagem 2 19" xfId="174"/>
    <cellStyle name="Porcentagem 2 19 2" xfId="410"/>
    <cellStyle name="Porcentagem 2 19 3" xfId="1033"/>
    <cellStyle name="Porcentagem 2 2" xfId="175"/>
    <cellStyle name="Porcentagem 2 2 2" xfId="411"/>
    <cellStyle name="Porcentagem 2 2 3" xfId="1034"/>
    <cellStyle name="Porcentagem 2 20" xfId="176"/>
    <cellStyle name="Porcentagem 2 20 2" xfId="412"/>
    <cellStyle name="Porcentagem 2 20 3" xfId="1035"/>
    <cellStyle name="Porcentagem 2 21" xfId="177"/>
    <cellStyle name="Porcentagem 2 21 2" xfId="413"/>
    <cellStyle name="Porcentagem 2 21 3" xfId="1036"/>
    <cellStyle name="Porcentagem 2 22" xfId="178"/>
    <cellStyle name="Porcentagem 2 22 2" xfId="414"/>
    <cellStyle name="Porcentagem 2 22 3" xfId="1037"/>
    <cellStyle name="Porcentagem 2 23" xfId="179"/>
    <cellStyle name="Porcentagem 2 23 2" xfId="415"/>
    <cellStyle name="Porcentagem 2 23 3" xfId="1038"/>
    <cellStyle name="Porcentagem 2 24" xfId="180"/>
    <cellStyle name="Porcentagem 2 24 2" xfId="416"/>
    <cellStyle name="Porcentagem 2 24 3" xfId="1039"/>
    <cellStyle name="Porcentagem 2 25" xfId="181"/>
    <cellStyle name="Porcentagem 2 25 2" xfId="417"/>
    <cellStyle name="Porcentagem 2 25 3" xfId="1040"/>
    <cellStyle name="Porcentagem 2 26" xfId="182"/>
    <cellStyle name="Porcentagem 2 26 2" xfId="418"/>
    <cellStyle name="Porcentagem 2 26 3" xfId="1041"/>
    <cellStyle name="Porcentagem 2 27" xfId="183"/>
    <cellStyle name="Porcentagem 2 27 2" xfId="419"/>
    <cellStyle name="Porcentagem 2 27 3" xfId="1042"/>
    <cellStyle name="Porcentagem 2 28" xfId="184"/>
    <cellStyle name="Porcentagem 2 28 2" xfId="420"/>
    <cellStyle name="Porcentagem 2 28 3" xfId="1043"/>
    <cellStyle name="Porcentagem 2 29" xfId="185"/>
    <cellStyle name="Porcentagem 2 29 2" xfId="421"/>
    <cellStyle name="Porcentagem 2 29 3" xfId="1044"/>
    <cellStyle name="Porcentagem 2 3" xfId="186"/>
    <cellStyle name="Porcentagem 2 3 2" xfId="422"/>
    <cellStyle name="Porcentagem 2 3 3" xfId="1045"/>
    <cellStyle name="Porcentagem 2 30" xfId="187"/>
    <cellStyle name="Porcentagem 2 30 2" xfId="423"/>
    <cellStyle name="Porcentagem 2 30 3" xfId="1046"/>
    <cellStyle name="Porcentagem 2 31" xfId="188"/>
    <cellStyle name="Porcentagem 2 31 2" xfId="424"/>
    <cellStyle name="Porcentagem 2 31 3" xfId="1047"/>
    <cellStyle name="Porcentagem 2 32" xfId="189"/>
    <cellStyle name="Porcentagem 2 32 2" xfId="425"/>
    <cellStyle name="Porcentagem 2 32 3" xfId="1048"/>
    <cellStyle name="Porcentagem 2 33" xfId="190"/>
    <cellStyle name="Porcentagem 2 33 2" xfId="426"/>
    <cellStyle name="Porcentagem 2 33 3" xfId="1049"/>
    <cellStyle name="Porcentagem 2 34" xfId="191"/>
    <cellStyle name="Porcentagem 2 34 2" xfId="427"/>
    <cellStyle name="Porcentagem 2 34 3" xfId="1050"/>
    <cellStyle name="Porcentagem 2 35" xfId="192"/>
    <cellStyle name="Porcentagem 2 35 2" xfId="428"/>
    <cellStyle name="Porcentagem 2 35 3" xfId="1051"/>
    <cellStyle name="Porcentagem 2 36" xfId="193"/>
    <cellStyle name="Porcentagem 2 36 2" xfId="429"/>
    <cellStyle name="Porcentagem 2 36 3" xfId="1052"/>
    <cellStyle name="Porcentagem 2 37" xfId="194"/>
    <cellStyle name="Porcentagem 2 37 2" xfId="430"/>
    <cellStyle name="Porcentagem 2 37 3" xfId="1053"/>
    <cellStyle name="Porcentagem 2 38" xfId="540"/>
    <cellStyle name="Porcentagem 2 39" xfId="1054"/>
    <cellStyle name="Porcentagem 2 4" xfId="195"/>
    <cellStyle name="Porcentagem 2 4 2" xfId="431"/>
    <cellStyle name="Porcentagem 2 4 3" xfId="1055"/>
    <cellStyle name="Porcentagem 2 5" xfId="196"/>
    <cellStyle name="Porcentagem 2 5 2" xfId="432"/>
    <cellStyle name="Porcentagem 2 5 3" xfId="1056"/>
    <cellStyle name="Porcentagem 2 6" xfId="197"/>
    <cellStyle name="Porcentagem 2 6 2" xfId="433"/>
    <cellStyle name="Porcentagem 2 6 3" xfId="1057"/>
    <cellStyle name="Porcentagem 2 7" xfId="198"/>
    <cellStyle name="Porcentagem 2 7 2" xfId="434"/>
    <cellStyle name="Porcentagem 2 7 3" xfId="1058"/>
    <cellStyle name="Porcentagem 2 8" xfId="199"/>
    <cellStyle name="Porcentagem 2 8 2" xfId="435"/>
    <cellStyle name="Porcentagem 2 8 3" xfId="1059"/>
    <cellStyle name="Porcentagem 2 9" xfId="200"/>
    <cellStyle name="Porcentagem 2 9 2" xfId="436"/>
    <cellStyle name="Porcentagem 2 9 3" xfId="1060"/>
    <cellStyle name="Porcentagem 20" xfId="201"/>
    <cellStyle name="Porcentagem 20 2" xfId="437"/>
    <cellStyle name="Porcentagem 21" xfId="202"/>
    <cellStyle name="Porcentagem 21 2" xfId="438"/>
    <cellStyle name="Porcentagem 22" xfId="203"/>
    <cellStyle name="Porcentagem 22 2" xfId="439"/>
    <cellStyle name="Porcentagem 23" xfId="204"/>
    <cellStyle name="Porcentagem 23 2" xfId="440"/>
    <cellStyle name="Porcentagem 24" xfId="205"/>
    <cellStyle name="Porcentagem 24 2" xfId="441"/>
    <cellStyle name="Porcentagem 25" xfId="206"/>
    <cellStyle name="Porcentagem 25 2" xfId="442"/>
    <cellStyle name="Porcentagem 26" xfId="207"/>
    <cellStyle name="Porcentagem 26 2" xfId="443"/>
    <cellStyle name="Porcentagem 27" xfId="208"/>
    <cellStyle name="Porcentagem 27 2" xfId="444"/>
    <cellStyle name="Porcentagem 28" xfId="209"/>
    <cellStyle name="Porcentagem 28 2" xfId="445"/>
    <cellStyle name="Porcentagem 29" xfId="210"/>
    <cellStyle name="Porcentagem 29 2" xfId="446"/>
    <cellStyle name="Porcentagem 3" xfId="211"/>
    <cellStyle name="Porcentagem 3 2" xfId="447"/>
    <cellStyle name="Porcentagem 3 3" xfId="1061"/>
    <cellStyle name="Porcentagem 30" xfId="212"/>
    <cellStyle name="Porcentagem 30 2" xfId="448"/>
    <cellStyle name="Porcentagem 31" xfId="213"/>
    <cellStyle name="Porcentagem 31 2" xfId="449"/>
    <cellStyle name="Porcentagem 32" xfId="214"/>
    <cellStyle name="Porcentagem 32 2" xfId="450"/>
    <cellStyle name="Porcentagem 33" xfId="215"/>
    <cellStyle name="Porcentagem 33 2" xfId="451"/>
    <cellStyle name="Porcentagem 34" xfId="216"/>
    <cellStyle name="Porcentagem 34 2" xfId="452"/>
    <cellStyle name="Porcentagem 35" xfId="217"/>
    <cellStyle name="Porcentagem 35 2" xfId="453"/>
    <cellStyle name="Porcentagem 36" xfId="218"/>
    <cellStyle name="Porcentagem 36 2" xfId="454"/>
    <cellStyle name="Porcentagem 37" xfId="219"/>
    <cellStyle name="Porcentagem 37 2" xfId="455"/>
    <cellStyle name="Porcentagem 38" xfId="539"/>
    <cellStyle name="Porcentagem 38 2" xfId="733"/>
    <cellStyle name="Porcentagem 38 3" xfId="695"/>
    <cellStyle name="Porcentagem 39" xfId="757"/>
    <cellStyle name="Porcentagem 39 2" xfId="979"/>
    <cellStyle name="Porcentagem 4" xfId="220"/>
    <cellStyle name="Porcentagem 4 2" xfId="456"/>
    <cellStyle name="Porcentagem 40" xfId="763"/>
    <cellStyle name="Porcentagem 40 2" xfId="804"/>
    <cellStyle name="Porcentagem 41" xfId="766"/>
    <cellStyle name="Porcentagem 5" xfId="221"/>
    <cellStyle name="Porcentagem 5 2" xfId="457"/>
    <cellStyle name="Porcentagem 5 3" xfId="1062"/>
    <cellStyle name="Porcentagem 6" xfId="222"/>
    <cellStyle name="Porcentagem 6 2" xfId="458"/>
    <cellStyle name="Porcentagem 7" xfId="223"/>
    <cellStyle name="Porcentagem 7 2" xfId="459"/>
    <cellStyle name="Porcentagem 8" xfId="224"/>
    <cellStyle name="Porcentagem 8 2" xfId="460"/>
    <cellStyle name="Porcentagem 9" xfId="225"/>
    <cellStyle name="Porcentagem 9 2" xfId="461"/>
    <cellStyle name="Saída" xfId="226" builtinId="21" customBuiltin="1"/>
    <cellStyle name="Saída 2" xfId="734"/>
    <cellStyle name="Saída 3" xfId="805"/>
    <cellStyle name="Separador de milhares 10" xfId="228"/>
    <cellStyle name="Separador de milhares 10 2" xfId="463"/>
    <cellStyle name="Separador de milhares 10 2 2" xfId="891"/>
    <cellStyle name="Separador de milhares 10 2 3" xfId="620"/>
    <cellStyle name="Separador de milhares 10 3" xfId="807"/>
    <cellStyle name="Separador de milhares 10 4" xfId="545"/>
    <cellStyle name="Separador de milhares 11" xfId="229"/>
    <cellStyle name="Separador de milhares 11 2" xfId="464"/>
    <cellStyle name="Separador de milhares 11 2 2" xfId="892"/>
    <cellStyle name="Separador de milhares 11 2 3" xfId="621"/>
    <cellStyle name="Separador de milhares 11 3" xfId="808"/>
    <cellStyle name="Separador de milhares 11 4" xfId="546"/>
    <cellStyle name="Separador de milhares 12" xfId="230"/>
    <cellStyle name="Separador de milhares 12 2" xfId="465"/>
    <cellStyle name="Separador de milhares 12 2 2" xfId="893"/>
    <cellStyle name="Separador de milhares 12 2 3" xfId="622"/>
    <cellStyle name="Separador de milhares 12 3" xfId="809"/>
    <cellStyle name="Separador de milhares 12 4" xfId="547"/>
    <cellStyle name="Separador de milhares 13" xfId="231"/>
    <cellStyle name="Separador de milhares 13 2" xfId="466"/>
    <cellStyle name="Separador de milhares 13 2 2" xfId="894"/>
    <cellStyle name="Separador de milhares 13 2 3" xfId="623"/>
    <cellStyle name="Separador de milhares 13 3" xfId="810"/>
    <cellStyle name="Separador de milhares 13 4" xfId="548"/>
    <cellStyle name="Separador de milhares 14" xfId="232"/>
    <cellStyle name="Separador de milhares 14 2" xfId="467"/>
    <cellStyle name="Separador de milhares 14 2 2" xfId="895"/>
    <cellStyle name="Separador de milhares 14 2 3" xfId="624"/>
    <cellStyle name="Separador de milhares 14 3" xfId="811"/>
    <cellStyle name="Separador de milhares 14 4" xfId="549"/>
    <cellStyle name="Separador de milhares 15" xfId="233"/>
    <cellStyle name="Separador de milhares 15 2" xfId="468"/>
    <cellStyle name="Separador de milhares 15 2 2" xfId="896"/>
    <cellStyle name="Separador de milhares 15 2 3" xfId="625"/>
    <cellStyle name="Separador de milhares 15 3" xfId="812"/>
    <cellStyle name="Separador de milhares 15 4" xfId="550"/>
    <cellStyle name="Separador de milhares 16" xfId="234"/>
    <cellStyle name="Separador de milhares 16 2" xfId="469"/>
    <cellStyle name="Separador de milhares 16 2 2" xfId="897"/>
    <cellStyle name="Separador de milhares 16 2 3" xfId="626"/>
    <cellStyle name="Separador de milhares 16 3" xfId="813"/>
    <cellStyle name="Separador de milhares 16 4" xfId="551"/>
    <cellStyle name="Separador de milhares 17" xfId="235"/>
    <cellStyle name="Separador de milhares 17 2" xfId="470"/>
    <cellStyle name="Separador de milhares 17 2 2" xfId="898"/>
    <cellStyle name="Separador de milhares 17 2 3" xfId="627"/>
    <cellStyle name="Separador de milhares 17 3" xfId="814"/>
    <cellStyle name="Separador de milhares 17 4" xfId="552"/>
    <cellStyle name="Separador de milhares 18" xfId="236"/>
    <cellStyle name="Separador de milhares 18 2" xfId="471"/>
    <cellStyle name="Separador de milhares 18 2 2" xfId="899"/>
    <cellStyle name="Separador de milhares 18 2 3" xfId="628"/>
    <cellStyle name="Separador de milhares 18 3" xfId="815"/>
    <cellStyle name="Separador de milhares 18 4" xfId="553"/>
    <cellStyle name="Separador de milhares 19" xfId="237"/>
    <cellStyle name="Separador de milhares 19 2" xfId="472"/>
    <cellStyle name="Separador de milhares 19 2 2" xfId="900"/>
    <cellStyle name="Separador de milhares 19 2 3" xfId="629"/>
    <cellStyle name="Separador de milhares 19 3" xfId="816"/>
    <cellStyle name="Separador de milhares 19 4" xfId="554"/>
    <cellStyle name="Separador de milhares 2" xfId="238"/>
    <cellStyle name="Separador de milhares 2 10" xfId="239"/>
    <cellStyle name="Separador de milhares 2 10 2" xfId="474"/>
    <cellStyle name="Separador de milhares 2 10 2 2" xfId="902"/>
    <cellStyle name="Separador de milhares 2 10 2 3" xfId="631"/>
    <cellStyle name="Separador de milhares 2 10 3" xfId="818"/>
    <cellStyle name="Separador de milhares 2 10 4" xfId="556"/>
    <cellStyle name="Separador de milhares 2 11" xfId="240"/>
    <cellStyle name="Separador de milhares 2 11 2" xfId="475"/>
    <cellStyle name="Separador de milhares 2 11 2 2" xfId="903"/>
    <cellStyle name="Separador de milhares 2 11 2 3" xfId="632"/>
    <cellStyle name="Separador de milhares 2 11 3" xfId="819"/>
    <cellStyle name="Separador de milhares 2 11 4" xfId="557"/>
    <cellStyle name="Separador de milhares 2 12" xfId="241"/>
    <cellStyle name="Separador de milhares 2 12 2" xfId="476"/>
    <cellStyle name="Separador de milhares 2 12 2 2" xfId="904"/>
    <cellStyle name="Separador de milhares 2 12 2 3" xfId="633"/>
    <cellStyle name="Separador de milhares 2 12 3" xfId="820"/>
    <cellStyle name="Separador de milhares 2 12 4" xfId="558"/>
    <cellStyle name="Separador de milhares 2 13" xfId="242"/>
    <cellStyle name="Separador de milhares 2 13 2" xfId="477"/>
    <cellStyle name="Separador de milhares 2 13 2 2" xfId="905"/>
    <cellStyle name="Separador de milhares 2 13 2 3" xfId="634"/>
    <cellStyle name="Separador de milhares 2 13 3" xfId="821"/>
    <cellStyle name="Separador de milhares 2 13 4" xfId="559"/>
    <cellStyle name="Separador de milhares 2 14" xfId="243"/>
    <cellStyle name="Separador de milhares 2 14 2" xfId="478"/>
    <cellStyle name="Separador de milhares 2 14 2 2" xfId="906"/>
    <cellStyle name="Separador de milhares 2 14 2 3" xfId="635"/>
    <cellStyle name="Separador de milhares 2 14 3" xfId="822"/>
    <cellStyle name="Separador de milhares 2 14 4" xfId="560"/>
    <cellStyle name="Separador de milhares 2 15" xfId="244"/>
    <cellStyle name="Separador de milhares 2 15 2" xfId="479"/>
    <cellStyle name="Separador de milhares 2 15 2 2" xfId="907"/>
    <cellStyle name="Separador de milhares 2 15 2 3" xfId="636"/>
    <cellStyle name="Separador de milhares 2 15 3" xfId="823"/>
    <cellStyle name="Separador de milhares 2 15 4" xfId="561"/>
    <cellStyle name="Separador de milhares 2 16" xfId="245"/>
    <cellStyle name="Separador de milhares 2 16 2" xfId="480"/>
    <cellStyle name="Separador de milhares 2 16 2 2" xfId="908"/>
    <cellStyle name="Separador de milhares 2 16 2 3" xfId="637"/>
    <cellStyle name="Separador de milhares 2 16 3" xfId="824"/>
    <cellStyle name="Separador de milhares 2 16 4" xfId="562"/>
    <cellStyle name="Separador de milhares 2 17" xfId="246"/>
    <cellStyle name="Separador de milhares 2 17 2" xfId="481"/>
    <cellStyle name="Separador de milhares 2 17 2 2" xfId="909"/>
    <cellStyle name="Separador de milhares 2 17 2 3" xfId="638"/>
    <cellStyle name="Separador de milhares 2 17 3" xfId="825"/>
    <cellStyle name="Separador de milhares 2 17 4" xfId="563"/>
    <cellStyle name="Separador de milhares 2 18" xfId="247"/>
    <cellStyle name="Separador de milhares 2 18 2" xfId="482"/>
    <cellStyle name="Separador de milhares 2 18 2 2" xfId="910"/>
    <cellStyle name="Separador de milhares 2 18 2 3" xfId="639"/>
    <cellStyle name="Separador de milhares 2 18 3" xfId="826"/>
    <cellStyle name="Separador de milhares 2 18 4" xfId="564"/>
    <cellStyle name="Separador de milhares 2 19" xfId="248"/>
    <cellStyle name="Separador de milhares 2 19 2" xfId="483"/>
    <cellStyle name="Separador de milhares 2 19 2 2" xfId="911"/>
    <cellStyle name="Separador de milhares 2 19 2 3" xfId="640"/>
    <cellStyle name="Separador de milhares 2 19 3" xfId="827"/>
    <cellStyle name="Separador de milhares 2 19 4" xfId="565"/>
    <cellStyle name="Separador de milhares 2 2" xfId="249"/>
    <cellStyle name="Separador de milhares 2 2 2" xfId="484"/>
    <cellStyle name="Separador de milhares 2 2 2 2" xfId="912"/>
    <cellStyle name="Separador de milhares 2 2 2 3" xfId="641"/>
    <cellStyle name="Separador de milhares 2 2 3" xfId="828"/>
    <cellStyle name="Separador de milhares 2 2 4" xfId="566"/>
    <cellStyle name="Separador de milhares 2 20" xfId="250"/>
    <cellStyle name="Separador de milhares 2 20 2" xfId="485"/>
    <cellStyle name="Separador de milhares 2 20 2 2" xfId="913"/>
    <cellStyle name="Separador de milhares 2 20 2 3" xfId="642"/>
    <cellStyle name="Separador de milhares 2 20 3" xfId="829"/>
    <cellStyle name="Separador de milhares 2 20 4" xfId="567"/>
    <cellStyle name="Separador de milhares 2 21" xfId="251"/>
    <cellStyle name="Separador de milhares 2 21 2" xfId="486"/>
    <cellStyle name="Separador de milhares 2 21 2 2" xfId="914"/>
    <cellStyle name="Separador de milhares 2 21 2 3" xfId="643"/>
    <cellStyle name="Separador de milhares 2 21 3" xfId="830"/>
    <cellStyle name="Separador de milhares 2 21 4" xfId="568"/>
    <cellStyle name="Separador de milhares 2 22" xfId="252"/>
    <cellStyle name="Separador de milhares 2 22 2" xfId="487"/>
    <cellStyle name="Separador de milhares 2 22 2 2" xfId="915"/>
    <cellStyle name="Separador de milhares 2 22 2 3" xfId="644"/>
    <cellStyle name="Separador de milhares 2 22 3" xfId="831"/>
    <cellStyle name="Separador de milhares 2 22 4" xfId="569"/>
    <cellStyle name="Separador de milhares 2 23" xfId="253"/>
    <cellStyle name="Separador de milhares 2 23 2" xfId="488"/>
    <cellStyle name="Separador de milhares 2 23 2 2" xfId="916"/>
    <cellStyle name="Separador de milhares 2 23 2 3" xfId="645"/>
    <cellStyle name="Separador de milhares 2 23 3" xfId="832"/>
    <cellStyle name="Separador de milhares 2 23 4" xfId="570"/>
    <cellStyle name="Separador de milhares 2 24" xfId="254"/>
    <cellStyle name="Separador de milhares 2 24 2" xfId="489"/>
    <cellStyle name="Separador de milhares 2 24 2 2" xfId="917"/>
    <cellStyle name="Separador de milhares 2 24 2 3" xfId="646"/>
    <cellStyle name="Separador de milhares 2 24 3" xfId="833"/>
    <cellStyle name="Separador de milhares 2 24 4" xfId="571"/>
    <cellStyle name="Separador de milhares 2 25" xfId="255"/>
    <cellStyle name="Separador de milhares 2 25 2" xfId="490"/>
    <cellStyle name="Separador de milhares 2 25 2 2" xfId="918"/>
    <cellStyle name="Separador de milhares 2 25 2 3" xfId="647"/>
    <cellStyle name="Separador de milhares 2 25 3" xfId="834"/>
    <cellStyle name="Separador de milhares 2 25 4" xfId="572"/>
    <cellStyle name="Separador de milhares 2 26" xfId="256"/>
    <cellStyle name="Separador de milhares 2 26 2" xfId="491"/>
    <cellStyle name="Separador de milhares 2 26 2 2" xfId="919"/>
    <cellStyle name="Separador de milhares 2 26 2 3" xfId="648"/>
    <cellStyle name="Separador de milhares 2 26 3" xfId="835"/>
    <cellStyle name="Separador de milhares 2 26 4" xfId="573"/>
    <cellStyle name="Separador de milhares 2 27" xfId="257"/>
    <cellStyle name="Separador de milhares 2 27 2" xfId="492"/>
    <cellStyle name="Separador de milhares 2 27 2 2" xfId="920"/>
    <cellStyle name="Separador de milhares 2 27 2 3" xfId="649"/>
    <cellStyle name="Separador de milhares 2 27 3" xfId="836"/>
    <cellStyle name="Separador de milhares 2 27 4" xfId="574"/>
    <cellStyle name="Separador de milhares 2 28" xfId="258"/>
    <cellStyle name="Separador de milhares 2 28 2" xfId="493"/>
    <cellStyle name="Separador de milhares 2 28 2 2" xfId="921"/>
    <cellStyle name="Separador de milhares 2 28 2 3" xfId="650"/>
    <cellStyle name="Separador de milhares 2 28 3" xfId="837"/>
    <cellStyle name="Separador de milhares 2 28 4" xfId="575"/>
    <cellStyle name="Separador de milhares 2 29" xfId="259"/>
    <cellStyle name="Separador de milhares 2 29 2" xfId="494"/>
    <cellStyle name="Separador de milhares 2 29 2 2" xfId="922"/>
    <cellStyle name="Separador de milhares 2 29 2 3" xfId="651"/>
    <cellStyle name="Separador de milhares 2 29 3" xfId="838"/>
    <cellStyle name="Separador de milhares 2 29 4" xfId="576"/>
    <cellStyle name="Separador de milhares 2 3" xfId="260"/>
    <cellStyle name="Separador de milhares 2 3 2" xfId="495"/>
    <cellStyle name="Separador de milhares 2 3 2 2" xfId="923"/>
    <cellStyle name="Separador de milhares 2 3 2 3" xfId="652"/>
    <cellStyle name="Separador de milhares 2 3 3" xfId="839"/>
    <cellStyle name="Separador de milhares 2 3 4" xfId="577"/>
    <cellStyle name="Separador de milhares 2 30" xfId="261"/>
    <cellStyle name="Separador de milhares 2 30 2" xfId="496"/>
    <cellStyle name="Separador de milhares 2 30 2 2" xfId="924"/>
    <cellStyle name="Separador de milhares 2 30 2 3" xfId="653"/>
    <cellStyle name="Separador de milhares 2 30 3" xfId="840"/>
    <cellStyle name="Separador de milhares 2 30 4" xfId="578"/>
    <cellStyle name="Separador de milhares 2 31" xfId="262"/>
    <cellStyle name="Separador de milhares 2 31 2" xfId="497"/>
    <cellStyle name="Separador de milhares 2 31 2 2" xfId="925"/>
    <cellStyle name="Separador de milhares 2 31 2 3" xfId="654"/>
    <cellStyle name="Separador de milhares 2 31 3" xfId="841"/>
    <cellStyle name="Separador de milhares 2 31 4" xfId="579"/>
    <cellStyle name="Separador de milhares 2 32" xfId="263"/>
    <cellStyle name="Separador de milhares 2 32 2" xfId="498"/>
    <cellStyle name="Separador de milhares 2 32 2 2" xfId="926"/>
    <cellStyle name="Separador de milhares 2 32 2 3" xfId="655"/>
    <cellStyle name="Separador de milhares 2 32 3" xfId="842"/>
    <cellStyle name="Separador de milhares 2 32 4" xfId="580"/>
    <cellStyle name="Separador de milhares 2 33" xfId="264"/>
    <cellStyle name="Separador de milhares 2 33 2" xfId="499"/>
    <cellStyle name="Separador de milhares 2 33 2 2" xfId="927"/>
    <cellStyle name="Separador de milhares 2 33 2 3" xfId="656"/>
    <cellStyle name="Separador de milhares 2 33 3" xfId="843"/>
    <cellStyle name="Separador de milhares 2 33 4" xfId="581"/>
    <cellStyle name="Separador de milhares 2 34" xfId="265"/>
    <cellStyle name="Separador de milhares 2 34 2" xfId="500"/>
    <cellStyle name="Separador de milhares 2 34 2 2" xfId="928"/>
    <cellStyle name="Separador de milhares 2 34 2 3" xfId="657"/>
    <cellStyle name="Separador de milhares 2 34 3" xfId="844"/>
    <cellStyle name="Separador de milhares 2 34 4" xfId="582"/>
    <cellStyle name="Separador de milhares 2 35" xfId="266"/>
    <cellStyle name="Separador de milhares 2 35 2" xfId="501"/>
    <cellStyle name="Separador de milhares 2 35 2 2" xfId="929"/>
    <cellStyle name="Separador de milhares 2 35 2 3" xfId="658"/>
    <cellStyle name="Separador de milhares 2 35 3" xfId="845"/>
    <cellStyle name="Separador de milhares 2 35 4" xfId="583"/>
    <cellStyle name="Separador de milhares 2 36" xfId="267"/>
    <cellStyle name="Separador de milhares 2 36 2" xfId="502"/>
    <cellStyle name="Separador de milhares 2 36 2 2" xfId="930"/>
    <cellStyle name="Separador de milhares 2 36 2 3" xfId="659"/>
    <cellStyle name="Separador de milhares 2 36 3" xfId="846"/>
    <cellStyle name="Separador de milhares 2 36 4" xfId="584"/>
    <cellStyle name="Separador de milhares 2 37" xfId="268"/>
    <cellStyle name="Separador de milhares 2 37 2" xfId="503"/>
    <cellStyle name="Separador de milhares 2 37 2 2" xfId="931"/>
    <cellStyle name="Separador de milhares 2 37 2 3" xfId="660"/>
    <cellStyle name="Separador de milhares 2 37 3" xfId="847"/>
    <cellStyle name="Separador de milhares 2 37 4" xfId="585"/>
    <cellStyle name="Separador de milhares 2 38" xfId="473"/>
    <cellStyle name="Separador de milhares 2 38 2" xfId="901"/>
    <cellStyle name="Separador de milhares 2 38 3" xfId="630"/>
    <cellStyle name="Separador de milhares 2 39" xfId="817"/>
    <cellStyle name="Separador de milhares 2 4" xfId="269"/>
    <cellStyle name="Separador de milhares 2 4 2" xfId="504"/>
    <cellStyle name="Separador de milhares 2 4 2 2" xfId="932"/>
    <cellStyle name="Separador de milhares 2 4 2 3" xfId="661"/>
    <cellStyle name="Separador de milhares 2 4 3" xfId="848"/>
    <cellStyle name="Separador de milhares 2 4 4" xfId="586"/>
    <cellStyle name="Separador de milhares 2 40" xfId="555"/>
    <cellStyle name="Separador de milhares 2 5" xfId="270"/>
    <cellStyle name="Separador de milhares 2 5 2" xfId="505"/>
    <cellStyle name="Separador de milhares 2 5 2 2" xfId="933"/>
    <cellStyle name="Separador de milhares 2 5 2 3" xfId="662"/>
    <cellStyle name="Separador de milhares 2 5 3" xfId="849"/>
    <cellStyle name="Separador de milhares 2 5 4" xfId="587"/>
    <cellStyle name="Separador de milhares 2 6" xfId="271"/>
    <cellStyle name="Separador de milhares 2 6 2" xfId="506"/>
    <cellStyle name="Separador de milhares 2 6 2 2" xfId="934"/>
    <cellStyle name="Separador de milhares 2 6 2 3" xfId="663"/>
    <cellStyle name="Separador de milhares 2 6 3" xfId="850"/>
    <cellStyle name="Separador de milhares 2 6 4" xfId="588"/>
    <cellStyle name="Separador de milhares 2 7" xfId="272"/>
    <cellStyle name="Separador de milhares 2 7 2" xfId="507"/>
    <cellStyle name="Separador de milhares 2 7 2 2" xfId="935"/>
    <cellStyle name="Separador de milhares 2 7 2 3" xfId="664"/>
    <cellStyle name="Separador de milhares 2 7 3" xfId="851"/>
    <cellStyle name="Separador de milhares 2 7 4" xfId="589"/>
    <cellStyle name="Separador de milhares 2 8" xfId="273"/>
    <cellStyle name="Separador de milhares 2 8 2" xfId="508"/>
    <cellStyle name="Separador de milhares 2 8 2 2" xfId="936"/>
    <cellStyle name="Separador de milhares 2 8 2 3" xfId="665"/>
    <cellStyle name="Separador de milhares 2 8 3" xfId="852"/>
    <cellStyle name="Separador de milhares 2 8 4" xfId="590"/>
    <cellStyle name="Separador de milhares 2 9" xfId="274"/>
    <cellStyle name="Separador de milhares 2 9 2" xfId="509"/>
    <cellStyle name="Separador de milhares 2 9 2 2" xfId="937"/>
    <cellStyle name="Separador de milhares 2 9 2 3" xfId="666"/>
    <cellStyle name="Separador de milhares 2 9 3" xfId="853"/>
    <cellStyle name="Separador de milhares 2 9 4" xfId="591"/>
    <cellStyle name="Separador de milhares 20" xfId="275"/>
    <cellStyle name="Separador de milhares 20 2" xfId="510"/>
    <cellStyle name="Separador de milhares 20 2 2" xfId="938"/>
    <cellStyle name="Separador de milhares 20 2 3" xfId="667"/>
    <cellStyle name="Separador de milhares 20 3" xfId="854"/>
    <cellStyle name="Separador de milhares 20 4" xfId="592"/>
    <cellStyle name="Separador de milhares 21" xfId="276"/>
    <cellStyle name="Separador de milhares 21 2" xfId="511"/>
    <cellStyle name="Separador de milhares 21 2 2" xfId="939"/>
    <cellStyle name="Separador de milhares 21 2 3" xfId="668"/>
    <cellStyle name="Separador de milhares 21 3" xfId="855"/>
    <cellStyle name="Separador de milhares 21 4" xfId="593"/>
    <cellStyle name="Separador de milhares 22" xfId="277"/>
    <cellStyle name="Separador de milhares 22 2" xfId="512"/>
    <cellStyle name="Separador de milhares 22 2 2" xfId="940"/>
    <cellStyle name="Separador de milhares 22 2 3" xfId="669"/>
    <cellStyle name="Separador de milhares 22 3" xfId="856"/>
    <cellStyle name="Separador de milhares 22 4" xfId="594"/>
    <cellStyle name="Separador de milhares 23" xfId="278"/>
    <cellStyle name="Separador de milhares 23 2" xfId="513"/>
    <cellStyle name="Separador de milhares 23 2 2" xfId="941"/>
    <cellStyle name="Separador de milhares 23 2 3" xfId="670"/>
    <cellStyle name="Separador de milhares 23 3" xfId="857"/>
    <cellStyle name="Separador de milhares 23 4" xfId="595"/>
    <cellStyle name="Separador de milhares 24" xfId="279"/>
    <cellStyle name="Separador de milhares 24 2" xfId="514"/>
    <cellStyle name="Separador de milhares 24 2 2" xfId="942"/>
    <cellStyle name="Separador de milhares 24 2 3" xfId="671"/>
    <cellStyle name="Separador de milhares 24 3" xfId="858"/>
    <cellStyle name="Separador de milhares 24 4" xfId="596"/>
    <cellStyle name="Separador de milhares 25" xfId="280"/>
    <cellStyle name="Separador de milhares 25 2" xfId="515"/>
    <cellStyle name="Separador de milhares 25 2 2" xfId="943"/>
    <cellStyle name="Separador de milhares 25 2 3" xfId="672"/>
    <cellStyle name="Separador de milhares 25 3" xfId="859"/>
    <cellStyle name="Separador de milhares 25 4" xfId="597"/>
    <cellStyle name="Separador de milhares 26" xfId="281"/>
    <cellStyle name="Separador de milhares 26 2" xfId="516"/>
    <cellStyle name="Separador de milhares 26 2 2" xfId="944"/>
    <cellStyle name="Separador de milhares 26 2 3" xfId="673"/>
    <cellStyle name="Separador de milhares 26 3" xfId="860"/>
    <cellStyle name="Separador de milhares 26 4" xfId="598"/>
    <cellStyle name="Separador de milhares 27" xfId="282"/>
    <cellStyle name="Separador de milhares 27 2" xfId="517"/>
    <cellStyle name="Separador de milhares 27 2 2" xfId="945"/>
    <cellStyle name="Separador de milhares 27 2 3" xfId="674"/>
    <cellStyle name="Separador de milhares 27 3" xfId="861"/>
    <cellStyle name="Separador de milhares 27 4" xfId="599"/>
    <cellStyle name="Separador de milhares 28" xfId="283"/>
    <cellStyle name="Separador de milhares 28 2" xfId="518"/>
    <cellStyle name="Separador de milhares 28 2 2" xfId="946"/>
    <cellStyle name="Separador de milhares 28 2 3" xfId="675"/>
    <cellStyle name="Separador de milhares 28 3" xfId="862"/>
    <cellStyle name="Separador de milhares 28 4" xfId="600"/>
    <cellStyle name="Separador de milhares 29" xfId="284"/>
    <cellStyle name="Separador de milhares 29 2" xfId="519"/>
    <cellStyle name="Separador de milhares 29 2 2" xfId="947"/>
    <cellStyle name="Separador de milhares 29 2 3" xfId="676"/>
    <cellStyle name="Separador de milhares 29 3" xfId="863"/>
    <cellStyle name="Separador de milhares 29 4" xfId="601"/>
    <cellStyle name="Separador de milhares 3" xfId="285"/>
    <cellStyle name="Separador de milhares 3 2" xfId="520"/>
    <cellStyle name="Separador de milhares 3 2 2" xfId="948"/>
    <cellStyle name="Separador de milhares 3 2 3" xfId="677"/>
    <cellStyle name="Separador de milhares 3 3" xfId="864"/>
    <cellStyle name="Separador de milhares 3 4" xfId="602"/>
    <cellStyle name="Separador de milhares 30" xfId="286"/>
    <cellStyle name="Separador de milhares 30 2" xfId="521"/>
    <cellStyle name="Separador de milhares 30 2 2" xfId="949"/>
    <cellStyle name="Separador de milhares 30 2 3" xfId="678"/>
    <cellStyle name="Separador de milhares 30 3" xfId="865"/>
    <cellStyle name="Separador de milhares 30 4" xfId="603"/>
    <cellStyle name="Separador de milhares 31" xfId="287"/>
    <cellStyle name="Separador de milhares 31 2" xfId="522"/>
    <cellStyle name="Separador de milhares 31 2 2" xfId="950"/>
    <cellStyle name="Separador de milhares 31 2 3" xfId="679"/>
    <cellStyle name="Separador de milhares 31 3" xfId="866"/>
    <cellStyle name="Separador de milhares 31 4" xfId="604"/>
    <cellStyle name="Separador de milhares 32" xfId="288"/>
    <cellStyle name="Separador de milhares 32 2" xfId="523"/>
    <cellStyle name="Separador de milhares 32 2 2" xfId="951"/>
    <cellStyle name="Separador de milhares 32 2 3" xfId="680"/>
    <cellStyle name="Separador de milhares 32 3" xfId="867"/>
    <cellStyle name="Separador de milhares 32 4" xfId="605"/>
    <cellStyle name="Separador de milhares 33" xfId="289"/>
    <cellStyle name="Separador de milhares 33 2" xfId="524"/>
    <cellStyle name="Separador de milhares 33 2 2" xfId="952"/>
    <cellStyle name="Separador de milhares 33 2 3" xfId="681"/>
    <cellStyle name="Separador de milhares 33 3" xfId="868"/>
    <cellStyle name="Separador de milhares 33 4" xfId="606"/>
    <cellStyle name="Separador de milhares 34" xfId="290"/>
    <cellStyle name="Separador de milhares 34 2" xfId="525"/>
    <cellStyle name="Separador de milhares 34 2 2" xfId="953"/>
    <cellStyle name="Separador de milhares 34 2 3" xfId="682"/>
    <cellStyle name="Separador de milhares 34 3" xfId="869"/>
    <cellStyle name="Separador de milhares 34 4" xfId="607"/>
    <cellStyle name="Separador de milhares 35" xfId="291"/>
    <cellStyle name="Separador de milhares 35 2" xfId="526"/>
    <cellStyle name="Separador de milhares 35 2 2" xfId="954"/>
    <cellStyle name="Separador de milhares 35 2 3" xfId="683"/>
    <cellStyle name="Separador de milhares 35 3" xfId="870"/>
    <cellStyle name="Separador de milhares 35 4" xfId="608"/>
    <cellStyle name="Separador de milhares 36" xfId="292"/>
    <cellStyle name="Separador de milhares 36 2" xfId="527"/>
    <cellStyle name="Separador de milhares 36 2 2" xfId="955"/>
    <cellStyle name="Separador de milhares 36 2 3" xfId="684"/>
    <cellStyle name="Separador de milhares 36 3" xfId="871"/>
    <cellStyle name="Separador de milhares 36 4" xfId="609"/>
    <cellStyle name="Separador de milhares 37" xfId="293"/>
    <cellStyle name="Separador de milhares 37 2" xfId="528"/>
    <cellStyle name="Separador de milhares 37 2 2" xfId="956"/>
    <cellStyle name="Separador de milhares 37 2 3" xfId="685"/>
    <cellStyle name="Separador de milhares 37 3" xfId="872"/>
    <cellStyle name="Separador de milhares 37 4" xfId="610"/>
    <cellStyle name="Separador de milhares 38" xfId="315"/>
    <cellStyle name="Separador de milhares 38 2" xfId="745"/>
    <cellStyle name="Separador de milhares 38 2 2" xfId="969"/>
    <cellStyle name="Separador de milhares 38 3" xfId="889"/>
    <cellStyle name="Separador de milhares 38 4" xfId="619"/>
    <cellStyle name="Separador de milhares 39" xfId="462"/>
    <cellStyle name="Separador de milhares 39 2" xfId="747"/>
    <cellStyle name="Separador de milhares 39 2 2" xfId="971"/>
    <cellStyle name="Separador de milhares 39 3" xfId="735"/>
    <cellStyle name="Separador de milhares 39 3 2" xfId="967"/>
    <cellStyle name="Separador de milhares 39 4" xfId="890"/>
    <cellStyle name="Separador de milhares 4" xfId="294"/>
    <cellStyle name="Separador de milhares 4 2" xfId="529"/>
    <cellStyle name="Separador de milhares 4 2 2" xfId="957"/>
    <cellStyle name="Separador de milhares 4 2 3" xfId="686"/>
    <cellStyle name="Separador de milhares 4 3" xfId="873"/>
    <cellStyle name="Separador de milhares 4 4" xfId="611"/>
    <cellStyle name="Separador de milhares 40" xfId="541"/>
    <cellStyle name="Separador de milhares 40 2" xfId="750"/>
    <cellStyle name="Separador de milhares 40 2 2" xfId="972"/>
    <cellStyle name="Separador de milhares 40 3" xfId="963"/>
    <cellStyle name="Separador de milhares 40 4" xfId="696"/>
    <cellStyle name="Separador de milhares 41" xfId="746"/>
    <cellStyle name="Separador de milhares 41 2" xfId="970"/>
    <cellStyle name="Separador de milhares 5" xfId="295"/>
    <cellStyle name="Separador de milhares 5 2" xfId="530"/>
    <cellStyle name="Separador de milhares 5 2 2" xfId="958"/>
    <cellStyle name="Separador de milhares 5 2 3" xfId="687"/>
    <cellStyle name="Separador de milhares 5 3" xfId="874"/>
    <cellStyle name="Separador de milhares 5 4" xfId="612"/>
    <cellStyle name="Separador de milhares 6" xfId="296"/>
    <cellStyle name="Separador de milhares 6 2" xfId="531"/>
    <cellStyle name="Separador de milhares 6 2 2" xfId="959"/>
    <cellStyle name="Separador de milhares 6 2 3" xfId="688"/>
    <cellStyle name="Separador de milhares 6 3" xfId="875"/>
    <cellStyle name="Separador de milhares 6 4" xfId="613"/>
    <cellStyle name="Separador de milhares 7" xfId="297"/>
    <cellStyle name="Separador de milhares 7 2" xfId="532"/>
    <cellStyle name="Separador de milhares 7 2 2" xfId="960"/>
    <cellStyle name="Separador de milhares 7 2 3" xfId="689"/>
    <cellStyle name="Separador de milhares 7 3" xfId="876"/>
    <cellStyle name="Separador de milhares 7 4" xfId="614"/>
    <cellStyle name="Separador de milhares 8" xfId="298"/>
    <cellStyle name="Separador de milhares 8 2" xfId="533"/>
    <cellStyle name="Separador de milhares 8 2 2" xfId="961"/>
    <cellStyle name="Separador de milhares 8 2 3" xfId="690"/>
    <cellStyle name="Separador de milhares 8 3" xfId="877"/>
    <cellStyle name="Separador de milhares 8 4" xfId="615"/>
    <cellStyle name="Separador de milhares 9" xfId="299"/>
    <cellStyle name="Separador de milhares 9 2" xfId="534"/>
    <cellStyle name="Separador de milhares 9 2 2" xfId="962"/>
    <cellStyle name="Separador de milhares 9 2 3" xfId="691"/>
    <cellStyle name="Separador de milhares 9 3" xfId="878"/>
    <cellStyle name="Separador de milhares 9 4" xfId="616"/>
    <cellStyle name="Separador de milhares_HISTORICO_CURVA6" xfId="300"/>
    <cellStyle name="SOMBRA" xfId="301"/>
    <cellStyle name="SOMBRA CLARA" xfId="302"/>
    <cellStyle name="Texto de Aviso" xfId="303" builtinId="11" customBuiltin="1"/>
    <cellStyle name="Texto de Aviso 2" xfId="736"/>
    <cellStyle name="Texto de Aviso 3" xfId="879"/>
    <cellStyle name="Texto Explicativo" xfId="304" builtinId="53" customBuiltin="1"/>
    <cellStyle name="Texto Explicativo 2" xfId="737"/>
    <cellStyle name="Texto Explicativo 3" xfId="880"/>
    <cellStyle name="Title" xfId="305"/>
    <cellStyle name="Título" xfId="306" builtinId="15" customBuiltin="1"/>
    <cellStyle name="Título 1" xfId="307" builtinId="16" customBuiltin="1"/>
    <cellStyle name="Título 1 2" xfId="739"/>
    <cellStyle name="Título 1 3" xfId="882"/>
    <cellStyle name="Título 2" xfId="308" builtinId="17" customBuiltin="1"/>
    <cellStyle name="Título 2 2" xfId="740"/>
    <cellStyle name="Título 2 3" xfId="883"/>
    <cellStyle name="Título 3" xfId="309" builtinId="18" customBuiltin="1"/>
    <cellStyle name="Título 3 2" xfId="741"/>
    <cellStyle name="Título 3 3" xfId="884"/>
    <cellStyle name="Título 4" xfId="310" builtinId="19" customBuiltin="1"/>
    <cellStyle name="Título 4 2" xfId="742"/>
    <cellStyle name="Título 4 3" xfId="885"/>
    <cellStyle name="Título 5" xfId="738"/>
    <cellStyle name="Título 6" xfId="881"/>
    <cellStyle name="Total" xfId="311" builtinId="25" customBuiltin="1"/>
    <cellStyle name="Total 2" xfId="743"/>
    <cellStyle name="Total 3" xfId="886"/>
    <cellStyle name="Vírgula" xfId="227" builtinId="3"/>
    <cellStyle name="Vírgula 2" xfId="312"/>
    <cellStyle name="Vírgula 2 2" xfId="542"/>
    <cellStyle name="Vírgula 2 2 2" xfId="964"/>
    <cellStyle name="Vírgula 2 2 3" xfId="697"/>
    <cellStyle name="Vírgula 2 3" xfId="887"/>
    <cellStyle name="Vírgula 2 4" xfId="617"/>
    <cellStyle name="Vírgula 3" xfId="758"/>
    <cellStyle name="Vírgula 3 2" xfId="980"/>
    <cellStyle name="Vírgula 4" xfId="762"/>
    <cellStyle name="Vírgula 4 2" xfId="806"/>
    <cellStyle name="Vírgula 5" xfId="767"/>
    <cellStyle name="Vírgula 6" xfId="544"/>
    <cellStyle name="Warning Text" xfId="313"/>
  </cellStyles>
  <dxfs count="14">
    <dxf>
      <font>
        <b/>
        <i val="0"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s">
        <v>21/09/2017</v>
        <stp/>
        <stp>##V3_BDPV12</stp>
        <stp>ODN22 COMDTY</stp>
        <stp>time</stp>
        <stp>[Bonds.xlsm]Curva!R31C30</stp>
        <tr r="AD31" s="3"/>
      </tp>
      <tp t="s">
        <v>21/09/2017</v>
        <stp/>
        <stp>##V3_BDPV12</stp>
        <stp>ODJ22 COMDTY</stp>
        <stp>time</stp>
        <stp>[Bonds.xlsm]Curva!R30C30</stp>
        <tr r="AD30" s="3"/>
      </tp>
      <tp t="s">
        <v>14:07:55</v>
        <stp/>
        <stp>##V3_BDPV12</stp>
        <stp>ODF22 COMDTY</stp>
        <stp>time</stp>
        <stp>[Bonds.xlsm]Curva!R29C30</stp>
        <tr r="AD29" s="3"/>
      </tp>
      <tp t="s">
        <v>21/09/2017</v>
        <stp/>
        <stp>##V3_BDPV12</stp>
        <stp>ODN23 COMDTY</stp>
        <stp>time</stp>
        <stp>[Bonds.xlsm]Curva!R33C30</stp>
        <tr r="AD33" s="3"/>
      </tp>
      <tp t="s">
        <v>14:08:59</v>
        <stp/>
        <stp>##V3_BDPV12</stp>
        <stp>ODF23 COMDTY</stp>
        <stp>time</stp>
        <stp>[Bonds.xlsm]Curva!R32C30</stp>
        <tr r="AD32" s="3"/>
      </tp>
      <tp t="s">
        <v>21/09/2017</v>
        <stp/>
        <stp>##V3_BDPV12</stp>
        <stp>ODV20 COMDTY</stp>
        <stp>time</stp>
        <stp>[Bonds.xlsm]Curva!R24C30</stp>
        <tr r="AD24" s="3"/>
      </tp>
      <tp t="s">
        <v>14:08:43</v>
        <stp/>
        <stp>##V3_BDPV12</stp>
        <stp>ODN20 COMDTY</stp>
        <stp>time</stp>
        <stp>[Bonds.xlsm]Curva!R23C30</stp>
        <tr r="AD23" s="3"/>
      </tp>
      <tp t="s">
        <v>14:12:07</v>
        <stp/>
        <stp>##V3_BDPV12</stp>
        <stp>ODJ20 COMDTY</stp>
        <stp>time</stp>
        <stp>[Bonds.xlsm]Curva!R22C30</stp>
        <tr r="AD22" s="3"/>
      </tp>
      <tp t="s">
        <v>14:12:12</v>
        <stp/>
        <stp>##V3_BDPV12</stp>
        <stp>ODF20 COMDTY</stp>
        <stp>time</stp>
        <stp>[Bonds.xlsm]Curva!R21C30</stp>
        <tr r="AD21" s="3"/>
      </tp>
      <tp t="s">
        <v>13:55:26</v>
        <stp/>
        <stp>##V3_BDPV12</stp>
        <stp>ODV21 COMDTY</stp>
        <stp>time</stp>
        <stp>[Bonds.xlsm]Curva!R28C30</stp>
        <tr r="AD28" s="3"/>
      </tp>
      <tp t="s">
        <v>21/09/2017</v>
        <stp/>
        <stp>##V3_BDPV12</stp>
        <stp>ODJ21 COMDTY</stp>
        <stp>time</stp>
        <stp>[Bonds.xlsm]Curva!R26C30</stp>
        <tr r="AD26" s="3"/>
      </tp>
      <tp t="s">
        <v>12:53:38</v>
        <stp/>
        <stp>##V3_BDPV12</stp>
        <stp>ODN21 COMDTY</stp>
        <stp>time</stp>
        <stp>[Bonds.xlsm]Curva!R27C30</stp>
        <tr r="AD27" s="3"/>
      </tp>
      <tp t="s">
        <v>14:13:18</v>
        <stp/>
        <stp>##V3_BDPV12</stp>
        <stp>ODF21 COMDTY</stp>
        <stp>time</stp>
        <stp>[Bonds.xlsm]Curva!R25C30</stp>
        <tr r="AD25" s="3"/>
      </tp>
      <tp t="s">
        <v>11:55:35</v>
        <stp/>
        <stp>##V3_BDPV12</stp>
        <stp>ODF26 COMDTY</stp>
        <stp>time</stp>
        <stp>[Bonds.xlsm]Curva!R38C30</stp>
        <tr r="AD38" s="3"/>
      </tp>
      <tp t="s">
        <v>#N/A Invalid Security</v>
        <stp/>
        <stp>##V3_BDPV12</stp>
        <stp>ODN26 COMDTY</stp>
        <stp>time</stp>
        <stp>[Bonds.xlsm]Curva!R39C30</stp>
        <tr r="AD39" s="3"/>
      </tp>
      <tp t="s">
        <v>14:13:22</v>
        <stp/>
        <stp>##V3_BDPV12</stp>
        <stp>ODF27 COMDTY</stp>
        <stp>time</stp>
        <stp>[Bonds.xlsm]Curva!R40C30</stp>
        <tr r="AD40" s="3"/>
      </tp>
      <tp t="s">
        <v>21/09/2017</v>
        <stp/>
        <stp>##V3_BDPV12</stp>
        <stp>ODN24 COMDTY</stp>
        <stp>time</stp>
        <stp>[Bonds.xlsm]Curva!R35C30</stp>
        <tr r="AD35" s="3"/>
      </tp>
      <tp t="s">
        <v>09:21:33</v>
        <stp/>
        <stp>##V3_BDPV12</stp>
        <stp>ODF24 COMDTY</stp>
        <stp>time</stp>
        <stp>[Bonds.xlsm]Curva!R34C30</stp>
        <tr r="AD34" s="3"/>
      </tp>
      <tp t="s">
        <v>#N/A Invalid Security</v>
        <stp/>
        <stp>##V3_BDPV12</stp>
        <stp>ODN25 COMDTY</stp>
        <stp>time</stp>
        <stp>[Bonds.xlsm]Curva!R37C30</stp>
        <tr r="AD37" s="3"/>
      </tp>
      <tp t="s">
        <v>13:54:58</v>
        <stp/>
        <stp>##V3_BDPV12</stp>
        <stp>ODF25 COMDTY</stp>
        <stp>time</stp>
        <stp>[Bonds.xlsm]Curva!R36C30</stp>
        <tr r="AD36" s="3"/>
      </tp>
      <tp t="s">
        <v>21/09/2017</v>
        <stp/>
        <stp>##V3_BDPV12</stp>
        <stp>ODF28 COMDTY</stp>
        <stp>time</stp>
        <stp>[Bonds.xlsm]Curva!R41C30</stp>
        <tr r="AD41" s="3"/>
      </tp>
      <tp t="s">
        <v>21/09/2017</v>
        <stp/>
        <stp>##V3_BDPV12</stp>
        <stp>ODF29 COMDTY</stp>
        <stp>time</stp>
        <stp>[Bonds.xlsm]Curva!R42C30</stp>
        <tr r="AD42" s="3"/>
      </tp>
      <tp t="s">
        <v>21/09/2017</v>
        <stp/>
        <stp>##V3_BDPV12</stp>
        <stp>ODF30 COMDTY</stp>
        <stp>time</stp>
        <stp>[Bonds.xlsm]Curva!R43C30</stp>
        <tr r="AD43" s="3"/>
      </tp>
      <tp>
        <v>7.1980000000000004</v>
        <stp/>
        <stp>##V3_BDPV12</stp>
        <stp>ODK18 COMDTY</stp>
        <stp>PX_LAST</stp>
        <stp>[Bonds.xlsm]Curva!R11C29</stp>
        <tr r="AC11" s="3"/>
      </tp>
      <tp>
        <v>8.8350000000000009</v>
        <stp/>
        <stp>##V3_BDPV12</stp>
        <stp>ODJ21 COMDTY</stp>
        <stp>PX_LAST</stp>
        <stp>[Bonds.xlsm]Curva!R26C29</stp>
        <tr r="AC26" s="3"/>
      </tp>
      <tp>
        <v>8.26</v>
        <stp/>
        <stp>##V3_BDPV12</stp>
        <stp>ODJ20 COMDTY</stp>
        <stp>PX_LAST</stp>
        <stp>[Bonds.xlsm]Curva!R22C29</stp>
        <tr r="AC22" s="3"/>
      </tp>
      <tp>
        <v>9.2010000000000005</v>
        <stp/>
        <stp>##V3_BDPV12</stp>
        <stp>ODJ22 COMDTY</stp>
        <stp>PX_LAST</stp>
        <stp>[Bonds.xlsm]Curva!R30C29</stp>
        <tr r="AC30" s="3"/>
      </tp>
      <tp>
        <v>7.23</v>
        <stp/>
        <stp>##V3_BDPV12</stp>
        <stp>ODJ18 COMDTY</stp>
        <stp>PX_LAST</stp>
        <stp>[Bonds.xlsm]Curva!R10C29</stp>
        <tr r="AC10" s="3"/>
      </tp>
      <tp>
        <v>7.46</v>
        <stp/>
        <stp>##V3_BDPV12</stp>
        <stp>ODJ19 COMDTY</stp>
        <stp>PX_LAST</stp>
        <stp>[Bonds.xlsm]Curva!R18C29</stp>
        <tr r="AC18" s="3"/>
      </tp>
      <tp t="s">
        <v>#N/A Invalid Security</v>
        <stp/>
        <stp>##V3_BDPV12</stp>
        <stp>ODX18 COMDTY</stp>
        <stp>time</stp>
        <stp>[Bonds.xlsm]Curva!R16C30</stp>
        <tr r="AD16" s="3"/>
      </tp>
      <tp t="s">
        <v>21/09/2017</v>
        <stp/>
        <stp>##V3_BDPV12</stp>
        <stp>ODQ18 COMDTY</stp>
        <stp>time</stp>
        <stp>[Bonds.xlsm]Curva!R14C30</stp>
        <tr r="AD14" s="3"/>
      </tp>
      <tp t="s">
        <v>12:45:23</v>
        <stp/>
        <stp>##V3_BDPV12</stp>
        <stp>ODV18 COMDTY</stp>
        <stp>time</stp>
        <stp>[Bonds.xlsm]Curva!R15C30</stp>
        <tr r="AD15" s="3"/>
      </tp>
      <tp t="s">
        <v>21/09/2017</v>
        <stp/>
        <stp>##V3_BDPV12</stp>
        <stp>ODM18 COMDTY</stp>
        <stp>time</stp>
        <stp>[Bonds.xlsm]Curva!R12C30</stp>
        <tr r="AD12" s="3"/>
      </tp>
      <tp t="s">
        <v>13:48:46</v>
        <stp/>
        <stp>##V3_BDPV12</stp>
        <stp>ODN18 COMDTY</stp>
        <stp>time</stp>
        <stp>[Bonds.xlsm]Curva!R13C30</stp>
        <tr r="AD13" s="3"/>
      </tp>
      <tp t="s">
        <v>14:10:48</v>
        <stp/>
        <stp>##V3_BDPV12</stp>
        <stp>ODJ18 COMDTY</stp>
        <stp>time</stp>
        <stp>[Bonds.xlsm]Curva!R10C30</stp>
        <tr r="AD10" s="3"/>
      </tp>
      <tp t="s">
        <v>21/09/2017</v>
        <stp/>
        <stp>##V3_BDPV12</stp>
        <stp>ODK18 COMDTY</stp>
        <stp>time</stp>
        <stp>[Bonds.xlsm]Curva!R11C30</stp>
        <tr r="AD11" s="3"/>
      </tp>
      <tp t="s">
        <v>14:05:45</v>
        <stp/>
        <stp>##V3_BDPV12</stp>
        <stp>ODN19 COMDTY</stp>
        <stp>time</stp>
        <stp>[Bonds.xlsm]Curva!R19C30</stp>
        <tr r="AD19" s="3"/>
      </tp>
      <tp t="s">
        <v>12:50:20</v>
        <stp/>
        <stp>##V3_BDPV12</stp>
        <stp>ODJ19 COMDTY</stp>
        <stp>time</stp>
        <stp>[Bonds.xlsm]Curva!R18C30</stp>
        <tr r="AD18" s="3"/>
      </tp>
      <tp t="s">
        <v>14:03:42</v>
        <stp/>
        <stp>##V3_BDPV12</stp>
        <stp>ODF19 COMDTY</stp>
        <stp>time</stp>
        <stp>[Bonds.xlsm]Curva!R17C30</stp>
        <tr r="AD17" s="3"/>
      </tp>
      <tp t="s">
        <v>13:34:11</v>
        <stp/>
        <stp>##V3_BDPV12</stp>
        <stp>ODV19 COMDTY</stp>
        <stp>time</stp>
        <stp>[Bonds.xlsm]Curva!R20C30</stp>
        <tr r="AD20" s="3"/>
      </tp>
      <tp>
        <v>7.1769999999999996</v>
        <stp/>
        <stp>##V3_BDPV12</stp>
        <stp>ODM18 COMDTY</stp>
        <stp>PX_LAST</stp>
        <stp>[Bonds.xlsm]Curva!R12C29</stp>
        <tr r="AC12" s="3"/>
      </tp>
      <tp t="s">
        <v>12:34:04</v>
        <stp/>
        <stp>##V3_BDPV12</stp>
        <stp>ODH18 COMDTY</stp>
        <stp>time</stp>
        <stp>[Bonds.xlsm]Curva!R9C30</stp>
        <tr r="AD9" s="3"/>
      </tp>
      <tp>
        <v>8.99</v>
        <stp/>
        <stp>##V3_BDPV12</stp>
        <stp>ODN21 COMDTY</stp>
        <stp>PX_LAST</stp>
        <stp>[Bonds.xlsm]Curva!R27C29</stp>
        <tr r="AC27" s="3"/>
      </tp>
      <tp>
        <v>8.44</v>
        <stp/>
        <stp>##V3_BDPV12</stp>
        <stp>ODN20 COMDTY</stp>
        <stp>PX_LAST</stp>
        <stp>[Bonds.xlsm]Curva!R23C29</stp>
        <tr r="AC23" s="3"/>
      </tp>
      <tp>
        <v>9.2650000000000006</v>
        <stp/>
        <stp>##V3_BDPV12</stp>
        <stp>ODN22 COMDTY</stp>
        <stp>PX_LAST</stp>
        <stp>[Bonds.xlsm]Curva!R31C29</stp>
        <tr r="AC31" s="3"/>
      </tp>
      <tp>
        <v>9.452</v>
        <stp/>
        <stp>##V3_BDPV12</stp>
        <stp>ODN23 COMDTY</stp>
        <stp>PX_LAST</stp>
        <stp>[Bonds.xlsm]Curva!R33C29</stp>
        <tr r="AC33" s="3"/>
      </tp>
      <tp>
        <v>9.6349999999999998</v>
        <stp/>
        <stp>##V3_BDPV12</stp>
        <stp>ODN24 COMDTY</stp>
        <stp>PX_LAST</stp>
        <stp>[Bonds.xlsm]Curva!R35C29</stp>
        <tr r="AC35" s="3"/>
      </tp>
      <tp t="s">
        <v>#N/A Invalid Security</v>
        <stp/>
        <stp>##V3_BDPV12</stp>
        <stp>ODN25 COMDTY</stp>
        <stp>PX_LAST</stp>
        <stp>[Bonds.xlsm]Curva!R37C29</stp>
        <tr r="AC37" s="3"/>
      </tp>
      <tp t="s">
        <v>#N/A Invalid Security</v>
        <stp/>
        <stp>##V3_BDPV12</stp>
        <stp>ODN26 COMDTY</stp>
        <stp>PX_LAST</stp>
        <stp>[Bonds.xlsm]Curva!R39C29</stp>
        <tr r="AC39" s="3"/>
      </tp>
      <tp>
        <v>7.1400000000000006</v>
        <stp/>
        <stp>##V3_BDPV12</stp>
        <stp>ODN18 COMDTY</stp>
        <stp>PX_LAST</stp>
        <stp>[Bonds.xlsm]Curva!R13C29</stp>
        <tr r="AC13" s="3"/>
      </tp>
      <tp>
        <v>7.66</v>
        <stp/>
        <stp>##V3_BDPV12</stp>
        <stp>ODN19 COMDTY</stp>
        <stp>PX_LAST</stp>
        <stp>[Bonds.xlsm]Curva!R19C29</stp>
        <tr r="AC19" s="3"/>
      </tp>
      <tp>
        <v>7.3380000000000001</v>
        <stp/>
        <stp>##V3_BDPV12</stp>
        <stp>ODH18 COMDTY</stp>
        <stp>PREV_CLOSE_VAL</stp>
        <stp>[Bonds.xlsm]Curva!R9C28</stp>
        <tr r="AB9" s="3"/>
      </tp>
      <tp>
        <v>7.42</v>
        <stp/>
        <stp>##V3_BDPV12</stp>
        <stp>ODG18 COMDTY</stp>
        <stp>PREV_CLOSE_VAL</stp>
        <stp>[Bonds.xlsm]Curva!R8C28</stp>
        <tr r="AB8" s="3"/>
      </tp>
      <tp>
        <v>7.5649999999999995</v>
        <stp/>
        <stp>##V3_BDPV12</stp>
        <stp>ODF18 COMDTY</stp>
        <stp>PREV_CLOSE_VAL</stp>
        <stp>[Bonds.xlsm]Curva!R7C28</stp>
        <tr r="AB7" s="3"/>
      </tp>
      <tp>
        <v>7.77</v>
        <stp/>
        <stp>##V3_BDPV12</stp>
        <stp>ODZ17 COMDTY</stp>
        <stp>PREV_CLOSE_VAL</stp>
        <stp>[Bonds.xlsm]Curva!R6C28</stp>
        <tr r="AB6" s="3"/>
      </tp>
      <tp>
        <v>8.0350000000000001</v>
        <stp/>
        <stp>##V3_BDPV12</stp>
        <stp>ODX17 COMDTY</stp>
        <stp>PREV_CLOSE_VAL</stp>
        <stp>[Bonds.xlsm]Curva!R5C28</stp>
        <tr r="AB5" s="3"/>
      </tp>
      <tp>
        <v>8.1419999999999995</v>
        <stp/>
        <stp>##V3_BDPV12</stp>
        <stp>ODV17 COMDTY</stp>
        <stp>PREV_CLOSE_VAL</stp>
        <stp>[Bonds.xlsm]Curva!R4C28</stp>
        <tr r="AB4" s="3"/>
      </tp>
      <tp>
        <v>3130</v>
        <stp/>
        <stp>##V3_BDPV12</stp>
        <stp>UC1 curncy</stp>
        <stp>LAST_PRICE</stp>
        <stp>[Bonds.xlsm]Curva!R1C4</stp>
        <tr r="D1" s="3"/>
      </tp>
      <tp>
        <v>15.66</v>
        <stp/>
        <stp>##V3_BDPV12</stp>
        <stp>PETR4 BZ Equity</stp>
        <stp>LAST_PRICE</stp>
        <stp>[Bonds.xlsm]AuxilioDados!R59C63</stp>
        <tr r="BK59" s="9"/>
      </tp>
      <tp t="s">
        <v>13:52:19</v>
        <stp/>
        <stp>##V3_BDPV12</stp>
        <stp>ODF18 COMDTY</stp>
        <stp>time</stp>
        <stp>[Bonds.xlsm]Curva!R7C30</stp>
        <tr r="AD7" s="3"/>
      </tp>
      <tp t="s">
        <v>21/09/2017</v>
        <stp/>
        <stp>##V3_BDPV12</stp>
        <stp>ODG18 COMDTY</stp>
        <stp>time</stp>
        <stp>[Bonds.xlsm]Curva!R8C30</stp>
        <tr r="AD8" s="3"/>
      </tp>
      <tp>
        <v>7.78</v>
        <stp/>
        <stp>##V3_BDPV12</stp>
        <stp>ODZ17 COMDTY</stp>
        <stp>BID</stp>
        <stp>[Bonds.xlsm]Curva!R6C26</stp>
        <tr r="Z6" s="3"/>
      </tp>
      <tp>
        <v>8.0050000000000008</v>
        <stp/>
        <stp>##V3_BDPV12</stp>
        <stp>ODX17 COMDTY</stp>
        <stp>BID</stp>
        <stp>[Bonds.xlsm]Curva!R5C26</stp>
        <tr r="Z5" s="3"/>
      </tp>
      <tp>
        <v>8.1389999999999993</v>
        <stp/>
        <stp>##V3_BDPV12</stp>
        <stp>ODV17 COMDTY</stp>
        <stp>BID</stp>
        <stp>[Bonds.xlsm]Curva!R4C26</stp>
        <tr r="Z4" s="3"/>
      </tp>
      <tp>
        <v>7.32</v>
        <stp/>
        <stp>##V3_BDPV12</stp>
        <stp>ODH18 COMDTY</stp>
        <stp>BID</stp>
        <stp>[Bonds.xlsm]Curva!R9C26</stp>
        <tr r="Z9" s="3"/>
      </tp>
      <tp>
        <v>7.55</v>
        <stp/>
        <stp>##V3_BDPV12</stp>
        <stp>ODF18 COMDTY</stp>
        <stp>BID</stp>
        <stp>[Bonds.xlsm]Curva!R7C26</stp>
        <tr r="Z7" s="3"/>
      </tp>
      <tp>
        <v>7.375</v>
        <stp/>
        <stp>##V3_BDPV12</stp>
        <stp>ODG18 COMDTY</stp>
        <stp>BID</stp>
        <stp>[Bonds.xlsm]Curva!R8C26</stp>
        <tr r="Z8" s="3"/>
      </tp>
      <tp>
        <v>10.118</v>
        <stp/>
        <stp>##V3_BDPV12</stp>
        <stp>ODF30 COMDTY</stp>
        <stp>PX_LAST</stp>
        <stp>[Bonds.xlsm]Curva!R43C29</stp>
        <tr r="AC43" s="3"/>
      </tp>
      <tp>
        <v>10.08</v>
        <stp/>
        <stp>##V3_BDPV12</stp>
        <stp>ODF29 COMDTY</stp>
        <stp>PX_LAST</stp>
        <stp>[Bonds.xlsm]Curva!R42C29</stp>
        <tr r="AC42" s="3"/>
      </tp>
      <tp>
        <v>10.039999999999999</v>
        <stp/>
        <stp>##V3_BDPV12</stp>
        <stp>ODF28 COMDTY</stp>
        <stp>PX_LAST</stp>
        <stp>[Bonds.xlsm]Curva!R41C29</stp>
        <tr r="AC41" s="3"/>
      </tp>
      <tp>
        <v>8.73</v>
        <stp/>
        <stp>##V3_BDPV12</stp>
        <stp>ODF21 COMDTY</stp>
        <stp>PX_LAST</stp>
        <stp>[Bonds.xlsm]Curva!R25C29</stp>
        <tr r="AC25" s="3"/>
      </tp>
      <tp>
        <v>10.01</v>
        <stp/>
        <stp>##V3_BDPV12</stp>
        <stp>ODF27 COMDTY</stp>
        <stp>PX_LAST</stp>
        <stp>[Bonds.xlsm]Curva!R40C29</stp>
        <tr r="AC40" s="3"/>
      </tp>
      <tp>
        <v>8.07</v>
        <stp/>
        <stp>##V3_BDPV12</stp>
        <stp>ODF20 COMDTY</stp>
        <stp>PX_LAST</stp>
        <stp>[Bonds.xlsm]Curva!R21C29</stp>
        <tr r="AC21" s="3"/>
      </tp>
      <tp>
        <v>9.16</v>
        <stp/>
        <stp>##V3_BDPV12</stp>
        <stp>ODF22 COMDTY</stp>
        <stp>PX_LAST</stp>
        <stp>[Bonds.xlsm]Curva!R29C29</stp>
        <tr r="AC29" s="3"/>
      </tp>
      <tp>
        <v>9.39</v>
        <stp/>
        <stp>##V3_BDPV12</stp>
        <stp>ODF23 COMDTY</stp>
        <stp>PX_LAST</stp>
        <stp>[Bonds.xlsm]Curva!R32C29</stp>
        <tr r="AC32" s="3"/>
      </tp>
      <tp>
        <v>9.5400000000000009</v>
        <stp/>
        <stp>##V3_BDPV12</stp>
        <stp>ODF24 COMDTY</stp>
        <stp>PX_LAST</stp>
        <stp>[Bonds.xlsm]Curva!R34C29</stp>
        <tr r="AC34" s="3"/>
      </tp>
      <tp>
        <v>9.75</v>
        <stp/>
        <stp>##V3_BDPV12</stp>
        <stp>ODF25 COMDTY</stp>
        <stp>PX_LAST</stp>
        <stp>[Bonds.xlsm]Curva!R36C29</stp>
        <tr r="AC36" s="3"/>
      </tp>
      <tp>
        <v>9.85</v>
        <stp/>
        <stp>##V3_BDPV12</stp>
        <stp>ODF26 COMDTY</stp>
        <stp>PX_LAST</stp>
        <stp>[Bonds.xlsm]Curva!R38C29</stp>
        <tr r="AC38" s="3"/>
      </tp>
      <tp>
        <v>7.29</v>
        <stp/>
        <stp>##V3_BDPV12</stp>
        <stp>ODF19 COMDTY</stp>
        <stp>PX_LAST</stp>
        <stp>[Bonds.xlsm]Curva!R17C29</stp>
        <tr r="AC17" s="3"/>
      </tp>
      <tp>
        <v>7.5549999999999997</v>
        <stp/>
        <stp>##V3_BDPV12</stp>
        <stp>ODF18 COMDTY</stp>
        <stp>ASK</stp>
        <stp>[Bonds.xlsm]Curva!R7C27</stp>
        <tr r="AA7" s="3"/>
      </tp>
      <tp>
        <v>7.4249999999999998</v>
        <stp/>
        <stp>##V3_BDPV12</stp>
        <stp>ODG18 COMDTY</stp>
        <stp>ASK</stp>
        <stp>[Bonds.xlsm]Curva!R8C27</stp>
        <tr r="AA8" s="3"/>
      </tp>
      <tp>
        <v>7.335</v>
        <stp/>
        <stp>##V3_BDPV12</stp>
        <stp>ODH18 COMDTY</stp>
        <stp>ASK</stp>
        <stp>[Bonds.xlsm]Curva!R9C27</stp>
        <tr r="AA9" s="3"/>
      </tp>
      <tp>
        <v>8.1419999999999995</v>
        <stp/>
        <stp>##V3_BDPV12</stp>
        <stp>ODV17 COMDTY</stp>
        <stp>ASK</stp>
        <stp>[Bonds.xlsm]Curva!R4C27</stp>
        <tr r="AA4" s="3"/>
      </tp>
      <tp>
        <v>8.0350000000000001</v>
        <stp/>
        <stp>##V3_BDPV12</stp>
        <stp>ODX17 COMDTY</stp>
        <stp>ASK</stp>
        <stp>[Bonds.xlsm]Curva!R5C27</stp>
        <tr r="AA5" s="3"/>
      </tp>
      <tp>
        <v>7.8029999999999999</v>
        <stp/>
        <stp>##V3_BDPV12</stp>
        <stp>ODZ17 COMDTY</stp>
        <stp>ASK</stp>
        <stp>[Bonds.xlsm]Curva!R6C27</stp>
        <tr r="AA6" s="3"/>
      </tp>
      <tp>
        <v>15.68</v>
        <stp/>
        <stp>##V3_BDPV12</stp>
        <stp>PETR4 BZ Equity</stp>
        <stp>PX_LAST</stp>
        <stp>[Bonds.xlsm]AuxilioDados!R59C54</stp>
        <tr r="BB59" s="9"/>
      </tp>
      <tp t="s">
        <v>#N/A Invalid Security</v>
        <stp/>
        <stp>##V3_BDPV12</stp>
        <stp>ODX18 COMDTY</stp>
        <stp>PX_LAST</stp>
        <stp>[Bonds.xlsm]Curva!R16C29</stp>
        <tr r="AC16" s="3"/>
      </tp>
      <tp t="s">
        <v>14:03:32</v>
        <stp/>
        <stp>##V3_BDPV12</stp>
        <stp>ODX17 COMDTY</stp>
        <stp>time</stp>
        <stp>[Bonds.xlsm]Curva!R5C30</stp>
        <tr r="AD5" s="3"/>
      </tp>
      <tp t="s">
        <v>12:18:19</v>
        <stp/>
        <stp>##V3_BDPV12</stp>
        <stp>ODZ17 COMDTY</stp>
        <stp>time</stp>
        <stp>[Bonds.xlsm]Curva!R6C30</stp>
        <tr r="AD6" s="3"/>
      </tp>
      <tp>
        <v>7.1550000000000002</v>
        <stp/>
        <stp>##V3_BDPV12</stp>
        <stp>ODQ18 COMDTY</stp>
        <stp>PX_LAST</stp>
        <stp>[Bonds.xlsm]Curva!R14C29</stp>
        <tr r="AC14" s="3"/>
      </tp>
      <tp t="s">
        <v>11:57:05</v>
        <stp/>
        <stp>##V3_BDPV12</stp>
        <stp>ODV17 COMDTY</stp>
        <stp>time</stp>
        <stp>[Bonds.xlsm]Curva!R4C30</stp>
        <tr r="AD4" s="3"/>
      </tp>
      <tp>
        <v>9.09</v>
        <stp/>
        <stp>##V3_BDPV12</stp>
        <stp>ODV21 COMDTY</stp>
        <stp>PX_LAST</stp>
        <stp>[Bonds.xlsm]Curva!R28C29</stp>
        <tr r="AC28" s="3"/>
      </tp>
      <tp>
        <v>8.59</v>
        <stp/>
        <stp>##V3_BDPV12</stp>
        <stp>ODV20 COMDTY</stp>
        <stp>PX_LAST</stp>
        <stp>[Bonds.xlsm]Curva!R24C29</stp>
        <tr r="AC24" s="3"/>
      </tp>
      <tp>
        <v>7.91</v>
        <stp/>
        <stp>##V3_BDPV12</stp>
        <stp>ODV19 COMDTY</stp>
        <stp>PX_LAST</stp>
        <stp>[Bonds.xlsm]Curva!R20C29</stp>
        <tr r="AC20" s="3"/>
      </tp>
      <tp>
        <v>7.16</v>
        <stp/>
        <stp>##V3_BDPV12</stp>
        <stp>ODV18 COMDTY</stp>
        <stp>PX_LAST</stp>
        <stp>[Bonds.xlsm]Curva!R15C29</stp>
        <tr r="AC15" s="3"/>
      </tp>
    </main>
    <main first="bloomberg.rtd">
      <tp>
        <v>8.14</v>
        <stp/>
        <stp>##V3_BDPV12</stp>
        <stp>BZDIOVRA Index</stp>
        <stp>PX_LAST</stp>
        <stp>[Bonds.xlsm]Curva!R1C1</stp>
        <tr r="A1" s="3"/>
      </tp>
      <tp>
        <v>100</v>
        <stp/>
        <stp>##V3_BDPV12</stp>
        <stp>ODF26 COMDTY</stp>
        <stp>volume</stp>
        <stp>[Bonds.xlsm]Curva!R38C58</stp>
        <tr r="BF38" s="3"/>
        <tr r="BF38" s="3"/>
      </tp>
      <tp>
        <v>16190</v>
        <stp/>
        <stp>##V3_BDPV12</stp>
        <stp>ODF25 COMDTY</stp>
        <stp>volume</stp>
        <stp>[Bonds.xlsm]Curva!R36C58</stp>
        <tr r="BF36" s="3"/>
        <tr r="BF36" s="3"/>
      </tp>
      <tp>
        <v>40</v>
        <stp/>
        <stp>##V3_BDPV12</stp>
        <stp>ODF24 COMDTY</stp>
        <stp>volume</stp>
        <stp>[Bonds.xlsm]Curva!R34C58</stp>
        <tr r="BF34" s="3"/>
        <tr r="BF34" s="3"/>
      </tp>
      <tp>
        <v>20015</v>
        <stp/>
        <stp>##V3_BDPV12</stp>
        <stp>ODF23 COMDTY</stp>
        <stp>volume</stp>
        <stp>[Bonds.xlsm]Curva!R32C58</stp>
        <tr r="BF32" s="3"/>
        <tr r="BF32" s="3"/>
      </tp>
      <tp>
        <v>71610</v>
        <stp/>
        <stp>##V3_BDPV12</stp>
        <stp>ODF19 COMDTY</stp>
        <stp>volume</stp>
        <stp>[Bonds.xlsm]Curva!R17C58</stp>
        <tr r="BF17" s="3"/>
        <tr r="BF17" s="3"/>
      </tp>
      <tp>
        <v>6215</v>
        <stp/>
        <stp>##V3_BDPV12</stp>
        <stp>ODF22 COMDTY</stp>
        <stp>volume</stp>
        <stp>[Bonds.xlsm]Curva!R29C58</stp>
        <tr r="BF29" s="3"/>
        <tr r="BF29" s="3"/>
      </tp>
      <tp>
        <v>85595</v>
        <stp/>
        <stp>##V3_BDPV12</stp>
        <stp>ODF21 COMDTY</stp>
        <stp>volume</stp>
        <stp>[Bonds.xlsm]Curva!R25C58</stp>
        <tr r="BF25" s="3"/>
        <tr r="BF25" s="3"/>
      </tp>
      <tp>
        <v>86765</v>
        <stp/>
        <stp>##V3_BDPV12</stp>
        <stp>ODF20 COMDTY</stp>
        <stp>volume</stp>
        <stp>[Bonds.xlsm]Curva!R21C58</stp>
        <tr r="BF21" s="3"/>
        <tr r="BF21" s="3"/>
      </tp>
      <tp t="s">
        <v>#N/A N/A</v>
        <stp/>
        <stp>##V3_BDPV12</stp>
        <stp>ODF30 COMDTY</stp>
        <stp>volume</stp>
        <stp>[Bonds.xlsm]Curva!R43C58</stp>
        <tr r="BF43" s="3"/>
      </tp>
      <tp t="s">
        <v>#N/A N/A</v>
        <stp/>
        <stp>##V3_BDPV12</stp>
        <stp>ODF29 COMDTY</stp>
        <stp>volume</stp>
        <stp>[Bonds.xlsm]Curva!R42C58</stp>
        <tr r="BF42" s="3"/>
      </tp>
      <tp t="s">
        <v>#N/A N/A</v>
        <stp/>
        <stp>##V3_BDPV12</stp>
        <stp>ODF28 COMDTY</stp>
        <stp>volume</stp>
        <stp>[Bonds.xlsm]Curva!R41C58</stp>
        <tr r="BF41" s="3"/>
      </tp>
      <tp>
        <v>12250</v>
        <stp/>
        <stp>##V3_BDPV12</stp>
        <stp>ODF27 COMDTY</stp>
        <stp>volume</stp>
        <stp>[Bonds.xlsm]Curva!R40C58</stp>
        <tr r="BF40" s="3"/>
        <tr r="BF40" s="3"/>
      </tp>
      <tp>
        <v>810</v>
        <stp/>
        <stp>##V3_BDPV12</stp>
        <stp>ODM18 COMDTY</stp>
        <stp>volume</stp>
        <stp>[Bonds.xlsm]Curva!R12C58</stp>
        <tr r="BF12" s="3"/>
        <tr r="BF12" s="3"/>
      </tp>
      <tp t="s">
        <v>#N/A Invalid Security</v>
        <stp/>
        <stp>##V3_BDPV12</stp>
        <stp>ODN26 COMDTY</stp>
        <stp>volume</stp>
        <stp>[Bonds.xlsm]Curva!R39C58</stp>
        <tr r="BF39" s="3"/>
      </tp>
      <tp t="s">
        <v>#N/A Invalid Security</v>
        <stp/>
        <stp>##V3_BDPV12</stp>
        <stp>ODN25 COMDTY</stp>
        <stp>volume</stp>
        <stp>[Bonds.xlsm]Curva!R37C58</stp>
        <tr r="BF37" s="3"/>
      </tp>
      <tp>
        <v>5</v>
        <stp/>
        <stp>##V3_BDPV12</stp>
        <stp>ODN22 COMDTY</stp>
        <stp>volume</stp>
        <stp>[Bonds.xlsm]Curva!R31C58</stp>
        <tr r="BF31" s="3"/>
        <tr r="BF31" s="3"/>
      </tp>
      <tp t="s">
        <v>#N/A N/A</v>
        <stp/>
        <stp>##V3_BDPV12</stp>
        <stp>ODN23 COMDTY</stp>
        <stp>volume</stp>
        <stp>[Bonds.xlsm]Curva!R33C58</stp>
        <tr r="BF33" s="3"/>
      </tp>
      <tp t="s">
        <v>#N/A N/A</v>
        <stp/>
        <stp>##V3_BDPV12</stp>
        <stp>ODN24 COMDTY</stp>
        <stp>volume</stp>
        <stp>[Bonds.xlsm]Curva!R35C58</stp>
        <tr r="BF35" s="3"/>
      </tp>
      <tp>
        <v>14546</v>
        <stp/>
        <stp>##V3_BDPV12</stp>
        <stp>ODN18 COMDTY</stp>
        <stp>volume</stp>
        <stp>[Bonds.xlsm]Curva!R13C58</stp>
        <tr r="BF13" s="3"/>
        <tr r="BF13" s="3"/>
      </tp>
      <tp>
        <v>6035</v>
        <stp/>
        <stp>##V3_BDPV12</stp>
        <stp>ODN21 COMDTY</stp>
        <stp>volume</stp>
        <stp>[Bonds.xlsm]Curva!R27C58</stp>
        <tr r="BF27" s="3"/>
        <tr r="BF27" s="3"/>
      </tp>
      <tp>
        <v>25595</v>
        <stp/>
        <stp>##V3_BDPV12</stp>
        <stp>ODN20 COMDTY</stp>
        <stp>volume</stp>
        <stp>[Bonds.xlsm]Curva!R23C58</stp>
        <tr r="BF23" s="3"/>
        <tr r="BF23" s="3"/>
      </tp>
      <tp>
        <v>10515</v>
        <stp/>
        <stp>##V3_BDPV12</stp>
        <stp>ODN19 COMDTY</stp>
        <stp>volume</stp>
        <stp>[Bonds.xlsm]Curva!R19C58</stp>
        <tr r="BF19" s="3"/>
        <tr r="BF19" s="3"/>
      </tp>
      <tp t="s">
        <v>#N/A N/A</v>
        <stp/>
        <stp>##V3_BDPV12</stp>
        <stp>ODJ22 COMDTY</stp>
        <stp>volume</stp>
        <stp>[Bonds.xlsm]Curva!R30C58</stp>
        <tr r="BF30" s="3"/>
      </tp>
      <tp>
        <v>70565</v>
        <stp/>
        <stp>##V3_BDPV12</stp>
        <stp>ODJ18 COMDTY</stp>
        <stp>volume</stp>
        <stp>[Bonds.xlsm]Curva!R10C58</stp>
        <tr r="BF10" s="3"/>
        <tr r="BF10" s="3"/>
      </tp>
      <tp>
        <v>895</v>
        <stp/>
        <stp>##V3_BDPV12</stp>
        <stp>ODJ21 COMDTY</stp>
        <stp>volume</stp>
        <stp>[Bonds.xlsm]Curva!R26C58</stp>
        <tr r="BF26" s="3"/>
        <tr r="BF26" s="3"/>
      </tp>
      <tp>
        <v>1790</v>
        <stp/>
        <stp>##V3_BDPV12</stp>
        <stp>ODJ20 COMDTY</stp>
        <stp>volume</stp>
        <stp>[Bonds.xlsm]Curva!R22C58</stp>
        <tr r="BF22" s="3"/>
        <tr r="BF22" s="3"/>
      </tp>
      <tp>
        <v>175</v>
        <stp/>
        <stp>##V3_BDPV12</stp>
        <stp>ODJ19 COMDTY</stp>
        <stp>volume</stp>
        <stp>[Bonds.xlsm]Curva!R18C58</stp>
        <tr r="BF18" s="3"/>
        <tr r="BF18" s="3"/>
      </tp>
      <tp t="s">
        <v>#N/A N/A</v>
        <stp/>
        <stp>##V3_BDPV12</stp>
        <stp>ODK18 COMDTY</stp>
        <stp>volume</stp>
        <stp>[Bonds.xlsm]Curva!R11C58</stp>
        <tr r="BF11" s="3"/>
      </tp>
      <tp>
        <v>9175</v>
        <stp/>
        <stp>##V3_BDPV12</stp>
        <stp>ODV19 COMDTY</stp>
        <stp>volume</stp>
        <stp>[Bonds.xlsm]Curva!R20C58</stp>
        <tr r="BF20" s="3"/>
        <tr r="BF20" s="3"/>
      </tp>
      <tp>
        <v>11010</v>
        <stp/>
        <stp>##V3_BDPV12</stp>
        <stp>ODV18 COMDTY</stp>
        <stp>volume</stp>
        <stp>[Bonds.xlsm]Curva!R15C58</stp>
        <tr r="BF15" s="3"/>
        <tr r="BF15" s="3"/>
      </tp>
      <tp>
        <v>70</v>
        <stp/>
        <stp>##V3_BDPV12</stp>
        <stp>ODV21 COMDTY</stp>
        <stp>volume</stp>
        <stp>[Bonds.xlsm]Curva!R28C58</stp>
        <tr r="BF28" s="3"/>
        <tr r="BF28" s="3"/>
      </tp>
      <tp>
        <v>3185</v>
        <stp/>
        <stp>##V3_BDPV12</stp>
        <stp>ODV20 COMDTY</stp>
        <stp>volume</stp>
        <stp>[Bonds.xlsm]Curva!R24C58</stp>
        <tr r="BF24" s="3"/>
        <tr r="BF24" s="3"/>
      </tp>
      <tp t="s">
        <v>#N/A N/A</v>
        <stp/>
        <stp>##V3_BDPV12</stp>
        <stp>ODQ18 COMDTY</stp>
        <stp>volume</stp>
        <stp>[Bonds.xlsm]Curva!R14C58</stp>
        <tr r="BF14" s="3"/>
      </tp>
      <tp t="s">
        <v>#N/A Invalid Security</v>
        <stp/>
        <stp>##V3_BDPV12</stp>
        <stp>ODX18 COMDTY</stp>
        <stp>volume</stp>
        <stp>[Bonds.xlsm]Curva!R16C58</stp>
        <tr r="BF16" s="3"/>
      </tp>
      <tp>
        <v>7.1550000000000002</v>
        <stp/>
        <stp>##V3_BDPV12</stp>
        <stp>ODQ18 COMDTY</stp>
        <stp>PREV_CLOSE_VAL</stp>
        <stp>[Bonds.xlsm]Curva!R14C28</stp>
        <tr r="AB14" s="3"/>
      </tp>
      <tp>
        <v>7.17</v>
        <stp/>
        <stp>##V3_BDPV12</stp>
        <stp>ODV18 COMDTY</stp>
        <stp>PREV_CLOSE_VAL</stp>
        <stp>[Bonds.xlsm]Curva!R15C28</stp>
        <tr r="AB15" s="3"/>
      </tp>
      <tp>
        <v>9.0500000000000007</v>
        <stp/>
        <stp>##V3_BDPV12</stp>
        <stp>ODV21 COMDTY</stp>
        <stp>PREV_CLOSE_VAL</stp>
        <stp>[Bonds.xlsm]Curva!R28C28</stp>
        <tr r="AB28" s="3"/>
      </tp>
      <tp>
        <v>8.59</v>
        <stp/>
        <stp>##V3_BDPV12</stp>
        <stp>ODV20 COMDTY</stp>
        <stp>PREV_CLOSE_VAL</stp>
        <stp>[Bonds.xlsm]Curva!R24C28</stp>
        <tr r="AB24" s="3"/>
      </tp>
      <tp>
        <v>7.9</v>
        <stp/>
        <stp>##V3_BDPV12</stp>
        <stp>ODV19 COMDTY</stp>
        <stp>PREV_CLOSE_VAL</stp>
        <stp>[Bonds.xlsm]Curva!R20C28</stp>
        <tr r="AB20" s="3"/>
      </tp>
      <tp t="s">
        <v>#N/A Invalid Security</v>
        <stp/>
        <stp>##V3_BDPV12</stp>
        <stp>ODX18 COMDTY</stp>
        <stp>PREV_CLOSE_VAL</stp>
        <stp>[Bonds.xlsm]Curva!R16C28</stp>
        <tr r="AB16" s="3"/>
      </tp>
      <tp>
        <v>9.8550000000000004</v>
        <stp/>
        <stp>##V3_BDPV12</stp>
        <stp>ODF26 COMDTY</stp>
        <stp>PREV_CLOSE_VAL</stp>
        <stp>[Bonds.xlsm]Curva!R38C28</stp>
        <tr r="AB38" s="3"/>
      </tp>
      <tp>
        <v>9.5649999999999995</v>
        <stp/>
        <stp>##V3_BDPV12</stp>
        <stp>ODF24 COMDTY</stp>
        <stp>PREV_CLOSE_VAL</stp>
        <stp>[Bonds.xlsm]Curva!R34C28</stp>
        <tr r="AB34" s="3"/>
      </tp>
      <tp>
        <v>9.3699999999999992</v>
        <stp/>
        <stp>##V3_BDPV12</stp>
        <stp>ODF23 COMDTY</stp>
        <stp>PREV_CLOSE_VAL</stp>
        <stp>[Bonds.xlsm]Curva!R32C28</stp>
        <tr r="AB32" s="3"/>
      </tp>
      <tp>
        <v>9.7200000000000006</v>
        <stp/>
        <stp>##V3_BDPV12</stp>
        <stp>ODF25 COMDTY</stp>
        <stp>PREV_CLOSE_VAL</stp>
        <stp>[Bonds.xlsm]Curva!R36C28</stp>
        <tr r="AB36" s="3"/>
      </tp>
      <tp>
        <v>7.3</v>
        <stp/>
        <stp>##V3_BDPV12</stp>
        <stp>ODF19 COMDTY</stp>
        <stp>PREV_CLOSE_VAL</stp>
        <stp>[Bonds.xlsm]Curva!R17C28</stp>
        <tr r="AB17" s="3"/>
      </tp>
      <tp>
        <v>9.14</v>
        <stp/>
        <stp>##V3_BDPV12</stp>
        <stp>ODF22 COMDTY</stp>
        <stp>PREV_CLOSE_VAL</stp>
        <stp>[Bonds.xlsm]Curva!R29C28</stp>
        <tr r="AB29" s="3"/>
      </tp>
      <tp>
        <v>8.7200000000000006</v>
        <stp/>
        <stp>##V3_BDPV12</stp>
        <stp>ODF21 COMDTY</stp>
        <stp>PREV_CLOSE_VAL</stp>
        <stp>[Bonds.xlsm]Curva!R25C28</stp>
        <tr r="AB25" s="3"/>
      </tp>
      <tp>
        <v>8.0500000000000007</v>
        <stp/>
        <stp>##V3_BDPV12</stp>
        <stp>ODF20 COMDTY</stp>
        <stp>PREV_CLOSE_VAL</stp>
        <stp>[Bonds.xlsm]Curva!R21C28</stp>
        <tr r="AB21" s="3"/>
      </tp>
      <tp>
        <v>10.118</v>
        <stp/>
        <stp>##V3_BDPV12</stp>
        <stp>ODF30 COMDTY</stp>
        <stp>PREV_CLOSE_VAL</stp>
        <stp>[Bonds.xlsm]Curva!R43C28</stp>
        <tr r="AB43" s="3"/>
      </tp>
      <tp>
        <v>10.039999999999999</v>
        <stp/>
        <stp>##V3_BDPV12</stp>
        <stp>ODF28 COMDTY</stp>
        <stp>PREV_CLOSE_VAL</stp>
        <stp>[Bonds.xlsm]Curva!R41C28</stp>
        <tr r="AB41" s="3"/>
      </tp>
      <tp>
        <v>10.08</v>
        <stp/>
        <stp>##V3_BDPV12</stp>
        <stp>ODF29 COMDTY</stp>
        <stp>PREV_CLOSE_VAL</stp>
        <stp>[Bonds.xlsm]Curva!R42C28</stp>
        <tr r="AB42" s="3"/>
      </tp>
      <tp>
        <v>9.98</v>
        <stp/>
        <stp>##V3_BDPV12</stp>
        <stp>ODF27 COMDTY</stp>
        <stp>PREV_CLOSE_VAL</stp>
        <stp>[Bonds.xlsm]Curva!R40C28</stp>
        <tr r="AB40" s="3"/>
      </tp>
      <tp>
        <v>7.1980000000000004</v>
        <stp/>
        <stp>##V3_BDPV12</stp>
        <stp>ODK18 COMDTY</stp>
        <stp>PREV_CLOSE_VAL</stp>
        <stp>[Bonds.xlsm]Curva!R11C28</stp>
        <tr r="AB11" s="3"/>
      </tp>
      <tp>
        <v>9.2010000000000005</v>
        <stp/>
        <stp>##V3_BDPV12</stp>
        <stp>ODJ22 COMDTY</stp>
        <stp>PREV_CLOSE_VAL</stp>
        <stp>[Bonds.xlsm]Curva!R30C28</stp>
        <tr r="AB30" s="3"/>
      </tp>
      <tp>
        <v>7.2450000000000001</v>
        <stp/>
        <stp>##V3_BDPV12</stp>
        <stp>ODJ18 COMDTY</stp>
        <stp>PREV_CLOSE_VAL</stp>
        <stp>[Bonds.xlsm]Curva!R10C28</stp>
        <tr r="AB10" s="3"/>
      </tp>
      <tp>
        <v>8.8350000000000009</v>
        <stp/>
        <stp>##V3_BDPV12</stp>
        <stp>ODJ21 COMDTY</stp>
        <stp>PREV_CLOSE_VAL</stp>
        <stp>[Bonds.xlsm]Curva!R26C28</stp>
        <tr r="AB26" s="3"/>
      </tp>
      <tp>
        <v>7.47</v>
        <stp/>
        <stp>##V3_BDPV12</stp>
        <stp>ODJ19 COMDTY</stp>
        <stp>PREV_CLOSE_VAL</stp>
        <stp>[Bonds.xlsm]Curva!R18C28</stp>
        <tr r="AB18" s="3"/>
      </tp>
      <tp>
        <v>8.23</v>
        <stp/>
        <stp>##V3_BDPV12</stp>
        <stp>ODJ20 COMDTY</stp>
        <stp>PREV_CLOSE_VAL</stp>
        <stp>[Bonds.xlsm]Curva!R22C28</stp>
        <tr r="AB22" s="3"/>
      </tp>
      <tp>
        <v>7.1769999999999996</v>
        <stp/>
        <stp>##V3_BDPV12</stp>
        <stp>ODM18 COMDTY</stp>
        <stp>PREV_CLOSE_VAL</stp>
        <stp>[Bonds.xlsm]Curva!R12C28</stp>
        <tr r="AB12" s="3"/>
      </tp>
      <tp t="s">
        <v>#N/A Invalid Security</v>
        <stp/>
        <stp>##V3_BDPV12</stp>
        <stp>ODN26 COMDTY</stp>
        <stp>PREV_CLOSE_VAL</stp>
        <stp>[Bonds.xlsm]Curva!R39C28</stp>
        <tr r="AB39" s="3"/>
      </tp>
      <tp>
        <v>9.452</v>
        <stp/>
        <stp>##V3_BDPV12</stp>
        <stp>ODN23 COMDTY</stp>
        <stp>PREV_CLOSE_VAL</stp>
        <stp>[Bonds.xlsm]Curva!R33C28</stp>
        <tr r="AB33" s="3"/>
      </tp>
      <tp>
        <v>9.6349999999999998</v>
        <stp/>
        <stp>##V3_BDPV12</stp>
        <stp>ODN24 COMDTY</stp>
        <stp>PREV_CLOSE_VAL</stp>
        <stp>[Bonds.xlsm]Curva!R35C28</stp>
        <tr r="AB35" s="3"/>
      </tp>
      <tp t="s">
        <v>#N/A Invalid Security</v>
        <stp/>
        <stp>##V3_BDPV12</stp>
        <stp>ODN25 COMDTY</stp>
        <stp>PREV_CLOSE_VAL</stp>
        <stp>[Bonds.xlsm]Curva!R37C28</stp>
        <tr r="AB37" s="3"/>
      </tp>
      <tp>
        <v>9.2650000000000006</v>
        <stp/>
        <stp>##V3_BDPV12</stp>
        <stp>ODN22 COMDTY</stp>
        <stp>PREV_CLOSE_VAL</stp>
        <stp>[Bonds.xlsm]Curva!R31C28</stp>
        <tr r="AB31" s="3"/>
      </tp>
      <tp>
        <v>7.1449999999999996</v>
        <stp/>
        <stp>##V3_BDPV12</stp>
        <stp>ODN18 COMDTY</stp>
        <stp>PREV_CLOSE_VAL</stp>
        <stp>[Bonds.xlsm]Curva!R13C28</stp>
        <tr r="AB13" s="3"/>
      </tp>
      <tp>
        <v>8.9700000000000006</v>
        <stp/>
        <stp>##V3_BDPV12</stp>
        <stp>ODN21 COMDTY</stp>
        <stp>PREV_CLOSE_VAL</stp>
        <stp>[Bonds.xlsm]Curva!R27C28</stp>
        <tr r="AB27" s="3"/>
      </tp>
      <tp>
        <v>7.67</v>
        <stp/>
        <stp>##V3_BDPV12</stp>
        <stp>ODN19 COMDTY</stp>
        <stp>PREV_CLOSE_VAL</stp>
        <stp>[Bonds.xlsm]Curva!R19C28</stp>
        <tr r="AB19" s="3"/>
      </tp>
      <tp>
        <v>8.42</v>
        <stp/>
        <stp>##V3_BDPV12</stp>
        <stp>ODN20 COMDTY</stp>
        <stp>PREV_CLOSE_VAL</stp>
        <stp>[Bonds.xlsm]Curva!R23C28</stp>
        <tr r="AB23" s="3"/>
      </tp>
      <tp>
        <v>265</v>
        <stp/>
        <stp>##V3_BDPV12</stp>
        <stp>ODH18 COMDTY</stp>
        <stp>volume</stp>
        <stp>[Bonds.xlsm]Curva!R9C58</stp>
        <tr r="BF9" s="3"/>
        <tr r="BF9" s="3"/>
      </tp>
      <tp>
        <v>315</v>
        <stp/>
        <stp>##V3_BDPV12</stp>
        <stp>ODG18 COMDTY</stp>
        <stp>volume</stp>
        <stp>[Bonds.xlsm]Curva!R8C58</stp>
        <tr r="BF8" s="3"/>
        <tr r="BF8" s="3"/>
      </tp>
      <tp>
        <v>64670</v>
        <stp/>
        <stp>##V3_BDPV12</stp>
        <stp>ODF18 COMDTY</stp>
        <stp>volume</stp>
        <stp>[Bonds.xlsm]Curva!R7C58</stp>
        <tr r="BF7" s="3"/>
        <tr r="BF7" s="3"/>
      </tp>
      <tp>
        <v>3360</v>
        <stp/>
        <stp>##V3_BDPV12</stp>
        <stp>ODX17 COMDTY</stp>
        <stp>volume</stp>
        <stp>[Bonds.xlsm]Curva!R5C58</stp>
        <tr r="BF5" s="3"/>
        <tr r="BF5" s="3"/>
      </tp>
      <tp>
        <v>25</v>
        <stp/>
        <stp>##V3_BDPV12</stp>
        <stp>ODZ17 COMDTY</stp>
        <stp>volume</stp>
        <stp>[Bonds.xlsm]Curva!R6C58</stp>
        <tr r="BF6" s="3"/>
        <tr r="BF6" s="3"/>
      </tp>
      <tp>
        <v>26076</v>
        <stp/>
        <stp>##V3_BDPV12</stp>
        <stp>ODV17 COMDTY</stp>
        <stp>volume</stp>
        <stp>[Bonds.xlsm]Curva!R4C58</stp>
        <tr r="BF4" s="3"/>
        <tr r="BF4" s="3"/>
      </tp>
      <tp>
        <v>7.15</v>
        <stp/>
        <stp>##V3_BDPV12</stp>
        <stp>ODK18 COMDTY</stp>
        <stp>BID</stp>
        <stp>[Bonds.xlsm]Curva!R11C26</stp>
        <tr r="Z11" s="3"/>
      </tp>
      <tp>
        <v>7.165</v>
        <stp/>
        <stp>##V3_BDPV12</stp>
        <stp>ODQ18 COMDTY</stp>
        <stp>ASK</stp>
        <stp>[Bonds.xlsm]Curva!R14C27</stp>
        <tr r="AA14" s="3"/>
      </tp>
      <tp>
        <v>7.45</v>
        <stp/>
        <stp>##V3_BDPV12</stp>
        <stp>ODJ19 COMDTY</stp>
        <stp>BID</stp>
        <stp>[Bonds.xlsm]Curva!R18C26</stp>
        <tr r="Z18" s="3"/>
      </tp>
      <tp>
        <v>7.2249999999999996</v>
        <stp/>
        <stp>##V3_BDPV12</stp>
        <stp>ODJ18 COMDTY</stp>
        <stp>BID</stp>
        <stp>[Bonds.xlsm]Curva!R10C26</stp>
        <tr r="Z10" s="3"/>
      </tp>
      <tp t="s">
        <v>#N/A N/A</v>
        <stp/>
        <stp>##V3_BDPV12</stp>
        <stp>ODJ22 COMDTY</stp>
        <stp>BID</stp>
        <stp>[Bonds.xlsm]Curva!R30C26</stp>
        <tr r="Z30" s="3"/>
      </tp>
      <tp>
        <v>8.25</v>
        <stp/>
        <stp>##V3_BDPV12</stp>
        <stp>ODJ20 COMDTY</stp>
        <stp>BID</stp>
        <stp>[Bonds.xlsm]Curva!R22C26</stp>
        <tr r="Z22" s="3"/>
      </tp>
      <tp>
        <v>8.85</v>
        <stp/>
        <stp>##V3_BDPV12</stp>
        <stp>ODJ21 COMDTY</stp>
        <stp>BID</stp>
        <stp>[Bonds.xlsm]Curva!R26C26</stp>
        <tr r="Z26" s="3"/>
      </tp>
      <tp>
        <v>7.66</v>
        <stp/>
        <stp>##V3_BDPV12</stp>
        <stp>ODN19 COMDTY</stp>
        <stp>BID</stp>
        <stp>[Bonds.xlsm]Curva!R19C26</stp>
        <tr r="Z19" s="3"/>
      </tp>
      <tp>
        <v>7.14</v>
        <stp/>
        <stp>##V3_BDPV12</stp>
        <stp>ODN18 COMDTY</stp>
        <stp>BID</stp>
        <stp>[Bonds.xlsm]Curva!R13C26</stp>
        <tr r="Z13" s="3"/>
      </tp>
      <tp t="s">
        <v>#N/A Invalid Security</v>
        <stp/>
        <stp>##V3_BDPV12</stp>
        <stp>ODN26 COMDTY</stp>
        <stp>BID</stp>
        <stp>[Bonds.xlsm]Curva!R39C26</stp>
        <tr r="Z39" s="3"/>
      </tp>
      <tp t="s">
        <v>#N/A Invalid Security</v>
        <stp/>
        <stp>##V3_BDPV12</stp>
        <stp>ODN25 COMDTY</stp>
        <stp>BID</stp>
        <stp>[Bonds.xlsm]Curva!R37C26</stp>
        <tr r="Z37" s="3"/>
      </tp>
      <tp>
        <v>9.66</v>
        <stp/>
        <stp>##V3_BDPV12</stp>
        <stp>ODN24 COMDTY</stp>
        <stp>BID</stp>
        <stp>[Bonds.xlsm]Curva!R35C26</stp>
        <tr r="Z35" s="3"/>
      </tp>
      <tp>
        <v>9.48</v>
        <stp/>
        <stp>##V3_BDPV12</stp>
        <stp>ODN23 COMDTY</stp>
        <stp>BID</stp>
        <stp>[Bonds.xlsm]Curva!R33C26</stp>
        <tr r="Z33" s="3"/>
      </tp>
      <tp>
        <v>9.27</v>
        <stp/>
        <stp>##V3_BDPV12</stp>
        <stp>ODN22 COMDTY</stp>
        <stp>BID</stp>
        <stp>[Bonds.xlsm]Curva!R31C26</stp>
        <tr r="Z31" s="3"/>
      </tp>
      <tp>
        <v>8.44</v>
        <stp/>
        <stp>##V3_BDPV12</stp>
        <stp>ODN20 COMDTY</stp>
        <stp>BID</stp>
        <stp>[Bonds.xlsm]Curva!R23C26</stp>
        <tr r="Z23" s="3"/>
      </tp>
      <tp>
        <v>8.99</v>
        <stp/>
        <stp>##V3_BDPV12</stp>
        <stp>ODN21 COMDTY</stp>
        <stp>BID</stp>
        <stp>[Bonds.xlsm]Curva!R27C26</stp>
        <tr r="Z27" s="3"/>
      </tp>
      <tp>
        <v>7.1349999999999998</v>
        <stp/>
        <stp>##V3_BDPV12</stp>
        <stp>ODM18 COMDTY</stp>
        <stp>BID</stp>
        <stp>[Bonds.xlsm]Curva!R12C26</stp>
        <tr r="Z12" s="3"/>
      </tp>
      <tp>
        <v>9.1</v>
        <stp/>
        <stp>##V3_BDPV12</stp>
        <stp>ODV21 COMDTY</stp>
        <stp>ASK</stp>
        <stp>[Bonds.xlsm]Curva!R28C27</stp>
        <tr r="AA28" s="3"/>
      </tp>
      <tp>
        <v>8.6300000000000008</v>
        <stp/>
        <stp>##V3_BDPV12</stp>
        <stp>ODV20 COMDTY</stp>
        <stp>ASK</stp>
        <stp>[Bonds.xlsm]Curva!R24C27</stp>
        <tr r="AA24" s="3"/>
      </tp>
      <tp>
        <v>7.17</v>
        <stp/>
        <stp>##V3_BDPV12</stp>
        <stp>ODV18 COMDTY</stp>
        <stp>ASK</stp>
        <stp>[Bonds.xlsm]Curva!R15C27</stp>
        <tr r="AA15" s="3"/>
      </tp>
      <tp>
        <v>7.9</v>
        <stp/>
        <stp>##V3_BDPV12</stp>
        <stp>ODV19 COMDTY</stp>
        <stp>ASK</stp>
        <stp>[Bonds.xlsm]Curva!R20C27</stp>
        <tr r="AA20" s="3"/>
      </tp>
      <tp t="s">
        <v>#N/A Invalid Security</v>
        <stp/>
        <stp>##V3_BDPV12</stp>
        <stp>ODX18 COMDTY</stp>
        <stp>ASK</stp>
        <stp>[Bonds.xlsm]Curva!R16C27</stp>
        <tr r="AA16" s="3"/>
      </tp>
      <tp t="s">
        <v>14:13:46</v>
        <stp/>
        <stp>##V3_BDPV12</stp>
        <stp>PETR4 BZ Equity</stp>
        <stp>LAST_UPDATE</stp>
        <stp>[Bonds.xlsm]AuxilioDados!R59C60</stp>
        <tr r="BH59" s="9"/>
      </tp>
      <tp>
        <v>7.28</v>
        <stp/>
        <stp>##V3_BDPV12</stp>
        <stp>ODF19 COMDTY</stp>
        <stp>BID</stp>
        <stp>[Bonds.xlsm]Curva!R17C26</stp>
        <tr r="Z17" s="3"/>
      </tp>
      <tp>
        <v>10.050000000000001</v>
        <stp/>
        <stp>##V3_BDPV12</stp>
        <stp>ODF28 COMDTY</stp>
        <stp>BID</stp>
        <stp>[Bonds.xlsm]Curva!R41C26</stp>
        <tr r="Z41" s="3"/>
      </tp>
      <tp>
        <v>10.1</v>
        <stp/>
        <stp>##V3_BDPV12</stp>
        <stp>ODF29 COMDTY</stp>
        <stp>BID</stp>
        <stp>[Bonds.xlsm]Curva!R42C26</stp>
        <tr r="Z42" s="3"/>
      </tp>
      <tp>
        <v>9.86</v>
        <stp/>
        <stp>##V3_BDPV12</stp>
        <stp>ODF26 COMDTY</stp>
        <stp>BID</stp>
        <stp>[Bonds.xlsm]Curva!R38C26</stp>
        <tr r="Z38" s="3"/>
      </tp>
      <tp>
        <v>9.75</v>
        <stp/>
        <stp>##V3_BDPV12</stp>
        <stp>ODF25 COMDTY</stp>
        <stp>BID</stp>
        <stp>[Bonds.xlsm]Curva!R36C26</stp>
        <tr r="Z36" s="3"/>
      </tp>
      <tp>
        <v>9.58</v>
        <stp/>
        <stp>##V3_BDPV12</stp>
        <stp>ODF24 COMDTY</stp>
        <stp>BID</stp>
        <stp>[Bonds.xlsm]Curva!R34C26</stp>
        <tr r="Z34" s="3"/>
      </tp>
      <tp>
        <v>9.16</v>
        <stp/>
        <stp>##V3_BDPV12</stp>
        <stp>ODF22 COMDTY</stp>
        <stp>BID</stp>
        <stp>[Bonds.xlsm]Curva!R29C26</stp>
        <tr r="Z29" s="3"/>
      </tp>
      <tp>
        <v>9.39</v>
        <stp/>
        <stp>##V3_BDPV12</stp>
        <stp>ODF23 COMDTY</stp>
        <stp>BID</stp>
        <stp>[Bonds.xlsm]Curva!R32C26</stp>
        <tr r="Z32" s="3"/>
      </tp>
      <tp>
        <v>8.06</v>
        <stp/>
        <stp>##V3_BDPV12</stp>
        <stp>ODF20 COMDTY</stp>
        <stp>BID</stp>
        <stp>[Bonds.xlsm]Curva!R21C26</stp>
        <tr r="Z21" s="3"/>
      </tp>
      <tp>
        <v>8.73</v>
        <stp/>
        <stp>##V3_BDPV12</stp>
        <stp>ODF21 COMDTY</stp>
        <stp>BID</stp>
        <stp>[Bonds.xlsm]Curva!R25C26</stp>
        <tr r="Z25" s="3"/>
      </tp>
      <tp>
        <v>10.01</v>
        <stp/>
        <stp>##V3_BDPV12</stp>
        <stp>ODF27 COMDTY</stp>
        <stp>BID</stp>
        <stp>[Bonds.xlsm]Curva!R40C26</stp>
        <tr r="Z40" s="3"/>
      </tp>
      <tp>
        <v>10.11</v>
        <stp/>
        <stp>##V3_BDPV12</stp>
        <stp>ODF30 COMDTY</stp>
        <stp>BID</stp>
        <stp>[Bonds.xlsm]Curva!R43C26</stp>
        <tr r="Z43" s="3"/>
      </tp>
      <tp>
        <v>7.335</v>
        <stp/>
        <stp>##V3_BDPV12</stp>
        <stp>ODH18 COMDTY</stp>
        <stp>last_price</stp>
        <stp>[Bonds.xlsm]Curva!R9C25</stp>
        <tr r="Y9" s="3"/>
      </tp>
      <tp>
        <v>7.55</v>
        <stp/>
        <stp>##V3_BDPV12</stp>
        <stp>ODF18 COMDTY</stp>
        <stp>last_price</stp>
        <stp>[Bonds.xlsm]Curva!R7C25</stp>
        <tr r="Y7" s="3"/>
      </tp>
      <tp>
        <v>7.42</v>
        <stp/>
        <stp>##V3_BDPV12</stp>
        <stp>ODG18 COMDTY</stp>
        <stp>last_price</stp>
        <stp>[Bonds.xlsm]Curva!R8C25</stp>
        <tr r="Y8" s="3"/>
      </tp>
      <tp>
        <v>15.67</v>
        <stp/>
        <stp>##V3_BDPV12</stp>
        <stp>PETR4 BZ Equity</stp>
        <stp>PREV_SES_LAST_PRICE</stp>
        <stp>[Bonds.xlsm]AuxilioDados!R59C64</stp>
        <tr r="BL59" s="9"/>
      </tp>
      <tp t="s">
        <v>#N/A Invalid Security</v>
        <stp/>
        <stp>##V3_BDPV12</stp>
        <stp>ODX18 COMDTY</stp>
        <stp>BID</stp>
        <stp>[Bonds.xlsm]Curva!R16C26</stp>
        <tr r="Z16" s="3"/>
      </tp>
      <tp>
        <v>15.685</v>
        <stp/>
        <stp>##V3_BDPV12</stp>
        <stp>PETR4 BZ Equity</stp>
        <stp>PX_MID</stp>
        <stp>[Bonds.xlsm]AuxilioDados!R59C68</stp>
        <tr r="BP59" s="9"/>
      </tp>
      <tp>
        <v>15.68</v>
        <stp/>
        <stp>##V3_BDPV12</stp>
        <stp>PETR4 BZ Equity</stp>
        <stp>PX_LAST_ACTUAL</stp>
        <stp>[Bonds.xlsm]AuxilioDados!R59C61</stp>
        <tr r="BI59" s="9"/>
      </tp>
      <tp>
        <v>10.26</v>
        <stp/>
        <stp>##V3_BDPV12</stp>
        <stp>ODF30 COMDTY</stp>
        <stp>ASK</stp>
        <stp>[Bonds.xlsm]Curva!R43C27</stp>
        <tr r="AA43" s="3"/>
      </tp>
      <tp>
        <v>10.14</v>
        <stp/>
        <stp>##V3_BDPV12</stp>
        <stp>ODF29 COMDTY</stp>
        <stp>ASK</stp>
        <stp>[Bonds.xlsm]Curva!R42C27</stp>
        <tr r="AA42" s="3"/>
      </tp>
      <tp>
        <v>10.119999999999999</v>
        <stp/>
        <stp>##V3_BDPV12</stp>
        <stp>ODF28 COMDTY</stp>
        <stp>ASK</stp>
        <stp>[Bonds.xlsm]Curva!R41C27</stp>
        <tr r="AA41" s="3"/>
      </tp>
      <tp>
        <v>9.8800000000000008</v>
        <stp/>
        <stp>##V3_BDPV12</stp>
        <stp>ODF26 COMDTY</stp>
        <stp>ASK</stp>
        <stp>[Bonds.xlsm]Curva!R38C27</stp>
        <tr r="AA38" s="3"/>
      </tp>
      <tp>
        <v>9.59</v>
        <stp/>
        <stp>##V3_BDPV12</stp>
        <stp>ODF24 COMDTY</stp>
        <stp>ASK</stp>
        <stp>[Bonds.xlsm]Curva!R34C27</stp>
        <tr r="AA34" s="3"/>
      </tp>
      <tp>
        <v>9.76</v>
        <stp/>
        <stp>##V3_BDPV12</stp>
        <stp>ODF25 COMDTY</stp>
        <stp>ASK</stp>
        <stp>[Bonds.xlsm]Curva!R36C27</stp>
        <tr r="AA36" s="3"/>
      </tp>
      <tp>
        <v>9.17</v>
        <stp/>
        <stp>##V3_BDPV12</stp>
        <stp>ODF22 COMDTY</stp>
        <stp>ASK</stp>
        <stp>[Bonds.xlsm]Curva!R29C27</stp>
        <tr r="AA29" s="3"/>
      </tp>
      <tp>
        <v>9.4</v>
        <stp/>
        <stp>##V3_BDPV12</stp>
        <stp>ODF23 COMDTY</stp>
        <stp>ASK</stp>
        <stp>[Bonds.xlsm]Curva!R32C27</stp>
        <tr r="AA32" s="3"/>
      </tp>
      <tp>
        <v>8.74</v>
        <stp/>
        <stp>##V3_BDPV12</stp>
        <stp>ODF21 COMDTY</stp>
        <stp>ASK</stp>
        <stp>[Bonds.xlsm]Curva!R25C27</stp>
        <tr r="AA25" s="3"/>
      </tp>
      <tp>
        <v>10.02</v>
        <stp/>
        <stp>##V3_BDPV12</stp>
        <stp>ODF27 COMDTY</stp>
        <stp>ASK</stp>
        <stp>[Bonds.xlsm]Curva!R40C27</stp>
        <tr r="AA40" s="3"/>
      </tp>
      <tp>
        <v>8.07</v>
        <stp/>
        <stp>##V3_BDPV12</stp>
        <stp>ODF20 COMDTY</stp>
        <stp>ASK</stp>
        <stp>[Bonds.xlsm]Curva!R21C27</stp>
        <tr r="AA21" s="3"/>
      </tp>
      <tp>
        <v>7.29</v>
        <stp/>
        <stp>##V3_BDPV12</stp>
        <stp>ODF19 COMDTY</stp>
        <stp>ASK</stp>
        <stp>[Bonds.xlsm]Curva!R17C27</stp>
        <tr r="AA17" s="3"/>
      </tp>
      <tp>
        <v>15.69</v>
        <stp/>
        <stp>##V3_BDPV12</stp>
        <stp>PETR4 BZ Equity</stp>
        <stp>PX_ASK</stp>
        <stp>[Bonds.xlsm]AuxilioDados!R59C56</stp>
        <tr r="BD59" s="9"/>
      </tp>
      <tp>
        <v>7.1150000000000002</v>
        <stp/>
        <stp>##V3_BDPV12</stp>
        <stp>ODQ18 COMDTY</stp>
        <stp>BID</stp>
        <stp>[Bonds.xlsm]Curva!R14C26</stp>
        <tr r="Z14" s="3"/>
      </tp>
      <tp>
        <v>7.1849999999999996</v>
        <stp/>
        <stp>##V3_BDPV12</stp>
        <stp>ODK18 COMDTY</stp>
        <stp>ASK</stp>
        <stp>[Bonds.xlsm]Curva!R11C27</stp>
        <tr r="AA11" s="3"/>
      </tp>
      <tp>
        <v>15.68</v>
        <stp/>
        <stp>##V3_BDPV12</stp>
        <stp>PETR4 BZ Equity</stp>
        <stp>PX_BID</stp>
        <stp>[Bonds.xlsm]AuxilioDados!R59C55</stp>
        <tr r="BC59" s="9"/>
      </tp>
      <tp t="s">
        <v>#N/A N/A</v>
        <stp/>
        <stp>##V3_BDPV12</stp>
        <stp>ODJ22 COMDTY</stp>
        <stp>ASK</stp>
        <stp>[Bonds.xlsm]Curva!R30C27</stp>
        <tr r="AA30" s="3"/>
      </tp>
      <tp>
        <v>8.8699999999999992</v>
        <stp/>
        <stp>##V3_BDPV12</stp>
        <stp>ODJ21 COMDTY</stp>
        <stp>ASK</stp>
        <stp>[Bonds.xlsm]Curva!R26C27</stp>
        <tr r="AA26" s="3"/>
      </tp>
      <tp>
        <v>8.26</v>
        <stp/>
        <stp>##V3_BDPV12</stp>
        <stp>ODJ20 COMDTY</stp>
        <stp>ASK</stp>
        <stp>[Bonds.xlsm]Curva!R22C27</stp>
        <tr r="AA22" s="3"/>
      </tp>
      <tp>
        <v>7.23</v>
        <stp/>
        <stp>##V3_BDPV12</stp>
        <stp>ODJ18 COMDTY</stp>
        <stp>ASK</stp>
        <stp>[Bonds.xlsm]Curva!R10C27</stp>
        <tr r="AA10" s="3"/>
      </tp>
      <tp>
        <v>7.47</v>
        <stp/>
        <stp>##V3_BDPV12</stp>
        <stp>ODJ19 COMDTY</stp>
        <stp>ASK</stp>
        <stp>[Bonds.xlsm]Curva!R18C27</stp>
        <tr r="AA18" s="3"/>
      </tp>
      <tp>
        <v>7.1749999999999998</v>
        <stp/>
        <stp>##V3_BDPV12</stp>
        <stp>ODM18 COMDTY</stp>
        <stp>ASK</stp>
        <stp>[Bonds.xlsm]Curva!R12C27</stp>
        <tr r="AA12" s="3"/>
      </tp>
      <tp>
        <v>7.16</v>
        <stp/>
        <stp>##V3_BDPV12</stp>
        <stp>ODV18 COMDTY</stp>
        <stp>BID</stp>
        <stp>[Bonds.xlsm]Curva!R15C26</stp>
        <tr r="Z15" s="3"/>
      </tp>
      <tp>
        <v>7.89</v>
        <stp/>
        <stp>##V3_BDPV12</stp>
        <stp>ODV19 COMDTY</stp>
        <stp>BID</stp>
        <stp>[Bonds.xlsm]Curva!R20C26</stp>
        <tr r="Z20" s="3"/>
      </tp>
      <tp>
        <v>8.6199999999999992</v>
        <stp/>
        <stp>##V3_BDPV12</stp>
        <stp>ODV20 COMDTY</stp>
        <stp>BID</stp>
        <stp>[Bonds.xlsm]Curva!R24C26</stp>
        <tr r="Z24" s="3"/>
      </tp>
      <tp>
        <v>9.09</v>
        <stp/>
        <stp>##V3_BDPV12</stp>
        <stp>ODV21 COMDTY</stp>
        <stp>BID</stp>
        <stp>[Bonds.xlsm]Curva!R28C26</stp>
        <tr r="Z28" s="3"/>
      </tp>
      <tp>
        <v>7.78</v>
        <stp/>
        <stp>##V3_BDPV12</stp>
        <stp>ODZ17 COMDTY</stp>
        <stp>last_price</stp>
        <stp>[Bonds.xlsm]Curva!R6C25</stp>
        <tr r="Y6" s="3"/>
      </tp>
      <tp>
        <v>8.0350000000000001</v>
        <stp/>
        <stp>##V3_BDPV12</stp>
        <stp>ODX17 COMDTY</stp>
        <stp>last_price</stp>
        <stp>[Bonds.xlsm]Curva!R5C25</stp>
        <tr r="Y5" s="3"/>
      </tp>
      <tp>
        <v>8.14</v>
        <stp/>
        <stp>##V3_BDPV12</stp>
        <stp>ODV17 COMDTY</stp>
        <stp>last_price</stp>
        <stp>[Bonds.xlsm]Curva!R4C25</stp>
        <tr r="Y4" s="3"/>
      </tp>
      <tp>
        <v>15.67</v>
        <stp/>
        <stp>##V3_BDPV12</stp>
        <stp>PETR4 BZ Equity</stp>
        <stp>PREV_CLOSE_VAL</stp>
        <stp>[Bonds.xlsm]AuxilioDados!R59C58</stp>
        <tr r="BF59" s="9"/>
      </tp>
      <tp t="s">
        <v>#N/A Invalid Security</v>
        <stp/>
        <stp>##V3_BDPV12</stp>
        <stp>ODN26 COMDTY</stp>
        <stp>ASK</stp>
        <stp>[Bonds.xlsm]Curva!R39C27</stp>
        <tr r="AA39" s="3"/>
      </tp>
      <tp>
        <v>9.69</v>
        <stp/>
        <stp>##V3_BDPV12</stp>
        <stp>ODN24 COMDTY</stp>
        <stp>ASK</stp>
        <stp>[Bonds.xlsm]Curva!R35C27</stp>
        <tr r="AA35" s="3"/>
      </tp>
      <tp t="s">
        <v>#N/A Invalid Security</v>
        <stp/>
        <stp>##V3_BDPV12</stp>
        <stp>ODN25 COMDTY</stp>
        <stp>ASK</stp>
        <stp>[Bonds.xlsm]Curva!R37C27</stp>
        <tr r="AA37" s="3"/>
      </tp>
      <tp>
        <v>9.3000000000000007</v>
        <stp/>
        <stp>##V3_BDPV12</stp>
        <stp>ODN22 COMDTY</stp>
        <stp>ASK</stp>
        <stp>[Bonds.xlsm]Curva!R31C27</stp>
        <tr r="AA31" s="3"/>
      </tp>
      <tp>
        <v>9.52</v>
        <stp/>
        <stp>##V3_BDPV12</stp>
        <stp>ODN23 COMDTY</stp>
        <stp>ASK</stp>
        <stp>[Bonds.xlsm]Curva!R33C27</stp>
        <tr r="AA33" s="3"/>
      </tp>
      <tp>
        <v>9</v>
        <stp/>
        <stp>##V3_BDPV12</stp>
        <stp>ODN21 COMDTY</stp>
        <stp>ASK</stp>
        <stp>[Bonds.xlsm]Curva!R27C27</stp>
        <tr r="AA27" s="3"/>
      </tp>
      <tp>
        <v>8.4499999999999993</v>
        <stp/>
        <stp>##V3_BDPV12</stp>
        <stp>ODN20 COMDTY</stp>
        <stp>ASK</stp>
        <stp>[Bonds.xlsm]Curva!R23C27</stp>
        <tr r="AA23" s="3"/>
      </tp>
      <tp>
        <v>7.1449999999999996</v>
        <stp/>
        <stp>##V3_BDPV12</stp>
        <stp>ODN18 COMDTY</stp>
        <stp>ASK</stp>
        <stp>[Bonds.xlsm]Curva!R13C27</stp>
        <tr r="AA13" s="3"/>
      </tp>
      <tp>
        <v>7.67</v>
        <stp/>
        <stp>##V3_BDPV12</stp>
        <stp>ODN19 COMDTY</stp>
        <stp>ASK</stp>
        <stp>[Bonds.xlsm]Curva!R19C27</stp>
        <tr r="AA19" s="3"/>
      </tp>
      <tp>
        <v>8.0350000000000001</v>
        <stp/>
        <stp>##V3_BDPV12</stp>
        <stp>ODX17 COMDTY</stp>
        <stp>PX_LAST</stp>
        <stp>[Bonds.xlsm]Curva!R5C29</stp>
        <tr r="AC5" s="3"/>
      </tp>
      <tp>
        <v>7.78</v>
        <stp/>
        <stp>##V3_BDPV12</stp>
        <stp>ODZ17 COMDTY</stp>
        <stp>PX_LAST</stp>
        <stp>[Bonds.xlsm]Curva!R6C29</stp>
        <tr r="AC6" s="3"/>
      </tp>
      <tp>
        <v>8.14</v>
        <stp/>
        <stp>##V3_BDPV12</stp>
        <stp>ODV17 COMDTY</stp>
        <stp>PX_LAST</stp>
        <stp>[Bonds.xlsm]Curva!R4C29</stp>
        <tr r="AC4" s="3"/>
      </tp>
      <tp>
        <v>7.335</v>
        <stp/>
        <stp>##V3_BDPV12</stp>
        <stp>ODH18 COMDTY</stp>
        <stp>PX_LAST</stp>
        <stp>[Bonds.xlsm]Curva!R9C29</stp>
        <tr r="AC9" s="3"/>
      </tp>
      <tp>
        <v>7.55</v>
        <stp/>
        <stp>##V3_BDPV12</stp>
        <stp>ODF18 COMDTY</stp>
        <stp>PX_LAST</stp>
        <stp>[Bonds.xlsm]Curva!R7C29</stp>
        <tr r="AC7" s="3"/>
      </tp>
      <tp>
        <v>7.42</v>
        <stp/>
        <stp>##V3_BDPV12</stp>
        <stp>ODG18 COMDTY</stp>
        <stp>PX_LAST</stp>
        <stp>[Bonds.xlsm]Curva!R8C29</stp>
        <tr r="AC8" s="3"/>
      </tp>
      <tp>
        <v>3</v>
        <stp/>
        <stp>##V3_BDPV12</stp>
        <stp>Casado CMPN CURNCY</stp>
        <stp>PX_LAST</stp>
        <stp>[Bonds.xlsm]Curva!R1C11</stp>
        <tr r="K1" s="3"/>
      </tp>
      <tp>
        <v>-1</v>
        <stp/>
        <stp>##V3_BDPV12</stp>
        <stp>PETR4 BZ Equity</stp>
        <stp>LAST_DIR</stp>
        <stp>[Bonds.xlsm]AuxilioDados!R59C69</stp>
        <tr r="BQ59" s="9"/>
      </tp>
      <tp>
        <v>1.1943999999999999</v>
        <stp/>
        <stp>##V3_BDPV12</stp>
        <stp>EUR curncy</stp>
        <stp>PX_LAST</stp>
        <stp>[Bonds.xlsm]Curva!R2C8</stp>
        <tr r="H2" s="3"/>
      </tp>
      <tp t="e">
        <v>#N/A</v>
        <stp/>
        <stp>##V3_BDPV12</stp>
        <stp>PETR4 BZ Equity</stp>
        <stp/>
        <stp>[Bonds.xlsm]AuxilioDados!R59C66</stp>
        <tr r="BN59" s="9"/>
      </tp>
      <tp t="s">
        <v>#N/A Invalid Security</v>
        <stp/>
        <stp>##V3_BDPV12</stp>
        <stp>ODX18 COMDTY</stp>
        <stp>last_price</stp>
        <stp>[Bonds.xlsm]Curva!R16C25</stp>
        <tr r="Y16" s="3"/>
      </tp>
      <tp>
        <v>7.91</v>
        <stp/>
        <stp>##V3_BDPV12</stp>
        <stp>ODV19 COMDTY</stp>
        <stp>last_price</stp>
        <stp>[Bonds.xlsm]Curva!R20C25</stp>
        <tr r="Y20" s="3"/>
      </tp>
      <tp>
        <v>9.09</v>
        <stp/>
        <stp>##V3_BDPV12</stp>
        <stp>ODV21 COMDTY</stp>
        <stp>last_price</stp>
        <stp>[Bonds.xlsm]Curva!R28C25</stp>
        <tr r="Y28" s="3"/>
      </tp>
      <tp>
        <v>7.16</v>
        <stp/>
        <stp>##V3_BDPV12</stp>
        <stp>ODV18 COMDTY</stp>
        <stp>last_price</stp>
        <stp>[Bonds.xlsm]Curva!R15C25</stp>
        <tr r="Y15" s="3"/>
      </tp>
      <tp>
        <v>8.59</v>
        <stp/>
        <stp>##V3_BDPV12</stp>
        <stp>ODV20 COMDTY</stp>
        <stp>last_price</stp>
        <stp>[Bonds.xlsm]Curva!R24C25</stp>
        <tr r="Y24" s="3"/>
      </tp>
      <tp>
        <v>7.1550000000000002</v>
        <stp/>
        <stp>##V3_BDPV12</stp>
        <stp>ODQ18 COMDTY</stp>
        <stp>last_price</stp>
        <stp>[Bonds.xlsm]Curva!R14C25</stp>
        <tr r="Y14" s="3"/>
      </tp>
      <tp>
        <v>7.1769999999999996</v>
        <stp/>
        <stp>##V3_BDPV12</stp>
        <stp>ODM18 COMDTY</stp>
        <stp>last_price</stp>
        <stp>[Bonds.xlsm]Curva!R12C25</stp>
        <tr r="Y12" s="3"/>
      </tp>
      <tp t="s">
        <v>#N/A Invalid Security</v>
        <stp/>
        <stp>##V3_BDPV12</stp>
        <stp>ODN26 COMDTY</stp>
        <stp>last_price</stp>
        <stp>[Bonds.xlsm]Curva!R39C25</stp>
        <tr r="Y39" s="3"/>
      </tp>
      <tp t="s">
        <v>#N/A Invalid Security</v>
        <stp/>
        <stp>##V3_BDPV12</stp>
        <stp>ODN25 COMDTY</stp>
        <stp>last_price</stp>
        <stp>[Bonds.xlsm]Curva!R37C25</stp>
        <tr r="Y37" s="3"/>
      </tp>
      <tp>
        <v>9.2650000000000006</v>
        <stp/>
        <stp>##V3_BDPV12</stp>
        <stp>ODN22 COMDTY</stp>
        <stp>last_price</stp>
        <stp>[Bonds.xlsm]Curva!R31C25</stp>
        <tr r="Y31" s="3"/>
      </tp>
      <tp>
        <v>9.452</v>
        <stp/>
        <stp>##V3_BDPV12</stp>
        <stp>ODN23 COMDTY</stp>
        <stp>last_price</stp>
        <stp>[Bonds.xlsm]Curva!R33C25</stp>
        <tr r="Y33" s="3"/>
      </tp>
      <tp>
        <v>9.6349999999999998</v>
        <stp/>
        <stp>##V3_BDPV12</stp>
        <stp>ODN24 COMDTY</stp>
        <stp>last_price</stp>
        <stp>[Bonds.xlsm]Curva!R35C25</stp>
        <tr r="Y35" s="3"/>
      </tp>
      <tp>
        <v>7.14</v>
        <stp/>
        <stp>##V3_BDPV12</stp>
        <stp>ODN18 COMDTY</stp>
        <stp>last_price</stp>
        <stp>[Bonds.xlsm]Curva!R13C25</stp>
        <tr r="Y13" s="3"/>
      </tp>
      <tp>
        <v>8.44</v>
        <stp/>
        <stp>##V3_BDPV12</stp>
        <stp>ODN20 COMDTY</stp>
        <stp>last_price</stp>
        <stp>[Bonds.xlsm]Curva!R23C25</stp>
        <tr r="Y23" s="3"/>
      </tp>
      <tp>
        <v>7.66</v>
        <stp/>
        <stp>##V3_BDPV12</stp>
        <stp>ODN19 COMDTY</stp>
        <stp>last_price</stp>
        <stp>[Bonds.xlsm]Curva!R19C25</stp>
        <tr r="Y19" s="3"/>
      </tp>
      <tp>
        <v>8.99</v>
        <stp/>
        <stp>##V3_BDPV12</stp>
        <stp>ODN21 COMDTY</stp>
        <stp>last_price</stp>
        <stp>[Bonds.xlsm]Curva!R27C25</stp>
        <tr r="Y27" s="3"/>
      </tp>
      <tp>
        <v>7.1980000000000004</v>
        <stp/>
        <stp>##V3_BDPV12</stp>
        <stp>ODK18 COMDTY</stp>
        <stp>last_price</stp>
        <stp>[Bonds.xlsm]Curva!R11C25</stp>
        <tr r="Y11" s="3"/>
      </tp>
      <tp>
        <v>9.2010000000000005</v>
        <stp/>
        <stp>##V3_BDPV12</stp>
        <stp>ODJ22 COMDTY</stp>
        <stp>last_price</stp>
        <stp>[Bonds.xlsm]Curva!R30C25</stp>
        <tr r="Y30" s="3"/>
      </tp>
      <tp>
        <v>7.23</v>
        <stp/>
        <stp>##V3_BDPV12</stp>
        <stp>ODJ18 COMDTY</stp>
        <stp>last_price</stp>
        <stp>[Bonds.xlsm]Curva!R10C25</stp>
        <tr r="Y10" s="3"/>
      </tp>
      <tp>
        <v>8.26</v>
        <stp/>
        <stp>##V3_BDPV12</stp>
        <stp>ODJ20 COMDTY</stp>
        <stp>last_price</stp>
        <stp>[Bonds.xlsm]Curva!R22C25</stp>
        <tr r="Y22" s="3"/>
      </tp>
      <tp>
        <v>7.46</v>
        <stp/>
        <stp>##V3_BDPV12</stp>
        <stp>ODJ19 COMDTY</stp>
        <stp>last_price</stp>
        <stp>[Bonds.xlsm]Curva!R18C25</stp>
        <tr r="Y18" s="3"/>
      </tp>
      <tp>
        <v>8.84</v>
        <stp/>
        <stp>##V3_BDPV12</stp>
        <stp>ODJ21 COMDTY</stp>
        <stp>last_price</stp>
        <stp>[Bonds.xlsm]Curva!R26C25</stp>
        <tr r="Y26" s="3"/>
      </tp>
      <tp>
        <v>9.85</v>
        <stp/>
        <stp>##V3_BDPV12</stp>
        <stp>ODF26 COMDTY</stp>
        <stp>last_price</stp>
        <stp>[Bonds.xlsm]Curva!R38C25</stp>
        <tr r="Y38" s="3"/>
      </tp>
      <tp>
        <v>9.75</v>
        <stp/>
        <stp>##V3_BDPV12</stp>
        <stp>ODF25 COMDTY</stp>
        <stp>last_price</stp>
        <stp>[Bonds.xlsm]Curva!R36C25</stp>
        <tr r="Y36" s="3"/>
      </tp>
      <tp>
        <v>9.5399999999999991</v>
        <stp/>
        <stp>##V3_BDPV12</stp>
        <stp>ODF24 COMDTY</stp>
        <stp>last_price</stp>
        <stp>[Bonds.xlsm]Curva!R34C25</stp>
        <tr r="Y34" s="3"/>
      </tp>
      <tp>
        <v>9.39</v>
        <stp/>
        <stp>##V3_BDPV12</stp>
        <stp>ODF23 COMDTY</stp>
        <stp>last_price</stp>
        <stp>[Bonds.xlsm]Curva!R32C25</stp>
        <tr r="Y32" s="3"/>
      </tp>
      <tp>
        <v>9.16</v>
        <stp/>
        <stp>##V3_BDPV12</stp>
        <stp>ODF22 COMDTY</stp>
        <stp>last_price</stp>
        <stp>[Bonds.xlsm]Curva!R29C25</stp>
        <tr r="Y29" s="3"/>
      </tp>
      <tp>
        <v>7.29</v>
        <stp/>
        <stp>##V3_BDPV12</stp>
        <stp>ODF19 COMDTY</stp>
        <stp>last_price</stp>
        <stp>[Bonds.xlsm]Curva!R17C25</stp>
        <tr r="Y17" s="3"/>
      </tp>
      <tp>
        <v>8.07</v>
        <stp/>
        <stp>##V3_BDPV12</stp>
        <stp>ODF20 COMDTY</stp>
        <stp>last_price</stp>
        <stp>[Bonds.xlsm]Curva!R21C25</stp>
        <tr r="Y21" s="3"/>
      </tp>
      <tp>
        <v>8.73</v>
        <stp/>
        <stp>##V3_BDPV12</stp>
        <stp>ODF21 COMDTY</stp>
        <stp>last_price</stp>
        <stp>[Bonds.xlsm]Curva!R25C25</stp>
        <tr r="Y25" s="3"/>
      </tp>
      <tp>
        <v>10.118</v>
        <stp/>
        <stp>##V3_BDPV12</stp>
        <stp>ODF30 COMDTY</stp>
        <stp>last_price</stp>
        <stp>[Bonds.xlsm]Curva!R43C25</stp>
        <tr r="Y43" s="3"/>
      </tp>
      <tp>
        <v>10.08</v>
        <stp/>
        <stp>##V3_BDPV12</stp>
        <stp>ODF29 COMDTY</stp>
        <stp>last_price</stp>
        <stp>[Bonds.xlsm]Curva!R42C25</stp>
        <tr r="Y42" s="3"/>
      </tp>
      <tp>
        <v>10.039999999999999</v>
        <stp/>
        <stp>##V3_BDPV12</stp>
        <stp>ODF28 COMDTY</stp>
        <stp>last_price</stp>
        <stp>[Bonds.xlsm]Curva!R41C25</stp>
        <tr r="Y41" s="3"/>
      </tp>
      <tp>
        <v>10.01</v>
        <stp/>
        <stp>##V3_BDPV12</stp>
        <stp>ODF27 COMDTY</stp>
        <stp>last_price</stp>
        <stp>[Bonds.xlsm]Curva!R40C25</stp>
        <tr r="Y40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externalLink" Target="externalLinks/externalLink13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8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externalLink" Target="externalLinks/externalLink12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externalLink" Target="externalLinks/externalLink7.xml"/><Relationship Id="rId29" Type="http://schemas.openxmlformats.org/officeDocument/2006/relationships/externalLink" Target="externalLinks/externalLink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1.xml"/><Relationship Id="rId32" Type="http://schemas.openxmlformats.org/officeDocument/2006/relationships/connections" Target="connection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externalLink" Target="externalLinks/externalLink10.xml"/><Relationship Id="rId28" Type="http://schemas.openxmlformats.org/officeDocument/2006/relationships/externalLink" Target="externalLinks/externalLink15.xml"/><Relationship Id="rId36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externalLink" Target="externalLinks/externalLink9.xml"/><Relationship Id="rId27" Type="http://schemas.openxmlformats.org/officeDocument/2006/relationships/externalLink" Target="externalLinks/externalLink14.xml"/><Relationship Id="rId30" Type="http://schemas.openxmlformats.org/officeDocument/2006/relationships/externalLink" Target="externalLinks/externalLink17.xml"/><Relationship Id="rId35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110739998994128"/>
          <c:y val="3.8542161489104929E-2"/>
          <c:w val="0.78688343626321333"/>
          <c:h val="0.88200812749459268"/>
        </c:manualLayout>
      </c:layout>
      <c:lineChart>
        <c:grouping val="standard"/>
        <c:varyColors val="0"/>
        <c:ser>
          <c:idx val="0"/>
          <c:order val="0"/>
          <c:tx>
            <c:v>Bonds</c:v>
          </c:tx>
          <c:spPr>
            <a:ln>
              <a:noFill/>
            </a:ln>
          </c:spPr>
          <c:marker>
            <c:spPr>
              <a:ln>
                <a:noFill/>
              </a:ln>
            </c:spPr>
          </c:marker>
          <c:cat>
            <c:numRef>
              <c:f>('NTN-F'!$G$67:$G$78,'NTN-F'!$G$55:$G$60)</c:f>
              <c:numCache>
                <c:formatCode>dd/mm/yy;@</c:formatCode>
                <c:ptCount val="18"/>
                <c:pt idx="0">
                  <c:v>43010</c:v>
                </c:pt>
                <c:pt idx="1">
                  <c:v>43102</c:v>
                </c:pt>
                <c:pt idx="2">
                  <c:v>43192</c:v>
                </c:pt>
                <c:pt idx="3">
                  <c:v>43283</c:v>
                </c:pt>
                <c:pt idx="4">
                  <c:v>43374</c:v>
                </c:pt>
                <c:pt idx="5">
                  <c:v>43467</c:v>
                </c:pt>
                <c:pt idx="6">
                  <c:v>43556</c:v>
                </c:pt>
                <c:pt idx="7">
                  <c:v>43647</c:v>
                </c:pt>
                <c:pt idx="8">
                  <c:v>43739</c:v>
                </c:pt>
                <c:pt idx="9">
                  <c:v>43832</c:v>
                </c:pt>
                <c:pt idx="10">
                  <c:v>44013</c:v>
                </c:pt>
                <c:pt idx="11">
                  <c:v>44378</c:v>
                </c:pt>
                <c:pt idx="12">
                  <c:v>43102</c:v>
                </c:pt>
                <c:pt idx="13">
                  <c:v>43440</c:v>
                </c:pt>
                <c:pt idx="14">
                  <c:v>44036</c:v>
                </c:pt>
                <c:pt idx="15">
                  <c:v>44530</c:v>
                </c:pt>
                <c:pt idx="16">
                  <c:v>44935</c:v>
                </c:pt>
                <c:pt idx="17">
                  <c:v>45272</c:v>
                </c:pt>
              </c:numCache>
            </c:numRef>
          </c:cat>
          <c:val>
            <c:numRef>
              <c:f>('NTN-F'!$C$67:$C$78,'NTN-F'!$C$55:$C$60)</c:f>
              <c:numCache>
                <c:formatCode>0.0000%</c:formatCode>
                <c:ptCount val="18"/>
                <c:pt idx="0">
                  <c:v>8.1734000000000015E-2</c:v>
                </c:pt>
                <c:pt idx="1">
                  <c:v>7.4185000000000001E-2</c:v>
                </c:pt>
                <c:pt idx="2">
                  <c:v>7.1982999999999991E-2</c:v>
                </c:pt>
                <c:pt idx="3">
                  <c:v>7.0999999999999994E-2</c:v>
                </c:pt>
                <c:pt idx="4">
                  <c:v>7.1452000000000002E-2</c:v>
                </c:pt>
                <c:pt idx="5">
                  <c:v>7.2800000000000004E-2</c:v>
                </c:pt>
                <c:pt idx="6">
                  <c:v>7.46E-2</c:v>
                </c:pt>
                <c:pt idx="7">
                  <c:v>7.6700000000000004E-2</c:v>
                </c:pt>
                <c:pt idx="8">
                  <c:v>7.9114000000000004E-2</c:v>
                </c:pt>
                <c:pt idx="9">
                  <c:v>8.0478000000000008E-2</c:v>
                </c:pt>
                <c:pt idx="10">
                  <c:v>8.4198999999999996E-2</c:v>
                </c:pt>
                <c:pt idx="11">
                  <c:v>8.9700000000000002E-2</c:v>
                </c:pt>
                <c:pt idx="12">
                  <c:v>7.4700000000000003E-2</c:v>
                </c:pt>
                <c:pt idx="13">
                  <c:v>7.2314000000000003E-2</c:v>
                </c:pt>
                <c:pt idx="14">
                  <c:v>8.5815000000000002E-2</c:v>
                </c:pt>
                <c:pt idx="15">
                  <c:v>9.1509000000000007E-2</c:v>
                </c:pt>
                <c:pt idx="16">
                  <c:v>9.3969000000000011E-2</c:v>
                </c:pt>
                <c:pt idx="17">
                  <c:v>9.6250000000000002E-2</c:v>
                </c:pt>
              </c:numCache>
            </c:numRef>
          </c:val>
          <c:smooth val="0"/>
        </c:ser>
        <c:ser>
          <c:idx val="1"/>
          <c:order val="1"/>
          <c:tx>
            <c:v>DI</c:v>
          </c:tx>
          <c:spPr>
            <a:ln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Apr17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Jul17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Oct17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5.3829339722766351E-2"/>
                  <c:y val="-2.0225576037643206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F18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6.2276209721618646E-2"/>
                  <c:y val="3.628856598394553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Jan18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6.8827140990938132E-2"/>
                  <c:y val="2.05133974478297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Apr18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4.4121390630178461E-2"/>
                  <c:y val="2.727418396330783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Jul18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5.2449490422943154E-2"/>
                  <c:y val="2.727418396330791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Oct18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2.13319543437527E-2"/>
                  <c:y val="3.40349704787862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F19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layout>
                <c:manualLayout>
                  <c:x val="-3.6071839854948176E-2"/>
                  <c:y val="-4.03336811914740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Jan19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layout>
                <c:manualLayout>
                  <c:x val="-3.6071839854948176E-2"/>
                  <c:y val="2.727418396330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Apr19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layout>
                <c:manualLayout>
                  <c:x val="-3.4294800289381477E-2"/>
                  <c:y val="-4.03336811914741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Jul19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layout>
                <c:manualLayout>
                  <c:x val="-5.1077894427343194E-2"/>
                  <c:y val="-2.68121081605177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Jan20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F21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layout>
                <c:manualLayout>
                  <c:x val="-2.9520779627750189E-2"/>
                  <c:y val="-3.808026313477973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Jul20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layout/>
              <c:tx>
                <c:rich>
                  <a:bodyPr/>
                  <a:lstStyle/>
                  <a:p>
                    <a:r>
                      <a:rPr lang="en-US"/>
                      <a:t>F23</a:t>
                    </a:r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6"/>
              <c:layout>
                <c:manualLayout>
                  <c:x val="-3.2968210593373889E-2"/>
                  <c:y val="7.234609406649597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F25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layout>
                <c:manualLayout>
                  <c:x val="-4.0985135025346668E-2"/>
                  <c:y val="6.783872560771218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F27</a:t>
                    </a:r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numFmt formatCode="[$-416]mmm\-yy;@" sourceLinked="0"/>
            <c:spPr>
              <a:noFill/>
              <a:ln>
                <a:noFill/>
              </a:ln>
              <a:effectLst/>
            </c:sp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('NTN-F'!$G$67:$G$78,'NTN-F'!$G$55:$G$60)</c:f>
              <c:numCache>
                <c:formatCode>dd/mm/yy;@</c:formatCode>
                <c:ptCount val="18"/>
                <c:pt idx="0">
                  <c:v>43010</c:v>
                </c:pt>
                <c:pt idx="1">
                  <c:v>43102</c:v>
                </c:pt>
                <c:pt idx="2">
                  <c:v>43192</c:v>
                </c:pt>
                <c:pt idx="3">
                  <c:v>43283</c:v>
                </c:pt>
                <c:pt idx="4">
                  <c:v>43374</c:v>
                </c:pt>
                <c:pt idx="5">
                  <c:v>43467</c:v>
                </c:pt>
                <c:pt idx="6">
                  <c:v>43556</c:v>
                </c:pt>
                <c:pt idx="7">
                  <c:v>43647</c:v>
                </c:pt>
                <c:pt idx="8">
                  <c:v>43739</c:v>
                </c:pt>
                <c:pt idx="9">
                  <c:v>43832</c:v>
                </c:pt>
                <c:pt idx="10">
                  <c:v>44013</c:v>
                </c:pt>
                <c:pt idx="11">
                  <c:v>44378</c:v>
                </c:pt>
                <c:pt idx="12">
                  <c:v>43102</c:v>
                </c:pt>
                <c:pt idx="13">
                  <c:v>43440</c:v>
                </c:pt>
                <c:pt idx="14">
                  <c:v>44036</c:v>
                </c:pt>
                <c:pt idx="15">
                  <c:v>44530</c:v>
                </c:pt>
                <c:pt idx="16">
                  <c:v>44935</c:v>
                </c:pt>
                <c:pt idx="17">
                  <c:v>45272</c:v>
                </c:pt>
              </c:numCache>
            </c:numRef>
          </c:cat>
          <c:val>
            <c:numRef>
              <c:f>('NTN-F'!$J$67:$J$78,'NTN-F'!$J$55:$J$60)</c:f>
              <c:numCache>
                <c:formatCode>0.0000%</c:formatCode>
                <c:ptCount val="18"/>
                <c:pt idx="0">
                  <c:v>8.1418312442013141E-2</c:v>
                </c:pt>
                <c:pt idx="1">
                  <c:v>7.5650172781308589E-2</c:v>
                </c:pt>
                <c:pt idx="2">
                  <c:v>7.244994273345351E-2</c:v>
                </c:pt>
                <c:pt idx="3">
                  <c:v>7.1450064850925976E-2</c:v>
                </c:pt>
                <c:pt idx="4">
                  <c:v>7.1700003179191674E-2</c:v>
                </c:pt>
                <c:pt idx="5">
                  <c:v>7.3000001617747223E-2</c:v>
                </c:pt>
                <c:pt idx="6">
                  <c:v>7.4699991483438533E-2</c:v>
                </c:pt>
                <c:pt idx="7">
                  <c:v>7.6700002244052712E-2</c:v>
                </c:pt>
                <c:pt idx="8">
                  <c:v>7.8999977333870541E-2</c:v>
                </c:pt>
                <c:pt idx="9">
                  <c:v>8.0499971822441285E-2</c:v>
                </c:pt>
                <c:pt idx="10">
                  <c:v>8.4200023510115241E-2</c:v>
                </c:pt>
                <c:pt idx="11">
                  <c:v>8.9700003399198813E-2</c:v>
                </c:pt>
                <c:pt idx="12">
                  <c:v>7.5564586424080815E-2</c:v>
                </c:pt>
                <c:pt idx="13">
                  <c:v>7.2744454543530901E-2</c:v>
                </c:pt>
                <c:pt idx="14">
                  <c:v>8.4661973305130936E-2</c:v>
                </c:pt>
                <c:pt idx="15">
                  <c:v>9.1090687576993429E-2</c:v>
                </c:pt>
                <c:pt idx="16">
                  <c:v>9.3740579294354642E-2</c:v>
                </c:pt>
                <c:pt idx="17">
                  <c:v>9.5545344977734911E-2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668224"/>
        <c:axId val="47686400"/>
      </c:lineChart>
      <c:dateAx>
        <c:axId val="47668224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pt-BR"/>
          </a:p>
        </c:txPr>
        <c:crossAx val="47686400"/>
        <c:crosses val="autoZero"/>
        <c:auto val="1"/>
        <c:lblOffset val="100"/>
        <c:baseTimeUnit val="days"/>
      </c:dateAx>
      <c:valAx>
        <c:axId val="47686400"/>
        <c:scaling>
          <c:orientation val="minMax"/>
          <c:max val="0.13"/>
          <c:min val="9.0000000000000024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76682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200"/>
              <a:t>IPCA</a:t>
            </a:r>
            <a:r>
              <a:rPr lang="pt-BR" sz="1200" baseline="0"/>
              <a:t> Indexed Bonds</a:t>
            </a:r>
            <a:endParaRPr lang="pt-BR" sz="12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7.3305087180783865E-2"/>
          <c:y val="8.8293111080323991E-2"/>
          <c:w val="0.89836707574604524"/>
          <c:h val="0.70926968902375154"/>
        </c:manualLayout>
      </c:layout>
      <c:lineChart>
        <c:grouping val="standard"/>
        <c:varyColors val="0"/>
        <c:ser>
          <c:idx val="0"/>
          <c:order val="0"/>
          <c:tx>
            <c:v>NTN-B</c:v>
          </c:tx>
          <c:spPr>
            <a:ln>
              <a:noFill/>
            </a:ln>
          </c:spPr>
          <c:marker>
            <c:spPr>
              <a:solidFill>
                <a:schemeClr val="tx1"/>
              </a:solidFill>
            </c:spPr>
          </c:marker>
          <c:dPt>
            <c:idx val="10"/>
            <c:marker>
              <c:spPr>
                <a:solidFill>
                  <a:schemeClr val="tx1"/>
                </a:solidFill>
                <a:ln>
                  <a:noFill/>
                </a:ln>
              </c:spPr>
            </c:marker>
            <c:bubble3D val="0"/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B17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B18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B19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B20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B21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B22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B23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B24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B26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B30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B35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B40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B45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B50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B55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Emails!$X$31:$X$45</c:f>
              <c:numCache>
                <c:formatCode>[$-409]d\-mmm\-yy;@</c:formatCode>
                <c:ptCount val="14"/>
                <c:pt idx="0">
                  <c:v>43321</c:v>
                </c:pt>
                <c:pt idx="1">
                  <c:v>43570</c:v>
                </c:pt>
                <c:pt idx="2">
                  <c:v>43987</c:v>
                </c:pt>
                <c:pt idx="3">
                  <c:v>44196</c:v>
                </c:pt>
                <c:pt idx="4">
                  <c:v>44578</c:v>
                </c:pt>
                <c:pt idx="5">
                  <c:v>44757</c:v>
                </c:pt>
                <c:pt idx="6">
                  <c:v>45112</c:v>
                </c:pt>
                <c:pt idx="7">
                  <c:v>45590</c:v>
                </c:pt>
                <c:pt idx="8">
                  <c:v>46413</c:v>
                </c:pt>
                <c:pt idx="9">
                  <c:v>47148</c:v>
                </c:pt>
                <c:pt idx="10">
                  <c:v>47891</c:v>
                </c:pt>
                <c:pt idx="11">
                  <c:v>48284</c:v>
                </c:pt>
                <c:pt idx="12">
                  <c:v>48792</c:v>
                </c:pt>
                <c:pt idx="13">
                  <c:v>49045</c:v>
                </c:pt>
              </c:numCache>
            </c:numRef>
          </c:cat>
          <c:val>
            <c:numRef>
              <c:f>Emails!$R$31:$R$45</c:f>
              <c:numCache>
                <c:formatCode>0.0000</c:formatCode>
                <c:ptCount val="14"/>
                <c:pt idx="0">
                  <c:v>3.37</c:v>
                </c:pt>
                <c:pt idx="1">
                  <c:v>3.29</c:v>
                </c:pt>
                <c:pt idx="2">
                  <c:v>3.93</c:v>
                </c:pt>
                <c:pt idx="3">
                  <c:v>4.1604000000000001</c:v>
                </c:pt>
                <c:pt idx="4">
                  <c:v>4.4800000000000004</c:v>
                </c:pt>
                <c:pt idx="5">
                  <c:v>4.59</c:v>
                </c:pt>
                <c:pt idx="6">
                  <c:v>4.6265000000000001</c:v>
                </c:pt>
                <c:pt idx="7">
                  <c:v>4.82</c:v>
                </c:pt>
                <c:pt idx="8">
                  <c:v>4.9128999999999996</c:v>
                </c:pt>
                <c:pt idx="9">
                  <c:v>4.9734999999999996</c:v>
                </c:pt>
                <c:pt idx="10">
                  <c:v>5</c:v>
                </c:pt>
                <c:pt idx="11">
                  <c:v>5.1051000000000002</c:v>
                </c:pt>
                <c:pt idx="12">
                  <c:v>5.0824999999999996</c:v>
                </c:pt>
                <c:pt idx="13">
                  <c:v>5.0475000000000003</c:v>
                </c:pt>
              </c:numCache>
            </c:numRef>
          </c:val>
          <c:smooth val="0"/>
        </c:ser>
        <c:ser>
          <c:idx val="2"/>
          <c:order val="1"/>
          <c:tx>
            <c:v>BE</c:v>
          </c:tx>
          <c:spPr>
            <a:ln w="19050" cap="flat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Emails!$X$31:$X$45</c:f>
              <c:numCache>
                <c:formatCode>[$-409]d\-mmm\-yy;@</c:formatCode>
                <c:ptCount val="14"/>
                <c:pt idx="0">
                  <c:v>43321</c:v>
                </c:pt>
                <c:pt idx="1">
                  <c:v>43570</c:v>
                </c:pt>
                <c:pt idx="2">
                  <c:v>43987</c:v>
                </c:pt>
                <c:pt idx="3">
                  <c:v>44196</c:v>
                </c:pt>
                <c:pt idx="4">
                  <c:v>44578</c:v>
                </c:pt>
                <c:pt idx="5">
                  <c:v>44757</c:v>
                </c:pt>
                <c:pt idx="6">
                  <c:v>45112</c:v>
                </c:pt>
                <c:pt idx="7">
                  <c:v>45590</c:v>
                </c:pt>
                <c:pt idx="8">
                  <c:v>46413</c:v>
                </c:pt>
                <c:pt idx="9">
                  <c:v>47148</c:v>
                </c:pt>
                <c:pt idx="10">
                  <c:v>47891</c:v>
                </c:pt>
                <c:pt idx="11">
                  <c:v>48284</c:v>
                </c:pt>
                <c:pt idx="12">
                  <c:v>48792</c:v>
                </c:pt>
                <c:pt idx="13">
                  <c:v>49045</c:v>
                </c:pt>
              </c:numCache>
            </c:numRef>
          </c:cat>
          <c:val>
            <c:numRef>
              <c:f>Emails!$T$31:$T$45</c:f>
              <c:numCache>
                <c:formatCode>_(* #,##0.00_);_(* \(#,##0.00\);_(* "-"??_);_(@_)</c:formatCode>
                <c:ptCount val="14"/>
                <c:pt idx="0">
                  <c:v>3.6610389630839624</c:v>
                </c:pt>
                <c:pt idx="1">
                  <c:v>4.1280465070785866</c:v>
                </c:pt>
                <c:pt idx="2">
                  <c:v>4.3570258864244593</c:v>
                </c:pt>
                <c:pt idx="3">
                  <c:v>4.4832342903118771</c:v>
                </c:pt>
                <c:pt idx="4">
                  <c:v>4.5176542544979048</c:v>
                </c:pt>
                <c:pt idx="5">
                  <c:v>4.5280616862714673</c:v>
                </c:pt>
                <c:pt idx="6">
                  <c:v>4.6932274947447894</c:v>
                </c:pt>
                <c:pt idx="7">
                  <c:v>4.7399933402023642</c:v>
                </c:pt>
                <c:pt idx="8">
                  <c:v>4.8227689971403365</c:v>
                </c:pt>
                <c:pt idx="9">
                  <c:v>4.7780955786045132</c:v>
                </c:pt>
                <c:pt idx="10">
                  <c:v>4.7762361611243698</c:v>
                </c:pt>
                <c:pt idx="11">
                  <c:v>4.684633035833774</c:v>
                </c:pt>
                <c:pt idx="12">
                  <c:v>4.7148408798195929</c:v>
                </c:pt>
                <c:pt idx="13">
                  <c:v>4.7530851786554251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25728"/>
        <c:axId val="49227648"/>
      </c:lineChart>
      <c:dateAx>
        <c:axId val="49225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 sz="900">
                    <a:solidFill>
                      <a:sysClr val="windowText" lastClr="000000"/>
                    </a:solidFill>
                  </a:rPr>
                  <a:t>Macaulay</a:t>
                </a:r>
                <a:r>
                  <a:rPr lang="pt-BR" sz="9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pt-BR" sz="900">
                    <a:solidFill>
                      <a:sysClr val="windowText" lastClr="000000"/>
                    </a:solidFill>
                  </a:rPr>
                  <a:t>Duration  </a:t>
                </a:r>
              </a:p>
            </c:rich>
          </c:tx>
          <c:layout>
            <c:manualLayout>
              <c:xMode val="edge"/>
              <c:yMode val="edge"/>
              <c:x val="0.44223823257130018"/>
              <c:y val="0.90174917804006904"/>
            </c:manualLayout>
          </c:layout>
          <c:overlay val="0"/>
        </c:title>
        <c:numFmt formatCode="[$-409]mmm\-yy;@" sourceLinked="0"/>
        <c:majorTickMark val="out"/>
        <c:minorTickMark val="none"/>
        <c:tickLblPos val="nextTo"/>
        <c:txPr>
          <a:bodyPr/>
          <a:lstStyle/>
          <a:p>
            <a:pPr>
              <a:defRPr sz="1000" b="1" i="0" baseline="0"/>
            </a:pPr>
            <a:endParaRPr lang="pt-BR"/>
          </a:p>
        </c:txPr>
        <c:crossAx val="49227648"/>
        <c:crosses val="autoZero"/>
        <c:auto val="0"/>
        <c:lblOffset val="100"/>
        <c:baseTimeUnit val="months"/>
        <c:majorUnit val="12"/>
        <c:majorTimeUnit val="months"/>
      </c:dateAx>
      <c:valAx>
        <c:axId val="49227648"/>
        <c:scaling>
          <c:orientation val="minMax"/>
          <c:max val="5.5"/>
          <c:min val="2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txPr>
          <a:bodyPr/>
          <a:lstStyle/>
          <a:p>
            <a:pPr>
              <a:defRPr b="1"/>
            </a:pPr>
            <a:endParaRPr lang="pt-BR"/>
          </a:p>
        </c:txPr>
        <c:crossAx val="49225728"/>
        <c:crosses val="autoZero"/>
        <c:crossBetween val="between"/>
        <c:majorUnit val="0.25"/>
      </c:valAx>
    </c:plotArea>
    <c:legend>
      <c:legendPos val="b"/>
      <c:layout>
        <c:manualLayout>
          <c:xMode val="edge"/>
          <c:yMode val="edge"/>
          <c:x val="0.40511911573835008"/>
          <c:y val="0.94881694369447755"/>
          <c:w val="0.1764300880359401"/>
          <c:h val="4.8500915729255016E-2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Fixed-Rate Bonds - % DI</a:t>
            </a:r>
          </a:p>
        </c:rich>
      </c:tx>
      <c:layout>
        <c:manualLayout>
          <c:xMode val="edge"/>
          <c:yMode val="edge"/>
          <c:x val="0.44421426538557945"/>
          <c:y val="1.6970581874928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9574906902054376E-2"/>
          <c:y val="0.10777032165933985"/>
          <c:w val="0.87944310570064832"/>
          <c:h val="0.75349049458110617"/>
        </c:manualLayout>
      </c:layout>
      <c:scatterChart>
        <c:scatterStyle val="lineMarker"/>
        <c:varyColors val="0"/>
        <c:ser>
          <c:idx val="0"/>
          <c:order val="0"/>
          <c:tx>
            <c:v>Bonds - % DI</c:v>
          </c:tx>
          <c:spPr>
            <a:ln w="28575">
              <a:noFill/>
            </a:ln>
          </c:spPr>
          <c:marker>
            <c:symbol val="square"/>
            <c:size val="4"/>
          </c:marker>
          <c:dLbls>
            <c:dLbl>
              <c:idx val="0"/>
              <c:layout>
                <c:manualLayout>
                  <c:x val="-2.6021976084406432E-2"/>
                  <c:y val="-3.003080316508033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F18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F19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 sz="800" baseline="0"/>
                      <a:t>F21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 sz="800" baseline="0"/>
                      <a:t>F23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 sz="800" baseline="0"/>
                      <a:t>F25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 sz="800" baseline="0"/>
                      <a:t>F27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Apr17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Jul17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-3.4762361530366909E-2"/>
                  <c:y val="-3.28592334775684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Oct17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4714585648261909E-2"/>
                  <c:y val="3.502309402214594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Jan18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Apr18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>
                <c:manualLayout>
                  <c:x val="-2.7812544961006529E-2"/>
                  <c:y val="-2.799433334008888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Jul18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>
                <c:manualLayout>
                  <c:x val="-3.3028192835506814E-2"/>
                  <c:y val="2.857427290967310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Oct18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>
                <c:manualLayout>
                  <c:x val="-3.3358517200891835E-2"/>
                  <c:y val="-2.5165903027600803E-2"/>
                </c:manualLayout>
              </c:layout>
              <c:tx>
                <c:rich>
                  <a:bodyPr/>
                  <a:lstStyle/>
                  <a:p>
                    <a:r>
                      <a:rPr lang="en-US" sz="800" baseline="0"/>
                      <a:t>Jan19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4"/>
              <c:layout>
                <c:manualLayout>
                  <c:x val="-2.9551094252506627E-2"/>
                  <c:y val="-3.36511939650651E-2"/>
                </c:manualLayout>
              </c:layout>
              <c:tx>
                <c:rich>
                  <a:bodyPr/>
                  <a:lstStyle/>
                  <a:p>
                    <a:r>
                      <a:rPr lang="en-US" sz="800" baseline="0"/>
                      <a:t>Apr19</a:t>
                    </a:r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 sz="800" baseline="0"/>
                      <a:t>Jul19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 sz="800" baseline="0"/>
                      <a:t>Jan20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 sz="800" baseline="0"/>
                      <a:t>Jul20</a:t>
                    </a:r>
                    <a:endParaRPr lang="en-US"/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 baseline="0"/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trendline>
            <c:trendlineType val="poly"/>
            <c:order val="3"/>
            <c:intercept val="0"/>
            <c:dispRSqr val="0"/>
            <c:dispEq val="0"/>
          </c:trendline>
          <c:xVal>
            <c:numRef>
              <c:f>(Emails!$X$50:$X$55,Emails!$X$59:$X$70)</c:f>
              <c:numCache>
                <c:formatCode>[$-409]d\-mmm\-yy;@</c:formatCode>
                <c:ptCount val="18"/>
                <c:pt idx="0">
                  <c:v>43102</c:v>
                </c:pt>
                <c:pt idx="1">
                  <c:v>43440</c:v>
                </c:pt>
                <c:pt idx="2">
                  <c:v>44036</c:v>
                </c:pt>
                <c:pt idx="3">
                  <c:v>44530</c:v>
                </c:pt>
                <c:pt idx="4">
                  <c:v>44935</c:v>
                </c:pt>
                <c:pt idx="5">
                  <c:v>45272</c:v>
                </c:pt>
                <c:pt idx="6">
                  <c:v>43010</c:v>
                </c:pt>
                <c:pt idx="7">
                  <c:v>43102</c:v>
                </c:pt>
                <c:pt idx="8">
                  <c:v>43192</c:v>
                </c:pt>
                <c:pt idx="9">
                  <c:v>43283</c:v>
                </c:pt>
                <c:pt idx="10">
                  <c:v>43374</c:v>
                </c:pt>
                <c:pt idx="11">
                  <c:v>43467</c:v>
                </c:pt>
                <c:pt idx="12">
                  <c:v>43556</c:v>
                </c:pt>
                <c:pt idx="13">
                  <c:v>43647</c:v>
                </c:pt>
                <c:pt idx="14">
                  <c:v>43739</c:v>
                </c:pt>
                <c:pt idx="15">
                  <c:v>43832</c:v>
                </c:pt>
                <c:pt idx="16">
                  <c:v>44013</c:v>
                </c:pt>
                <c:pt idx="17">
                  <c:v>44378</c:v>
                </c:pt>
              </c:numCache>
            </c:numRef>
          </c:xVal>
          <c:yVal>
            <c:numRef>
              <c:f>(Emails!$V$50:$V$55,Emails!$V$59:$V$70)</c:f>
              <c:numCache>
                <c:formatCode>0.00%</c:formatCode>
                <c:ptCount val="18"/>
                <c:pt idx="0">
                  <c:v>0.98895901462572933</c:v>
                </c:pt>
                <c:pt idx="1">
                  <c:v>0.99150109730152103</c:v>
                </c:pt>
                <c:pt idx="2">
                  <c:v>0.99638396366125592</c:v>
                </c:pt>
                <c:pt idx="3">
                  <c:v>0.99448012140361308</c:v>
                </c:pt>
                <c:pt idx="4">
                  <c:v>0.98888998453298516</c:v>
                </c:pt>
                <c:pt idx="5">
                  <c:v>0.99083091697876025</c:v>
                </c:pt>
                <c:pt idx="6">
                  <c:v>1.0036933305300588</c:v>
                </c:pt>
                <c:pt idx="7">
                  <c:v>0.98237826304668141</c:v>
                </c:pt>
                <c:pt idx="8">
                  <c:v>0.99469645284916164</c:v>
                </c:pt>
                <c:pt idx="9">
                  <c:v>0.99460889133046559</c:v>
                </c:pt>
                <c:pt idx="10">
                  <c:v>0.99716619473331414</c:v>
                </c:pt>
                <c:pt idx="11">
                  <c:v>0.99770230897999312</c:v>
                </c:pt>
                <c:pt idx="12">
                  <c:v>0.99893627519111139</c:v>
                </c:pt>
                <c:pt idx="13">
                  <c:v>1.0001339631361112</c:v>
                </c:pt>
                <c:pt idx="14">
                  <c:v>1.0014477970911526</c:v>
                </c:pt>
                <c:pt idx="15">
                  <c:v>0.99975617883032408</c:v>
                </c:pt>
                <c:pt idx="16">
                  <c:v>0.99994215867549974</c:v>
                </c:pt>
                <c:pt idx="17">
                  <c:v>0.99990566922562407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08416"/>
        <c:axId val="49309952"/>
      </c:scatterChart>
      <c:valAx>
        <c:axId val="49308416"/>
        <c:scaling>
          <c:orientation val="minMax"/>
          <c:min val="42736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/>
          <a:lstStyle/>
          <a:p>
            <a:pPr>
              <a:defRPr b="1" i="0" baseline="0"/>
            </a:pPr>
            <a:endParaRPr lang="pt-BR"/>
          </a:p>
        </c:txPr>
        <c:crossAx val="49309952"/>
        <c:crosses val="autoZero"/>
        <c:crossBetween val="midCat"/>
        <c:majorUnit val="250"/>
      </c:valAx>
      <c:valAx>
        <c:axId val="493099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49308416"/>
        <c:crosses val="autoZero"/>
        <c:crossBetween val="midCat"/>
        <c:majorUnit val="1.0000000000000002E-3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 sz="1200"/>
              <a:t>Fixed-Rate</a:t>
            </a:r>
            <a:r>
              <a:rPr lang="pt-BR" sz="1200" baseline="0"/>
              <a:t> </a:t>
            </a:r>
            <a:r>
              <a:rPr lang="pt-BR" sz="1200"/>
              <a:t>Bonds</a:t>
            </a:r>
            <a:r>
              <a:rPr lang="pt-BR" sz="1200" baseline="0"/>
              <a:t> X DI</a:t>
            </a:r>
            <a:endParaRPr lang="pt-BR" sz="1200"/>
          </a:p>
        </c:rich>
      </c:tx>
      <c:layout>
        <c:manualLayout>
          <c:xMode val="edge"/>
          <c:yMode val="edge"/>
          <c:x val="0.4448409577718993"/>
          <c:y val="3.395917901679263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590736464780165"/>
          <c:y val="0.10929039799756715"/>
          <c:w val="0.83195016952548428"/>
          <c:h val="0.72636188229222676"/>
        </c:manualLayout>
      </c:layout>
      <c:lineChart>
        <c:grouping val="standard"/>
        <c:varyColors val="0"/>
        <c:ser>
          <c:idx val="0"/>
          <c:order val="0"/>
          <c:tx>
            <c:v>Bonds</c:v>
          </c:tx>
          <c:spPr>
            <a:ln>
              <a:noFill/>
            </a:ln>
          </c:spPr>
          <c:marker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('NTN-F'!$G$67:$G$78,'NTN-F'!$G$55:$G$60)</c:f>
              <c:numCache>
                <c:formatCode>dd/mm/yy;@</c:formatCode>
                <c:ptCount val="18"/>
                <c:pt idx="0">
                  <c:v>43010</c:v>
                </c:pt>
                <c:pt idx="1">
                  <c:v>43102</c:v>
                </c:pt>
                <c:pt idx="2">
                  <c:v>43192</c:v>
                </c:pt>
                <c:pt idx="3">
                  <c:v>43283</c:v>
                </c:pt>
                <c:pt idx="4">
                  <c:v>43374</c:v>
                </c:pt>
                <c:pt idx="5">
                  <c:v>43467</c:v>
                </c:pt>
                <c:pt idx="6">
                  <c:v>43556</c:v>
                </c:pt>
                <c:pt idx="7">
                  <c:v>43647</c:v>
                </c:pt>
                <c:pt idx="8">
                  <c:v>43739</c:v>
                </c:pt>
                <c:pt idx="9">
                  <c:v>43832</c:v>
                </c:pt>
                <c:pt idx="10">
                  <c:v>44013</c:v>
                </c:pt>
                <c:pt idx="11">
                  <c:v>44378</c:v>
                </c:pt>
                <c:pt idx="12">
                  <c:v>43102</c:v>
                </c:pt>
                <c:pt idx="13">
                  <c:v>43440</c:v>
                </c:pt>
                <c:pt idx="14">
                  <c:v>44036</c:v>
                </c:pt>
                <c:pt idx="15">
                  <c:v>44530</c:v>
                </c:pt>
                <c:pt idx="16">
                  <c:v>44935</c:v>
                </c:pt>
                <c:pt idx="17">
                  <c:v>45272</c:v>
                </c:pt>
              </c:numCache>
            </c:numRef>
          </c:cat>
          <c:val>
            <c:numRef>
              <c:f>('NTN-F'!$C$67:$C$78,'NTN-F'!$C$55:$C$60)</c:f>
              <c:numCache>
                <c:formatCode>0.0000%</c:formatCode>
                <c:ptCount val="18"/>
                <c:pt idx="0">
                  <c:v>8.1734000000000015E-2</c:v>
                </c:pt>
                <c:pt idx="1">
                  <c:v>7.4185000000000001E-2</c:v>
                </c:pt>
                <c:pt idx="2">
                  <c:v>7.1982999999999991E-2</c:v>
                </c:pt>
                <c:pt idx="3">
                  <c:v>7.0999999999999994E-2</c:v>
                </c:pt>
                <c:pt idx="4">
                  <c:v>7.1452000000000002E-2</c:v>
                </c:pt>
                <c:pt idx="5">
                  <c:v>7.2800000000000004E-2</c:v>
                </c:pt>
                <c:pt idx="6">
                  <c:v>7.46E-2</c:v>
                </c:pt>
                <c:pt idx="7">
                  <c:v>7.6700000000000004E-2</c:v>
                </c:pt>
                <c:pt idx="8">
                  <c:v>7.9114000000000004E-2</c:v>
                </c:pt>
                <c:pt idx="9">
                  <c:v>8.0478000000000008E-2</c:v>
                </c:pt>
                <c:pt idx="10">
                  <c:v>8.4198999999999996E-2</c:v>
                </c:pt>
                <c:pt idx="11">
                  <c:v>8.9700000000000002E-2</c:v>
                </c:pt>
                <c:pt idx="12">
                  <c:v>7.4700000000000003E-2</c:v>
                </c:pt>
                <c:pt idx="13">
                  <c:v>7.2314000000000003E-2</c:v>
                </c:pt>
                <c:pt idx="14">
                  <c:v>8.5815000000000002E-2</c:v>
                </c:pt>
                <c:pt idx="15">
                  <c:v>9.1509000000000007E-2</c:v>
                </c:pt>
                <c:pt idx="16">
                  <c:v>9.3969000000000011E-2</c:v>
                </c:pt>
                <c:pt idx="17">
                  <c:v>9.6250000000000002E-2</c:v>
                </c:pt>
              </c:numCache>
            </c:numRef>
          </c:val>
          <c:smooth val="0"/>
        </c:ser>
        <c:ser>
          <c:idx val="1"/>
          <c:order val="1"/>
          <c:tx>
            <c:v>DI</c:v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 sz="900" b="1"/>
                      <a:t>Apr17</a:t>
                    </a:r>
                    <a:endParaRPr lang="en-US"/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8.1384129425345706E-3"/>
                  <c:y val="-0.31094563064211511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Jul17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2.2211364245810199E-2"/>
                  <c:y val="-5.3626065293807791E-2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Oct17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3.0361085775110715E-2"/>
                  <c:y val="-0.19024707068239777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F18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6.2276209721618646E-2"/>
                  <c:y val="3.6288565983945531E-2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Jan18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6.8827140990938132E-2"/>
                  <c:y val="2.051339744782979E-2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Apr18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1.6057933240082988E-2"/>
                  <c:y val="2.7274260520488668E-2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Jul18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5655834990301226E-2"/>
                  <c:y val="3.9187203360688073E-2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Oct18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-8.7363642165638564E-2"/>
                  <c:y val="1.4974287742032071E-2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F19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9"/>
              <c:layout>
                <c:manualLayout>
                  <c:x val="-9.8801952719968583E-2"/>
                  <c:y val="4.7822117063142537E-2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Jan19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0"/>
              <c:layout>
                <c:manualLayout>
                  <c:x val="-8.5595603117478408E-2"/>
                  <c:y val="0.10113450612972509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Apr19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1"/>
              <c:layout>
                <c:manualLayout>
                  <c:x val="-0.1250884376979409"/>
                  <c:y val="4.0674351359022892E-2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Jul19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2"/>
              <c:layout>
                <c:manualLayout>
                  <c:x val="-0.1105064700064433"/>
                  <c:y val="4.7048057186628162E-2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Jan20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3"/>
              <c:layout>
                <c:manualLayout>
                  <c:x val="-1.5063557507218323E-2"/>
                  <c:y val="-3.9330533885568585E-2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F21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4"/>
              <c:layout>
                <c:manualLayout>
                  <c:x val="-0.18964785970697243"/>
                  <c:y val="0.10249239400810868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Jul20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 sz="900" b="1"/>
                      <a:t>F23</a:t>
                    </a:r>
                    <a:endParaRPr lang="en-US"/>
                  </a:p>
                </c:rich>
              </c:tx>
              <c:dLblPos val="b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6"/>
              <c:layout>
                <c:manualLayout>
                  <c:x val="-3.2968210593373889E-2"/>
                  <c:y val="7.2346094066495975E-2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F25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7"/>
              <c:layout>
                <c:manualLayout>
                  <c:x val="-4.0985135025346668E-2"/>
                  <c:y val="6.7838725607712189E-2"/>
                </c:manualLayout>
              </c:layout>
              <c:tx>
                <c:rich>
                  <a:bodyPr/>
                  <a:lstStyle/>
                  <a:p>
                    <a:r>
                      <a:rPr lang="en-US" sz="900" b="1"/>
                      <a:t>F27</a:t>
                    </a:r>
                    <a:endParaRPr lang="en-US"/>
                  </a:p>
                </c:rich>
              </c:tx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numFmt formatCode="[$-416]mmm\-yy;@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b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('NTN-F'!$G$67:$G$78,'NTN-F'!$G$55:$G$60)</c:f>
              <c:numCache>
                <c:formatCode>dd/mm/yy;@</c:formatCode>
                <c:ptCount val="18"/>
                <c:pt idx="0">
                  <c:v>43010</c:v>
                </c:pt>
                <c:pt idx="1">
                  <c:v>43102</c:v>
                </c:pt>
                <c:pt idx="2">
                  <c:v>43192</c:v>
                </c:pt>
                <c:pt idx="3">
                  <c:v>43283</c:v>
                </c:pt>
                <c:pt idx="4">
                  <c:v>43374</c:v>
                </c:pt>
                <c:pt idx="5">
                  <c:v>43467</c:v>
                </c:pt>
                <c:pt idx="6">
                  <c:v>43556</c:v>
                </c:pt>
                <c:pt idx="7">
                  <c:v>43647</c:v>
                </c:pt>
                <c:pt idx="8">
                  <c:v>43739</c:v>
                </c:pt>
                <c:pt idx="9">
                  <c:v>43832</c:v>
                </c:pt>
                <c:pt idx="10">
                  <c:v>44013</c:v>
                </c:pt>
                <c:pt idx="11">
                  <c:v>44378</c:v>
                </c:pt>
                <c:pt idx="12">
                  <c:v>43102</c:v>
                </c:pt>
                <c:pt idx="13">
                  <c:v>43440</c:v>
                </c:pt>
                <c:pt idx="14">
                  <c:v>44036</c:v>
                </c:pt>
                <c:pt idx="15">
                  <c:v>44530</c:v>
                </c:pt>
                <c:pt idx="16">
                  <c:v>44935</c:v>
                </c:pt>
                <c:pt idx="17">
                  <c:v>45272</c:v>
                </c:pt>
              </c:numCache>
            </c:numRef>
          </c:cat>
          <c:val>
            <c:numRef>
              <c:f>('NTN-F'!$J$67:$J$78,'NTN-F'!$J$55:$J$60)</c:f>
              <c:numCache>
                <c:formatCode>0.0000%</c:formatCode>
                <c:ptCount val="18"/>
                <c:pt idx="0">
                  <c:v>8.1418312442013141E-2</c:v>
                </c:pt>
                <c:pt idx="1">
                  <c:v>7.5650172781308589E-2</c:v>
                </c:pt>
                <c:pt idx="2">
                  <c:v>7.244994273345351E-2</c:v>
                </c:pt>
                <c:pt idx="3">
                  <c:v>7.1450064850925976E-2</c:v>
                </c:pt>
                <c:pt idx="4">
                  <c:v>7.1700003179191674E-2</c:v>
                </c:pt>
                <c:pt idx="5">
                  <c:v>7.3000001617747223E-2</c:v>
                </c:pt>
                <c:pt idx="6">
                  <c:v>7.4699991483438533E-2</c:v>
                </c:pt>
                <c:pt idx="7">
                  <c:v>7.6700002244052712E-2</c:v>
                </c:pt>
                <c:pt idx="8">
                  <c:v>7.8999977333870541E-2</c:v>
                </c:pt>
                <c:pt idx="9">
                  <c:v>8.0499971822441285E-2</c:v>
                </c:pt>
                <c:pt idx="10">
                  <c:v>8.4200023510115241E-2</c:v>
                </c:pt>
                <c:pt idx="11">
                  <c:v>8.9700003399198813E-2</c:v>
                </c:pt>
                <c:pt idx="12">
                  <c:v>7.5564586424080815E-2</c:v>
                </c:pt>
                <c:pt idx="13">
                  <c:v>7.2744454543530901E-2</c:v>
                </c:pt>
                <c:pt idx="14">
                  <c:v>8.4661973305130936E-2</c:v>
                </c:pt>
                <c:pt idx="15">
                  <c:v>9.1090687576993429E-2</c:v>
                </c:pt>
                <c:pt idx="16">
                  <c:v>9.3740579294354642E-2</c:v>
                </c:pt>
                <c:pt idx="17">
                  <c:v>9.5545344977734911E-2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709312"/>
        <c:axId val="59731968"/>
      </c:lineChart>
      <c:dateAx>
        <c:axId val="5970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/>
                </a:pPr>
                <a:r>
                  <a:rPr lang="pt-BR" sz="900"/>
                  <a:t>Macaulay Duration</a:t>
                </a:r>
              </a:p>
            </c:rich>
          </c:tx>
          <c:layout>
            <c:manualLayout>
              <c:xMode val="edge"/>
              <c:yMode val="edge"/>
              <c:x val="0.43742133463410698"/>
              <c:y val="0.90088688273231454"/>
            </c:manualLayout>
          </c:layout>
          <c:overlay val="0"/>
        </c:title>
        <c:numFmt formatCode="[$-409]mmm\-yy;@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pt-BR"/>
          </a:p>
        </c:txPr>
        <c:crossAx val="59731968"/>
        <c:crosses val="autoZero"/>
        <c:auto val="1"/>
        <c:lblOffset val="100"/>
        <c:baseTimeUnit val="days"/>
        <c:majorUnit val="6"/>
        <c:majorTimeUnit val="months"/>
      </c:dateAx>
      <c:valAx>
        <c:axId val="59731968"/>
        <c:scaling>
          <c:orientation val="minMax"/>
          <c:max val="0.11000000000000001"/>
          <c:min val="8.0000000000000016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pt-BR"/>
          </a:p>
        </c:txPr>
        <c:crossAx val="59709312"/>
        <c:crosses val="autoZero"/>
        <c:crossBetween val="between"/>
        <c:majorUnit val="2.5000000000000005E-3"/>
      </c:valAx>
    </c:plotArea>
    <c:legend>
      <c:legendPos val="b"/>
      <c:layout>
        <c:manualLayout>
          <c:xMode val="edge"/>
          <c:yMode val="edge"/>
          <c:x val="0.35435302846133754"/>
          <c:y val="0.95000268509256658"/>
          <c:w val="0.26009380200853782"/>
          <c:h val="3.5847656983769786E-2"/>
        </c:manualLayout>
      </c:layout>
      <c:overlay val="0"/>
      <c:txPr>
        <a:bodyPr/>
        <a:lstStyle/>
        <a:p>
          <a:pPr>
            <a:defRPr sz="1000"/>
          </a:pPr>
          <a:endParaRPr lang="pt-BR"/>
        </a:p>
      </c:txPr>
    </c:legend>
    <c:plotVisOnly val="1"/>
    <c:dispBlanksAs val="gap"/>
    <c:showDLblsOverMax val="0"/>
  </c:chart>
  <c:txPr>
    <a:bodyPr/>
    <a:lstStyle/>
    <a:p>
      <a:pPr>
        <a:defRPr sz="8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image" Target="../media/image2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0</xdr:row>
          <xdr:rowOff>47625</xdr:rowOff>
        </xdr:from>
        <xdr:to>
          <xdr:col>9</xdr:col>
          <xdr:colOff>180975</xdr:colOff>
          <xdr:row>1</xdr:row>
          <xdr:rowOff>123825</xdr:rowOff>
        </xdr:to>
        <xdr:sp macro="" textlink="">
          <xdr:nvSpPr>
            <xdr:cNvPr id="7717" name="Button 549" hidden="1">
              <a:extLst>
                <a:ext uri="{63B3BB69-23CF-44E3-9099-C40C66FF867C}">
                  <a14:compatExt spid="_x0000_s7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Virar Dia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0</xdr:row>
          <xdr:rowOff>57150</xdr:rowOff>
        </xdr:from>
        <xdr:to>
          <xdr:col>14</xdr:col>
          <xdr:colOff>381000</xdr:colOff>
          <xdr:row>1</xdr:row>
          <xdr:rowOff>57150</xdr:rowOff>
        </xdr:to>
        <xdr:sp macro="" textlink="">
          <xdr:nvSpPr>
            <xdr:cNvPr id="7719" name="Button 551" hidden="1">
              <a:extLst>
                <a:ext uri="{63B3BB69-23CF-44E3-9099-C40C66FF867C}">
                  <a14:compatExt spid="_x0000_s7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Inclinação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171450</xdr:colOff>
          <xdr:row>0</xdr:row>
          <xdr:rowOff>57150</xdr:rowOff>
        </xdr:from>
        <xdr:to>
          <xdr:col>14</xdr:col>
          <xdr:colOff>381000</xdr:colOff>
          <xdr:row>1</xdr:row>
          <xdr:rowOff>57150</xdr:rowOff>
        </xdr:to>
        <xdr:sp macro="" textlink="">
          <xdr:nvSpPr>
            <xdr:cNvPr id="7722" name="Button 554" hidden="1">
              <a:extLst>
                <a:ext uri="{63B3BB69-23CF-44E3-9099-C40C66FF867C}">
                  <a14:compatExt spid="_x0000_s7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Inclinação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3</xdr:row>
          <xdr:rowOff>76200</xdr:rowOff>
        </xdr:from>
        <xdr:to>
          <xdr:col>10</xdr:col>
          <xdr:colOff>447675</xdr:colOff>
          <xdr:row>4</xdr:row>
          <xdr:rowOff>171450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NTN-B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247650</xdr:colOff>
          <xdr:row>6</xdr:row>
          <xdr:rowOff>66675</xdr:rowOff>
        </xdr:from>
        <xdr:to>
          <xdr:col>10</xdr:col>
          <xdr:colOff>438150</xdr:colOff>
          <xdr:row>8</xdr:row>
          <xdr:rowOff>57150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Colar D-2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0</xdr:row>
          <xdr:rowOff>161925</xdr:rowOff>
        </xdr:from>
        <xdr:to>
          <xdr:col>6</xdr:col>
          <xdr:colOff>695325</xdr:colOff>
          <xdr:row>2</xdr:row>
          <xdr:rowOff>95250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NTN-F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9525</xdr:rowOff>
        </xdr:from>
        <xdr:to>
          <xdr:col>9</xdr:col>
          <xdr:colOff>47625</xdr:colOff>
          <xdr:row>2</xdr:row>
          <xdr:rowOff>123825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Colar D-2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313763</xdr:colOff>
      <xdr:row>82</xdr:row>
      <xdr:rowOff>146797</xdr:rowOff>
    </xdr:from>
    <xdr:to>
      <xdr:col>9</xdr:col>
      <xdr:colOff>661146</xdr:colOff>
      <xdr:row>131</xdr:row>
      <xdr:rowOff>145676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410050</xdr:colOff>
      <xdr:row>3</xdr:row>
      <xdr:rowOff>81643</xdr:rowOff>
    </xdr:from>
    <xdr:ext cx="4665413" cy="956384"/>
    <xdr:pic>
      <xdr:nvPicPr>
        <xdr:cNvPr id="2" name="Imagem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475" y="824593"/>
          <a:ext cx="4665413" cy="956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11</xdr:row>
          <xdr:rowOff>161925</xdr:rowOff>
        </xdr:from>
        <xdr:to>
          <xdr:col>11</xdr:col>
          <xdr:colOff>266700</xdr:colOff>
          <xdr:row>12</xdr:row>
          <xdr:rowOff>123825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xdr:twoCellAnchor>
    <xdr:from>
      <xdr:col>15</xdr:col>
      <xdr:colOff>613629</xdr:colOff>
      <xdr:row>129</xdr:row>
      <xdr:rowOff>73271</xdr:rowOff>
    </xdr:from>
    <xdr:to>
      <xdr:col>25</xdr:col>
      <xdr:colOff>815120</xdr:colOff>
      <xdr:row>158</xdr:row>
      <xdr:rowOff>27477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3663</xdr:colOff>
      <xdr:row>71</xdr:row>
      <xdr:rowOff>70886</xdr:rowOff>
    </xdr:from>
    <xdr:to>
      <xdr:col>25</xdr:col>
      <xdr:colOff>815119</xdr:colOff>
      <xdr:row>98</xdr:row>
      <xdr:rowOff>109903</xdr:rowOff>
    </xdr:to>
    <xdr:graphicFrame macro="">
      <xdr:nvGraphicFramePr>
        <xdr:cNvPr id="10" name="Gráfico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</xdr:colOff>
      <xdr:row>101</xdr:row>
      <xdr:rowOff>45793</xdr:rowOff>
    </xdr:from>
    <xdr:to>
      <xdr:col>25</xdr:col>
      <xdr:colOff>833438</xdr:colOff>
      <xdr:row>128</xdr:row>
      <xdr:rowOff>82428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85725</xdr:colOff>
          <xdr:row>16</xdr:row>
          <xdr:rowOff>180975</xdr:rowOff>
        </xdr:from>
        <xdr:to>
          <xdr:col>16</xdr:col>
          <xdr:colOff>866775</xdr:colOff>
          <xdr:row>18</xdr:row>
          <xdr:rowOff>85725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0</xdr:colOff>
      <xdr:row>21</xdr:row>
      <xdr:rowOff>10443</xdr:rowOff>
    </xdr:from>
    <xdr:to>
      <xdr:col>18</xdr:col>
      <xdr:colOff>311394</xdr:colOff>
      <xdr:row>25</xdr:row>
      <xdr:rowOff>192333</xdr:rowOff>
    </xdr:to>
    <xdr:pic>
      <xdr:nvPicPr>
        <xdr:cNvPr id="11" name="Imagem 1" descr="Descrição: \\indusval.com.br\netlogon\Assinatura\Logos_COR\assinatura_guide__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90601" y="5001909"/>
          <a:ext cx="1959952" cy="98785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ad.local\Documents%20and%20Settings\Administrador\Meus%20documentos\Clientes\VOTORANTIM\test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Administrador\Meus%20documentos\Clientes\VOTORANTIM\teste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ad.local\Documents%20and%20Settings\agraever\Local%20Settings\Temporary%20Internet%20Files\OLK2D\Spreadd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agraever\Local%20Settings\Temporary%20Internet%20Files\OLK2D\Spreadd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romafab\Configura&#231;&#245;es%20locais\Temporary%20Internet%20Files\OLK8C\Resumo_Ibov_Bas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ad.local\DOCUME~1\fvromano\CONFIG~1\Temp\DERIV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~1\fvromano\CONFIG~1\Temp\DERIV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ad.local\Trade%20Idea\BTG_LOCAL_v2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ad.local\Documents%20and%20Settings\Ricardo\Configura&#231;&#245;es%20locais\Temporary%20Internet%20Files\Content.IE5\G1AJO9YJ\IPCA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Documents%20and%20Settings\Ricardo\Configura&#231;&#245;es%20locais\Temporary%20Internet%20Files\Content.IE5\G1AJO9YJ\IPCA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ad.local\Trade%20Idea\BTG%20Trade%20Idea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EQUITY%20TRADING\Curvas%20-%20Derivativos\Raphael\ITSE_Turbo\Lamborghini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Interest%20Rates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SMILE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ocuments%20and%20Settings\Codepe%20CV%20SA\Meus%20documentos\Fabiano\SELIC1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EQUITY%20TRADING\Fabiano\CURVAS_VOL\bs_2_nova_futuro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cerda/AppData/Local/Microsoft/Windows/Temporary%20Internet%20Files/Content.Outlook/3KMVVTKT/Interest%20Rat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sheetDataSet>
      <sheetData sheetId="0"/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ída"/>
      <sheetName val="Sheet2"/>
      <sheetName val="Entrada"/>
    </sheetNames>
    <sheetDataSet>
      <sheetData sheetId="0"/>
      <sheetData sheetId="1" refreshError="1">
        <row r="4">
          <cell r="G4">
            <v>37665.370833333334</v>
          </cell>
          <cell r="H4">
            <v>10710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ída"/>
      <sheetName val="Sheet2"/>
      <sheetName val="Entrada"/>
    </sheetNames>
    <sheetDataSet>
      <sheetData sheetId="0"/>
      <sheetData sheetId="1" refreshError="1">
        <row r="4">
          <cell r="G4">
            <v>37665.370833333334</v>
          </cell>
          <cell r="H4">
            <v>10710</v>
          </cell>
        </row>
      </sheetData>
      <sheetData sheetId="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3"/>
      <sheetName val="Plan1"/>
      <sheetName val="Plan4"/>
    </sheetNames>
    <sheetDataSet>
      <sheetData sheetId="0" refreshError="1"/>
      <sheetData sheetId="1" refreshError="1"/>
      <sheetData sheetId="2">
        <row r="8">
          <cell r="E8" t="str">
            <v>A</v>
          </cell>
          <cell r="F8" t="str">
            <v xml:space="preserve">JANEIRO  </v>
          </cell>
          <cell r="G8" t="str">
            <v xml:space="preserve">CALL  </v>
          </cell>
        </row>
        <row r="9">
          <cell r="E9" t="str">
            <v>B</v>
          </cell>
          <cell r="F9" t="str">
            <v xml:space="preserve">FEVEREIRO  </v>
          </cell>
          <cell r="G9" t="str">
            <v xml:space="preserve">CALL  </v>
          </cell>
        </row>
        <row r="10">
          <cell r="E10" t="str">
            <v>C</v>
          </cell>
          <cell r="F10" t="str">
            <v xml:space="preserve">MARÇO  </v>
          </cell>
          <cell r="G10" t="str">
            <v xml:space="preserve">CALL  </v>
          </cell>
        </row>
        <row r="11">
          <cell r="E11" t="str">
            <v>D</v>
          </cell>
          <cell r="F11" t="str">
            <v xml:space="preserve">ABRIL  </v>
          </cell>
          <cell r="G11" t="str">
            <v xml:space="preserve">CALL  </v>
          </cell>
        </row>
        <row r="12">
          <cell r="E12" t="str">
            <v>E</v>
          </cell>
          <cell r="F12" t="str">
            <v xml:space="preserve">MAIO  </v>
          </cell>
          <cell r="G12" t="str">
            <v xml:space="preserve">CALL  </v>
          </cell>
        </row>
        <row r="13">
          <cell r="E13" t="str">
            <v>F</v>
          </cell>
          <cell r="F13" t="str">
            <v xml:space="preserve">JUNHO  </v>
          </cell>
          <cell r="G13" t="str">
            <v xml:space="preserve">CALL  </v>
          </cell>
        </row>
        <row r="14">
          <cell r="E14" t="str">
            <v>G</v>
          </cell>
          <cell r="F14" t="str">
            <v xml:space="preserve">JULHO  </v>
          </cell>
          <cell r="G14" t="str">
            <v xml:space="preserve">CALL  </v>
          </cell>
        </row>
        <row r="15">
          <cell r="E15" t="str">
            <v>H</v>
          </cell>
          <cell r="F15" t="str">
            <v xml:space="preserve">AGOSTO  </v>
          </cell>
          <cell r="G15" t="str">
            <v xml:space="preserve">CALL  </v>
          </cell>
        </row>
        <row r="16">
          <cell r="E16" t="str">
            <v>I</v>
          </cell>
          <cell r="F16" t="str">
            <v xml:space="preserve">SETEMBRO  </v>
          </cell>
          <cell r="G16" t="str">
            <v xml:space="preserve">CALL  </v>
          </cell>
        </row>
        <row r="17">
          <cell r="E17" t="str">
            <v>J</v>
          </cell>
          <cell r="F17" t="str">
            <v xml:space="preserve">OUTUBRO  </v>
          </cell>
          <cell r="G17" t="str">
            <v xml:space="preserve">CALL  </v>
          </cell>
        </row>
        <row r="18">
          <cell r="E18" t="str">
            <v>K</v>
          </cell>
          <cell r="F18" t="str">
            <v xml:space="preserve">NOVEMBRO  </v>
          </cell>
          <cell r="G18" t="str">
            <v xml:space="preserve">CALL  </v>
          </cell>
        </row>
        <row r="19">
          <cell r="E19" t="str">
            <v>L</v>
          </cell>
          <cell r="F19" t="str">
            <v xml:space="preserve">DEZEMBRO  </v>
          </cell>
          <cell r="G19" t="str">
            <v xml:space="preserve">CALL  </v>
          </cell>
        </row>
        <row r="20">
          <cell r="E20" t="str">
            <v>M</v>
          </cell>
          <cell r="F20" t="str">
            <v xml:space="preserve">JANEIRO  </v>
          </cell>
          <cell r="G20" t="str">
            <v xml:space="preserve">PUT  </v>
          </cell>
        </row>
        <row r="21">
          <cell r="E21" t="str">
            <v>N</v>
          </cell>
          <cell r="F21" t="str">
            <v xml:space="preserve">FEVEREIRO  </v>
          </cell>
          <cell r="G21" t="str">
            <v xml:space="preserve">PUT  </v>
          </cell>
        </row>
        <row r="22">
          <cell r="E22" t="str">
            <v>O</v>
          </cell>
          <cell r="F22" t="str">
            <v xml:space="preserve">MARÇO  </v>
          </cell>
          <cell r="G22" t="str">
            <v xml:space="preserve">PUT  </v>
          </cell>
        </row>
        <row r="23">
          <cell r="E23" t="str">
            <v>P</v>
          </cell>
          <cell r="F23" t="str">
            <v xml:space="preserve">ABRIL  </v>
          </cell>
          <cell r="G23" t="str">
            <v xml:space="preserve">PUT  </v>
          </cell>
        </row>
        <row r="24">
          <cell r="E24" t="str">
            <v>Q</v>
          </cell>
          <cell r="F24" t="str">
            <v xml:space="preserve">MAIO  </v>
          </cell>
          <cell r="G24" t="str">
            <v xml:space="preserve">PUT  </v>
          </cell>
        </row>
        <row r="25">
          <cell r="E25" t="str">
            <v>R</v>
          </cell>
          <cell r="F25" t="str">
            <v xml:space="preserve">JUNHO  </v>
          </cell>
          <cell r="G25" t="str">
            <v xml:space="preserve">PUT  </v>
          </cell>
        </row>
        <row r="26">
          <cell r="E26" t="str">
            <v>S</v>
          </cell>
          <cell r="F26" t="str">
            <v xml:space="preserve">JULHO  </v>
          </cell>
          <cell r="G26" t="str">
            <v xml:space="preserve">PUT  </v>
          </cell>
        </row>
        <row r="27">
          <cell r="E27" t="str">
            <v>T</v>
          </cell>
          <cell r="F27" t="str">
            <v xml:space="preserve">AGOSTO  </v>
          </cell>
          <cell r="G27" t="str">
            <v xml:space="preserve">PUT  </v>
          </cell>
        </row>
        <row r="28">
          <cell r="E28" t="str">
            <v>U</v>
          </cell>
          <cell r="F28" t="str">
            <v xml:space="preserve">SETEMBRO  </v>
          </cell>
          <cell r="G28" t="str">
            <v xml:space="preserve">PUT  </v>
          </cell>
        </row>
        <row r="29">
          <cell r="E29" t="str">
            <v>V</v>
          </cell>
          <cell r="F29" t="str">
            <v xml:space="preserve">OUTUBRO  </v>
          </cell>
          <cell r="G29" t="str">
            <v xml:space="preserve">PUT  </v>
          </cell>
        </row>
        <row r="30">
          <cell r="E30" t="str">
            <v>W</v>
          </cell>
          <cell r="F30" t="str">
            <v xml:space="preserve">NOVEMBRO  </v>
          </cell>
          <cell r="G30" t="str">
            <v xml:space="preserve">PUT  </v>
          </cell>
        </row>
        <row r="31">
          <cell r="E31" t="str">
            <v>X</v>
          </cell>
          <cell r="F31" t="str">
            <v xml:space="preserve">DEZEMBRO  </v>
          </cell>
          <cell r="G31" t="str">
            <v xml:space="preserve">PUT  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"/>
      <sheetName val="101"/>
      <sheetName val="GERAL"/>
      <sheetName val="Gráf."/>
      <sheetName val="Copom"/>
      <sheetName val="Termo"/>
      <sheetName val="Finan."/>
      <sheetName val="Butter US$"/>
      <sheetName val="Borboleta"/>
      <sheetName val="Teste"/>
      <sheetName val="TA +"/>
      <sheetName val="TNLP4"/>
      <sheetName val="OPÇÕES"/>
      <sheetName val="Índice"/>
      <sheetName val="DI Futuro"/>
      <sheetName val="FER"/>
      <sheetName val="Prazo"/>
      <sheetName val="Inflação"/>
      <sheetName val="Despesas"/>
      <sheetName val="DDI"/>
      <sheetName val="Calendário"/>
      <sheetName val="BOLSA"/>
      <sheetName val="INPUT"/>
      <sheetName val="US$ Futuros"/>
      <sheetName val="US$ Futuro"/>
      <sheetName val="Condor"/>
      <sheetName val="Rolagem"/>
      <sheetName val="Arbitragem"/>
      <sheetName val="Sheet1"/>
      <sheetName val="DERIV1"/>
      <sheetName val="INDICE"/>
      <sheetName val="DOL"/>
      <sheetName val="STF"/>
      <sheetName val="Sheet2"/>
      <sheetName val="CarteiraSet.04"/>
      <sheetName val="indicadores"/>
      <sheetName val="trade"/>
    </sheetNames>
    <sheetDataSet>
      <sheetData sheetId="0" refreshError="1"/>
      <sheetData sheetId="1" refreshError="1"/>
      <sheetData sheetId="2" refreshError="1">
        <row r="17">
          <cell r="AF17">
            <v>37848</v>
          </cell>
          <cell r="AG17">
            <v>0</v>
          </cell>
          <cell r="AH17">
            <v>0</v>
          </cell>
          <cell r="AI17">
            <v>11</v>
          </cell>
          <cell r="AJ17">
            <v>100000</v>
          </cell>
          <cell r="AO17">
            <v>3014</v>
          </cell>
        </row>
        <row r="18">
          <cell r="AF18">
            <v>37851</v>
          </cell>
          <cell r="AG18">
            <v>3</v>
          </cell>
          <cell r="AH18">
            <v>1</v>
          </cell>
          <cell r="AI18">
            <v>10</v>
          </cell>
          <cell r="AJ18">
            <v>99917.241063672423</v>
          </cell>
          <cell r="AL18">
            <v>8.282748347188118E-2</v>
          </cell>
          <cell r="AM18">
            <v>23.199999999998887</v>
          </cell>
          <cell r="AN18">
            <v>23.199999999999932</v>
          </cell>
          <cell r="AO18">
            <v>3014.5449616053379</v>
          </cell>
          <cell r="AQ18">
            <v>1.8081008803516596E-2</v>
          </cell>
        </row>
        <row r="19">
          <cell r="AF19">
            <v>37852</v>
          </cell>
          <cell r="AG19">
            <v>4</v>
          </cell>
          <cell r="AH19">
            <v>2</v>
          </cell>
          <cell r="AI19">
            <v>9</v>
          </cell>
          <cell r="AJ19">
            <v>99834.550617760266</v>
          </cell>
          <cell r="AL19">
            <v>0.16572357086395151</v>
          </cell>
          <cell r="AM19">
            <v>23.199999999998887</v>
          </cell>
          <cell r="AN19">
            <v>23.199999999999822</v>
          </cell>
          <cell r="AO19">
            <v>3015.0900217452318</v>
          </cell>
          <cell r="AQ19">
            <v>3.6165286835831978E-2</v>
          </cell>
        </row>
        <row r="20">
          <cell r="AF20">
            <v>37853</v>
          </cell>
          <cell r="AG20">
            <v>5</v>
          </cell>
          <cell r="AH20">
            <v>3</v>
          </cell>
          <cell r="AI20">
            <v>8</v>
          </cell>
          <cell r="AJ20">
            <v>99751.92860558159</v>
          </cell>
          <cell r="AL20">
            <v>0.24868831899911292</v>
          </cell>
          <cell r="AM20">
            <v>23.200000000000575</v>
          </cell>
          <cell r="AN20">
            <v>23.199999999999797</v>
          </cell>
          <cell r="AO20">
            <v>3015.6351804374976</v>
          </cell>
          <cell r="AQ20">
            <v>5.4252834688051088E-2</v>
          </cell>
        </row>
        <row r="21">
          <cell r="AF21">
            <v>37854</v>
          </cell>
          <cell r="AG21">
            <v>0</v>
          </cell>
          <cell r="AH21">
            <v>0</v>
          </cell>
          <cell r="AI21">
            <v>7</v>
          </cell>
          <cell r="AJ21">
            <v>100000</v>
          </cell>
          <cell r="AL21">
            <v>0.33172178474729641</v>
          </cell>
          <cell r="AM21">
            <v>23.199999999998887</v>
          </cell>
          <cell r="AN21">
            <v>23.199999999999932</v>
          </cell>
          <cell r="AO21">
            <v>3001</v>
          </cell>
          <cell r="AQ21">
            <v>7.2343652951367687E-2</v>
          </cell>
        </row>
        <row r="22">
          <cell r="AF22">
            <v>37855</v>
          </cell>
          <cell r="AG22">
            <v>1</v>
          </cell>
          <cell r="AH22">
            <v>1</v>
          </cell>
          <cell r="AI22">
            <v>6</v>
          </cell>
          <cell r="AJ22">
            <v>99921.902849756792</v>
          </cell>
          <cell r="AL22">
            <v>7.8158189561938762E-2</v>
          </cell>
          <cell r="AM22">
            <v>21.759999999998357</v>
          </cell>
          <cell r="AN22">
            <v>21.760000000000048</v>
          </cell>
          <cell r="AO22">
            <v>3003.7069495578376</v>
          </cell>
          <cell r="AQ22">
            <v>9.0201584733007323E-2</v>
          </cell>
        </row>
        <row r="23">
          <cell r="AF23">
            <v>37858</v>
          </cell>
          <cell r="AG23">
            <v>4</v>
          </cell>
          <cell r="AH23">
            <v>2</v>
          </cell>
          <cell r="AI23">
            <v>5</v>
          </cell>
          <cell r="AJ23">
            <v>99843.866691162344</v>
          </cell>
          <cell r="AL23">
            <v>0.15637746614982628</v>
          </cell>
          <cell r="AM23">
            <v>21.759999999998357</v>
          </cell>
          <cell r="AN23">
            <v>21.760000000000868</v>
          </cell>
          <cell r="AO23">
            <v>3006.4163408270742</v>
          </cell>
          <cell r="AQ23">
            <v>0.1804845327249005</v>
          </cell>
        </row>
        <row r="24">
          <cell r="AF24">
            <v>37859</v>
          </cell>
          <cell r="AG24">
            <v>5</v>
          </cell>
          <cell r="AH24">
            <v>3</v>
          </cell>
          <cell r="AI24">
            <v>4</v>
          </cell>
          <cell r="AJ24">
            <v>99765.891476583914</v>
          </cell>
          <cell r="AL24">
            <v>0.23465787750820422</v>
          </cell>
          <cell r="AM24">
            <v>21.760000000000048</v>
          </cell>
          <cell r="AN24">
            <v>21.760000000000048</v>
          </cell>
          <cell r="AO24">
            <v>3009.1281760101724</v>
          </cell>
          <cell r="AQ24">
            <v>0.27084891736661731</v>
          </cell>
        </row>
        <row r="25">
          <cell r="AF25">
            <v>37860</v>
          </cell>
          <cell r="AG25">
            <v>6</v>
          </cell>
          <cell r="AH25">
            <v>4</v>
          </cell>
          <cell r="AI25">
            <v>3</v>
          </cell>
          <cell r="AJ25">
            <v>99687.977158425972</v>
          </cell>
          <cell r="AL25">
            <v>0.31299947141885109</v>
          </cell>
          <cell r="AM25">
            <v>21.759999999998357</v>
          </cell>
          <cell r="AN25">
            <v>21.760000000002378</v>
          </cell>
          <cell r="AO25">
            <v>3011.8424573115808</v>
          </cell>
          <cell r="AQ25">
            <v>0.36129481211533143</v>
          </cell>
        </row>
        <row r="26">
          <cell r="AF26">
            <v>37861</v>
          </cell>
          <cell r="AG26">
            <v>7</v>
          </cell>
          <cell r="AH26">
            <v>5</v>
          </cell>
          <cell r="AI26">
            <v>2</v>
          </cell>
          <cell r="AJ26">
            <v>99610.123689130138</v>
          </cell>
          <cell r="AL26">
            <v>0.39140229570100438</v>
          </cell>
          <cell r="AM26">
            <v>21.759999999999515</v>
          </cell>
          <cell r="AN26">
            <v>21.760000000001689</v>
          </cell>
          <cell r="AO26">
            <v>3014.5591869377372</v>
          </cell>
          <cell r="AQ26">
            <v>0.45182229049440803</v>
          </cell>
        </row>
        <row r="27">
          <cell r="AF27">
            <v>37862</v>
          </cell>
          <cell r="AG27">
            <v>8</v>
          </cell>
          <cell r="AH27">
            <v>6</v>
          </cell>
          <cell r="AI27">
            <v>1</v>
          </cell>
          <cell r="AJ27">
            <v>99532.331021175196</v>
          </cell>
          <cell r="AL27">
            <v>0.46986639821116061</v>
          </cell>
          <cell r="AM27">
            <v>21.759999999998957</v>
          </cell>
          <cell r="AN27">
            <v>21.760000000004997</v>
          </cell>
          <cell r="AO27">
            <v>3017.2783670970693</v>
          </cell>
          <cell r="AQ27">
            <v>0.54243142609360362</v>
          </cell>
        </row>
        <row r="28">
          <cell r="AF28">
            <v>37865</v>
          </cell>
          <cell r="AG28">
            <v>11</v>
          </cell>
          <cell r="AH28">
            <v>7</v>
          </cell>
          <cell r="AI28">
            <v>22</v>
          </cell>
          <cell r="AJ28">
            <v>99454.599107076996</v>
          </cell>
          <cell r="AK28">
            <v>1.0007660811925823</v>
          </cell>
          <cell r="AL28">
            <v>0.54839182684331966</v>
          </cell>
          <cell r="AM28">
            <v>21.760000000000023</v>
          </cell>
          <cell r="AN28">
            <v>21.285677909433719</v>
          </cell>
          <cell r="AO28">
            <v>3020</v>
          </cell>
          <cell r="AP28">
            <v>1.0007170320409393</v>
          </cell>
          <cell r="AQ28">
            <v>0.63312229256913266</v>
          </cell>
        </row>
        <row r="29">
          <cell r="AF29">
            <v>37866</v>
          </cell>
          <cell r="AG29">
            <v>12</v>
          </cell>
          <cell r="AH29">
            <v>8</v>
          </cell>
          <cell r="AI29">
            <v>21</v>
          </cell>
          <cell r="AJ29">
            <v>99378.467132459162</v>
          </cell>
          <cell r="AL29">
            <v>0.62542005876626838</v>
          </cell>
          <cell r="AM29">
            <v>21.700608443402803</v>
          </cell>
          <cell r="AN29">
            <v>21.285677909433765</v>
          </cell>
          <cell r="AO29">
            <v>3022.1654367636365</v>
          </cell>
          <cell r="AQ29">
            <v>0.70527946563267996</v>
          </cell>
        </row>
        <row r="30">
          <cell r="AF30">
            <v>37867</v>
          </cell>
          <cell r="AG30">
            <v>13</v>
          </cell>
          <cell r="AH30">
            <v>9</v>
          </cell>
          <cell r="AI30">
            <v>20</v>
          </cell>
          <cell r="AJ30">
            <v>99302.393436469079</v>
          </cell>
          <cell r="AL30">
            <v>0.70250730056897748</v>
          </cell>
          <cell r="AM30">
            <v>21.654435039687449</v>
          </cell>
          <cell r="AN30">
            <v>21.28567790943341</v>
          </cell>
          <cell r="AO30">
            <v>3024.3324262148153</v>
          </cell>
          <cell r="AQ30">
            <v>0.77748837770128532</v>
          </cell>
        </row>
        <row r="31">
          <cell r="AF31">
            <v>37868</v>
          </cell>
          <cell r="AG31">
            <v>14</v>
          </cell>
          <cell r="AH31">
            <v>10</v>
          </cell>
          <cell r="AI31">
            <v>19</v>
          </cell>
          <cell r="AJ31">
            <v>99226.377974494768</v>
          </cell>
          <cell r="AL31">
            <v>0.77965359745781893</v>
          </cell>
          <cell r="AM31">
            <v>21.617508930183661</v>
          </cell>
          <cell r="AN31">
            <v>21.285677909433474</v>
          </cell>
          <cell r="AO31">
            <v>3026.5009694668629</v>
          </cell>
          <cell r="AQ31">
            <v>0.84974906587347299</v>
          </cell>
        </row>
        <row r="32">
          <cell r="AF32">
            <v>37869</v>
          </cell>
          <cell r="AG32">
            <v>15</v>
          </cell>
          <cell r="AH32">
            <v>11</v>
          </cell>
          <cell r="AI32">
            <v>18</v>
          </cell>
          <cell r="AJ32">
            <v>99150.420701958385</v>
          </cell>
          <cell r="AL32">
            <v>0.85685899467378146</v>
          </cell>
          <cell r="AM32">
            <v>21.587304995665392</v>
          </cell>
          <cell r="AN32">
            <v>21.285677909433652</v>
          </cell>
          <cell r="AO32">
            <v>3028.6710676339044</v>
          </cell>
          <cell r="AQ32">
            <v>0.92206156727439037</v>
          </cell>
        </row>
        <row r="33">
          <cell r="AF33">
            <v>37872</v>
          </cell>
          <cell r="AG33">
            <v>18</v>
          </cell>
          <cell r="AH33">
            <v>12</v>
          </cell>
          <cell r="AI33">
            <v>17</v>
          </cell>
          <cell r="AJ33">
            <v>99074.521574316212</v>
          </cell>
          <cell r="AL33">
            <v>0.93412353749251498</v>
          </cell>
          <cell r="AM33">
            <v>21.562140780398508</v>
          </cell>
          <cell r="AN33">
            <v>21.285677909433698</v>
          </cell>
          <cell r="AO33">
            <v>3030.8427218308639</v>
          </cell>
          <cell r="AQ33">
            <v>0.99442591905578581</v>
          </cell>
        </row>
        <row r="34">
          <cell r="AF34">
            <v>37873</v>
          </cell>
          <cell r="AG34">
            <v>19</v>
          </cell>
          <cell r="AH34">
            <v>13</v>
          </cell>
          <cell r="AI34">
            <v>16</v>
          </cell>
          <cell r="AJ34">
            <v>98998.680547058655</v>
          </cell>
          <cell r="AL34">
            <v>1.0114472712243527</v>
          </cell>
          <cell r="AM34">
            <v>21.540852050765793</v>
          </cell>
          <cell r="AN34">
            <v>21.285677909433854</v>
          </cell>
          <cell r="AO34">
            <v>3033.0159331734644</v>
          </cell>
          <cell r="AQ34">
            <v>1.0668421583960086</v>
          </cell>
        </row>
        <row r="35">
          <cell r="AF35">
            <v>37874</v>
          </cell>
          <cell r="AG35">
            <v>20</v>
          </cell>
          <cell r="AH35">
            <v>14</v>
          </cell>
          <cell r="AI35">
            <v>15</v>
          </cell>
          <cell r="AJ35">
            <v>98922.897575710158</v>
          </cell>
          <cell r="AL35">
            <v>1.0888302412143558</v>
          </cell>
          <cell r="AM35">
            <v>21.52260753560482</v>
          </cell>
          <cell r="AN35">
            <v>21.285677909433321</v>
          </cell>
          <cell r="AO35">
            <v>3035.190702778229</v>
          </cell>
          <cell r="AQ35">
            <v>1.1393103225001422</v>
          </cell>
        </row>
        <row r="36">
          <cell r="AF36">
            <v>37875</v>
          </cell>
          <cell r="AG36">
            <v>21</v>
          </cell>
          <cell r="AH36">
            <v>15</v>
          </cell>
          <cell r="AI36">
            <v>14</v>
          </cell>
          <cell r="AJ36">
            <v>98847.172615829244</v>
          </cell>
          <cell r="AL36">
            <v>1.1662724928422907</v>
          </cell>
          <cell r="AM36">
            <v>21.506797837773362</v>
          </cell>
          <cell r="AN36">
            <v>21.28567790943352</v>
          </cell>
          <cell r="AO36">
            <v>3037.3670317624819</v>
          </cell>
          <cell r="AQ36">
            <v>1.211830448599871</v>
          </cell>
        </row>
        <row r="37">
          <cell r="AF37">
            <v>37876</v>
          </cell>
          <cell r="AG37">
            <v>22</v>
          </cell>
          <cell r="AH37">
            <v>16</v>
          </cell>
          <cell r="AI37">
            <v>13</v>
          </cell>
          <cell r="AJ37">
            <v>98771.50562300843</v>
          </cell>
          <cell r="AL37">
            <v>1.2437740715226964</v>
          </cell>
          <cell r="AM37">
            <v>21.492966039390705</v>
          </cell>
          <cell r="AN37">
            <v>21.285677909433474</v>
          </cell>
          <cell r="AO37">
            <v>3039.5449212443482</v>
          </cell>
          <cell r="AQ37">
            <v>1.2844025739536136</v>
          </cell>
        </row>
        <row r="38">
          <cell r="AF38">
            <v>37879</v>
          </cell>
          <cell r="AG38">
            <v>25</v>
          </cell>
          <cell r="AH38">
            <v>17</v>
          </cell>
          <cell r="AI38">
            <v>12</v>
          </cell>
          <cell r="AJ38">
            <v>98695.896552874226</v>
          </cell>
          <cell r="AL38">
            <v>1.3213350227049503</v>
          </cell>
          <cell r="AM38">
            <v>21.480762818997889</v>
          </cell>
          <cell r="AN38">
            <v>21.285677909433677</v>
          </cell>
          <cell r="AO38">
            <v>3041.7243723427546</v>
          </cell>
          <cell r="AQ38">
            <v>1.3570267358465449</v>
          </cell>
        </row>
        <row r="39">
          <cell r="AF39">
            <v>37880</v>
          </cell>
          <cell r="AG39">
            <v>26</v>
          </cell>
          <cell r="AH39">
            <v>18</v>
          </cell>
          <cell r="AI39">
            <v>11</v>
          </cell>
          <cell r="AJ39">
            <v>98620.345361087137</v>
          </cell>
          <cell r="AL39">
            <v>1.3989553918731579</v>
          </cell>
          <cell r="AM39">
            <v>21.469916541000256</v>
          </cell>
          <cell r="AN39">
            <v>21.285677909433787</v>
          </cell>
          <cell r="AO39">
            <v>3043.9053861774305</v>
          </cell>
          <cell r="AQ39">
            <v>1.4297029715904852</v>
          </cell>
        </row>
        <row r="40">
          <cell r="AF40">
            <v>37881</v>
          </cell>
          <cell r="AG40">
            <v>27</v>
          </cell>
          <cell r="AH40">
            <v>19</v>
          </cell>
          <cell r="AI40">
            <v>10</v>
          </cell>
          <cell r="AJ40">
            <v>98544.85200334157</v>
          </cell>
          <cell r="AL40">
            <v>1.4766352245463743</v>
          </cell>
          <cell r="AM40">
            <v>21.46021279733754</v>
          </cell>
          <cell r="AN40">
            <v>21.285677909433321</v>
          </cell>
          <cell r="AO40">
            <v>3046.0879638689075</v>
          </cell>
          <cell r="AQ40">
            <v>1.5024313185240779</v>
          </cell>
        </row>
        <row r="41">
          <cell r="AF41">
            <v>37882</v>
          </cell>
          <cell r="AG41">
            <v>28</v>
          </cell>
          <cell r="AH41">
            <v>20</v>
          </cell>
          <cell r="AI41">
            <v>9</v>
          </cell>
          <cell r="AJ41">
            <v>98469.416435365885</v>
          </cell>
          <cell r="AL41">
            <v>1.554374566278427</v>
          </cell>
          <cell r="AM41">
            <v>21.451480090832597</v>
          </cell>
          <cell r="AN41">
            <v>21.285677909433652</v>
          </cell>
          <cell r="AO41">
            <v>3048.2721065385213</v>
          </cell>
          <cell r="AQ41">
            <v>1.5752118140127003</v>
          </cell>
        </row>
        <row r="42">
          <cell r="AF42">
            <v>37883</v>
          </cell>
          <cell r="AG42">
            <v>29</v>
          </cell>
          <cell r="AH42">
            <v>21</v>
          </cell>
          <cell r="AI42">
            <v>8</v>
          </cell>
          <cell r="AJ42">
            <v>98394.038612922319</v>
          </cell>
          <cell r="AL42">
            <v>1.632173462658093</v>
          </cell>
          <cell r="AM42">
            <v>21.443579611676821</v>
          </cell>
          <cell r="AN42">
            <v>21.28567790943352</v>
          </cell>
          <cell r="AO42">
            <v>3050.4578153084108</v>
          </cell>
          <cell r="AQ42">
            <v>1.6480444954485529</v>
          </cell>
        </row>
        <row r="43">
          <cell r="AF43">
            <v>37886</v>
          </cell>
          <cell r="AG43">
            <v>32</v>
          </cell>
          <cell r="AH43">
            <v>22</v>
          </cell>
          <cell r="AI43">
            <v>7</v>
          </cell>
          <cell r="AJ43">
            <v>98318.718491806954</v>
          </cell>
          <cell r="AL43">
            <v>1.7100319593090996</v>
          </cell>
          <cell r="AM43">
            <v>21.436397803872296</v>
          </cell>
          <cell r="AN43">
            <v>21.28567790943352</v>
          </cell>
          <cell r="AO43">
            <v>3052.6450913015206</v>
          </cell>
          <cell r="AQ43">
            <v>1.7209294002505926</v>
          </cell>
        </row>
        <row r="44">
          <cell r="AF44">
            <v>37887</v>
          </cell>
          <cell r="AG44">
            <v>33</v>
          </cell>
          <cell r="AH44">
            <v>23</v>
          </cell>
          <cell r="AI44">
            <v>6</v>
          </cell>
          <cell r="AJ44">
            <v>98243.456027849737</v>
          </cell>
          <cell r="AL44">
            <v>1.7879501018900568</v>
          </cell>
          <cell r="AM44">
            <v>21.429840872013916</v>
          </cell>
          <cell r="AN44">
            <v>21.285677909433677</v>
          </cell>
          <cell r="AO44">
            <v>3054.8339356416</v>
          </cell>
          <cell r="AQ44">
            <v>1.7938665658647102</v>
          </cell>
        </row>
        <row r="45">
          <cell r="AF45">
            <v>37888</v>
          </cell>
          <cell r="AG45">
            <v>34</v>
          </cell>
          <cell r="AH45">
            <v>24</v>
          </cell>
          <cell r="AI45">
            <v>5</v>
          </cell>
          <cell r="AJ45">
            <v>98168.251176914418</v>
          </cell>
          <cell r="AL45">
            <v>1.8659279360946135</v>
          </cell>
          <cell r="AM45">
            <v>21.423830662158693</v>
          </cell>
          <cell r="AN45">
            <v>21.285677909434142</v>
          </cell>
          <cell r="AO45">
            <v>3057.0243494532037</v>
          </cell>
          <cell r="AQ45">
            <v>1.8668560297635306</v>
          </cell>
        </row>
        <row r="46">
          <cell r="AF46">
            <v>37889</v>
          </cell>
          <cell r="AG46">
            <v>35</v>
          </cell>
          <cell r="AH46">
            <v>25</v>
          </cell>
          <cell r="AI46">
            <v>4</v>
          </cell>
          <cell r="AJ46">
            <v>98093.103894898522</v>
          </cell>
          <cell r="AL46">
            <v>1.9439655076513906</v>
          </cell>
          <cell r="AM46">
            <v>21.418301531824181</v>
          </cell>
          <cell r="AN46">
            <v>21.285677909434231</v>
          </cell>
          <cell r="AO46">
            <v>3059.2163338616933</v>
          </cell>
          <cell r="AQ46">
            <v>1.9398978294466351</v>
          </cell>
        </row>
        <row r="47">
          <cell r="AF47">
            <v>37890</v>
          </cell>
          <cell r="AG47">
            <v>36</v>
          </cell>
          <cell r="AH47">
            <v>26</v>
          </cell>
          <cell r="AI47">
            <v>3</v>
          </cell>
          <cell r="AJ47">
            <v>98018.014137733349</v>
          </cell>
          <cell r="AL47">
            <v>2.0220628623240477</v>
          </cell>
          <cell r="AM47">
            <v>21.413197942675353</v>
          </cell>
          <cell r="AN47">
            <v>21.285677909434717</v>
          </cell>
          <cell r="AO47">
            <v>3061.4098899932369</v>
          </cell>
          <cell r="AQ47">
            <v>2.0129920024404058</v>
          </cell>
        </row>
        <row r="48">
          <cell r="AF48">
            <v>37893</v>
          </cell>
          <cell r="AG48">
            <v>39</v>
          </cell>
          <cell r="AH48">
            <v>27</v>
          </cell>
          <cell r="AI48">
            <v>2</v>
          </cell>
          <cell r="AJ48">
            <v>97942.981861383916</v>
          </cell>
          <cell r="AL48">
            <v>2.1002200459113274</v>
          </cell>
          <cell r="AM48">
            <v>21.408472588440318</v>
          </cell>
          <cell r="AN48">
            <v>21.285677909434231</v>
          </cell>
          <cell r="AO48">
            <v>3063.6050189748107</v>
          </cell>
          <cell r="AQ48">
            <v>2.0861385862982473</v>
          </cell>
        </row>
        <row r="49">
          <cell r="AF49">
            <v>37894</v>
          </cell>
          <cell r="AG49">
            <v>40</v>
          </cell>
          <cell r="AH49">
            <v>28</v>
          </cell>
          <cell r="AI49">
            <v>1</v>
          </cell>
          <cell r="AJ49">
            <v>97868.007021848971</v>
          </cell>
          <cell r="AL49">
            <v>2.1784371042470108</v>
          </cell>
          <cell r="AM49">
            <v>21.404084924181465</v>
          </cell>
          <cell r="AN49">
            <v>21.285677909434231</v>
          </cell>
          <cell r="AO49">
            <v>3065.8017219341982</v>
          </cell>
          <cell r="AQ49">
            <v>2.1593376186004098</v>
          </cell>
        </row>
        <row r="50">
          <cell r="AF50">
            <v>37895</v>
          </cell>
          <cell r="AG50">
            <v>41</v>
          </cell>
          <cell r="AH50">
            <v>29</v>
          </cell>
          <cell r="AI50">
            <v>23</v>
          </cell>
          <cell r="AJ50">
            <v>97793.089575160921</v>
          </cell>
          <cell r="AK50">
            <v>1.0007357375846868</v>
          </cell>
          <cell r="AL50">
            <v>2.2567140832000288</v>
          </cell>
          <cell r="AM50">
            <v>21.400000000000041</v>
          </cell>
          <cell r="AN50">
            <v>20.36248353011829</v>
          </cell>
          <cell r="AO50">
            <v>3068</v>
          </cell>
          <cell r="AQ50">
            <v>2.2325891369543438</v>
          </cell>
        </row>
        <row r="51">
          <cell r="AF51">
            <v>37896</v>
          </cell>
          <cell r="AG51">
            <v>42</v>
          </cell>
          <cell r="AH51">
            <v>30</v>
          </cell>
          <cell r="AI51">
            <v>22</v>
          </cell>
          <cell r="AJ51">
            <v>97721.192421076325</v>
          </cell>
          <cell r="AL51">
            <v>2.3319481910376139</v>
          </cell>
          <cell r="AM51">
            <v>21.365272456760831</v>
          </cell>
          <cell r="AN51">
            <v>20.362483530118467</v>
          </cell>
          <cell r="AQ51">
            <v>-100</v>
          </cell>
        </row>
        <row r="52">
          <cell r="AF52">
            <v>37897</v>
          </cell>
          <cell r="AG52">
            <v>43</v>
          </cell>
          <cell r="AH52">
            <v>31</v>
          </cell>
          <cell r="AI52">
            <v>21</v>
          </cell>
          <cell r="AJ52">
            <v>97649.3481255402</v>
          </cell>
          <cell r="AL52">
            <v>2.4072376514359783</v>
          </cell>
          <cell r="AM52">
            <v>21.332794393666266</v>
          </cell>
          <cell r="AN52">
            <v>20.362483530118425</v>
          </cell>
          <cell r="AQ52">
            <v>-100</v>
          </cell>
        </row>
        <row r="53">
          <cell r="AF53">
            <v>37900</v>
          </cell>
          <cell r="AG53">
            <v>46</v>
          </cell>
          <cell r="AH53">
            <v>32</v>
          </cell>
          <cell r="AI53">
            <v>20</v>
          </cell>
          <cell r="AJ53">
            <v>97577.55664969112</v>
          </cell>
          <cell r="AL53">
            <v>2.4825825051201011</v>
          </cell>
          <cell r="AM53">
            <v>21.302354103044419</v>
          </cell>
          <cell r="AN53">
            <v>20.362483530118382</v>
          </cell>
          <cell r="AQ53">
            <v>-100</v>
          </cell>
        </row>
        <row r="54">
          <cell r="AF54">
            <v>37901</v>
          </cell>
          <cell r="AG54">
            <v>47</v>
          </cell>
          <cell r="AH54">
            <v>33</v>
          </cell>
          <cell r="AI54">
            <v>19</v>
          </cell>
          <cell r="AJ54">
            <v>97505.81795469622</v>
          </cell>
          <cell r="AL54">
            <v>2.5579827928448706</v>
          </cell>
          <cell r="AM54">
            <v>21.273765635254449</v>
          </cell>
          <cell r="AN54">
            <v>20.36248353011856</v>
          </cell>
          <cell r="AQ54">
            <v>-100</v>
          </cell>
        </row>
        <row r="55">
          <cell r="AF55">
            <v>37902</v>
          </cell>
          <cell r="AG55">
            <v>48</v>
          </cell>
          <cell r="AH55">
            <v>34</v>
          </cell>
          <cell r="AI55">
            <v>18</v>
          </cell>
          <cell r="AJ55">
            <v>97434.13200175119</v>
          </cell>
          <cell r="AL55">
            <v>2.63343855539524</v>
          </cell>
          <cell r="AM55">
            <v>21.246864996935177</v>
          </cell>
          <cell r="AN55">
            <v>20.362483530118226</v>
          </cell>
          <cell r="AQ55">
            <v>-100</v>
          </cell>
        </row>
        <row r="56">
          <cell r="AF56">
            <v>37903</v>
          </cell>
          <cell r="AG56">
            <v>49</v>
          </cell>
          <cell r="AH56">
            <v>35</v>
          </cell>
          <cell r="AI56">
            <v>17</v>
          </cell>
          <cell r="AJ56">
            <v>97362.498752080268</v>
          </cell>
          <cell r="AL56">
            <v>2.708949833586094</v>
          </cell>
          <cell r="AM56">
            <v>21.221507003284955</v>
          </cell>
          <cell r="AN56">
            <v>20.362483530118336</v>
          </cell>
          <cell r="AQ56">
            <v>-100</v>
          </cell>
        </row>
        <row r="57">
          <cell r="AF57">
            <v>37904</v>
          </cell>
          <cell r="AG57">
            <v>50</v>
          </cell>
          <cell r="AH57">
            <v>36</v>
          </cell>
          <cell r="AI57">
            <v>16</v>
          </cell>
          <cell r="AJ57">
            <v>97290.918166936157</v>
          </cell>
          <cell r="AL57">
            <v>2.7845166682623823</v>
          </cell>
          <cell r="AM57">
            <v>21.197562656767555</v>
          </cell>
          <cell r="AN57">
            <v>20.362483530118269</v>
          </cell>
          <cell r="AQ57">
            <v>-100</v>
          </cell>
        </row>
        <row r="58">
          <cell r="AF58">
            <v>37907</v>
          </cell>
          <cell r="AG58">
            <v>53</v>
          </cell>
          <cell r="AH58">
            <v>37</v>
          </cell>
          <cell r="AI58">
            <v>15</v>
          </cell>
          <cell r="AJ58">
            <v>97219.390207600096</v>
          </cell>
          <cell r="AL58">
            <v>2.860139100299075</v>
          </cell>
          <cell r="AM58">
            <v>21.174916952313794</v>
          </cell>
          <cell r="AN58">
            <v>20.362483530118091</v>
          </cell>
          <cell r="AQ58">
            <v>-100</v>
          </cell>
        </row>
        <row r="59">
          <cell r="AF59">
            <v>37908</v>
          </cell>
          <cell r="AG59">
            <v>54</v>
          </cell>
          <cell r="AH59">
            <v>38</v>
          </cell>
          <cell r="AI59">
            <v>14</v>
          </cell>
          <cell r="AJ59">
            <v>97147.914835381758</v>
          </cell>
          <cell r="AL59">
            <v>2.9358171706012737</v>
          </cell>
          <cell r="AM59">
            <v>21.153467030200868</v>
          </cell>
          <cell r="AN59">
            <v>20.362483530118535</v>
          </cell>
          <cell r="AQ59">
            <v>-100</v>
          </cell>
        </row>
        <row r="60">
          <cell r="AF60">
            <v>37909</v>
          </cell>
          <cell r="AG60">
            <v>55</v>
          </cell>
          <cell r="AH60">
            <v>39</v>
          </cell>
          <cell r="AI60">
            <v>13</v>
          </cell>
          <cell r="AJ60">
            <v>97076.492011619266</v>
          </cell>
          <cell r="AL60">
            <v>3.0115509201041224</v>
          </cell>
          <cell r="AM60">
            <v>21.133120614004874</v>
          </cell>
          <cell r="AN60">
            <v>20.362483530118691</v>
          </cell>
          <cell r="AQ60">
            <v>-100</v>
          </cell>
        </row>
        <row r="61">
          <cell r="AF61">
            <v>37910</v>
          </cell>
          <cell r="AG61">
            <v>56</v>
          </cell>
          <cell r="AH61">
            <v>40</v>
          </cell>
          <cell r="AI61">
            <v>12</v>
          </cell>
          <cell r="AJ61">
            <v>97005.121697679162</v>
          </cell>
          <cell r="AL61">
            <v>3.0873403897729412</v>
          </cell>
          <cell r="AM61">
            <v>21.113794683587738</v>
          </cell>
          <cell r="AN61">
            <v>20.362483530118336</v>
          </cell>
          <cell r="AQ61">
            <v>-100</v>
          </cell>
        </row>
        <row r="62">
          <cell r="AF62">
            <v>37911</v>
          </cell>
          <cell r="AG62">
            <v>57</v>
          </cell>
          <cell r="AH62">
            <v>41</v>
          </cell>
          <cell r="AI62">
            <v>11</v>
          </cell>
          <cell r="AJ62">
            <v>96933.803854956408</v>
          </cell>
          <cell r="AL62">
            <v>3.1631856206030928</v>
          </cell>
          <cell r="AM62">
            <v>21.095414342866036</v>
          </cell>
          <cell r="AN62">
            <v>20.362483530118027</v>
          </cell>
          <cell r="AQ62">
            <v>-100</v>
          </cell>
        </row>
        <row r="63">
          <cell r="AF63">
            <v>37914</v>
          </cell>
          <cell r="AG63">
            <v>60</v>
          </cell>
          <cell r="AH63">
            <v>42</v>
          </cell>
          <cell r="AI63">
            <v>10</v>
          </cell>
          <cell r="AJ63">
            <v>96862.538444874343</v>
          </cell>
          <cell r="AL63">
            <v>3.2390866536202045</v>
          </cell>
          <cell r="AM63">
            <v>21.077911849806675</v>
          </cell>
          <cell r="AN63">
            <v>20.362483530117959</v>
          </cell>
          <cell r="AQ63">
            <v>-100</v>
          </cell>
        </row>
        <row r="64">
          <cell r="AF64">
            <v>37915</v>
          </cell>
          <cell r="AG64">
            <v>61</v>
          </cell>
          <cell r="AH64">
            <v>43</v>
          </cell>
          <cell r="AI64">
            <v>9</v>
          </cell>
          <cell r="AJ64">
            <v>96791.325428884666</v>
          </cell>
          <cell r="AL64">
            <v>3.3150435298799907</v>
          </cell>
          <cell r="AM64">
            <v>21.061225782159475</v>
          </cell>
          <cell r="AN64">
            <v>20.362483530118226</v>
          </cell>
          <cell r="AQ64">
            <v>-100</v>
          </cell>
        </row>
        <row r="65">
          <cell r="AF65">
            <v>37916</v>
          </cell>
          <cell r="AG65">
            <v>62</v>
          </cell>
          <cell r="AH65">
            <v>44</v>
          </cell>
          <cell r="AI65">
            <v>8</v>
          </cell>
          <cell r="AJ65">
            <v>96720.16476846741</v>
          </cell>
          <cell r="AL65">
            <v>3.3910562904684749</v>
          </cell>
          <cell r="AM65">
            <v>21.045300317276361</v>
          </cell>
          <cell r="AN65">
            <v>20.362483530118247</v>
          </cell>
          <cell r="AQ65">
            <v>-100</v>
          </cell>
        </row>
        <row r="66">
          <cell r="AF66">
            <v>37917</v>
          </cell>
          <cell r="AG66">
            <v>63</v>
          </cell>
          <cell r="AH66">
            <v>45</v>
          </cell>
          <cell r="AI66">
            <v>7</v>
          </cell>
          <cell r="AJ66">
            <v>96649.056425130926</v>
          </cell>
          <cell r="AL66">
            <v>3.4671249765018342</v>
          </cell>
          <cell r="AM66">
            <v>21.030084608216825</v>
          </cell>
          <cell r="AN66">
            <v>20.362483530118535</v>
          </cell>
          <cell r="AQ66">
            <v>-100</v>
          </cell>
        </row>
        <row r="67">
          <cell r="AF67">
            <v>37918</v>
          </cell>
          <cell r="AG67">
            <v>64</v>
          </cell>
          <cell r="AH67">
            <v>46</v>
          </cell>
          <cell r="AI67">
            <v>6</v>
          </cell>
          <cell r="AJ67">
            <v>96578.000360411868</v>
          </cell>
          <cell r="AL67">
            <v>3.5432496291265547</v>
          </cell>
          <cell r="AM67">
            <v>21.015532241452274</v>
          </cell>
          <cell r="AN67">
            <v>20.362483530118336</v>
          </cell>
          <cell r="AQ67">
            <v>-100</v>
          </cell>
        </row>
        <row r="68">
          <cell r="AF68">
            <v>37921</v>
          </cell>
          <cell r="AG68">
            <v>67</v>
          </cell>
          <cell r="AH68">
            <v>47</v>
          </cell>
          <cell r="AI68">
            <v>5</v>
          </cell>
          <cell r="AJ68">
            <v>96506.99653587518</v>
          </cell>
          <cell r="AL68">
            <v>3.6194302895193209</v>
          </cell>
          <cell r="AM68">
            <v>21.001600763980164</v>
          </cell>
          <cell r="AN68">
            <v>20.362483530118492</v>
          </cell>
          <cell r="AQ68">
            <v>-100</v>
          </cell>
        </row>
        <row r="69">
          <cell r="AF69">
            <v>37922</v>
          </cell>
          <cell r="AG69">
            <v>68</v>
          </cell>
          <cell r="AH69">
            <v>48</v>
          </cell>
          <cell r="AI69">
            <v>4</v>
          </cell>
          <cell r="AJ69">
            <v>96436.044913114063</v>
          </cell>
          <cell r="AL69">
            <v>3.6956669988871482</v>
          </cell>
          <cell r="AM69">
            <v>20.988251269703539</v>
          </cell>
          <cell r="AN69">
            <v>20.36248353011738</v>
          </cell>
          <cell r="AQ69">
            <v>-100</v>
          </cell>
        </row>
        <row r="70">
          <cell r="AF70">
            <v>37923</v>
          </cell>
          <cell r="AG70">
            <v>69</v>
          </cell>
          <cell r="AH70">
            <v>49</v>
          </cell>
          <cell r="AI70">
            <v>3</v>
          </cell>
          <cell r="AJ70">
            <v>96365.145453749923</v>
          </cell>
          <cell r="AL70">
            <v>3.7719597984673836</v>
          </cell>
          <cell r="AM70">
            <v>20.975448036585021</v>
          </cell>
          <cell r="AN70">
            <v>20.36248353011727</v>
          </cell>
          <cell r="AQ70">
            <v>-100</v>
          </cell>
        </row>
        <row r="71">
          <cell r="AF71">
            <v>37924</v>
          </cell>
          <cell r="AG71">
            <v>70</v>
          </cell>
          <cell r="AH71">
            <v>50</v>
          </cell>
          <cell r="AI71">
            <v>2</v>
          </cell>
          <cell r="AJ71">
            <v>96294.298119432424</v>
          </cell>
          <cell r="AL71">
            <v>3.8483087295277274</v>
          </cell>
          <cell r="AM71">
            <v>20.963158207450338</v>
          </cell>
          <cell r="AN71">
            <v>20.36248353011738</v>
          </cell>
          <cell r="AQ71">
            <v>-100</v>
          </cell>
        </row>
        <row r="72">
          <cell r="AF72">
            <v>37925</v>
          </cell>
          <cell r="AG72">
            <v>71</v>
          </cell>
          <cell r="AH72">
            <v>51</v>
          </cell>
          <cell r="AI72">
            <v>1</v>
          </cell>
          <cell r="AJ72">
            <v>96223.502871839388</v>
          </cell>
          <cell r="AL72">
            <v>3.9247138333662113</v>
          </cell>
          <cell r="AM72">
            <v>20.951351508435835</v>
          </cell>
          <cell r="AN72">
            <v>20.362483530110744</v>
          </cell>
          <cell r="AQ72">
            <v>-100</v>
          </cell>
        </row>
        <row r="73">
          <cell r="AF73">
            <v>37928</v>
          </cell>
          <cell r="AG73">
            <v>74</v>
          </cell>
          <cell r="AH73">
            <v>52</v>
          </cell>
          <cell r="AI73">
            <v>20</v>
          </cell>
          <cell r="AJ73">
            <v>96152.759672676853</v>
          </cell>
          <cell r="AK73">
            <v>1.000720424551319</v>
          </cell>
          <cell r="AL73">
            <v>4.0011751513112204</v>
          </cell>
          <cell r="AM73">
            <v>20.940000000000047</v>
          </cell>
          <cell r="AN73">
            <v>19.899250246673983</v>
          </cell>
          <cell r="AQ73">
            <v>-100</v>
          </cell>
        </row>
        <row r="74">
          <cell r="AF74">
            <v>37929</v>
          </cell>
          <cell r="AG74">
            <v>75</v>
          </cell>
          <cell r="AH74">
            <v>53</v>
          </cell>
          <cell r="AI74">
            <v>19</v>
          </cell>
          <cell r="AJ74">
            <v>96083.538732396424</v>
          </cell>
          <cell r="AL74">
            <v>4.0761001512562567</v>
          </cell>
          <cell r="AM74">
            <v>20.920279840016541</v>
          </cell>
          <cell r="AN74">
            <v>19.899250246673962</v>
          </cell>
          <cell r="AQ74">
            <v>-100</v>
          </cell>
        </row>
        <row r="75">
          <cell r="AF75">
            <v>37930</v>
          </cell>
          <cell r="AG75">
            <v>76</v>
          </cell>
          <cell r="AH75">
            <v>54</v>
          </cell>
          <cell r="AI75">
            <v>18</v>
          </cell>
          <cell r="AJ75">
            <v>96014.367624680235</v>
          </cell>
          <cell r="AL75">
            <v>4.1510791290107596</v>
          </cell>
          <cell r="AM75">
            <v>20.901293095418062</v>
          </cell>
          <cell r="AN75">
            <v>19.899250246674271</v>
          </cell>
          <cell r="AQ75">
            <v>-100</v>
          </cell>
        </row>
        <row r="76">
          <cell r="AF76">
            <v>37931</v>
          </cell>
          <cell r="AG76">
            <v>77</v>
          </cell>
          <cell r="AH76">
            <v>55</v>
          </cell>
          <cell r="AI76">
            <v>17</v>
          </cell>
          <cell r="AJ76">
            <v>95945.246313653523</v>
          </cell>
          <cell r="AL76">
            <v>4.2261121234616672</v>
          </cell>
          <cell r="AM76">
            <v>20.882999598531281</v>
          </cell>
          <cell r="AN76">
            <v>19.899250246674537</v>
          </cell>
          <cell r="AQ76">
            <v>-100</v>
          </cell>
        </row>
        <row r="77">
          <cell r="AF77">
            <v>37932</v>
          </cell>
          <cell r="AG77">
            <v>78</v>
          </cell>
          <cell r="AH77">
            <v>56</v>
          </cell>
          <cell r="AI77">
            <v>16</v>
          </cell>
          <cell r="AJ77">
            <v>95876.174763467367</v>
          </cell>
          <cell r="AL77">
            <v>4.3011991735239397</v>
          </cell>
          <cell r="AM77">
            <v>20.865362062281822</v>
          </cell>
          <cell r="AN77">
            <v>19.899250246674384</v>
          </cell>
          <cell r="AQ77">
            <v>-100</v>
          </cell>
        </row>
        <row r="78">
          <cell r="AF78">
            <v>37935</v>
          </cell>
          <cell r="AG78">
            <v>81</v>
          </cell>
          <cell r="AH78">
            <v>57</v>
          </cell>
          <cell r="AI78">
            <v>15</v>
          </cell>
          <cell r="AJ78">
            <v>95807.152938298634</v>
          </cell>
          <cell r="AL78">
            <v>4.3763403181405813</v>
          </cell>
          <cell r="AM78">
            <v>20.848345826518266</v>
          </cell>
          <cell r="AN78">
            <v>19.899250246674761</v>
          </cell>
          <cell r="AQ78">
            <v>-100</v>
          </cell>
        </row>
        <row r="79">
          <cell r="AF79">
            <v>37936</v>
          </cell>
          <cell r="AG79">
            <v>82</v>
          </cell>
          <cell r="AH79">
            <v>58</v>
          </cell>
          <cell r="AI79">
            <v>14</v>
          </cell>
          <cell r="AJ79">
            <v>95738.180802350005</v>
          </cell>
          <cell r="AL79">
            <v>4.4515355962825964</v>
          </cell>
          <cell r="AM79">
            <v>20.831918630679326</v>
          </cell>
          <cell r="AN79">
            <v>19.899250246674605</v>
          </cell>
          <cell r="AQ79">
            <v>-100</v>
          </cell>
        </row>
        <row r="80">
          <cell r="AF80">
            <v>37937</v>
          </cell>
          <cell r="AG80">
            <v>83</v>
          </cell>
          <cell r="AH80">
            <v>59</v>
          </cell>
          <cell r="AI80">
            <v>13</v>
          </cell>
          <cell r="AJ80">
            <v>95669.258319849905</v>
          </cell>
          <cell r="AL80">
            <v>4.5267850469491222</v>
          </cell>
          <cell r="AM80">
            <v>20.81605040966792</v>
          </cell>
          <cell r="AN80">
            <v>19.899250246675116</v>
          </cell>
          <cell r="AQ80">
            <v>-100</v>
          </cell>
        </row>
        <row r="81">
          <cell r="AF81">
            <v>37938</v>
          </cell>
          <cell r="AG81">
            <v>84</v>
          </cell>
          <cell r="AH81">
            <v>60</v>
          </cell>
          <cell r="AI81">
            <v>12</v>
          </cell>
          <cell r="AJ81">
            <v>95600.385455052528</v>
          </cell>
          <cell r="AL81">
            <v>4.6020887091673846</v>
          </cell>
          <cell r="AM81">
            <v>20.80071311021312</v>
          </cell>
          <cell r="AN81">
            <v>19.899250246675869</v>
          </cell>
          <cell r="AQ81">
            <v>-100</v>
          </cell>
        </row>
        <row r="82">
          <cell r="AF82">
            <v>37939</v>
          </cell>
          <cell r="AG82">
            <v>85</v>
          </cell>
          <cell r="AH82">
            <v>61</v>
          </cell>
          <cell r="AI82">
            <v>11</v>
          </cell>
          <cell r="AJ82">
            <v>95531.562172237784</v>
          </cell>
          <cell r="AL82">
            <v>4.6774466219927202</v>
          </cell>
          <cell r="AM82">
            <v>20.785880525361257</v>
          </cell>
          <cell r="AN82">
            <v>19.899250246675713</v>
          </cell>
          <cell r="AQ82">
            <v>-100</v>
          </cell>
        </row>
        <row r="83">
          <cell r="AF83">
            <v>37942</v>
          </cell>
          <cell r="AG83">
            <v>88</v>
          </cell>
          <cell r="AH83">
            <v>62</v>
          </cell>
          <cell r="AI83">
            <v>10</v>
          </cell>
          <cell r="AJ83">
            <v>95462.788435711322</v>
          </cell>
          <cell r="AL83">
            <v>4.752858824508599</v>
          </cell>
          <cell r="AM83">
            <v>20.771528145041906</v>
          </cell>
          <cell r="AN83">
            <v>19.899250246676115</v>
          </cell>
          <cell r="AQ83">
            <v>-100</v>
          </cell>
        </row>
        <row r="84">
          <cell r="AF84">
            <v>37943</v>
          </cell>
          <cell r="AG84">
            <v>89</v>
          </cell>
          <cell r="AH84">
            <v>63</v>
          </cell>
          <cell r="AI84">
            <v>9</v>
          </cell>
          <cell r="AJ84">
            <v>95394.064209804477</v>
          </cell>
          <cell r="AL84">
            <v>4.8283253558266237</v>
          </cell>
          <cell r="AM84">
            <v>20.757633020915954</v>
          </cell>
          <cell r="AN84">
            <v>19.899250246677159</v>
          </cell>
          <cell r="AQ84">
            <v>-100</v>
          </cell>
        </row>
        <row r="85">
          <cell r="AF85">
            <v>37944</v>
          </cell>
          <cell r="AG85">
            <v>90</v>
          </cell>
          <cell r="AH85">
            <v>64</v>
          </cell>
          <cell r="AI85">
            <v>8</v>
          </cell>
          <cell r="AJ85">
            <v>95325.389458874255</v>
          </cell>
          <cell r="AL85">
            <v>4.9038462550866191</v>
          </cell>
          <cell r="AM85">
            <v>20.744173643938947</v>
          </cell>
          <cell r="AN85">
            <v>19.899250246677582</v>
          </cell>
          <cell r="AQ85">
            <v>-100</v>
          </cell>
        </row>
        <row r="86">
          <cell r="AF86">
            <v>37945</v>
          </cell>
          <cell r="AG86">
            <v>91</v>
          </cell>
          <cell r="AH86">
            <v>65</v>
          </cell>
          <cell r="AI86">
            <v>7</v>
          </cell>
          <cell r="AJ86">
            <v>95256.764147303329</v>
          </cell>
          <cell r="AL86">
            <v>4.9794215614565873</v>
          </cell>
          <cell r="AM86">
            <v>20.731129833264351</v>
          </cell>
          <cell r="AN86">
            <v>19.899250246678424</v>
          </cell>
          <cell r="AQ86">
            <v>-100</v>
          </cell>
        </row>
        <row r="87">
          <cell r="AF87">
            <v>37946</v>
          </cell>
          <cell r="AG87">
            <v>92</v>
          </cell>
          <cell r="AH87">
            <v>66</v>
          </cell>
          <cell r="AI87">
            <v>6</v>
          </cell>
          <cell r="AJ87">
            <v>95188.188239500014</v>
          </cell>
          <cell r="AL87">
            <v>5.0550513141327302</v>
          </cell>
          <cell r="AM87">
            <v>20.718482635281312</v>
          </cell>
          <cell r="AN87">
            <v>19.899250246679291</v>
          </cell>
          <cell r="AQ87">
            <v>-100</v>
          </cell>
        </row>
        <row r="88">
          <cell r="AF88">
            <v>37949</v>
          </cell>
          <cell r="AG88">
            <v>95</v>
          </cell>
          <cell r="AH88">
            <v>67</v>
          </cell>
          <cell r="AI88">
            <v>5</v>
          </cell>
          <cell r="AJ88">
            <v>95119.66169989825</v>
          </cell>
          <cell r="AL88">
            <v>5.1307355523395159</v>
          </cell>
          <cell r="AM88">
            <v>20.706214231724008</v>
          </cell>
          <cell r="AN88">
            <v>19.899250246681376</v>
          </cell>
          <cell r="AQ88">
            <v>-100</v>
          </cell>
        </row>
        <row r="89">
          <cell r="AF89">
            <v>37950</v>
          </cell>
          <cell r="AG89">
            <v>96</v>
          </cell>
          <cell r="AH89">
            <v>68</v>
          </cell>
          <cell r="AI89">
            <v>4</v>
          </cell>
          <cell r="AJ89">
            <v>95051.184492957575</v>
          </cell>
          <cell r="AL89">
            <v>5.2064743153296345</v>
          </cell>
          <cell r="AM89">
            <v>20.694307855915149</v>
          </cell>
          <cell r="AN89">
            <v>19.899250246683398</v>
          </cell>
          <cell r="AQ89">
            <v>-100</v>
          </cell>
        </row>
        <row r="90">
          <cell r="AF90">
            <v>37951</v>
          </cell>
          <cell r="AG90">
            <v>97</v>
          </cell>
          <cell r="AH90">
            <v>69</v>
          </cell>
          <cell r="AI90">
            <v>3</v>
          </cell>
          <cell r="AJ90">
            <v>94982.756583163107</v>
          </cell>
          <cell r="AL90">
            <v>5.2822676423841086</v>
          </cell>
          <cell r="AM90">
            <v>20.682747716317106</v>
          </cell>
          <cell r="AN90">
            <v>19.899250246689128</v>
          </cell>
          <cell r="AQ90">
            <v>-100</v>
          </cell>
        </row>
        <row r="91">
          <cell r="AF91">
            <v>37952</v>
          </cell>
          <cell r="AG91">
            <v>98</v>
          </cell>
          <cell r="AH91">
            <v>70</v>
          </cell>
          <cell r="AI91">
            <v>2</v>
          </cell>
          <cell r="AJ91">
            <v>94914.377935025535</v>
          </cell>
          <cell r="AL91">
            <v>5.3581155728122276</v>
          </cell>
          <cell r="AM91">
            <v>20.671518926655818</v>
          </cell>
          <cell r="AN91">
            <v>19.899250246696766</v>
          </cell>
          <cell r="AQ91">
            <v>-100</v>
          </cell>
        </row>
        <row r="92">
          <cell r="AF92">
            <v>37953</v>
          </cell>
          <cell r="AG92">
            <v>99</v>
          </cell>
          <cell r="AH92">
            <v>71</v>
          </cell>
          <cell r="AI92">
            <v>1</v>
          </cell>
          <cell r="AJ92">
            <v>94846.048513081114</v>
          </cell>
          <cell r="AL92">
            <v>5.4340181459515913</v>
          </cell>
          <cell r="AM92">
            <v>20.660607441968825</v>
          </cell>
          <cell r="AN92">
            <v>19.899250246719991</v>
          </cell>
          <cell r="AQ92">
            <v>-100</v>
          </cell>
        </row>
        <row r="93">
          <cell r="AF93">
            <v>37956</v>
          </cell>
          <cell r="AG93">
            <v>102</v>
          </cell>
          <cell r="AH93">
            <v>72</v>
          </cell>
          <cell r="AI93">
            <v>22</v>
          </cell>
          <cell r="AJ93">
            <v>94777.768281891462</v>
          </cell>
          <cell r="AK93">
            <v>1.0007128355285624</v>
          </cell>
          <cell r="AL93">
            <v>5.5099754011683322</v>
          </cell>
          <cell r="AM93">
            <v>20.649999999999991</v>
          </cell>
          <cell r="AN93">
            <v>19.670333887479874</v>
          </cell>
          <cell r="AQ93">
            <v>-100</v>
          </cell>
        </row>
        <row r="94">
          <cell r="AF94">
            <v>37957</v>
          </cell>
          <cell r="AG94">
            <v>103</v>
          </cell>
          <cell r="AH94">
            <v>73</v>
          </cell>
          <cell r="AI94">
            <v>21</v>
          </cell>
          <cell r="AJ94">
            <v>94710.2554468897</v>
          </cell>
          <cell r="AL94">
            <v>5.5851866602520284</v>
          </cell>
          <cell r="AM94">
            <v>20.636525887084932</v>
          </cell>
          <cell r="AN94">
            <v>19.670333887479629</v>
          </cell>
          <cell r="AQ94">
            <v>-100</v>
          </cell>
        </row>
        <row r="95">
          <cell r="AF95">
            <v>37958</v>
          </cell>
          <cell r="AG95">
            <v>104</v>
          </cell>
          <cell r="AH95">
            <v>74</v>
          </cell>
          <cell r="AI95">
            <v>20</v>
          </cell>
          <cell r="AJ95">
            <v>94642.790703154198</v>
          </cell>
          <cell r="AL95">
            <v>5.6604515325933358</v>
          </cell>
          <cell r="AM95">
            <v>20.623417383710297</v>
          </cell>
          <cell r="AN95">
            <v>19.670333887479718</v>
          </cell>
          <cell r="AQ95">
            <v>-100</v>
          </cell>
        </row>
        <row r="96">
          <cell r="AF96">
            <v>37959</v>
          </cell>
          <cell r="AG96">
            <v>105</v>
          </cell>
          <cell r="AH96">
            <v>75</v>
          </cell>
          <cell r="AI96">
            <v>19</v>
          </cell>
          <cell r="AJ96">
            <v>94575.374016428206</v>
          </cell>
          <cell r="AL96">
            <v>5.735770056409728</v>
          </cell>
          <cell r="AM96">
            <v>20.610659808343158</v>
          </cell>
          <cell r="AN96">
            <v>19.670333887479675</v>
          </cell>
          <cell r="AQ96">
            <v>-100</v>
          </cell>
        </row>
        <row r="97">
          <cell r="AF97">
            <v>37960</v>
          </cell>
          <cell r="AG97">
            <v>106</v>
          </cell>
          <cell r="AH97">
            <v>76</v>
          </cell>
          <cell r="AI97">
            <v>18</v>
          </cell>
          <cell r="AJ97">
            <v>94508.005352479391</v>
          </cell>
          <cell r="AL97">
            <v>5.8111422699458348</v>
          </cell>
          <cell r="AM97">
            <v>20.59823925513853</v>
          </cell>
          <cell r="AN97">
            <v>19.670333887479718</v>
          </cell>
          <cell r="AQ97">
            <v>-100</v>
          </cell>
        </row>
        <row r="98">
          <cell r="AF98">
            <v>37963</v>
          </cell>
          <cell r="AG98">
            <v>109</v>
          </cell>
          <cell r="AH98">
            <v>77</v>
          </cell>
          <cell r="AI98">
            <v>17</v>
          </cell>
          <cell r="AJ98">
            <v>94440.684677099794</v>
          </cell>
          <cell r="AL98">
            <v>5.8865682114736417</v>
          </cell>
          <cell r="AM98">
            <v>20.586142543379495</v>
          </cell>
          <cell r="AN98">
            <v>19.670333887479565</v>
          </cell>
          <cell r="AQ98">
            <v>-100</v>
          </cell>
        </row>
        <row r="99">
          <cell r="AF99">
            <v>37964</v>
          </cell>
          <cell r="AG99">
            <v>110</v>
          </cell>
          <cell r="AH99">
            <v>78</v>
          </cell>
          <cell r="AI99">
            <v>16</v>
          </cell>
          <cell r="AJ99">
            <v>94373.411956105832</v>
          </cell>
          <cell r="AL99">
            <v>5.9620479192923126</v>
          </cell>
          <cell r="AM99">
            <v>20.574357170819745</v>
          </cell>
          <cell r="AN99">
            <v>19.670333887479451</v>
          </cell>
          <cell r="AQ99">
            <v>-100</v>
          </cell>
        </row>
        <row r="100">
          <cell r="AF100">
            <v>37965</v>
          </cell>
          <cell r="AG100">
            <v>111</v>
          </cell>
          <cell r="AH100">
            <v>79</v>
          </cell>
          <cell r="AI100">
            <v>15</v>
          </cell>
          <cell r="AJ100">
            <v>94306.187155338252</v>
          </cell>
          <cell r="AL100">
            <v>6.0375814317284116</v>
          </cell>
          <cell r="AM100">
            <v>20.562871270584072</v>
          </cell>
          <cell r="AN100">
            <v>19.67033388747943</v>
          </cell>
          <cell r="AQ100">
            <v>-100</v>
          </cell>
        </row>
        <row r="101">
          <cell r="AF101">
            <v>37966</v>
          </cell>
          <cell r="AG101">
            <v>112</v>
          </cell>
          <cell r="AH101">
            <v>80</v>
          </cell>
          <cell r="AI101">
            <v>14</v>
          </cell>
          <cell r="AJ101">
            <v>94239.010240662159</v>
          </cell>
          <cell r="AL101">
            <v>6.1131687871357698</v>
          </cell>
          <cell r="AM101">
            <v>20.551673571312222</v>
          </cell>
          <cell r="AN101">
            <v>19.670333887479806</v>
          </cell>
          <cell r="AQ101">
            <v>-100</v>
          </cell>
        </row>
        <row r="102">
          <cell r="AF102">
            <v>37967</v>
          </cell>
          <cell r="AG102">
            <v>113</v>
          </cell>
          <cell r="AH102">
            <v>81</v>
          </cell>
          <cell r="AI102">
            <v>13</v>
          </cell>
          <cell r="AJ102">
            <v>94171.881177966949</v>
          </cell>
          <cell r="AL102">
            <v>6.1888100238955746</v>
          </cell>
          <cell r="AM102">
            <v>20.540753360266038</v>
          </cell>
          <cell r="AN102">
            <v>19.670333887479408</v>
          </cell>
          <cell r="AQ102">
            <v>-100</v>
          </cell>
        </row>
        <row r="103">
          <cell r="AF103">
            <v>37970</v>
          </cell>
          <cell r="AG103">
            <v>116</v>
          </cell>
          <cell r="AH103">
            <v>82</v>
          </cell>
          <cell r="AI103">
            <v>12</v>
          </cell>
          <cell r="AJ103">
            <v>94104.79993316633</v>
          </cell>
          <cell r="AL103">
            <v>6.2645051804163687</v>
          </cell>
          <cell r="AM103">
            <v>20.530100449145785</v>
          </cell>
          <cell r="AN103">
            <v>19.670333887479472</v>
          </cell>
          <cell r="AQ103">
            <v>-100</v>
          </cell>
        </row>
        <row r="104">
          <cell r="AF104">
            <v>37971</v>
          </cell>
          <cell r="AG104">
            <v>117</v>
          </cell>
          <cell r="AH104">
            <v>83</v>
          </cell>
          <cell r="AI104">
            <v>11</v>
          </cell>
          <cell r="AJ104">
            <v>94037.766472198302</v>
          </cell>
          <cell r="AL104">
            <v>6.3402542951340735</v>
          </cell>
          <cell r="AM104">
            <v>20.51970514238608</v>
          </cell>
          <cell r="AN104">
            <v>19.670333887479408</v>
          </cell>
          <cell r="AQ104">
            <v>-100</v>
          </cell>
        </row>
        <row r="105">
          <cell r="AF105">
            <v>37972</v>
          </cell>
          <cell r="AG105">
            <v>118</v>
          </cell>
          <cell r="AH105">
            <v>84</v>
          </cell>
          <cell r="AI105">
            <v>10</v>
          </cell>
          <cell r="AJ105">
            <v>93970.780761025104</v>
          </cell>
          <cell r="AL105">
            <v>6.416057406511988</v>
          </cell>
          <cell r="AM105">
            <v>20.509558207724311</v>
          </cell>
          <cell r="AN105">
            <v>19.670333887479941</v>
          </cell>
          <cell r="AQ105">
            <v>-100</v>
          </cell>
        </row>
        <row r="106">
          <cell r="AF106">
            <v>37973</v>
          </cell>
          <cell r="AG106">
            <v>119</v>
          </cell>
          <cell r="AH106">
            <v>85</v>
          </cell>
          <cell r="AI106">
            <v>9</v>
          </cell>
          <cell r="AJ106">
            <v>93903.842765633221</v>
          </cell>
          <cell r="AL106">
            <v>6.4919145530409006</v>
          </cell>
          <cell r="AM106">
            <v>20.499650848854124</v>
          </cell>
          <cell r="AN106">
            <v>19.670333887479718</v>
          </cell>
          <cell r="AQ106">
            <v>-100</v>
          </cell>
        </row>
        <row r="107">
          <cell r="AF107">
            <v>37974</v>
          </cell>
          <cell r="AG107">
            <v>120</v>
          </cell>
          <cell r="AH107">
            <v>86</v>
          </cell>
          <cell r="AI107">
            <v>8</v>
          </cell>
          <cell r="AJ107">
            <v>93836.952452033394</v>
          </cell>
          <cell r="AL107">
            <v>6.5678257732389334</v>
          </cell>
          <cell r="AM107">
            <v>20.489974679992272</v>
          </cell>
          <cell r="AN107">
            <v>19.670333887479497</v>
          </cell>
          <cell r="AQ107">
            <v>-100</v>
          </cell>
        </row>
        <row r="108">
          <cell r="AF108">
            <v>37977</v>
          </cell>
          <cell r="AG108">
            <v>123</v>
          </cell>
          <cell r="AH108">
            <v>87</v>
          </cell>
          <cell r="AI108">
            <v>7</v>
          </cell>
          <cell r="AJ108">
            <v>93770.109786260553</v>
          </cell>
          <cell r="AL108">
            <v>6.6437911056517418</v>
          </cell>
          <cell r="AM108">
            <v>20.480521702206733</v>
          </cell>
          <cell r="AN108">
            <v>19.670333887479806</v>
          </cell>
          <cell r="AQ108">
            <v>-100</v>
          </cell>
        </row>
        <row r="109">
          <cell r="AF109">
            <v>37978</v>
          </cell>
          <cell r="AG109">
            <v>124</v>
          </cell>
          <cell r="AH109">
            <v>88</v>
          </cell>
          <cell r="AI109">
            <v>6</v>
          </cell>
          <cell r="AJ109">
            <v>93703.314734373824</v>
          </cell>
          <cell r="AL109">
            <v>6.7198105888524262</v>
          </cell>
          <cell r="AM109">
            <v>20.471284281362976</v>
          </cell>
          <cell r="AN109">
            <v>19.670333887478876</v>
          </cell>
          <cell r="AQ109">
            <v>-100</v>
          </cell>
        </row>
        <row r="110">
          <cell r="AF110">
            <v>37979</v>
          </cell>
          <cell r="AG110">
            <v>125</v>
          </cell>
          <cell r="AH110">
            <v>89</v>
          </cell>
          <cell r="AI110">
            <v>5</v>
          </cell>
          <cell r="AJ110">
            <v>93636.56726245652</v>
          </cell>
          <cell r="AL110">
            <v>6.7958842614416204</v>
          </cell>
          <cell r="AM110">
            <v>20.462255127562678</v>
          </cell>
          <cell r="AN110">
            <v>19.670333887478474</v>
          </cell>
          <cell r="AQ110">
            <v>-100</v>
          </cell>
        </row>
        <row r="111">
          <cell r="AF111">
            <v>37981</v>
          </cell>
          <cell r="AG111">
            <v>127</v>
          </cell>
          <cell r="AH111">
            <v>90</v>
          </cell>
          <cell r="AI111">
            <v>4</v>
          </cell>
          <cell r="AJ111">
            <v>93569.867336616109</v>
          </cell>
          <cell r="AL111">
            <v>6.872012162047425</v>
          </cell>
          <cell r="AM111">
            <v>20.453427275957068</v>
          </cell>
          <cell r="AN111">
            <v>19.670333887478741</v>
          </cell>
          <cell r="AQ111">
            <v>-100</v>
          </cell>
        </row>
        <row r="112">
          <cell r="AF112">
            <v>37984</v>
          </cell>
          <cell r="AG112">
            <v>130</v>
          </cell>
          <cell r="AH112">
            <v>91</v>
          </cell>
          <cell r="AI112">
            <v>3</v>
          </cell>
          <cell r="AJ112">
            <v>93503.214922984203</v>
          </cell>
          <cell r="AL112">
            <v>6.9481943293254744</v>
          </cell>
          <cell r="AM112">
            <v>20.444794068829751</v>
          </cell>
          <cell r="AN112">
            <v>19.670333887478876</v>
          </cell>
          <cell r="AQ112">
            <v>-100</v>
          </cell>
        </row>
        <row r="113">
          <cell r="AF113">
            <v>37985</v>
          </cell>
          <cell r="AG113">
            <v>131</v>
          </cell>
          <cell r="AH113">
            <v>92</v>
          </cell>
          <cell r="AI113">
            <v>2</v>
          </cell>
          <cell r="AJ113">
            <v>93436.609987716525</v>
          </cell>
          <cell r="AL113">
            <v>7.0244308019590251</v>
          </cell>
          <cell r="AM113">
            <v>20.436349138851952</v>
          </cell>
          <cell r="AN113">
            <v>19.670333887475255</v>
          </cell>
          <cell r="AQ113">
            <v>-100</v>
          </cell>
        </row>
        <row r="114">
          <cell r="AF114">
            <v>37986</v>
          </cell>
          <cell r="AG114">
            <v>132</v>
          </cell>
          <cell r="AH114">
            <v>93</v>
          </cell>
          <cell r="AI114">
            <v>1</v>
          </cell>
          <cell r="AJ114">
            <v>93370.052496992939</v>
          </cell>
          <cell r="AL114">
            <v>7.1007216186588229</v>
          </cell>
          <cell r="AM114">
            <v>20.428086393420529</v>
          </cell>
          <cell r="AN114">
            <v>19.670333887471948</v>
          </cell>
          <cell r="AQ114">
            <v>-100</v>
          </cell>
        </row>
        <row r="115">
          <cell r="AF115">
            <v>37988</v>
          </cell>
          <cell r="AG115">
            <v>134</v>
          </cell>
          <cell r="AH115">
            <v>94</v>
          </cell>
          <cell r="AI115">
            <v>21</v>
          </cell>
          <cell r="AJ115">
            <v>93303.542417017379</v>
          </cell>
          <cell r="AK115">
            <v>1.000711879317459</v>
          </cell>
          <cell r="AL115">
            <v>7.1770668181632358</v>
          </cell>
          <cell r="AM115">
            <v>20.420000000000016</v>
          </cell>
          <cell r="AN115">
            <v>19.641521498023828</v>
          </cell>
          <cell r="AQ115">
            <v>-100</v>
          </cell>
        </row>
        <row r="116">
          <cell r="AF116">
            <v>37991</v>
          </cell>
          <cell r="AG116">
            <v>137</v>
          </cell>
          <cell r="AH116">
            <v>95</v>
          </cell>
          <cell r="AI116">
            <v>20</v>
          </cell>
          <cell r="AJ116">
            <v>93237.168804926725</v>
          </cell>
          <cell r="AL116">
            <v>7.253363955337</v>
          </cell>
          <cell r="AM116">
            <v>20.411779167860121</v>
          </cell>
          <cell r="AN116">
            <v>19.641521498023849</v>
          </cell>
          <cell r="AQ116">
            <v>-100</v>
          </cell>
        </row>
        <row r="117">
          <cell r="AF117">
            <v>37992</v>
          </cell>
          <cell r="AG117">
            <v>138</v>
          </cell>
          <cell r="AH117">
            <v>96</v>
          </cell>
          <cell r="AI117">
            <v>19</v>
          </cell>
          <cell r="AJ117">
            <v>93170.84240922537</v>
          </cell>
          <cell r="AL117">
            <v>7.3297154068647119</v>
          </cell>
          <cell r="AM117">
            <v>20.403730146860166</v>
          </cell>
          <cell r="AN117">
            <v>19.641521498023785</v>
          </cell>
          <cell r="AQ117">
            <v>-100</v>
          </cell>
        </row>
        <row r="118">
          <cell r="AF118">
            <v>37993</v>
          </cell>
          <cell r="AG118">
            <v>139</v>
          </cell>
          <cell r="AH118">
            <v>97</v>
          </cell>
          <cell r="AI118">
            <v>18</v>
          </cell>
          <cell r="AJ118">
            <v>93104.56319632486</v>
          </cell>
          <cell r="AL118">
            <v>7.4061212114115982</v>
          </cell>
          <cell r="AM118">
            <v>20.395847606573312</v>
          </cell>
          <cell r="AN118">
            <v>19.641521498023941</v>
          </cell>
          <cell r="AQ118">
            <v>-100</v>
          </cell>
        </row>
        <row r="119">
          <cell r="AF119">
            <v>37994</v>
          </cell>
          <cell r="AG119">
            <v>140</v>
          </cell>
          <cell r="AH119">
            <v>98</v>
          </cell>
          <cell r="AI119">
            <v>17</v>
          </cell>
          <cell r="AJ119">
            <v>93038.33113266062</v>
          </cell>
          <cell r="AL119">
            <v>7.4825814076705077</v>
          </cell>
          <cell r="AM119">
            <v>20.388126434816691</v>
          </cell>
          <cell r="AN119">
            <v>19.641521498024161</v>
          </cell>
          <cell r="AQ119">
            <v>-100</v>
          </cell>
        </row>
        <row r="120">
          <cell r="AF120">
            <v>37995</v>
          </cell>
          <cell r="AG120">
            <v>141</v>
          </cell>
          <cell r="AH120">
            <v>99</v>
          </cell>
          <cell r="AI120">
            <v>16</v>
          </cell>
          <cell r="AJ120">
            <v>92972.14618469197</v>
          </cell>
          <cell r="AL120">
            <v>7.559096034361712</v>
          </cell>
          <cell r="AM120">
            <v>20.38056172659455</v>
          </cell>
          <cell r="AN120">
            <v>19.64152149802436</v>
          </cell>
          <cell r="AQ120">
            <v>-100</v>
          </cell>
        </row>
        <row r="121">
          <cell r="AF121">
            <v>37998</v>
          </cell>
          <cell r="AG121">
            <v>144</v>
          </cell>
          <cell r="AH121">
            <v>100</v>
          </cell>
          <cell r="AI121">
            <v>15</v>
          </cell>
          <cell r="AJ121">
            <v>92906.008318902066</v>
          </cell>
          <cell r="AL121">
            <v>7.6356651302331713</v>
          </cell>
          <cell r="AM121">
            <v>20.373148773708127</v>
          </cell>
          <cell r="AN121">
            <v>19.641521498024229</v>
          </cell>
          <cell r="AQ121">
            <v>-100</v>
          </cell>
        </row>
        <row r="122">
          <cell r="AF122">
            <v>37999</v>
          </cell>
          <cell r="AG122">
            <v>145</v>
          </cell>
          <cell r="AH122">
            <v>101</v>
          </cell>
          <cell r="AI122">
            <v>14</v>
          </cell>
          <cell r="AJ122">
            <v>92839.917501797943</v>
          </cell>
          <cell r="AL122">
            <v>7.712288734060313</v>
          </cell>
          <cell r="AM122">
            <v>20.365883054983193</v>
          </cell>
          <cell r="AN122">
            <v>19.641521498024229</v>
          </cell>
          <cell r="AQ122">
            <v>-100</v>
          </cell>
        </row>
        <row r="123">
          <cell r="AF123">
            <v>38000</v>
          </cell>
          <cell r="AG123">
            <v>146</v>
          </cell>
          <cell r="AH123">
            <v>102</v>
          </cell>
          <cell r="AI123">
            <v>13</v>
          </cell>
          <cell r="AJ123">
            <v>92773.873699910429</v>
          </cell>
          <cell r="AL123">
            <v>7.7889668846462534</v>
          </cell>
          <cell r="AM123">
            <v>20.358760227075521</v>
          </cell>
          <cell r="AN123">
            <v>19.641521498024652</v>
          </cell>
          <cell r="AQ123">
            <v>-100</v>
          </cell>
        </row>
        <row r="124">
          <cell r="AF124">
            <v>38001</v>
          </cell>
          <cell r="AG124">
            <v>147</v>
          </cell>
          <cell r="AH124">
            <v>103</v>
          </cell>
          <cell r="AI124">
            <v>12</v>
          </cell>
          <cell r="AJ124">
            <v>92707.876879794174</v>
          </cell>
          <cell r="AL124">
            <v>7.8656996208217089</v>
          </cell>
          <cell r="AM124">
            <v>20.351776115812513</v>
          </cell>
          <cell r="AN124">
            <v>19.641521498024627</v>
          </cell>
          <cell r="AQ124">
            <v>-100</v>
          </cell>
        </row>
        <row r="125">
          <cell r="AF125">
            <v>38002</v>
          </cell>
          <cell r="AG125">
            <v>148</v>
          </cell>
          <cell r="AH125">
            <v>104</v>
          </cell>
          <cell r="AI125">
            <v>11</v>
          </cell>
          <cell r="AJ125">
            <v>92641.927008027618</v>
          </cell>
          <cell r="AL125">
            <v>7.9424869814450183</v>
          </cell>
          <cell r="AM125">
            <v>20.344926708036205</v>
          </cell>
          <cell r="AN125">
            <v>19.641521498024915</v>
          </cell>
          <cell r="AQ125">
            <v>-100</v>
          </cell>
        </row>
        <row r="126">
          <cell r="AF126">
            <v>38005</v>
          </cell>
          <cell r="AG126">
            <v>151</v>
          </cell>
          <cell r="AH126">
            <v>105</v>
          </cell>
          <cell r="AI126">
            <v>10</v>
          </cell>
          <cell r="AJ126">
            <v>92576.024051212982</v>
          </cell>
          <cell r="AL126">
            <v>8.019329005402188</v>
          </cell>
          <cell r="AM126">
            <v>20.338208143913803</v>
          </cell>
          <cell r="AN126">
            <v>19.641521498025295</v>
          </cell>
          <cell r="AQ126">
            <v>-100</v>
          </cell>
        </row>
        <row r="127">
          <cell r="AF127">
            <v>38006</v>
          </cell>
          <cell r="AG127">
            <v>152</v>
          </cell>
          <cell r="AH127">
            <v>106</v>
          </cell>
          <cell r="AI127">
            <v>9</v>
          </cell>
          <cell r="AJ127">
            <v>92510.167975976234</v>
          </cell>
          <cell r="AL127">
            <v>8.0962257316069106</v>
          </cell>
          <cell r="AM127">
            <v>20.331616709684642</v>
          </cell>
          <cell r="AN127">
            <v>19.64152149802554</v>
          </cell>
          <cell r="AQ127">
            <v>-100</v>
          </cell>
        </row>
        <row r="128">
          <cell r="AF128">
            <v>38007</v>
          </cell>
          <cell r="AG128">
            <v>153</v>
          </cell>
          <cell r="AH128">
            <v>107</v>
          </cell>
          <cell r="AI128">
            <v>8</v>
          </cell>
          <cell r="AJ128">
            <v>92444.35874896709</v>
          </cell>
          <cell r="AL128">
            <v>8.1731771990006141</v>
          </cell>
          <cell r="AM128">
            <v>20.325148830814999</v>
          </cell>
          <cell r="AN128">
            <v>19.641521498026449</v>
          </cell>
          <cell r="AQ128">
            <v>-100</v>
          </cell>
        </row>
        <row r="129">
          <cell r="AF129">
            <v>38008</v>
          </cell>
          <cell r="AG129">
            <v>154</v>
          </cell>
          <cell r="AH129">
            <v>108</v>
          </cell>
          <cell r="AI129">
            <v>7</v>
          </cell>
          <cell r="AJ129">
            <v>92378.596336858987</v>
          </cell>
          <cell r="AL129">
            <v>8.2501834465524162</v>
          </cell>
          <cell r="AM129">
            <v>20.318801065534164</v>
          </cell>
          <cell r="AN129">
            <v>19.641521498026538</v>
          </cell>
          <cell r="AQ129">
            <v>-100</v>
          </cell>
        </row>
        <row r="130">
          <cell r="AF130">
            <v>38009</v>
          </cell>
          <cell r="AG130">
            <v>155</v>
          </cell>
          <cell r="AH130">
            <v>109</v>
          </cell>
          <cell r="AI130">
            <v>6</v>
          </cell>
          <cell r="AJ130">
            <v>92312.880706349082</v>
          </cell>
          <cell r="AL130">
            <v>8.3272445132591457</v>
          </cell>
          <cell r="AM130">
            <v>20.312570098727399</v>
          </cell>
          <cell r="AN130">
            <v>19.641521498027494</v>
          </cell>
          <cell r="AQ130">
            <v>-100</v>
          </cell>
        </row>
        <row r="131">
          <cell r="AF131">
            <v>38012</v>
          </cell>
          <cell r="AG131">
            <v>158</v>
          </cell>
          <cell r="AH131">
            <v>110</v>
          </cell>
          <cell r="AI131">
            <v>5</v>
          </cell>
          <cell r="AJ131">
            <v>92247.211824158207</v>
          </cell>
          <cell r="AL131">
            <v>8.4043604381454529</v>
          </cell>
          <cell r="AM131">
            <v>20.306452736163159</v>
          </cell>
          <cell r="AN131">
            <v>19.641521498028048</v>
          </cell>
          <cell r="AQ131">
            <v>-100</v>
          </cell>
        </row>
        <row r="132">
          <cell r="AF132">
            <v>38013</v>
          </cell>
          <cell r="AG132">
            <v>159</v>
          </cell>
          <cell r="AH132">
            <v>111</v>
          </cell>
          <cell r="AI132">
            <v>4</v>
          </cell>
          <cell r="AJ132">
            <v>92181.589657030883</v>
          </cell>
          <cell r="AL132">
            <v>8.4815312602637416</v>
          </cell>
          <cell r="AM132">
            <v>20.30044589903277</v>
          </cell>
          <cell r="AN132">
            <v>19.641521498028869</v>
          </cell>
          <cell r="AQ132">
            <v>-100</v>
          </cell>
        </row>
        <row r="133">
          <cell r="AF133">
            <v>38014</v>
          </cell>
          <cell r="AG133">
            <v>160</v>
          </cell>
          <cell r="AH133">
            <v>112</v>
          </cell>
          <cell r="AI133">
            <v>3</v>
          </cell>
          <cell r="AJ133">
            <v>92116.014171735267</v>
          </cell>
          <cell r="AL133">
            <v>8.5587570186941964</v>
          </cell>
          <cell r="AM133">
            <v>20.29454661878367</v>
          </cell>
          <cell r="AN133">
            <v>19.641521498030734</v>
          </cell>
          <cell r="AQ133">
            <v>-100</v>
          </cell>
        </row>
        <row r="134">
          <cell r="AF134">
            <v>38015</v>
          </cell>
          <cell r="AG134">
            <v>161</v>
          </cell>
          <cell r="AH134">
            <v>113</v>
          </cell>
          <cell r="AI134">
            <v>2</v>
          </cell>
          <cell r="AJ134">
            <v>92050.485335063175</v>
          </cell>
          <cell r="AL134">
            <v>8.6360377525448673</v>
          </cell>
          <cell r="AM134">
            <v>20.288752032227841</v>
          </cell>
          <cell r="AN134">
            <v>19.641521498033864</v>
          </cell>
          <cell r="AQ134">
            <v>-100</v>
          </cell>
        </row>
        <row r="135">
          <cell r="AF135">
            <v>38016</v>
          </cell>
          <cell r="AG135">
            <v>162</v>
          </cell>
          <cell r="AH135">
            <v>114</v>
          </cell>
          <cell r="AI135">
            <v>1</v>
          </cell>
          <cell r="AJ135">
            <v>91985.00311383004</v>
          </cell>
          <cell r="AL135">
            <v>8.7133735009515831</v>
          </cell>
          <cell r="AM135">
            <v>20.283059376908021</v>
          </cell>
          <cell r="AN135">
            <v>19.641521498050384</v>
          </cell>
          <cell r="AQ135">
            <v>-100</v>
          </cell>
        </row>
        <row r="136">
          <cell r="AF136">
            <v>38019</v>
          </cell>
          <cell r="AG136">
            <v>165</v>
          </cell>
          <cell r="AH136">
            <v>115</v>
          </cell>
          <cell r="AI136">
            <v>18</v>
          </cell>
          <cell r="AJ136">
            <v>91919.567474874828</v>
          </cell>
          <cell r="AK136">
            <v>1.000711879317459</v>
          </cell>
          <cell r="AL136">
            <v>8.7907643030781912</v>
          </cell>
          <cell r="AM136">
            <v>20.277465986706964</v>
          </cell>
          <cell r="AN136">
            <v>19.641521498023561</v>
          </cell>
          <cell r="AQ136">
            <v>-100</v>
          </cell>
        </row>
        <row r="137">
          <cell r="AF137">
            <v>38020</v>
          </cell>
          <cell r="AG137">
            <v>166</v>
          </cell>
          <cell r="AH137">
            <v>116</v>
          </cell>
          <cell r="AI137">
            <v>17</v>
          </cell>
          <cell r="AJ137">
            <v>91854.17838506031</v>
          </cell>
          <cell r="AL137">
            <v>8.8682101981161221</v>
          </cell>
          <cell r="AM137">
            <v>20.271969287683</v>
          </cell>
          <cell r="AN137">
            <v>19.641521498023785</v>
          </cell>
          <cell r="AQ137">
            <v>-100</v>
          </cell>
        </row>
        <row r="138">
          <cell r="AF138">
            <v>38021</v>
          </cell>
          <cell r="AG138">
            <v>167</v>
          </cell>
          <cell r="AH138">
            <v>117</v>
          </cell>
          <cell r="AI138">
            <v>16</v>
          </cell>
          <cell r="AJ138">
            <v>91788.835811272627</v>
          </cell>
          <cell r="AL138">
            <v>8.9457112252849349</v>
          </cell>
          <cell r="AM138">
            <v>20.2665667941218</v>
          </cell>
          <cell r="AN138">
            <v>19.64152149802354</v>
          </cell>
          <cell r="AQ138">
            <v>-100</v>
          </cell>
        </row>
        <row r="139">
          <cell r="AF139">
            <v>38022</v>
          </cell>
          <cell r="AG139">
            <v>168</v>
          </cell>
          <cell r="AH139">
            <v>118</v>
          </cell>
          <cell r="AI139">
            <v>15</v>
          </cell>
          <cell r="AJ139">
            <v>91723.539720421526</v>
          </cell>
          <cell r="AL139">
            <v>9.0232674238320811</v>
          </cell>
          <cell r="AM139">
            <v>20.261256104787819</v>
          </cell>
          <cell r="AN139">
            <v>19.641521498023806</v>
          </cell>
          <cell r="AQ139">
            <v>-100</v>
          </cell>
        </row>
        <row r="140">
          <cell r="AF140">
            <v>38023</v>
          </cell>
          <cell r="AG140">
            <v>169</v>
          </cell>
          <cell r="AH140">
            <v>119</v>
          </cell>
          <cell r="AI140">
            <v>14</v>
          </cell>
          <cell r="AJ140">
            <v>91658.29007944031</v>
          </cell>
          <cell r="AL140">
            <v>9.1008788330329224</v>
          </cell>
          <cell r="AM140">
            <v>20.256034899365559</v>
          </cell>
          <cell r="AN140">
            <v>19.641521498023273</v>
          </cell>
          <cell r="AQ140">
            <v>-100</v>
          </cell>
        </row>
        <row r="141">
          <cell r="AF141">
            <v>38026</v>
          </cell>
          <cell r="AG141">
            <v>172</v>
          </cell>
          <cell r="AH141">
            <v>120</v>
          </cell>
          <cell r="AI141">
            <v>13</v>
          </cell>
          <cell r="AJ141">
            <v>91593.086855285816</v>
          </cell>
          <cell r="AL141">
            <v>9.1785454921907483</v>
          </cell>
          <cell r="AM141">
            <v>20.250900935079507</v>
          </cell>
          <cell r="AN141">
            <v>19.641521498023629</v>
          </cell>
          <cell r="AQ141">
            <v>-100</v>
          </cell>
        </row>
        <row r="142">
          <cell r="AF142">
            <v>38027</v>
          </cell>
          <cell r="AG142">
            <v>173</v>
          </cell>
          <cell r="AH142">
            <v>121</v>
          </cell>
          <cell r="AI142">
            <v>12</v>
          </cell>
          <cell r="AJ142">
            <v>91527.930014938349</v>
          </cell>
          <cell r="AL142">
            <v>9.2562674406368792</v>
          </cell>
          <cell r="AM142">
            <v>20.245852043481971</v>
          </cell>
          <cell r="AN142">
            <v>19.641521498023586</v>
          </cell>
          <cell r="AQ142">
            <v>-100</v>
          </cell>
        </row>
        <row r="143">
          <cell r="AF143">
            <v>38028</v>
          </cell>
          <cell r="AG143">
            <v>174</v>
          </cell>
          <cell r="AH143">
            <v>122</v>
          </cell>
          <cell r="AI143">
            <v>11</v>
          </cell>
          <cell r="AJ143">
            <v>91462.819525401734</v>
          </cell>
          <cell r="AL143">
            <v>9.3340447177306274</v>
          </cell>
          <cell r="AM143">
            <v>20.240886127399314</v>
          </cell>
          <cell r="AN143">
            <v>19.641521498023717</v>
          </cell>
          <cell r="AQ143">
            <v>-100</v>
          </cell>
        </row>
        <row r="144">
          <cell r="AF144">
            <v>38029</v>
          </cell>
          <cell r="AG144">
            <v>175</v>
          </cell>
          <cell r="AH144">
            <v>123</v>
          </cell>
          <cell r="AI144">
            <v>10</v>
          </cell>
          <cell r="AJ144">
            <v>91397.755353703251</v>
          </cell>
          <cell r="AL144">
            <v>9.4118773628593324</v>
          </cell>
          <cell r="AM144">
            <v>20.236001158027349</v>
          </cell>
          <cell r="AN144">
            <v>19.641521498023295</v>
          </cell>
          <cell r="AQ144">
            <v>-100</v>
          </cell>
        </row>
        <row r="145">
          <cell r="AF145">
            <v>38030</v>
          </cell>
          <cell r="AG145">
            <v>176</v>
          </cell>
          <cell r="AH145">
            <v>124</v>
          </cell>
          <cell r="AI145">
            <v>9</v>
          </cell>
          <cell r="AJ145">
            <v>91332.737466893654</v>
          </cell>
          <cell r="AL145">
            <v>9.4897654154383115</v>
          </cell>
          <cell r="AM145">
            <v>20.231195172167649</v>
          </cell>
          <cell r="AN145">
            <v>19.641521498023231</v>
          </cell>
          <cell r="AQ145">
            <v>-100</v>
          </cell>
        </row>
        <row r="146">
          <cell r="AF146">
            <v>38033</v>
          </cell>
          <cell r="AG146">
            <v>179</v>
          </cell>
          <cell r="AH146">
            <v>125</v>
          </cell>
          <cell r="AI146">
            <v>8</v>
          </cell>
          <cell r="AJ146">
            <v>91267.765832047124</v>
          </cell>
          <cell r="AL146">
            <v>9.5677089149110106</v>
          </cell>
          <cell r="AM146">
            <v>20.226466269597321</v>
          </cell>
          <cell r="AN146">
            <v>19.641521498023117</v>
          </cell>
          <cell r="AQ146">
            <v>-100</v>
          </cell>
        </row>
        <row r="147">
          <cell r="AF147">
            <v>38034</v>
          </cell>
          <cell r="AG147">
            <v>180</v>
          </cell>
          <cell r="AH147">
            <v>126</v>
          </cell>
          <cell r="AI147">
            <v>7</v>
          </cell>
          <cell r="AJ147">
            <v>91202.840416261271</v>
          </cell>
          <cell r="AL147">
            <v>9.6457079007489011</v>
          </cell>
          <cell r="AM147">
            <v>20.221812610563504</v>
          </cell>
          <cell r="AN147">
            <v>19.641521498022851</v>
          </cell>
          <cell r="AQ147">
            <v>-100</v>
          </cell>
        </row>
        <row r="148">
          <cell r="AF148">
            <v>38035</v>
          </cell>
          <cell r="AG148">
            <v>181</v>
          </cell>
          <cell r="AH148">
            <v>127</v>
          </cell>
          <cell r="AI148">
            <v>6</v>
          </cell>
          <cell r="AJ148">
            <v>91137.961186657107</v>
          </cell>
          <cell r="AL148">
            <v>9.7237624124516095</v>
          </cell>
          <cell r="AM148">
            <v>20.21723241339728</v>
          </cell>
          <cell r="AN148">
            <v>19.641521498023074</v>
          </cell>
          <cell r="AQ148">
            <v>-100</v>
          </cell>
        </row>
        <row r="149">
          <cell r="AF149">
            <v>38036</v>
          </cell>
          <cell r="AG149">
            <v>182</v>
          </cell>
          <cell r="AH149">
            <v>128</v>
          </cell>
          <cell r="AI149">
            <v>5</v>
          </cell>
          <cell r="AJ149">
            <v>91073.128110379039</v>
          </cell>
          <cell r="AL149">
            <v>9.8018724895468026</v>
          </cell>
          <cell r="AM149">
            <v>20.212723952239166</v>
          </cell>
          <cell r="AN149">
            <v>19.641521498022698</v>
          </cell>
          <cell r="AQ149">
            <v>-100</v>
          </cell>
        </row>
        <row r="150">
          <cell r="AF150">
            <v>38037</v>
          </cell>
          <cell r="AG150">
            <v>183</v>
          </cell>
          <cell r="AH150">
            <v>129</v>
          </cell>
          <cell r="AI150">
            <v>4</v>
          </cell>
          <cell r="AJ150">
            <v>91008.341154594833</v>
          </cell>
          <cell r="AL150">
            <v>9.8800381715903782</v>
          </cell>
          <cell r="AM150">
            <v>20.208285554871065</v>
          </cell>
          <cell r="AN150">
            <v>19.641521498022364</v>
          </cell>
          <cell r="AQ150">
            <v>-100</v>
          </cell>
        </row>
        <row r="151">
          <cell r="AF151">
            <v>38042</v>
          </cell>
          <cell r="AG151">
            <v>188</v>
          </cell>
          <cell r="AH151">
            <v>130</v>
          </cell>
          <cell r="AI151">
            <v>3</v>
          </cell>
          <cell r="AJ151">
            <v>90943.600286495624</v>
          </cell>
          <cell r="AL151">
            <v>9.958259498166333</v>
          </cell>
          <cell r="AM151">
            <v>20.203915600648092</v>
          </cell>
          <cell r="AN151">
            <v>19.641521498021962</v>
          </cell>
          <cell r="AQ151">
            <v>-100</v>
          </cell>
        </row>
        <row r="152">
          <cell r="AF152">
            <v>38043</v>
          </cell>
          <cell r="AG152">
            <v>189</v>
          </cell>
          <cell r="AH152">
            <v>131</v>
          </cell>
          <cell r="AI152">
            <v>2</v>
          </cell>
          <cell r="AJ152">
            <v>90878.905473295876</v>
          </cell>
          <cell r="AL152">
            <v>10.036536508886872</v>
          </cell>
          <cell r="AM152">
            <v>20.199612518525779</v>
          </cell>
          <cell r="AN152">
            <v>19.641521498020765</v>
          </cell>
          <cell r="AQ152">
            <v>-100</v>
          </cell>
        </row>
        <row r="153">
          <cell r="AF153">
            <v>38044</v>
          </cell>
          <cell r="AG153">
            <v>190</v>
          </cell>
          <cell r="AH153">
            <v>132</v>
          </cell>
          <cell r="AI153">
            <v>1</v>
          </cell>
          <cell r="AJ153">
            <v>90814.25668223339</v>
          </cell>
          <cell r="AL153">
            <v>10.114869243392356</v>
          </cell>
          <cell r="AM153">
            <v>20.195374785176657</v>
          </cell>
          <cell r="AN153">
            <v>19.641521498023984</v>
          </cell>
          <cell r="AQ153">
            <v>-100</v>
          </cell>
        </row>
        <row r="154">
          <cell r="AF154">
            <v>38047</v>
          </cell>
          <cell r="AG154">
            <v>193</v>
          </cell>
          <cell r="AH154">
            <v>133</v>
          </cell>
          <cell r="AI154">
            <v>23</v>
          </cell>
          <cell r="AJ154">
            <v>90749.653880569254</v>
          </cell>
          <cell r="AK154">
            <v>1.000711879317459</v>
          </cell>
          <cell r="AL154">
            <v>10.193257741351424</v>
          </cell>
          <cell r="AM154">
            <v>20.191200923192643</v>
          </cell>
          <cell r="AN154">
            <v>19.641521498026691</v>
          </cell>
          <cell r="AQ154">
            <v>-100</v>
          </cell>
        </row>
        <row r="155">
          <cell r="AF155">
            <v>38048</v>
          </cell>
          <cell r="AG155">
            <v>194</v>
          </cell>
          <cell r="AH155">
            <v>134</v>
          </cell>
          <cell r="AI155">
            <v>22</v>
          </cell>
          <cell r="AJ155">
            <v>90685.097035587853</v>
          </cell>
          <cell r="AL155">
            <v>10.271702042460928</v>
          </cell>
          <cell r="AM155">
            <v>20.187089499367495</v>
          </cell>
          <cell r="AN155">
            <v>19.641521498026826</v>
          </cell>
          <cell r="AQ155">
            <v>-100</v>
          </cell>
        </row>
        <row r="156">
          <cell r="AF156">
            <v>38049</v>
          </cell>
          <cell r="AG156">
            <v>195</v>
          </cell>
          <cell r="AH156">
            <v>135</v>
          </cell>
          <cell r="AI156">
            <v>21</v>
          </cell>
          <cell r="AJ156">
            <v>90620.586114596867</v>
          </cell>
          <cell r="AL156">
            <v>10.350202186445934</v>
          </cell>
          <cell r="AM156">
            <v>20.183039123055902</v>
          </cell>
          <cell r="AN156">
            <v>19.641521498027114</v>
          </cell>
          <cell r="AQ156">
            <v>-100</v>
          </cell>
        </row>
        <row r="157">
          <cell r="AF157">
            <v>38050</v>
          </cell>
          <cell r="AG157">
            <v>196</v>
          </cell>
          <cell r="AH157">
            <v>136</v>
          </cell>
          <cell r="AI157">
            <v>20</v>
          </cell>
          <cell r="AJ157">
            <v>90556.121084927203</v>
          </cell>
          <cell r="AL157">
            <v>10.428758213059886</v>
          </cell>
          <cell r="AM157">
            <v>20.179048444605741</v>
          </cell>
          <cell r="AN157">
            <v>19.641521498027469</v>
          </cell>
          <cell r="AQ157">
            <v>-100</v>
          </cell>
        </row>
        <row r="158">
          <cell r="AF158">
            <v>38051</v>
          </cell>
          <cell r="AG158">
            <v>197</v>
          </cell>
          <cell r="AH158">
            <v>137</v>
          </cell>
          <cell r="AI158">
            <v>19</v>
          </cell>
          <cell r="AJ158">
            <v>90491.701913933008</v>
          </cell>
          <cell r="AL158">
            <v>10.507370162084451</v>
          </cell>
          <cell r="AM158">
            <v>20.175116153858099</v>
          </cell>
          <cell r="AN158">
            <v>19.641521498027625</v>
          </cell>
          <cell r="AQ158">
            <v>-100</v>
          </cell>
        </row>
        <row r="159">
          <cell r="AF159">
            <v>38054</v>
          </cell>
          <cell r="AG159">
            <v>200</v>
          </cell>
          <cell r="AH159">
            <v>138</v>
          </cell>
          <cell r="AI159">
            <v>18</v>
          </cell>
          <cell r="AJ159">
            <v>90427.328568991681</v>
          </cell>
          <cell r="AL159">
            <v>10.586038073329608</v>
          </cell>
          <cell r="AM159">
            <v>20.171240978713456</v>
          </cell>
          <cell r="AN159">
            <v>19.641521498028112</v>
          </cell>
          <cell r="AQ159">
            <v>-100</v>
          </cell>
        </row>
        <row r="160">
          <cell r="AF160">
            <v>38055</v>
          </cell>
          <cell r="AG160">
            <v>201</v>
          </cell>
          <cell r="AH160">
            <v>139</v>
          </cell>
          <cell r="AI160">
            <v>17</v>
          </cell>
          <cell r="AJ160">
            <v>90363.00101750379</v>
          </cell>
          <cell r="AL160">
            <v>10.664761986633753</v>
          </cell>
          <cell r="AM160">
            <v>20.167421683759777</v>
          </cell>
          <cell r="AN160">
            <v>19.641521498028069</v>
          </cell>
          <cell r="AQ160">
            <v>-100</v>
          </cell>
        </row>
        <row r="161">
          <cell r="AF161">
            <v>38056</v>
          </cell>
          <cell r="AG161">
            <v>202</v>
          </cell>
          <cell r="AH161">
            <v>140</v>
          </cell>
          <cell r="AI161">
            <v>16</v>
          </cell>
          <cell r="AJ161">
            <v>90298.719226893125</v>
          </cell>
          <cell r="AL161">
            <v>10.743541941863555</v>
          </cell>
          <cell r="AM161">
            <v>20.163657068959083</v>
          </cell>
          <cell r="AN161">
            <v>19.641521498028091</v>
          </cell>
          <cell r="AQ161">
            <v>-100</v>
          </cell>
        </row>
        <row r="162">
          <cell r="AF162">
            <v>38057</v>
          </cell>
          <cell r="AG162">
            <v>203</v>
          </cell>
          <cell r="AH162">
            <v>141</v>
          </cell>
          <cell r="AI162">
            <v>15</v>
          </cell>
          <cell r="AJ162">
            <v>90234.483164606645</v>
          </cell>
          <cell r="AL162">
            <v>10.822377978914123</v>
          </cell>
          <cell r="AM162">
            <v>20.159945968390613</v>
          </cell>
          <cell r="AN162">
            <v>19.641521498028645</v>
          </cell>
          <cell r="AQ162">
            <v>-100</v>
          </cell>
        </row>
        <row r="163">
          <cell r="AF163">
            <v>38058</v>
          </cell>
          <cell r="AG163">
            <v>204</v>
          </cell>
          <cell r="AH163">
            <v>142</v>
          </cell>
          <cell r="AI163">
            <v>14</v>
          </cell>
          <cell r="AJ163">
            <v>90170.292798114446</v>
          </cell>
          <cell r="AL163">
            <v>10.901270137708918</v>
          </cell>
          <cell r="AM163">
            <v>20.156287249046791</v>
          </cell>
          <cell r="AN163">
            <v>19.641521498028915</v>
          </cell>
          <cell r="AQ163">
            <v>-100</v>
          </cell>
        </row>
        <row r="164">
          <cell r="AF164">
            <v>38061</v>
          </cell>
          <cell r="AG164">
            <v>207</v>
          </cell>
          <cell r="AH164">
            <v>143</v>
          </cell>
          <cell r="AI164">
            <v>13</v>
          </cell>
          <cell r="AJ164">
            <v>90106.14809490979</v>
          </cell>
          <cell r="AL164">
            <v>10.980218458199897</v>
          </cell>
          <cell r="AM164">
            <v>20.152679809680095</v>
          </cell>
          <cell r="AN164">
            <v>19.641521498029757</v>
          </cell>
          <cell r="AQ164">
            <v>-100</v>
          </cell>
        </row>
        <row r="165">
          <cell r="AF165">
            <v>38062</v>
          </cell>
          <cell r="AG165">
            <v>208</v>
          </cell>
          <cell r="AH165">
            <v>144</v>
          </cell>
          <cell r="AI165">
            <v>12</v>
          </cell>
          <cell r="AJ165">
            <v>90042.049022509033</v>
          </cell>
          <cell r="AL165">
            <v>11.059222980367366</v>
          </cell>
          <cell r="AM165">
            <v>20.149122579697764</v>
          </cell>
          <cell r="AN165">
            <v>19.64152149803018</v>
          </cell>
          <cell r="AQ165">
            <v>-100</v>
          </cell>
        </row>
        <row r="166">
          <cell r="AF166">
            <v>38063</v>
          </cell>
          <cell r="AG166">
            <v>209</v>
          </cell>
          <cell r="AH166">
            <v>145</v>
          </cell>
          <cell r="AI166">
            <v>11</v>
          </cell>
          <cell r="AJ166">
            <v>89977.995548451669</v>
          </cell>
          <cell r="AL166">
            <v>11.138283744220168</v>
          </cell>
          <cell r="AM166">
            <v>20.14561451810275</v>
          </cell>
          <cell r="AN166">
            <v>19.641521498030357</v>
          </cell>
          <cell r="AQ166">
            <v>-100</v>
          </cell>
        </row>
        <row r="167">
          <cell r="AF167">
            <v>38064</v>
          </cell>
          <cell r="AG167">
            <v>210</v>
          </cell>
          <cell r="AH167">
            <v>146</v>
          </cell>
          <cell r="AI167">
            <v>10</v>
          </cell>
          <cell r="AJ167">
            <v>89913.987640300271</v>
          </cell>
          <cell r="AL167">
            <v>11.217400789795562</v>
          </cell>
          <cell r="AM167">
            <v>20.142154612477814</v>
          </cell>
          <cell r="AN167">
            <v>19.641521498030624</v>
          </cell>
          <cell r="AQ167">
            <v>-100</v>
          </cell>
        </row>
        <row r="168">
          <cell r="AF168">
            <v>38065</v>
          </cell>
          <cell r="AG168">
            <v>211</v>
          </cell>
          <cell r="AH168">
            <v>147</v>
          </cell>
          <cell r="AI168">
            <v>9</v>
          </cell>
          <cell r="AJ168">
            <v>89850.025265640492</v>
          </cell>
          <cell r="AL168">
            <v>11.296574157159366</v>
          </cell>
          <cell r="AM168">
            <v>20.138741878011611</v>
          </cell>
          <cell r="AN168">
            <v>19.641521498031334</v>
          </cell>
          <cell r="AQ168">
            <v>-100</v>
          </cell>
        </row>
        <row r="169">
          <cell r="AF169">
            <v>38068</v>
          </cell>
          <cell r="AG169">
            <v>214</v>
          </cell>
          <cell r="AH169">
            <v>148</v>
          </cell>
          <cell r="AI169">
            <v>8</v>
          </cell>
          <cell r="AJ169">
            <v>89786.108392081034</v>
          </cell>
          <cell r="AL169">
            <v>11.375803886405889</v>
          </cell>
          <cell r="AM169">
            <v>20.135375356564044</v>
          </cell>
          <cell r="AN169">
            <v>19.64152149803229</v>
          </cell>
          <cell r="AQ169">
            <v>-100</v>
          </cell>
        </row>
        <row r="170">
          <cell r="AF170">
            <v>38069</v>
          </cell>
          <cell r="AG170">
            <v>215</v>
          </cell>
          <cell r="AH170">
            <v>149</v>
          </cell>
          <cell r="AI170">
            <v>7</v>
          </cell>
          <cell r="AJ170">
            <v>89722.236987253651</v>
          </cell>
          <cell r="AL170">
            <v>11.455090017658009</v>
          </cell>
          <cell r="AM170">
            <v>20.13205411576946</v>
          </cell>
          <cell r="AN170">
            <v>19.641521498033043</v>
          </cell>
          <cell r="AQ170">
            <v>-100</v>
          </cell>
        </row>
        <row r="171">
          <cell r="AF171">
            <v>38070</v>
          </cell>
          <cell r="AG171">
            <v>216</v>
          </cell>
          <cell r="AH171">
            <v>150</v>
          </cell>
          <cell r="AI171">
            <v>6</v>
          </cell>
          <cell r="AJ171">
            <v>89658.411018813116</v>
          </cell>
          <cell r="AL171">
            <v>11.534432591067102</v>
          </cell>
          <cell r="AM171">
            <v>20.128777248175634</v>
          </cell>
          <cell r="AN171">
            <v>19.641521498035196</v>
          </cell>
          <cell r="AQ171">
            <v>-100</v>
          </cell>
        </row>
        <row r="172">
          <cell r="AF172">
            <v>38071</v>
          </cell>
          <cell r="AG172">
            <v>217</v>
          </cell>
          <cell r="AH172">
            <v>151</v>
          </cell>
          <cell r="AI172">
            <v>5</v>
          </cell>
          <cell r="AJ172">
            <v>89594.630454437225</v>
          </cell>
          <cell r="AL172">
            <v>11.6138316468132</v>
          </cell>
          <cell r="AM172">
            <v>20.125543870417427</v>
          </cell>
          <cell r="AN172">
            <v>19.641521498037374</v>
          </cell>
          <cell r="AQ172">
            <v>-100</v>
          </cell>
        </row>
        <row r="173">
          <cell r="AF173">
            <v>38072</v>
          </cell>
          <cell r="AG173">
            <v>218</v>
          </cell>
          <cell r="AH173">
            <v>152</v>
          </cell>
          <cell r="AI173">
            <v>4</v>
          </cell>
          <cell r="AJ173">
            <v>89530.89526182675</v>
          </cell>
          <cell r="AL173">
            <v>11.693287225104921</v>
          </cell>
          <cell r="AM173">
            <v>20.122353122422677</v>
          </cell>
          <cell r="AN173">
            <v>19.641521498042145</v>
          </cell>
          <cell r="AQ173">
            <v>-100</v>
          </cell>
        </row>
        <row r="174">
          <cell r="AF174">
            <v>38075</v>
          </cell>
          <cell r="AG174">
            <v>221</v>
          </cell>
          <cell r="AH174">
            <v>153</v>
          </cell>
          <cell r="AI174">
            <v>3</v>
          </cell>
          <cell r="AJ174">
            <v>89467.205408705442</v>
          </cell>
          <cell r="AL174">
            <v>11.772799366179477</v>
          </cell>
          <cell r="AM174">
            <v>20.119204166649386</v>
          </cell>
          <cell r="AN174">
            <v>19.641521498048519</v>
          </cell>
          <cell r="AQ174">
            <v>-100</v>
          </cell>
        </row>
        <row r="175">
          <cell r="AF175">
            <v>38076</v>
          </cell>
          <cell r="AG175">
            <v>222</v>
          </cell>
          <cell r="AH175">
            <v>154</v>
          </cell>
          <cell r="AI175">
            <v>2</v>
          </cell>
          <cell r="AJ175">
            <v>89403.560862820013</v>
          </cell>
          <cell r="AL175">
            <v>11.852368110302747</v>
          </cell>
          <cell r="AM175">
            <v>20.116096187353037</v>
          </cell>
          <cell r="AN175">
            <v>19.641521498060822</v>
          </cell>
          <cell r="AQ175">
            <v>-100</v>
          </cell>
        </row>
        <row r="176">
          <cell r="AF176">
            <v>38077</v>
          </cell>
          <cell r="AG176">
            <v>223</v>
          </cell>
          <cell r="AH176">
            <v>155</v>
          </cell>
          <cell r="AI176">
            <v>1</v>
          </cell>
          <cell r="AJ176">
            <v>89339.961591940126</v>
          </cell>
          <cell r="AL176">
            <v>11.931993497769277</v>
          </cell>
          <cell r="AM176">
            <v>20.113028389881848</v>
          </cell>
          <cell r="AN176">
            <v>19.641521498090462</v>
          </cell>
          <cell r="AQ176">
            <v>-100</v>
          </cell>
        </row>
        <row r="177">
          <cell r="AF177">
            <v>38078</v>
          </cell>
          <cell r="AG177">
            <v>224</v>
          </cell>
          <cell r="AH177">
            <v>156</v>
          </cell>
          <cell r="AI177">
            <v>20</v>
          </cell>
          <cell r="AJ177">
            <v>89276.407563858171</v>
          </cell>
          <cell r="AK177">
            <v>1.0007355338784787</v>
          </cell>
          <cell r="AL177">
            <v>12.011675568902568</v>
          </cell>
          <cell r="AM177">
            <v>20.110000000000007</v>
          </cell>
          <cell r="AN177">
            <v>20.356309546938434</v>
          </cell>
          <cell r="AQ177">
            <v>-100</v>
          </cell>
        </row>
        <row r="178">
          <cell r="AF178">
            <v>38079</v>
          </cell>
          <cell r="AG178">
            <v>225</v>
          </cell>
          <cell r="AH178">
            <v>157</v>
          </cell>
          <cell r="AI178">
            <v>19</v>
          </cell>
          <cell r="AJ178">
            <v>89210.790005483286</v>
          </cell>
          <cell r="AL178">
            <v>12.094063951068645</v>
          </cell>
          <cell r="AM178">
            <v>20.111567254417515</v>
          </cell>
          <cell r="AN178">
            <v>20.356309546938345</v>
          </cell>
          <cell r="AQ178">
            <v>-100</v>
          </cell>
        </row>
        <row r="179">
          <cell r="AF179">
            <v>38082</v>
          </cell>
          <cell r="AG179">
            <v>228</v>
          </cell>
          <cell r="AH179">
            <v>158</v>
          </cell>
          <cell r="AI179">
            <v>18</v>
          </cell>
          <cell r="AJ179">
            <v>89145.220675571938</v>
          </cell>
          <cell r="AL179">
            <v>12.176512932681028</v>
          </cell>
          <cell r="AM179">
            <v>20.113114690235246</v>
          </cell>
          <cell r="AN179">
            <v>20.356309546938078</v>
          </cell>
          <cell r="AQ179">
            <v>-100</v>
          </cell>
        </row>
        <row r="180">
          <cell r="AF180">
            <v>38083</v>
          </cell>
          <cell r="AG180">
            <v>229</v>
          </cell>
          <cell r="AH180">
            <v>159</v>
          </cell>
          <cell r="AI180">
            <v>17</v>
          </cell>
          <cell r="AJ180">
            <v>89079.699538676534</v>
          </cell>
          <cell r="AL180">
            <v>12.259022558312637</v>
          </cell>
          <cell r="AM180">
            <v>20.114642681013017</v>
          </cell>
          <cell r="AN180">
            <v>20.356309546937858</v>
          </cell>
          <cell r="AQ180">
            <v>-100</v>
          </cell>
        </row>
        <row r="181">
          <cell r="AF181">
            <v>38084</v>
          </cell>
          <cell r="AG181">
            <v>230</v>
          </cell>
          <cell r="AH181">
            <v>160</v>
          </cell>
          <cell r="AI181">
            <v>16</v>
          </cell>
          <cell r="AJ181">
            <v>89014.226559375529</v>
          </cell>
          <cell r="AL181">
            <v>12.341592872569173</v>
          </cell>
          <cell r="AM181">
            <v>20.116151590981058</v>
          </cell>
          <cell r="AN181">
            <v>20.356309546937634</v>
          </cell>
          <cell r="AQ181">
            <v>-100</v>
          </cell>
        </row>
        <row r="182">
          <cell r="AF182">
            <v>38085</v>
          </cell>
          <cell r="AG182">
            <v>231</v>
          </cell>
          <cell r="AH182">
            <v>161</v>
          </cell>
          <cell r="AI182">
            <v>15</v>
          </cell>
          <cell r="AJ182">
            <v>88948.801702273428</v>
          </cell>
          <cell r="AL182">
            <v>12.424223920089217</v>
          </cell>
          <cell r="AM182">
            <v>20.117641775329488</v>
          </cell>
          <cell r="AN182">
            <v>20.35630954693768</v>
          </cell>
          <cell r="AQ182">
            <v>-100</v>
          </cell>
        </row>
        <row r="183">
          <cell r="AF183">
            <v>38089</v>
          </cell>
          <cell r="AG183">
            <v>235</v>
          </cell>
          <cell r="AH183">
            <v>162</v>
          </cell>
          <cell r="AI183">
            <v>14</v>
          </cell>
          <cell r="AJ183">
            <v>88883.424932000722</v>
          </cell>
          <cell r="AL183">
            <v>12.5069157455441</v>
          </cell>
          <cell r="AM183">
            <v>20.11911358048679</v>
          </cell>
          <cell r="AN183">
            <v>20.356309546937435</v>
          </cell>
          <cell r="AQ183">
            <v>-100</v>
          </cell>
        </row>
        <row r="184">
          <cell r="AF184">
            <v>38090</v>
          </cell>
          <cell r="AG184">
            <v>236</v>
          </cell>
          <cell r="AH184">
            <v>163</v>
          </cell>
          <cell r="AI184">
            <v>13</v>
          </cell>
          <cell r="AJ184">
            <v>88818.096213213925</v>
          </cell>
          <cell r="AL184">
            <v>12.58966839363811</v>
          </cell>
          <cell r="AM184">
            <v>20.120567344388675</v>
          </cell>
          <cell r="AN184">
            <v>20.356309546936902</v>
          </cell>
          <cell r="AQ184">
            <v>-100</v>
          </cell>
        </row>
        <row r="185">
          <cell r="AF185">
            <v>38091</v>
          </cell>
          <cell r="AG185">
            <v>237</v>
          </cell>
          <cell r="AH185">
            <v>164</v>
          </cell>
          <cell r="AI185">
            <v>12</v>
          </cell>
          <cell r="AJ185">
            <v>88752.815510595508</v>
          </cell>
          <cell r="AL185">
            <v>12.672481909108303</v>
          </cell>
          <cell r="AM185">
            <v>20.122003396736353</v>
          </cell>
          <cell r="AN185">
            <v>20.356309546936835</v>
          </cell>
          <cell r="AQ185">
            <v>-100</v>
          </cell>
        </row>
        <row r="186">
          <cell r="AF186">
            <v>38092</v>
          </cell>
          <cell r="AG186">
            <v>238</v>
          </cell>
          <cell r="AH186">
            <v>165</v>
          </cell>
          <cell r="AI186">
            <v>11</v>
          </cell>
          <cell r="AJ186">
            <v>88687.582788853921</v>
          </cell>
          <cell r="AL186">
            <v>12.755356336724732</v>
          </cell>
          <cell r="AM186">
            <v>20.123422059246177</v>
          </cell>
          <cell r="AN186">
            <v>20.356309546936302</v>
          </cell>
          <cell r="AQ186">
            <v>-100</v>
          </cell>
        </row>
        <row r="187">
          <cell r="AF187">
            <v>38093</v>
          </cell>
          <cell r="AG187">
            <v>239</v>
          </cell>
          <cell r="AH187">
            <v>166</v>
          </cell>
          <cell r="AI187">
            <v>10</v>
          </cell>
          <cell r="AJ187">
            <v>88622.398012723541</v>
          </cell>
          <cell r="AL187">
            <v>12.838291721290339</v>
          </cell>
          <cell r="AM187">
            <v>20.124823645889698</v>
          </cell>
          <cell r="AN187">
            <v>20.356309546936124</v>
          </cell>
          <cell r="AQ187">
            <v>-100</v>
          </cell>
        </row>
        <row r="188">
          <cell r="AF188">
            <v>38096</v>
          </cell>
          <cell r="AG188">
            <v>242</v>
          </cell>
          <cell r="AH188">
            <v>167</v>
          </cell>
          <cell r="AI188">
            <v>9</v>
          </cell>
          <cell r="AJ188">
            <v>88557.261146964665</v>
          </cell>
          <cell r="AL188">
            <v>12.921288107641015</v>
          </cell>
          <cell r="AM188">
            <v>20.126208463125383</v>
          </cell>
          <cell r="AN188">
            <v>20.356309546935837</v>
          </cell>
          <cell r="AQ188">
            <v>-100</v>
          </cell>
        </row>
        <row r="189">
          <cell r="AF189">
            <v>38097</v>
          </cell>
          <cell r="AG189">
            <v>243</v>
          </cell>
          <cell r="AH189">
            <v>168</v>
          </cell>
          <cell r="AI189">
            <v>8</v>
          </cell>
          <cell r="AJ189">
            <v>88492.172156363493</v>
          </cell>
          <cell r="AL189">
            <v>13.004345540645623</v>
          </cell>
          <cell r="AM189">
            <v>20.127576810122005</v>
          </cell>
          <cell r="AN189">
            <v>20.35630954693568</v>
          </cell>
          <cell r="AQ189">
            <v>-100</v>
          </cell>
        </row>
        <row r="190">
          <cell r="AF190">
            <v>38099</v>
          </cell>
          <cell r="AG190">
            <v>245</v>
          </cell>
          <cell r="AH190">
            <v>169</v>
          </cell>
          <cell r="AI190">
            <v>7</v>
          </cell>
          <cell r="AJ190">
            <v>88427.13100573211</v>
          </cell>
          <cell r="AL190">
            <v>13.087464065206067</v>
          </cell>
          <cell r="AM190">
            <v>20.128928978974159</v>
          </cell>
          <cell r="AN190">
            <v>20.356309546934568</v>
          </cell>
          <cell r="AQ190">
            <v>-100</v>
          </cell>
        </row>
        <row r="191">
          <cell r="AF191">
            <v>38100</v>
          </cell>
          <cell r="AG191">
            <v>246</v>
          </cell>
          <cell r="AH191">
            <v>170</v>
          </cell>
          <cell r="AI191">
            <v>6</v>
          </cell>
          <cell r="AJ191">
            <v>88362.137659908447</v>
          </cell>
          <cell r="AL191">
            <v>13.17064372625727</v>
          </cell>
          <cell r="AM191">
            <v>20.130265254910128</v>
          </cell>
          <cell r="AN191">
            <v>20.356309546933172</v>
          </cell>
          <cell r="AQ191">
            <v>-100</v>
          </cell>
        </row>
        <row r="192">
          <cell r="AF192">
            <v>38103</v>
          </cell>
          <cell r="AG192">
            <v>249</v>
          </cell>
          <cell r="AH192">
            <v>171</v>
          </cell>
          <cell r="AI192">
            <v>5</v>
          </cell>
          <cell r="AJ192">
            <v>88297.192083756308</v>
          </cell>
          <cell r="AL192">
            <v>13.253884568767171</v>
          </cell>
          <cell r="AM192">
            <v>20.131585916492291</v>
          </cell>
          <cell r="AN192">
            <v>20.356309546933659</v>
          </cell>
          <cell r="AQ192">
            <v>-100</v>
          </cell>
        </row>
        <row r="193">
          <cell r="AF193">
            <v>38104</v>
          </cell>
          <cell r="AG193">
            <v>250</v>
          </cell>
          <cell r="AH193">
            <v>172</v>
          </cell>
          <cell r="AI193">
            <v>4</v>
          </cell>
          <cell r="AJ193">
            <v>88232.294242165299</v>
          </cell>
          <cell r="AL193">
            <v>13.337186637736821</v>
          </cell>
          <cell r="AM193">
            <v>20.132891235811012</v>
          </cell>
          <cell r="AN193">
            <v>20.356309546931396</v>
          </cell>
          <cell r="AQ193">
            <v>-100</v>
          </cell>
        </row>
        <row r="194">
          <cell r="AF194">
            <v>38105</v>
          </cell>
          <cell r="AG194">
            <v>251</v>
          </cell>
          <cell r="AH194">
            <v>173</v>
          </cell>
          <cell r="AI194">
            <v>3</v>
          </cell>
          <cell r="AJ194">
            <v>88167.444100050838</v>
          </cell>
          <cell r="AL194">
            <v>13.420549978200324</v>
          </cell>
          <cell r="AM194">
            <v>20.134181478671209</v>
          </cell>
          <cell r="AN194">
            <v>20.356309546929928</v>
          </cell>
          <cell r="AQ194">
            <v>-100</v>
          </cell>
        </row>
        <row r="195">
          <cell r="AF195">
            <v>38106</v>
          </cell>
          <cell r="AG195">
            <v>252</v>
          </cell>
          <cell r="AH195">
            <v>174</v>
          </cell>
          <cell r="AI195">
            <v>2</v>
          </cell>
          <cell r="AJ195">
            <v>88102.641622354131</v>
          </cell>
          <cell r="AL195">
            <v>13.503974635224992</v>
          </cell>
          <cell r="AM195">
            <v>20.135456904773097</v>
          </cell>
          <cell r="AN195">
            <v>20.356309546924777</v>
          </cell>
          <cell r="AQ195">
            <v>-100</v>
          </cell>
        </row>
        <row r="196">
          <cell r="AF196">
            <v>38107</v>
          </cell>
          <cell r="AG196">
            <v>253</v>
          </cell>
          <cell r="AH196">
            <v>175</v>
          </cell>
          <cell r="AI196">
            <v>1</v>
          </cell>
          <cell r="AJ196">
            <v>88037.886774042156</v>
          </cell>
          <cell r="AL196">
            <v>13.587460653911165</v>
          </cell>
          <cell r="AM196">
            <v>20.136717767886193</v>
          </cell>
          <cell r="AN196">
            <v>20.356309546904725</v>
          </cell>
          <cell r="AQ196">
            <v>-100</v>
          </cell>
        </row>
        <row r="197">
          <cell r="AF197">
            <v>38110</v>
          </cell>
          <cell r="AG197">
            <v>256</v>
          </cell>
          <cell r="AH197">
            <v>176</v>
          </cell>
          <cell r="AI197">
            <v>21</v>
          </cell>
          <cell r="AJ197">
            <v>87973.179520107718</v>
          </cell>
          <cell r="AK197">
            <v>1.0007355338784787</v>
          </cell>
          <cell r="AL197">
            <v>13.671008079392365</v>
          </cell>
          <cell r="AM197">
            <v>20.137964316017708</v>
          </cell>
          <cell r="AN197">
            <v>20.356309546938036</v>
          </cell>
          <cell r="AQ197">
            <v>-100</v>
          </cell>
        </row>
        <row r="198">
          <cell r="AF198">
            <v>38111</v>
          </cell>
          <cell r="AG198">
            <v>257</v>
          </cell>
          <cell r="AH198">
            <v>177</v>
          </cell>
          <cell r="AI198">
            <v>20</v>
          </cell>
          <cell r="AJ198">
            <v>87908.519825569092</v>
          </cell>
          <cell r="AL198">
            <v>13.754616956835598</v>
          </cell>
          <cell r="AM198">
            <v>20.139196791575653</v>
          </cell>
          <cell r="AN198">
            <v>20.356309546938078</v>
          </cell>
          <cell r="AQ198">
            <v>-100</v>
          </cell>
        </row>
        <row r="199">
          <cell r="AF199">
            <v>38112</v>
          </cell>
          <cell r="AG199">
            <v>258</v>
          </cell>
          <cell r="AH199">
            <v>178</v>
          </cell>
          <cell r="AI199">
            <v>19</v>
          </cell>
          <cell r="AJ199">
            <v>87843.907655470539</v>
          </cell>
          <cell r="AL199">
            <v>13.838287331440725</v>
          </cell>
          <cell r="AM199">
            <v>20.140415431525092</v>
          </cell>
          <cell r="AN199">
            <v>20.356309546937656</v>
          </cell>
          <cell r="AQ199">
            <v>-100</v>
          </cell>
        </row>
        <row r="200">
          <cell r="AF200">
            <v>38113</v>
          </cell>
          <cell r="AG200">
            <v>259</v>
          </cell>
          <cell r="AH200">
            <v>179</v>
          </cell>
          <cell r="AI200">
            <v>18</v>
          </cell>
          <cell r="AJ200">
            <v>87779.342974881918</v>
          </cell>
          <cell r="AL200">
            <v>13.922019248440986</v>
          </cell>
          <cell r="AM200">
            <v>20.141620467540665</v>
          </cell>
          <cell r="AN200">
            <v>20.356309546937702</v>
          </cell>
          <cell r="AQ200">
            <v>-100</v>
          </cell>
        </row>
        <row r="201">
          <cell r="AF201">
            <v>38114</v>
          </cell>
          <cell r="AG201">
            <v>260</v>
          </cell>
          <cell r="AH201">
            <v>180</v>
          </cell>
          <cell r="AI201">
            <v>17</v>
          </cell>
          <cell r="AJ201">
            <v>87714.825748898744</v>
          </cell>
          <cell r="AL201">
            <v>14.005812753102909</v>
          </cell>
          <cell r="AM201">
            <v>20.142812126153231</v>
          </cell>
          <cell r="AN201">
            <v>20.356309546937457</v>
          </cell>
          <cell r="AQ201">
            <v>-100</v>
          </cell>
        </row>
        <row r="202">
          <cell r="AF202">
            <v>38117</v>
          </cell>
          <cell r="AG202">
            <v>263</v>
          </cell>
          <cell r="AH202">
            <v>181</v>
          </cell>
          <cell r="AI202">
            <v>16</v>
          </cell>
          <cell r="AJ202">
            <v>87650.355942642214</v>
          </cell>
          <cell r="AL202">
            <v>14.089667890726322</v>
          </cell>
          <cell r="AM202">
            <v>20.143990628891963</v>
          </cell>
          <cell r="AN202">
            <v>20.356309546937233</v>
          </cell>
          <cell r="AQ202">
            <v>-100</v>
          </cell>
        </row>
        <row r="203">
          <cell r="AF203">
            <v>38118</v>
          </cell>
          <cell r="AG203">
            <v>264</v>
          </cell>
          <cell r="AH203">
            <v>182</v>
          </cell>
          <cell r="AI203">
            <v>15</v>
          </cell>
          <cell r="AJ203">
            <v>87585.93352125914</v>
          </cell>
          <cell r="AL203">
            <v>14.173584706644338</v>
          </cell>
          <cell r="AM203">
            <v>20.145156192421432</v>
          </cell>
          <cell r="AN203">
            <v>20.356309546937233</v>
          </cell>
          <cell r="AQ203">
            <v>-100</v>
          </cell>
        </row>
        <row r="204">
          <cell r="AF204">
            <v>38119</v>
          </cell>
          <cell r="AG204">
            <v>265</v>
          </cell>
          <cell r="AH204">
            <v>183</v>
          </cell>
          <cell r="AI204">
            <v>14</v>
          </cell>
          <cell r="AJ204">
            <v>87521.558449921969</v>
          </cell>
          <cell r="AL204">
            <v>14.257563246223427</v>
          </cell>
          <cell r="AM204">
            <v>20.146309028674558</v>
          </cell>
          <cell r="AN204">
            <v>20.356309546936991</v>
          </cell>
          <cell r="AQ204">
            <v>-100</v>
          </cell>
        </row>
        <row r="205">
          <cell r="AF205">
            <v>38120</v>
          </cell>
          <cell r="AG205">
            <v>266</v>
          </cell>
          <cell r="AH205">
            <v>184</v>
          </cell>
          <cell r="AI205">
            <v>13</v>
          </cell>
          <cell r="AJ205">
            <v>87457.230693828737</v>
          </cell>
          <cell r="AL205">
            <v>14.341603554863447</v>
          </cell>
          <cell r="AM205">
            <v>20.147449344981027</v>
          </cell>
          <cell r="AN205">
            <v>20.356309546936902</v>
          </cell>
          <cell r="AQ205">
            <v>-100</v>
          </cell>
        </row>
        <row r="206">
          <cell r="AF206">
            <v>38121</v>
          </cell>
          <cell r="AG206">
            <v>267</v>
          </cell>
          <cell r="AH206">
            <v>185</v>
          </cell>
          <cell r="AI206">
            <v>12</v>
          </cell>
          <cell r="AJ206">
            <v>87392.950218203041</v>
          </cell>
          <cell r="AL206">
            <v>14.425705677997636</v>
          </cell>
          <cell r="AM206">
            <v>20.148577344191597</v>
          </cell>
          <cell r="AN206">
            <v>20.356309546936835</v>
          </cell>
          <cell r="AQ206">
            <v>-100</v>
          </cell>
        </row>
        <row r="207">
          <cell r="AF207">
            <v>38124</v>
          </cell>
          <cell r="AG207">
            <v>270</v>
          </cell>
          <cell r="AH207">
            <v>186</v>
          </cell>
          <cell r="AI207">
            <v>11</v>
          </cell>
          <cell r="AJ207">
            <v>87328.71698829408</v>
          </cell>
          <cell r="AL207">
            <v>14.509869661092623</v>
          </cell>
          <cell r="AM207">
            <v>20.149693224798337</v>
          </cell>
          <cell r="AN207">
            <v>20.356309546936302</v>
          </cell>
          <cell r="AQ207">
            <v>-100</v>
          </cell>
        </row>
        <row r="208">
          <cell r="AF208">
            <v>38125</v>
          </cell>
          <cell r="AG208">
            <v>271</v>
          </cell>
          <cell r="AH208">
            <v>187</v>
          </cell>
          <cell r="AI208">
            <v>10</v>
          </cell>
          <cell r="AJ208">
            <v>87264.530969376545</v>
          </cell>
          <cell r="AL208">
            <v>14.594095549648545</v>
          </cell>
          <cell r="AM208">
            <v>20.150797181051239</v>
          </cell>
          <cell r="AN208">
            <v>20.356309546935456</v>
          </cell>
          <cell r="AQ208">
            <v>-100</v>
          </cell>
        </row>
        <row r="209">
          <cell r="AF209">
            <v>38126</v>
          </cell>
          <cell r="AG209">
            <v>272</v>
          </cell>
          <cell r="AH209">
            <v>188</v>
          </cell>
          <cell r="AI209">
            <v>9</v>
          </cell>
          <cell r="AJ209">
            <v>87200.392126750696</v>
          </cell>
          <cell r="AL209">
            <v>14.678383389198935</v>
          </cell>
          <cell r="AM209">
            <v>20.151889403070733</v>
          </cell>
          <cell r="AN209">
            <v>20.356309546935126</v>
          </cell>
          <cell r="AQ209">
            <v>-100</v>
          </cell>
        </row>
        <row r="210">
          <cell r="AF210">
            <v>38127</v>
          </cell>
          <cell r="AG210">
            <v>273</v>
          </cell>
          <cell r="AH210">
            <v>189</v>
          </cell>
          <cell r="AI210">
            <v>8</v>
          </cell>
          <cell r="AJ210">
            <v>87136.300425742258</v>
          </cell>
          <cell r="AL210">
            <v>14.762733225310853</v>
          </cell>
          <cell r="AM210">
            <v>20.152970076956976</v>
          </cell>
          <cell r="AN210">
            <v>20.356309546934838</v>
          </cell>
          <cell r="AQ210">
            <v>-100</v>
          </cell>
        </row>
        <row r="211">
          <cell r="AF211">
            <v>38128</v>
          </cell>
          <cell r="AG211">
            <v>274</v>
          </cell>
          <cell r="AH211">
            <v>190</v>
          </cell>
          <cell r="AI211">
            <v>7</v>
          </cell>
          <cell r="AJ211">
            <v>87072.255831702481</v>
          </cell>
          <cell r="AL211">
            <v>14.847145103584891</v>
          </cell>
          <cell r="AM211">
            <v>20.154039384895526</v>
          </cell>
          <cell r="AN211">
            <v>20.35630954693368</v>
          </cell>
          <cell r="AQ211">
            <v>-100</v>
          </cell>
        </row>
        <row r="212">
          <cell r="AF212">
            <v>38131</v>
          </cell>
          <cell r="AG212">
            <v>277</v>
          </cell>
          <cell r="AH212">
            <v>191</v>
          </cell>
          <cell r="AI212">
            <v>6</v>
          </cell>
          <cell r="AJ212">
            <v>87008.258310008052</v>
          </cell>
          <cell r="AL212">
            <v>14.931619069655122</v>
          </cell>
          <cell r="AM212">
            <v>20.155097505259722</v>
          </cell>
          <cell r="AN212">
            <v>20.356309546933172</v>
          </cell>
          <cell r="AQ212">
            <v>-100</v>
          </cell>
        </row>
        <row r="213">
          <cell r="AF213">
            <v>38132</v>
          </cell>
          <cell r="AG213">
            <v>278</v>
          </cell>
          <cell r="AH213">
            <v>192</v>
          </cell>
          <cell r="AI213">
            <v>5</v>
          </cell>
          <cell r="AJ213">
            <v>86944.307826061107</v>
          </cell>
          <cell r="AL213">
            <v>15.016155169189261</v>
          </cell>
          <cell r="AM213">
            <v>20.156144612709891</v>
          </cell>
          <cell r="AN213">
            <v>20.356309546932327</v>
          </cell>
          <cell r="AQ213">
            <v>-100</v>
          </cell>
        </row>
        <row r="214">
          <cell r="AF214">
            <v>38133</v>
          </cell>
          <cell r="AG214">
            <v>279</v>
          </cell>
          <cell r="AH214">
            <v>193</v>
          </cell>
          <cell r="AI214">
            <v>4</v>
          </cell>
          <cell r="AJ214">
            <v>86880.404345289222</v>
          </cell>
          <cell r="AL214">
            <v>15.100753447888549</v>
          </cell>
          <cell r="AM214">
            <v>20.157180878289438</v>
          </cell>
          <cell r="AN214">
            <v>20.356309546929818</v>
          </cell>
          <cell r="AQ214">
            <v>-100</v>
          </cell>
        </row>
        <row r="215">
          <cell r="AF215">
            <v>38134</v>
          </cell>
          <cell r="AG215">
            <v>280</v>
          </cell>
          <cell r="AH215">
            <v>194</v>
          </cell>
          <cell r="AI215">
            <v>3</v>
          </cell>
          <cell r="AJ215">
            <v>86816.547833145378</v>
          </cell>
          <cell r="AL215">
            <v>15.185413951487892</v>
          </cell>
          <cell r="AM215">
            <v>20.15820646951807</v>
          </cell>
          <cell r="AN215">
            <v>20.356309546927733</v>
          </cell>
          <cell r="AQ215">
            <v>-100</v>
          </cell>
        </row>
        <row r="216">
          <cell r="AF216">
            <v>38135</v>
          </cell>
          <cell r="AG216">
            <v>281</v>
          </cell>
          <cell r="AH216">
            <v>195</v>
          </cell>
          <cell r="AI216">
            <v>2</v>
          </cell>
          <cell r="AJ216">
            <v>86752.73825510795</v>
          </cell>
          <cell r="AL216">
            <v>15.270136725755812</v>
          </cell>
          <cell r="AM216">
            <v>20.159221550481952</v>
          </cell>
          <cell r="AN216">
            <v>20.356309546921359</v>
          </cell>
          <cell r="AQ216">
            <v>-100</v>
          </cell>
        </row>
        <row r="217">
          <cell r="AF217">
            <v>38138</v>
          </cell>
          <cell r="AG217">
            <v>284</v>
          </cell>
          <cell r="AH217">
            <v>196</v>
          </cell>
          <cell r="AI217">
            <v>1</v>
          </cell>
          <cell r="AJ217">
            <v>86688.975576680692</v>
          </cell>
          <cell r="AL217">
            <v>15.354921816494471</v>
          </cell>
          <cell r="AM217">
            <v>20.160226281921247</v>
          </cell>
          <cell r="AN217">
            <v>20.356309546898043</v>
          </cell>
          <cell r="AQ217">
            <v>-100</v>
          </cell>
        </row>
        <row r="218">
          <cell r="AF218">
            <v>38139</v>
          </cell>
          <cell r="AG218">
            <v>285</v>
          </cell>
          <cell r="AH218">
            <v>197</v>
          </cell>
          <cell r="AI218">
            <v>21</v>
          </cell>
          <cell r="AJ218">
            <v>86625.259763392809</v>
          </cell>
          <cell r="AK218">
            <v>1.0007355338784789</v>
          </cell>
          <cell r="AL218">
            <v>15.439769269539628</v>
          </cell>
          <cell r="AM218">
            <v>20.161220821314927</v>
          </cell>
          <cell r="AN218">
            <v>20.356309546949337</v>
          </cell>
          <cell r="AQ218">
            <v>-100</v>
          </cell>
        </row>
        <row r="219">
          <cell r="AF219">
            <v>38140</v>
          </cell>
          <cell r="AG219">
            <v>286</v>
          </cell>
          <cell r="AH219">
            <v>198</v>
          </cell>
          <cell r="AI219">
            <v>20</v>
          </cell>
          <cell r="AJ219">
            <v>86561.590780798506</v>
          </cell>
          <cell r="AL219">
            <v>15.524679130761143</v>
          </cell>
          <cell r="AM219">
            <v>20.162205322963601</v>
          </cell>
          <cell r="AN219">
            <v>20.356309546949714</v>
          </cell>
          <cell r="AQ219">
            <v>-100</v>
          </cell>
        </row>
        <row r="220">
          <cell r="AF220">
            <v>38141</v>
          </cell>
          <cell r="AG220">
            <v>287</v>
          </cell>
          <cell r="AH220">
            <v>199</v>
          </cell>
          <cell r="AI220">
            <v>19</v>
          </cell>
          <cell r="AJ220">
            <v>86497.968594477657</v>
          </cell>
          <cell r="AL220">
            <v>15.609651446062234</v>
          </cell>
          <cell r="AM220">
            <v>20.163179938068399</v>
          </cell>
          <cell r="AN220">
            <v>20.356309546949536</v>
          </cell>
          <cell r="AQ220">
            <v>-100</v>
          </cell>
        </row>
        <row r="221">
          <cell r="AF221">
            <v>38142</v>
          </cell>
          <cell r="AG221">
            <v>288</v>
          </cell>
          <cell r="AH221">
            <v>200</v>
          </cell>
          <cell r="AI221">
            <v>18</v>
          </cell>
          <cell r="AJ221">
            <v>86434.393170035328</v>
          </cell>
          <cell r="AL221">
            <v>15.694686261379953</v>
          </cell>
          <cell r="AM221">
            <v>20.164144814808882</v>
          </cell>
          <cell r="AN221">
            <v>20.35630954694987</v>
          </cell>
          <cell r="AQ221">
            <v>-100</v>
          </cell>
        </row>
        <row r="222">
          <cell r="AF222">
            <v>38145</v>
          </cell>
          <cell r="AG222">
            <v>291</v>
          </cell>
          <cell r="AH222">
            <v>201</v>
          </cell>
          <cell r="AI222">
            <v>17</v>
          </cell>
          <cell r="AJ222">
            <v>86370.864473101858</v>
          </cell>
          <cell r="AL222">
            <v>15.779783622685173</v>
          </cell>
          <cell r="AM222">
            <v>20.165100098418186</v>
          </cell>
          <cell r="AN222">
            <v>20.35630954694998</v>
          </cell>
          <cell r="AQ222">
            <v>-100</v>
          </cell>
        </row>
        <row r="223">
          <cell r="AF223">
            <v>38146</v>
          </cell>
          <cell r="AG223">
            <v>292</v>
          </cell>
          <cell r="AH223">
            <v>202</v>
          </cell>
          <cell r="AI223">
            <v>16</v>
          </cell>
          <cell r="AJ223">
            <v>86307.382469332821</v>
          </cell>
          <cell r="AL223">
            <v>15.864943575982625</v>
          </cell>
          <cell r="AM223">
            <v>20.166045931255905</v>
          </cell>
          <cell r="AN223">
            <v>20.356309546950115</v>
          </cell>
          <cell r="AQ223">
            <v>-100</v>
          </cell>
        </row>
        <row r="224">
          <cell r="AF224">
            <v>38147</v>
          </cell>
          <cell r="AG224">
            <v>293</v>
          </cell>
          <cell r="AH224">
            <v>203</v>
          </cell>
          <cell r="AI224">
            <v>15</v>
          </cell>
          <cell r="AJ224">
            <v>86243.947124409067</v>
          </cell>
          <cell r="AL224">
            <v>15.950166167310819</v>
          </cell>
          <cell r="AM224">
            <v>20.166982452878578</v>
          </cell>
          <cell r="AN224">
            <v>20.35630954695009</v>
          </cell>
          <cell r="AQ224">
            <v>-100</v>
          </cell>
        </row>
        <row r="225">
          <cell r="AF225">
            <v>38149</v>
          </cell>
          <cell r="AG225">
            <v>295</v>
          </cell>
          <cell r="AH225">
            <v>204</v>
          </cell>
          <cell r="AI225">
            <v>14</v>
          </cell>
          <cell r="AJ225">
            <v>86180.558404036667</v>
          </cell>
          <cell r="AL225">
            <v>16.035451442742144</v>
          </cell>
          <cell r="AM225">
            <v>20.167909800108585</v>
          </cell>
          <cell r="AN225">
            <v>20.356309546950403</v>
          </cell>
          <cell r="AQ225">
            <v>-100</v>
          </cell>
        </row>
        <row r="226">
          <cell r="AF226">
            <v>38152</v>
          </cell>
          <cell r="AG226">
            <v>298</v>
          </cell>
          <cell r="AH226">
            <v>205</v>
          </cell>
          <cell r="AI226">
            <v>13</v>
          </cell>
          <cell r="AJ226">
            <v>86117.216273946877</v>
          </cell>
          <cell r="AL226">
            <v>16.120799448382893</v>
          </cell>
          <cell r="AM226">
            <v>20.168828107100634</v>
          </cell>
          <cell r="AN226">
            <v>20.356309546950779</v>
          </cell>
          <cell r="AQ226">
            <v>-100</v>
          </cell>
        </row>
        <row r="227">
          <cell r="AF227">
            <v>38153</v>
          </cell>
          <cell r="AG227">
            <v>299</v>
          </cell>
          <cell r="AH227">
            <v>206</v>
          </cell>
          <cell r="AI227">
            <v>12</v>
          </cell>
          <cell r="AJ227">
            <v>86053.92069989616</v>
          </cell>
          <cell r="AL227">
            <v>16.20621023037323</v>
          </cell>
          <cell r="AM227">
            <v>20.169737505406495</v>
          </cell>
          <cell r="AN227">
            <v>20.356309546950602</v>
          </cell>
          <cell r="AQ227">
            <v>-100</v>
          </cell>
        </row>
        <row r="228">
          <cell r="AF228">
            <v>38154</v>
          </cell>
          <cell r="AG228">
            <v>300</v>
          </cell>
          <cell r="AH228">
            <v>207</v>
          </cell>
          <cell r="AI228">
            <v>11</v>
          </cell>
          <cell r="AJ228">
            <v>85990.671647666139</v>
          </cell>
          <cell r="AL228">
            <v>16.291683834887326</v>
          </cell>
          <cell r="AM228">
            <v>20.170638124037943</v>
          </cell>
          <cell r="AN228">
            <v>20.356309546950889</v>
          </cell>
          <cell r="AQ228">
            <v>-100</v>
          </cell>
        </row>
        <row r="229">
          <cell r="AF229">
            <v>38155</v>
          </cell>
          <cell r="AG229">
            <v>301</v>
          </cell>
          <cell r="AH229">
            <v>208</v>
          </cell>
          <cell r="AI229">
            <v>10</v>
          </cell>
          <cell r="AJ229">
            <v>85927.469083063595</v>
          </cell>
          <cell r="AL229">
            <v>16.377220308133246</v>
          </cell>
          <cell r="AM229">
            <v>20.171530089527522</v>
          </cell>
          <cell r="AN229">
            <v>20.356309546951511</v>
          </cell>
          <cell r="AQ229">
            <v>-100</v>
          </cell>
        </row>
        <row r="230">
          <cell r="AF230">
            <v>38156</v>
          </cell>
          <cell r="AG230">
            <v>302</v>
          </cell>
          <cell r="AH230">
            <v>209</v>
          </cell>
          <cell r="AI230">
            <v>9</v>
          </cell>
          <cell r="AJ230">
            <v>85864.31297192043</v>
          </cell>
          <cell r="AL230">
            <v>16.46281969635308</v>
          </cell>
          <cell r="AM230">
            <v>20.172413525988063</v>
          </cell>
          <cell r="AN230">
            <v>20.35630954695209</v>
          </cell>
          <cell r="AQ230">
            <v>-100</v>
          </cell>
        </row>
        <row r="231">
          <cell r="AF231">
            <v>38159</v>
          </cell>
          <cell r="AG231">
            <v>305</v>
          </cell>
          <cell r="AH231">
            <v>210</v>
          </cell>
          <cell r="AI231">
            <v>8</v>
          </cell>
          <cell r="AJ231">
            <v>85801.203280093672</v>
          </cell>
          <cell r="AL231">
            <v>16.548482045822908</v>
          </cell>
          <cell r="AM231">
            <v>20.173288555170068</v>
          </cell>
          <cell r="AN231">
            <v>20.356309546952424</v>
          </cell>
          <cell r="AQ231">
            <v>-100</v>
          </cell>
        </row>
        <row r="232">
          <cell r="AF232">
            <v>38160</v>
          </cell>
          <cell r="AG232">
            <v>306</v>
          </cell>
          <cell r="AH232">
            <v>211</v>
          </cell>
          <cell r="AI232">
            <v>7</v>
          </cell>
          <cell r="AJ232">
            <v>85738.139973465426</v>
          </cell>
          <cell r="AL232">
            <v>16.634207402852908</v>
          </cell>
          <cell r="AM232">
            <v>20.174155296517803</v>
          </cell>
          <cell r="AN232">
            <v>20.35630954695371</v>
          </cell>
          <cell r="AQ232">
            <v>-100</v>
          </cell>
        </row>
        <row r="233">
          <cell r="AF233">
            <v>38161</v>
          </cell>
          <cell r="AG233">
            <v>307</v>
          </cell>
          <cell r="AH233">
            <v>212</v>
          </cell>
          <cell r="AI233">
            <v>6</v>
          </cell>
          <cell r="AJ233">
            <v>85675.123017942882</v>
          </cell>
          <cell r="AL233">
            <v>16.719995813787246</v>
          </cell>
          <cell r="AM233">
            <v>20.175013867223491</v>
          </cell>
          <cell r="AN233">
            <v>20.356309546954954</v>
          </cell>
          <cell r="AQ233">
            <v>-100</v>
          </cell>
        </row>
        <row r="234">
          <cell r="AF234">
            <v>38162</v>
          </cell>
          <cell r="AG234">
            <v>308</v>
          </cell>
          <cell r="AH234">
            <v>213</v>
          </cell>
          <cell r="AI234">
            <v>5</v>
          </cell>
          <cell r="AJ234">
            <v>85612.15237945829</v>
          </cell>
          <cell r="AL234">
            <v>16.805847325004208</v>
          </cell>
          <cell r="AM234">
            <v>20.175864382280274</v>
          </cell>
          <cell r="AN234">
            <v>20.356309546956485</v>
          </cell>
          <cell r="AQ234">
            <v>-100</v>
          </cell>
        </row>
        <row r="235">
          <cell r="AF235">
            <v>38163</v>
          </cell>
          <cell r="AG235">
            <v>309</v>
          </cell>
          <cell r="AH235">
            <v>214</v>
          </cell>
          <cell r="AI235">
            <v>4</v>
          </cell>
          <cell r="AJ235">
            <v>85549.228023968943</v>
          </cell>
          <cell r="AL235">
            <v>16.891761982916176</v>
          </cell>
          <cell r="AM235">
            <v>20.176706954533397</v>
          </cell>
          <cell r="AN235">
            <v>20.356309546960194</v>
          </cell>
          <cell r="AQ235">
            <v>-100</v>
          </cell>
        </row>
        <row r="236">
          <cell r="AF236">
            <v>38166</v>
          </cell>
          <cell r="AG236">
            <v>312</v>
          </cell>
          <cell r="AH236">
            <v>215</v>
          </cell>
          <cell r="AI236">
            <v>3</v>
          </cell>
          <cell r="AJ236">
            <v>85486.349917457148</v>
          </cell>
          <cell r="AL236">
            <v>16.977739833969707</v>
          </cell>
          <cell r="AM236">
            <v>20.177541694730383</v>
          </cell>
          <cell r="AN236">
            <v>20.356309546963747</v>
          </cell>
          <cell r="AQ236">
            <v>-100</v>
          </cell>
        </row>
        <row r="237">
          <cell r="AF237">
            <v>38167</v>
          </cell>
          <cell r="AG237">
            <v>313</v>
          </cell>
          <cell r="AH237">
            <v>216</v>
          </cell>
          <cell r="AI237">
            <v>2</v>
          </cell>
          <cell r="AJ237">
            <v>85423.518025930229</v>
          </cell>
          <cell r="AL237">
            <v>17.063780924645467</v>
          </cell>
          <cell r="AM237">
            <v>20.178368711569195</v>
          </cell>
          <cell r="AN237">
            <v>20.35630954697163</v>
          </cell>
          <cell r="AQ237">
            <v>-100</v>
          </cell>
        </row>
        <row r="238">
          <cell r="AF238">
            <v>38168</v>
          </cell>
          <cell r="AG238">
            <v>314</v>
          </cell>
          <cell r="AH238">
            <v>217</v>
          </cell>
          <cell r="AI238">
            <v>1</v>
          </cell>
          <cell r="AJ238">
            <v>85360.732315420464</v>
          </cell>
          <cell r="AL238">
            <v>17.149885301458379</v>
          </cell>
          <cell r="AM238">
            <v>20.179188111745795</v>
          </cell>
          <cell r="AN238">
            <v>20.356309546998453</v>
          </cell>
          <cell r="AQ238">
            <v>-100</v>
          </cell>
        </row>
        <row r="239">
          <cell r="AF239">
            <v>38169</v>
          </cell>
          <cell r="AG239">
            <v>315</v>
          </cell>
          <cell r="AH239">
            <v>218</v>
          </cell>
          <cell r="AI239">
            <v>22</v>
          </cell>
          <cell r="AJ239">
            <v>85297.992751984988</v>
          </cell>
          <cell r="AK239">
            <v>1.0007355338784787</v>
          </cell>
          <cell r="AL239">
            <v>17.236053010957718</v>
          </cell>
          <cell r="AM239">
            <v>20.180000000000021</v>
          </cell>
          <cell r="AN239">
            <v>20.356309546938057</v>
          </cell>
          <cell r="AQ239">
            <v>-100</v>
          </cell>
        </row>
        <row r="240">
          <cell r="AF240">
            <v>38170</v>
          </cell>
          <cell r="AG240">
            <v>316</v>
          </cell>
          <cell r="AH240">
            <v>219</v>
          </cell>
          <cell r="AI240">
            <v>21</v>
          </cell>
          <cell r="AJ240">
            <v>85235.299301706313</v>
          </cell>
          <cell r="AL240">
            <v>17.322284099726403</v>
          </cell>
          <cell r="AM240">
            <v>20.180804479159285</v>
          </cell>
          <cell r="AN240">
            <v>20.356309546938036</v>
          </cell>
          <cell r="AQ240">
            <v>-100</v>
          </cell>
        </row>
        <row r="241">
          <cell r="AF241">
            <v>38173</v>
          </cell>
          <cell r="AG241">
            <v>319</v>
          </cell>
          <cell r="AH241">
            <v>220</v>
          </cell>
          <cell r="AI241">
            <v>20</v>
          </cell>
          <cell r="AJ241">
            <v>85172.651930691412</v>
          </cell>
          <cell r="AL241">
            <v>17.408578614382254</v>
          </cell>
          <cell r="AM241">
            <v>20.181601650183588</v>
          </cell>
          <cell r="AN241">
            <v>20.356309546937766</v>
          </cell>
          <cell r="AQ241">
            <v>-100</v>
          </cell>
        </row>
        <row r="242">
          <cell r="AF242">
            <v>38174</v>
          </cell>
          <cell r="AG242">
            <v>320</v>
          </cell>
          <cell r="AH242">
            <v>221</v>
          </cell>
          <cell r="AI242">
            <v>19</v>
          </cell>
          <cell r="AJ242">
            <v>85110.050605072349</v>
          </cell>
          <cell r="AL242">
            <v>17.494936601577173</v>
          </cell>
          <cell r="AM242">
            <v>20.182391612206629</v>
          </cell>
          <cell r="AN242">
            <v>20.356309546937656</v>
          </cell>
          <cell r="AQ242">
            <v>-100</v>
          </cell>
        </row>
        <row r="243">
          <cell r="AF243">
            <v>38175</v>
          </cell>
          <cell r="AG243">
            <v>321</v>
          </cell>
          <cell r="AH243">
            <v>222</v>
          </cell>
          <cell r="AI243">
            <v>18</v>
          </cell>
          <cell r="AJ243">
            <v>85047.495291006053</v>
          </cell>
          <cell r="AL243">
            <v>17.581358107997346</v>
          </cell>
          <cell r="AM243">
            <v>20.183174462577202</v>
          </cell>
          <cell r="AN243">
            <v>20.356309546937702</v>
          </cell>
          <cell r="AQ243">
            <v>-100</v>
          </cell>
        </row>
        <row r="244">
          <cell r="AF244">
            <v>38176</v>
          </cell>
          <cell r="AG244">
            <v>322</v>
          </cell>
          <cell r="AH244">
            <v>223</v>
          </cell>
          <cell r="AI244">
            <v>17</v>
          </cell>
          <cell r="AJ244">
            <v>84984.985954674354</v>
          </cell>
          <cell r="AL244">
            <v>17.667843180363295</v>
          </cell>
          <cell r="AM244">
            <v>20.183950296899191</v>
          </cell>
          <cell r="AN244">
            <v>20.356309546937457</v>
          </cell>
          <cell r="AQ244">
            <v>-100</v>
          </cell>
        </row>
        <row r="245">
          <cell r="AF245">
            <v>38177</v>
          </cell>
          <cell r="AG245">
            <v>323</v>
          </cell>
          <cell r="AH245">
            <v>224</v>
          </cell>
          <cell r="AI245">
            <v>16</v>
          </cell>
          <cell r="AJ245">
            <v>84922.522562283921</v>
          </cell>
          <cell r="AL245">
            <v>17.754391865429973</v>
          </cell>
          <cell r="AM245">
            <v>20.184719209070479</v>
          </cell>
          <cell r="AN245">
            <v>20.356309546937233</v>
          </cell>
          <cell r="AQ245">
            <v>-100</v>
          </cell>
        </row>
        <row r="246">
          <cell r="AF246">
            <v>38180</v>
          </cell>
          <cell r="AG246">
            <v>326</v>
          </cell>
          <cell r="AH246">
            <v>225</v>
          </cell>
          <cell r="AI246">
            <v>15</v>
          </cell>
          <cell r="AJ246">
            <v>84860.105080066263</v>
          </cell>
          <cell r="AL246">
            <v>17.841004209986664</v>
          </cell>
          <cell r="AM246">
            <v>20.185481291320894</v>
          </cell>
          <cell r="AN246">
            <v>20.356309546936792</v>
          </cell>
          <cell r="AQ246">
            <v>-100</v>
          </cell>
        </row>
        <row r="247">
          <cell r="AF247">
            <v>38181</v>
          </cell>
          <cell r="AG247">
            <v>327</v>
          </cell>
          <cell r="AH247">
            <v>226</v>
          </cell>
          <cell r="AI247">
            <v>14</v>
          </cell>
          <cell r="AJ247">
            <v>84797.733474277731</v>
          </cell>
          <cell r="AL247">
            <v>17.92768026085707</v>
          </cell>
          <cell r="AM247">
            <v>20.186236634248921</v>
          </cell>
          <cell r="AN247">
            <v>20.356309546936991</v>
          </cell>
          <cell r="AQ247">
            <v>-100</v>
          </cell>
        </row>
        <row r="248">
          <cell r="AF248">
            <v>38182</v>
          </cell>
          <cell r="AG248">
            <v>328</v>
          </cell>
          <cell r="AH248">
            <v>227</v>
          </cell>
          <cell r="AI248">
            <v>13</v>
          </cell>
          <cell r="AJ248">
            <v>84735.407711199441</v>
          </cell>
          <cell r="AL248">
            <v>18.014420064899326</v>
          </cell>
          <cell r="AM248">
            <v>20.186985326857808</v>
          </cell>
          <cell r="AN248">
            <v>20.356309546936412</v>
          </cell>
          <cell r="AQ248">
            <v>-100</v>
          </cell>
        </row>
        <row r="249">
          <cell r="AF249">
            <v>38183</v>
          </cell>
          <cell r="AG249">
            <v>329</v>
          </cell>
          <cell r="AH249">
            <v>228</v>
          </cell>
          <cell r="AI249">
            <v>12</v>
          </cell>
          <cell r="AJ249">
            <v>84673.127757137307</v>
          </cell>
          <cell r="AL249">
            <v>18.101223669006082</v>
          </cell>
          <cell r="AM249">
            <v>20.18772745659043</v>
          </cell>
          <cell r="AN249">
            <v>20.356309546935989</v>
          </cell>
          <cell r="AQ249">
            <v>-100</v>
          </cell>
        </row>
        <row r="250">
          <cell r="AF250">
            <v>38184</v>
          </cell>
          <cell r="AG250">
            <v>330</v>
          </cell>
          <cell r="AH250">
            <v>229</v>
          </cell>
          <cell r="AI250">
            <v>11</v>
          </cell>
          <cell r="AJ250">
            <v>84610.893578422023</v>
          </cell>
          <cell r="AL250">
            <v>18.188091120104421</v>
          </cell>
          <cell r="AM250">
            <v>20.188463109363287</v>
          </cell>
          <cell r="AN250">
            <v>20.356309546935702</v>
          </cell>
          <cell r="AQ250">
            <v>-100</v>
          </cell>
        </row>
        <row r="251">
          <cell r="AF251">
            <v>38187</v>
          </cell>
          <cell r="AG251">
            <v>333</v>
          </cell>
          <cell r="AH251">
            <v>230</v>
          </cell>
          <cell r="AI251">
            <v>10</v>
          </cell>
          <cell r="AJ251">
            <v>84548.705141409009</v>
          </cell>
          <cell r="AL251">
            <v>18.275022465155978</v>
          </cell>
          <cell r="AM251">
            <v>20.189192369599773</v>
          </cell>
          <cell r="AN251">
            <v>20.356309546935456</v>
          </cell>
          <cell r="AQ251">
            <v>-100</v>
          </cell>
        </row>
        <row r="252">
          <cell r="AF252">
            <v>38188</v>
          </cell>
          <cell r="AG252">
            <v>334</v>
          </cell>
          <cell r="AH252">
            <v>231</v>
          </cell>
          <cell r="AI252">
            <v>9</v>
          </cell>
          <cell r="AJ252">
            <v>84486.562412478423</v>
          </cell>
          <cell r="AL252">
            <v>18.362017751156934</v>
          </cell>
          <cell r="AM252">
            <v>20.189915320262418</v>
          </cell>
          <cell r="AN252">
            <v>20.356309546934437</v>
          </cell>
          <cell r="AQ252">
            <v>-100</v>
          </cell>
        </row>
        <row r="253">
          <cell r="AF253">
            <v>38189</v>
          </cell>
          <cell r="AG253">
            <v>335</v>
          </cell>
          <cell r="AH253">
            <v>232</v>
          </cell>
          <cell r="AI253">
            <v>8</v>
          </cell>
          <cell r="AJ253">
            <v>84424.465358035144</v>
          </cell>
          <cell r="AL253">
            <v>18.449077025138006</v>
          </cell>
          <cell r="AM253">
            <v>20.190632042884339</v>
          </cell>
          <cell r="AN253">
            <v>20.356309546933993</v>
          </cell>
          <cell r="AQ253">
            <v>-100</v>
          </cell>
        </row>
        <row r="254">
          <cell r="AF254">
            <v>38190</v>
          </cell>
          <cell r="AG254">
            <v>336</v>
          </cell>
          <cell r="AH254">
            <v>233</v>
          </cell>
          <cell r="AI254">
            <v>7</v>
          </cell>
          <cell r="AJ254">
            <v>84362.41394450872</v>
          </cell>
          <cell r="AL254">
            <v>18.536200334164519</v>
          </cell>
          <cell r="AM254">
            <v>20.191342617599851</v>
          </cell>
          <cell r="AN254">
            <v>20.35630954693368</v>
          </cell>
          <cell r="AQ254">
            <v>-100</v>
          </cell>
        </row>
        <row r="255">
          <cell r="AF255">
            <v>38191</v>
          </cell>
          <cell r="AG255">
            <v>337</v>
          </cell>
          <cell r="AH255">
            <v>234</v>
          </cell>
          <cell r="AI255">
            <v>6</v>
          </cell>
          <cell r="AJ255">
            <v>84300.408138353378</v>
          </cell>
          <cell r="AL255">
            <v>18.62338772533645</v>
          </cell>
          <cell r="AM255">
            <v>20.192047123174461</v>
          </cell>
          <cell r="AN255">
            <v>20.35630954693206</v>
          </cell>
          <cell r="AQ255">
            <v>-100</v>
          </cell>
        </row>
        <row r="256">
          <cell r="AF256">
            <v>38194</v>
          </cell>
          <cell r="AG256">
            <v>340</v>
          </cell>
          <cell r="AH256">
            <v>235</v>
          </cell>
          <cell r="AI256">
            <v>5</v>
          </cell>
          <cell r="AJ256">
            <v>84238.447906048023</v>
          </cell>
          <cell r="AL256">
            <v>18.710639245788329</v>
          </cell>
          <cell r="AM256">
            <v>20.192745637033838</v>
          </cell>
          <cell r="AN256">
            <v>20.356309546930973</v>
          </cell>
          <cell r="AQ256">
            <v>-100</v>
          </cell>
        </row>
        <row r="257">
          <cell r="AF257">
            <v>38195</v>
          </cell>
          <cell r="AG257">
            <v>341</v>
          </cell>
          <cell r="AH257">
            <v>236</v>
          </cell>
          <cell r="AI257">
            <v>4</v>
          </cell>
          <cell r="AJ257">
            <v>84176.533214096169</v>
          </cell>
          <cell r="AL257">
            <v>18.797954942689476</v>
          </cell>
          <cell r="AM257">
            <v>20.193438235292337</v>
          </cell>
          <cell r="AN257">
            <v>20.356309546929818</v>
          </cell>
          <cell r="AQ257">
            <v>-100</v>
          </cell>
        </row>
        <row r="258">
          <cell r="AF258">
            <v>38196</v>
          </cell>
          <cell r="AG258">
            <v>342</v>
          </cell>
          <cell r="AH258">
            <v>237</v>
          </cell>
          <cell r="AI258">
            <v>3</v>
          </cell>
          <cell r="AJ258">
            <v>84114.664029025967</v>
          </cell>
          <cell r="AL258">
            <v>18.885334863243799</v>
          </cell>
          <cell r="AM258">
            <v>20.194124992780395</v>
          </cell>
          <cell r="AN258">
            <v>20.356309546925466</v>
          </cell>
          <cell r="AQ258">
            <v>-100</v>
          </cell>
        </row>
        <row r="259">
          <cell r="AF259">
            <v>38197</v>
          </cell>
          <cell r="AG259">
            <v>343</v>
          </cell>
          <cell r="AH259">
            <v>238</v>
          </cell>
          <cell r="AI259">
            <v>2</v>
          </cell>
          <cell r="AJ259">
            <v>84052.840317390161</v>
          </cell>
          <cell r="AL259">
            <v>18.972779054690015</v>
          </cell>
          <cell r="AM259">
            <v>20.194805983071838</v>
          </cell>
          <cell r="AN259">
            <v>20.356309546918048</v>
          </cell>
          <cell r="AQ259">
            <v>-100</v>
          </cell>
        </row>
        <row r="260">
          <cell r="AF260">
            <v>38198</v>
          </cell>
          <cell r="AG260">
            <v>344</v>
          </cell>
          <cell r="AH260">
            <v>239</v>
          </cell>
          <cell r="AI260">
            <v>1</v>
          </cell>
          <cell r="AJ260">
            <v>83991.062045766099</v>
          </cell>
          <cell r="AL260">
            <v>19.060287564301493</v>
          </cell>
          <cell r="AM260">
            <v>20.195481278509742</v>
          </cell>
          <cell r="AN260">
            <v>20.356309546898043</v>
          </cell>
          <cell r="AQ260">
            <v>-100</v>
          </cell>
        </row>
        <row r="261">
          <cell r="AF261">
            <v>38201</v>
          </cell>
          <cell r="AG261">
            <v>347</v>
          </cell>
          <cell r="AH261">
            <v>240</v>
          </cell>
          <cell r="AI261">
            <v>22</v>
          </cell>
          <cell r="AJ261">
            <v>83929.329180755783</v>
          </cell>
          <cell r="AK261">
            <v>1.0007355338784787</v>
          </cell>
          <cell r="AL261">
            <v>19.147860439386278</v>
          </cell>
          <cell r="AM261">
            <v>20.196150950232216</v>
          </cell>
          <cell r="AN261">
            <v>20.356309546938366</v>
          </cell>
          <cell r="AQ261">
            <v>-100</v>
          </cell>
        </row>
        <row r="262">
          <cell r="AF262">
            <v>38202</v>
          </cell>
          <cell r="AG262">
            <v>348</v>
          </cell>
          <cell r="AH262">
            <v>241</v>
          </cell>
          <cell r="AI262">
            <v>21</v>
          </cell>
          <cell r="AJ262">
            <v>83867.64168898543</v>
          </cell>
          <cell r="AL262">
            <v>19.235497727287676</v>
          </cell>
          <cell r="AM262">
            <v>20.196815068197971</v>
          </cell>
          <cell r="AN262">
            <v>20.356309546938324</v>
          </cell>
          <cell r="AQ262">
            <v>-100</v>
          </cell>
        </row>
        <row r="263">
          <cell r="AF263">
            <v>38203</v>
          </cell>
          <cell r="AG263">
            <v>349</v>
          </cell>
          <cell r="AH263">
            <v>242</v>
          </cell>
          <cell r="AI263">
            <v>20</v>
          </cell>
          <cell r="AJ263">
            <v>83805.999537106123</v>
          </cell>
          <cell r="AL263">
            <v>19.323199475383369</v>
          </cell>
          <cell r="AM263">
            <v>20.197473701209589</v>
          </cell>
          <cell r="AN263">
            <v>20.356309546938434</v>
          </cell>
          <cell r="AQ263">
            <v>-100</v>
          </cell>
        </row>
        <row r="264">
          <cell r="AF264">
            <v>38204</v>
          </cell>
          <cell r="AG264">
            <v>350</v>
          </cell>
          <cell r="AH264">
            <v>243</v>
          </cell>
          <cell r="AI264">
            <v>19</v>
          </cell>
          <cell r="AJ264">
            <v>83744.402691793352</v>
          </cell>
          <cell r="AL264">
            <v>19.410965731085984</v>
          </cell>
          <cell r="AM264">
            <v>20.198126916937987</v>
          </cell>
          <cell r="AN264">
            <v>20.356309546938345</v>
          </cell>
          <cell r="AQ264">
            <v>-100</v>
          </cell>
        </row>
        <row r="265">
          <cell r="AF265">
            <v>38205</v>
          </cell>
          <cell r="AG265">
            <v>351</v>
          </cell>
          <cell r="AH265">
            <v>244</v>
          </cell>
          <cell r="AI265">
            <v>18</v>
          </cell>
          <cell r="AJ265">
            <v>83682.851119747094</v>
          </cell>
          <cell r="AL265">
            <v>19.498796541843035</v>
          </cell>
          <cell r="AM265">
            <v>20.198774781945474</v>
          </cell>
          <cell r="AN265">
            <v>20.356309546938412</v>
          </cell>
          <cell r="AQ265">
            <v>-100</v>
          </cell>
        </row>
        <row r="266">
          <cell r="AF266">
            <v>38208</v>
          </cell>
          <cell r="AG266">
            <v>354</v>
          </cell>
          <cell r="AH266">
            <v>245</v>
          </cell>
          <cell r="AI266">
            <v>17</v>
          </cell>
          <cell r="AJ266">
            <v>83621.344787691793</v>
          </cell>
          <cell r="AL266">
            <v>19.586691955137002</v>
          </cell>
          <cell r="AM266">
            <v>20.199417361708385</v>
          </cell>
          <cell r="AN266">
            <v>20.356309546937858</v>
          </cell>
          <cell r="AQ266">
            <v>-100</v>
          </cell>
        </row>
        <row r="267">
          <cell r="AF267">
            <v>38209</v>
          </cell>
          <cell r="AG267">
            <v>355</v>
          </cell>
          <cell r="AH267">
            <v>246</v>
          </cell>
          <cell r="AI267">
            <v>16</v>
          </cell>
          <cell r="AJ267">
            <v>83559.883662376378</v>
          </cell>
          <cell r="AL267">
            <v>19.674652018485194</v>
          </cell>
          <cell r="AM267">
            <v>20.200054720639017</v>
          </cell>
          <cell r="AN267">
            <v>20.356309546938057</v>
          </cell>
          <cell r="AQ267">
            <v>-100</v>
          </cell>
        </row>
        <row r="268">
          <cell r="AF268">
            <v>38210</v>
          </cell>
          <cell r="AG268">
            <v>356</v>
          </cell>
          <cell r="AH268">
            <v>247</v>
          </cell>
          <cell r="AI268">
            <v>15</v>
          </cell>
          <cell r="AJ268">
            <v>83498.467710574187</v>
          </cell>
          <cell r="AL268">
            <v>19.762676779439946</v>
          </cell>
          <cell r="AM268">
            <v>20.200686922107259</v>
          </cell>
          <cell r="AN268">
            <v>20.35630954693768</v>
          </cell>
          <cell r="AQ268">
            <v>-100</v>
          </cell>
        </row>
        <row r="269">
          <cell r="AF269">
            <v>38211</v>
          </cell>
          <cell r="AG269">
            <v>357</v>
          </cell>
          <cell r="AH269">
            <v>248</v>
          </cell>
          <cell r="AI269">
            <v>14</v>
          </cell>
          <cell r="AJ269">
            <v>83437.096899083001</v>
          </cell>
          <cell r="AL269">
            <v>19.850766285588527</v>
          </cell>
          <cell r="AM269">
            <v>20.201314028461571</v>
          </cell>
          <cell r="AN269">
            <v>20.356309546937435</v>
          </cell>
          <cell r="AQ269">
            <v>-100</v>
          </cell>
        </row>
        <row r="270">
          <cell r="AF270">
            <v>38212</v>
          </cell>
          <cell r="AG270">
            <v>358</v>
          </cell>
          <cell r="AH270">
            <v>249</v>
          </cell>
          <cell r="AI270">
            <v>13</v>
          </cell>
          <cell r="AJ270">
            <v>83375.771194724992</v>
          </cell>
          <cell r="AL270">
            <v>19.938920584553223</v>
          </cell>
          <cell r="AM270">
            <v>20.201936101049455</v>
          </cell>
          <cell r="AN270">
            <v>20.356309546937435</v>
          </cell>
          <cell r="AQ270">
            <v>-100</v>
          </cell>
        </row>
        <row r="271">
          <cell r="AF271">
            <v>38215</v>
          </cell>
          <cell r="AG271">
            <v>361</v>
          </cell>
          <cell r="AH271">
            <v>250</v>
          </cell>
          <cell r="AI271">
            <v>12</v>
          </cell>
          <cell r="AJ271">
            <v>83314.490564346721</v>
          </cell>
          <cell r="AL271">
            <v>20.027139723991304</v>
          </cell>
          <cell r="AM271">
            <v>20.20255320023745</v>
          </cell>
          <cell r="AN271">
            <v>20.356309546937347</v>
          </cell>
          <cell r="AQ271">
            <v>-100</v>
          </cell>
        </row>
        <row r="272">
          <cell r="AF272">
            <v>38216</v>
          </cell>
          <cell r="AG272">
            <v>362</v>
          </cell>
          <cell r="AH272">
            <v>251</v>
          </cell>
          <cell r="AI272">
            <v>11</v>
          </cell>
          <cell r="AJ272">
            <v>83253.254974819123</v>
          </cell>
          <cell r="AL272">
            <v>20.115423751595209</v>
          </cell>
          <cell r="AM272">
            <v>20.203165385430811</v>
          </cell>
          <cell r="AN272">
            <v>20.356309546936924</v>
          </cell>
          <cell r="AQ272">
            <v>-100</v>
          </cell>
        </row>
        <row r="273">
          <cell r="AF273">
            <v>38217</v>
          </cell>
          <cell r="AG273">
            <v>363</v>
          </cell>
          <cell r="AH273">
            <v>252</v>
          </cell>
          <cell r="AI273">
            <v>10</v>
          </cell>
          <cell r="AJ273">
            <v>83192.064393037464</v>
          </cell>
          <cell r="AL273">
            <v>20.203772715092327</v>
          </cell>
          <cell r="AM273">
            <v>20.203772715092327</v>
          </cell>
          <cell r="AN273">
            <v>20.356309546936792</v>
          </cell>
          <cell r="AQ273">
            <v>-100</v>
          </cell>
        </row>
        <row r="274">
          <cell r="AF274">
            <v>38218</v>
          </cell>
          <cell r="AG274">
            <v>364</v>
          </cell>
          <cell r="AH274">
            <v>253</v>
          </cell>
          <cell r="AI274">
            <v>9</v>
          </cell>
          <cell r="AJ274">
            <v>83130.918785921356</v>
          </cell>
          <cell r="AL274">
            <v>20.292186662245214</v>
          </cell>
          <cell r="AM274">
            <v>20.204375246761085</v>
          </cell>
          <cell r="AN274">
            <v>20.356309546936568</v>
          </cell>
          <cell r="AQ274">
            <v>-100</v>
          </cell>
        </row>
        <row r="275">
          <cell r="AF275">
            <v>38219</v>
          </cell>
          <cell r="AG275">
            <v>365</v>
          </cell>
          <cell r="AH275">
            <v>254</v>
          </cell>
          <cell r="AI275">
            <v>8</v>
          </cell>
          <cell r="AJ275">
            <v>83069.818120414726</v>
          </cell>
          <cell r="AL275">
            <v>20.380665640851593</v>
          </cell>
          <cell r="AM275">
            <v>20.204973037070694</v>
          </cell>
          <cell r="AN275">
            <v>20.35630954693568</v>
          </cell>
          <cell r="AQ275">
            <v>-100</v>
          </cell>
        </row>
        <row r="276">
          <cell r="AF276">
            <v>38222</v>
          </cell>
          <cell r="AG276">
            <v>368</v>
          </cell>
          <cell r="AH276">
            <v>255</v>
          </cell>
          <cell r="AI276">
            <v>7</v>
          </cell>
          <cell r="AJ276">
            <v>83008.762363485788</v>
          </cell>
          <cell r="AL276">
            <v>20.469209698744262</v>
          </cell>
          <cell r="AM276">
            <v>20.205566141766852</v>
          </cell>
          <cell r="AN276">
            <v>20.356309546934568</v>
          </cell>
          <cell r="AQ276">
            <v>-100</v>
          </cell>
        </row>
        <row r="277">
          <cell r="AF277">
            <v>38223</v>
          </cell>
          <cell r="AG277">
            <v>369</v>
          </cell>
          <cell r="AH277">
            <v>256</v>
          </cell>
          <cell r="AI277">
            <v>6</v>
          </cell>
          <cell r="AJ277">
            <v>82947.75148212706</v>
          </cell>
          <cell r="AL277">
            <v>20.557818883791224</v>
          </cell>
          <cell r="AM277">
            <v>20.20615461572477</v>
          </cell>
          <cell r="AN277">
            <v>20.356309546934348</v>
          </cell>
          <cell r="AQ277">
            <v>-100</v>
          </cell>
        </row>
        <row r="278">
          <cell r="AF278">
            <v>38224</v>
          </cell>
          <cell r="AG278">
            <v>370</v>
          </cell>
          <cell r="AH278">
            <v>257</v>
          </cell>
          <cell r="AI278">
            <v>5</v>
          </cell>
          <cell r="AJ278">
            <v>82886.785443355271</v>
          </cell>
          <cell r="AL278">
            <v>20.64649324389578</v>
          </cell>
          <cell r="AM278">
            <v>20.20673851296624</v>
          </cell>
          <cell r="AN278">
            <v>20.356309546932327</v>
          </cell>
          <cell r="AQ278">
            <v>-100</v>
          </cell>
        </row>
        <row r="279">
          <cell r="AF279">
            <v>38225</v>
          </cell>
          <cell r="AG279">
            <v>371</v>
          </cell>
          <cell r="AH279">
            <v>258</v>
          </cell>
          <cell r="AI279">
            <v>4</v>
          </cell>
          <cell r="AJ279">
            <v>82825.86421421144</v>
          </cell>
          <cell r="AL279">
            <v>20.73523282699632</v>
          </cell>
          <cell r="AM279">
            <v>20.207317886675845</v>
          </cell>
          <cell r="AN279">
            <v>20.356309546929818</v>
          </cell>
          <cell r="AQ279">
            <v>-100</v>
          </cell>
        </row>
        <row r="280">
          <cell r="AF280">
            <v>38226</v>
          </cell>
          <cell r="AG280">
            <v>372</v>
          </cell>
          <cell r="AH280">
            <v>259</v>
          </cell>
          <cell r="AI280">
            <v>3</v>
          </cell>
          <cell r="AJ280">
            <v>82764.987761760785</v>
          </cell>
          <cell r="AL280">
            <v>20.824037681066578</v>
          </cell>
          <cell r="AM280">
            <v>20.207892789217375</v>
          </cell>
          <cell r="AN280">
            <v>20.356309546927733</v>
          </cell>
          <cell r="AQ280">
            <v>-100</v>
          </cell>
        </row>
        <row r="281">
          <cell r="AF281">
            <v>38229</v>
          </cell>
          <cell r="AG281">
            <v>375</v>
          </cell>
          <cell r="AH281">
            <v>260</v>
          </cell>
          <cell r="AI281">
            <v>2</v>
          </cell>
          <cell r="AJ281">
            <v>82704.156053092753</v>
          </cell>
          <cell r="AL281">
            <v>20.912907854115591</v>
          </cell>
          <cell r="AM281">
            <v>20.208463272149579</v>
          </cell>
          <cell r="AN281">
            <v>20.356309546921359</v>
          </cell>
          <cell r="AQ281">
            <v>-100</v>
          </cell>
        </row>
        <row r="282">
          <cell r="AF282">
            <v>38230</v>
          </cell>
          <cell r="AG282">
            <v>376</v>
          </cell>
          <cell r="AH282">
            <v>261</v>
          </cell>
          <cell r="AI282">
            <v>1</v>
          </cell>
          <cell r="AJ282">
            <v>82643.369055320945</v>
          </cell>
          <cell r="AL282">
            <v>21.00184339418767</v>
          </cell>
          <cell r="AM282">
            <v>20.209029386241404</v>
          </cell>
          <cell r="AN282">
            <v>20.356309546898043</v>
          </cell>
          <cell r="AQ282">
            <v>-100</v>
          </cell>
        </row>
        <row r="283">
          <cell r="AF283">
            <v>38231</v>
          </cell>
          <cell r="AG283">
            <v>377</v>
          </cell>
          <cell r="AH283">
            <v>262</v>
          </cell>
          <cell r="AI283">
            <v>21</v>
          </cell>
          <cell r="AJ283">
            <v>82582.626735583268</v>
          </cell>
          <cell r="AK283">
            <v>1.0007709246625076</v>
          </cell>
          <cell r="AL283">
            <v>21.090844349362303</v>
          </cell>
          <cell r="AM283">
            <v>20.209591181487085</v>
          </cell>
          <cell r="AN283">
            <v>21.433690242112856</v>
          </cell>
          <cell r="AQ283">
            <v>-100</v>
          </cell>
        </row>
        <row r="284">
          <cell r="AF284">
            <v>38232</v>
          </cell>
          <cell r="AG284">
            <v>378</v>
          </cell>
          <cell r="AH284">
            <v>263</v>
          </cell>
          <cell r="AI284">
            <v>20</v>
          </cell>
          <cell r="AJ284">
            <v>82519.010795035647</v>
          </cell>
          <cell r="AL284">
            <v>21.184196267675091</v>
          </cell>
          <cell r="AM284">
            <v>20.214222101582347</v>
          </cell>
          <cell r="AN284">
            <v>21.433690242112814</v>
          </cell>
          <cell r="AQ284">
            <v>-100</v>
          </cell>
        </row>
        <row r="285">
          <cell r="AF285">
            <v>38233</v>
          </cell>
          <cell r="AG285">
            <v>379</v>
          </cell>
          <cell r="AH285">
            <v>264</v>
          </cell>
          <cell r="AI285">
            <v>19</v>
          </cell>
          <cell r="AJ285">
            <v>82455.44385980611</v>
          </cell>
          <cell r="AL285">
            <v>21.277620153284005</v>
          </cell>
          <cell r="AM285">
            <v>20.218818115327686</v>
          </cell>
          <cell r="AN285">
            <v>21.433690242112526</v>
          </cell>
          <cell r="AQ285">
            <v>-100</v>
          </cell>
        </row>
        <row r="286">
          <cell r="AF286">
            <v>38236</v>
          </cell>
          <cell r="AG286">
            <v>382</v>
          </cell>
          <cell r="AH286">
            <v>265</v>
          </cell>
          <cell r="AI286">
            <v>18</v>
          </cell>
          <cell r="AJ286">
            <v>82391.925892144354</v>
          </cell>
          <cell r="AL286">
            <v>21.371116061670413</v>
          </cell>
          <cell r="AM286">
            <v>20.22337961590679</v>
          </cell>
          <cell r="AN286">
            <v>21.433690242112391</v>
          </cell>
          <cell r="AQ286">
            <v>-100</v>
          </cell>
        </row>
        <row r="287">
          <cell r="AF287">
            <v>38238</v>
          </cell>
          <cell r="AG287">
            <v>384</v>
          </cell>
          <cell r="AH287">
            <v>266</v>
          </cell>
          <cell r="AI287">
            <v>17</v>
          </cell>
          <cell r="AJ287">
            <v>82328.456854329153</v>
          </cell>
          <cell r="AL287">
            <v>21.464684048358439</v>
          </cell>
          <cell r="AM287">
            <v>20.227906990620383</v>
          </cell>
          <cell r="AN287">
            <v>21.433690242112036</v>
          </cell>
          <cell r="AQ287">
            <v>-100</v>
          </cell>
        </row>
        <row r="288">
          <cell r="AF288">
            <v>38239</v>
          </cell>
          <cell r="AG288">
            <v>385</v>
          </cell>
          <cell r="AH288">
            <v>267</v>
          </cell>
          <cell r="AI288">
            <v>16</v>
          </cell>
          <cell r="AJ288">
            <v>82265.03670866834</v>
          </cell>
          <cell r="AL288">
            <v>21.558324168915011</v>
          </cell>
          <cell r="AM288">
            <v>20.23240062099585</v>
          </cell>
          <cell r="AN288">
            <v>21.433690242111926</v>
          </cell>
          <cell r="AQ288">
            <v>-100</v>
          </cell>
        </row>
        <row r="289">
          <cell r="AF289">
            <v>38240</v>
          </cell>
          <cell r="AG289">
            <v>386</v>
          </cell>
          <cell r="AH289">
            <v>268</v>
          </cell>
          <cell r="AI289">
            <v>15</v>
          </cell>
          <cell r="AJ289">
            <v>82201.665417498793</v>
          </cell>
          <cell r="AL289">
            <v>21.652036478949931</v>
          </cell>
          <cell r="AM289">
            <v>20.236860882894536</v>
          </cell>
          <cell r="AN289">
            <v>21.433690242111414</v>
          </cell>
          <cell r="AQ289">
            <v>-100</v>
          </cell>
        </row>
        <row r="290">
          <cell r="AF290">
            <v>38243</v>
          </cell>
          <cell r="AG290">
            <v>389</v>
          </cell>
          <cell r="AH290">
            <v>269</v>
          </cell>
          <cell r="AI290">
            <v>14</v>
          </cell>
          <cell r="AJ290">
            <v>82138.342943186377</v>
          </cell>
          <cell r="AL290">
            <v>21.745821034115842</v>
          </cell>
          <cell r="AM290">
            <v>20.241288146616299</v>
          </cell>
          <cell r="AN290">
            <v>21.433690242111147</v>
          </cell>
          <cell r="AQ290">
            <v>-100</v>
          </cell>
        </row>
        <row r="291">
          <cell r="AF291">
            <v>38244</v>
          </cell>
          <cell r="AG291">
            <v>390</v>
          </cell>
          <cell r="AH291">
            <v>270</v>
          </cell>
          <cell r="AI291">
            <v>13</v>
          </cell>
          <cell r="AJ291">
            <v>82075.069248125976</v>
          </cell>
          <cell r="AL291">
            <v>21.839677890108277</v>
          </cell>
          <cell r="AM291">
            <v>20.245682777002227</v>
          </cell>
          <cell r="AN291">
            <v>21.433690242110991</v>
          </cell>
          <cell r="AQ291">
            <v>-100</v>
          </cell>
        </row>
        <row r="292">
          <cell r="AF292">
            <v>38245</v>
          </cell>
          <cell r="AG292">
            <v>391</v>
          </cell>
          <cell r="AH292">
            <v>271</v>
          </cell>
          <cell r="AI292">
            <v>12</v>
          </cell>
          <cell r="AJ292">
            <v>82011.84429474143</v>
          </cell>
          <cell r="AL292">
            <v>21.933607102665743</v>
          </cell>
          <cell r="AM292">
            <v>20.250045133534744</v>
          </cell>
          <cell r="AN292">
            <v>21.433690242110636</v>
          </cell>
          <cell r="AQ292">
            <v>-100</v>
          </cell>
        </row>
        <row r="293">
          <cell r="AF293">
            <v>38246</v>
          </cell>
          <cell r="AG293">
            <v>392</v>
          </cell>
          <cell r="AH293">
            <v>272</v>
          </cell>
          <cell r="AI293">
            <v>11</v>
          </cell>
          <cell r="AJ293">
            <v>81948.668045485509</v>
          </cell>
          <cell r="AL293">
            <v>22.027608727569703</v>
          </cell>
          <cell r="AM293">
            <v>20.254375570435634</v>
          </cell>
          <cell r="AN293">
            <v>21.433690242109837</v>
          </cell>
          <cell r="AQ293">
            <v>-100</v>
          </cell>
        </row>
        <row r="294">
          <cell r="AF294">
            <v>38247</v>
          </cell>
          <cell r="AG294">
            <v>393</v>
          </cell>
          <cell r="AH294">
            <v>273</v>
          </cell>
          <cell r="AI294">
            <v>10</v>
          </cell>
          <cell r="AJ294">
            <v>81885.540462839941</v>
          </cell>
          <cell r="AL294">
            <v>22.121682820644615</v>
          </cell>
          <cell r="AM294">
            <v>20.258674436761947</v>
          </cell>
          <cell r="AN294">
            <v>21.433690242109794</v>
          </cell>
          <cell r="AQ294">
            <v>-100</v>
          </cell>
        </row>
        <row r="295">
          <cell r="AF295">
            <v>38250</v>
          </cell>
          <cell r="AG295">
            <v>396</v>
          </cell>
          <cell r="AH295">
            <v>274</v>
          </cell>
          <cell r="AI295">
            <v>9</v>
          </cell>
          <cell r="AJ295">
            <v>81822.461509315326</v>
          </cell>
          <cell r="AL295">
            <v>22.215829437757996</v>
          </cell>
          <cell r="AM295">
            <v>20.262942076499769</v>
          </cell>
          <cell r="AN295">
            <v>21.433690242108195</v>
          </cell>
          <cell r="AQ295">
            <v>-100</v>
          </cell>
        </row>
        <row r="296">
          <cell r="AF296">
            <v>38251</v>
          </cell>
          <cell r="AG296">
            <v>397</v>
          </cell>
          <cell r="AH296">
            <v>275</v>
          </cell>
          <cell r="AI296">
            <v>8</v>
          </cell>
          <cell r="AJ296">
            <v>81759.431147451163</v>
          </cell>
          <cell r="AL296">
            <v>22.310048634820379</v>
          </cell>
          <cell r="AM296">
            <v>20.267178828655965</v>
          </cell>
          <cell r="AN296">
            <v>21.433690242108085</v>
          </cell>
          <cell r="AQ296">
            <v>-100</v>
          </cell>
        </row>
        <row r="297">
          <cell r="AF297">
            <v>38252</v>
          </cell>
          <cell r="AG297">
            <v>398</v>
          </cell>
          <cell r="AH297">
            <v>276</v>
          </cell>
          <cell r="AI297">
            <v>7</v>
          </cell>
          <cell r="AJ297">
            <v>81696.449339815794</v>
          </cell>
          <cell r="AL297">
            <v>22.404340467785477</v>
          </cell>
          <cell r="AM297">
            <v>20.271385027347975</v>
          </cell>
          <cell r="AN297">
            <v>21.433690242107375</v>
          </cell>
          <cell r="AQ297">
            <v>-100</v>
          </cell>
        </row>
        <row r="298">
          <cell r="AF298">
            <v>38253</v>
          </cell>
          <cell r="AG298">
            <v>399</v>
          </cell>
          <cell r="AH298">
            <v>277</v>
          </cell>
          <cell r="AI298">
            <v>6</v>
          </cell>
          <cell r="AJ298">
            <v>81633.516049006401</v>
          </cell>
          <cell r="AL298">
            <v>22.498704992650076</v>
          </cell>
          <cell r="AM298">
            <v>20.275561001891674</v>
          </cell>
          <cell r="AN298">
            <v>21.433690242105598</v>
          </cell>
          <cell r="AQ298">
            <v>-100</v>
          </cell>
        </row>
        <row r="299">
          <cell r="AF299">
            <v>38254</v>
          </cell>
          <cell r="AG299">
            <v>400</v>
          </cell>
          <cell r="AH299">
            <v>278</v>
          </cell>
          <cell r="AI299">
            <v>5</v>
          </cell>
          <cell r="AJ299">
            <v>81570.63123764898</v>
          </cell>
          <cell r="AL299">
            <v>22.593142265454148</v>
          </cell>
          <cell r="AM299">
            <v>20.279707076887178</v>
          </cell>
          <cell r="AN299">
            <v>21.433690242103687</v>
          </cell>
          <cell r="AQ299">
            <v>-100</v>
          </cell>
        </row>
        <row r="300">
          <cell r="AF300">
            <v>38257</v>
          </cell>
          <cell r="AG300">
            <v>403</v>
          </cell>
          <cell r="AH300">
            <v>279</v>
          </cell>
          <cell r="AI300">
            <v>4</v>
          </cell>
          <cell r="AJ300">
            <v>81507.794868398327</v>
          </cell>
          <cell r="AL300">
            <v>22.687652342280895</v>
          </cell>
          <cell r="AM300">
            <v>20.283823572303138</v>
          </cell>
          <cell r="AN300">
            <v>21.433690242100578</v>
          </cell>
          <cell r="AQ300">
            <v>-100</v>
          </cell>
        </row>
        <row r="301">
          <cell r="AF301">
            <v>38258</v>
          </cell>
          <cell r="AG301">
            <v>404</v>
          </cell>
          <cell r="AH301">
            <v>280</v>
          </cell>
          <cell r="AI301">
            <v>3</v>
          </cell>
          <cell r="AJ301">
            <v>81445.006903937974</v>
          </cell>
          <cell r="AL301">
            <v>22.782235279256714</v>
          </cell>
          <cell r="AM301">
            <v>20.287910803558916</v>
          </cell>
          <cell r="AN301">
            <v>21.433690242095338</v>
          </cell>
          <cell r="AQ301">
            <v>-100</v>
          </cell>
        </row>
        <row r="302">
          <cell r="AF302">
            <v>38259</v>
          </cell>
          <cell r="AG302">
            <v>405</v>
          </cell>
          <cell r="AH302">
            <v>281</v>
          </cell>
          <cell r="AI302">
            <v>2</v>
          </cell>
          <cell r="AJ302">
            <v>81382.26730698024</v>
          </cell>
          <cell r="AL302">
            <v>22.876891132551293</v>
          </cell>
          <cell r="AM302">
            <v>20.291969081605199</v>
          </cell>
          <cell r="AN302">
            <v>21.433690242085433</v>
          </cell>
          <cell r="AQ302">
            <v>-100</v>
          </cell>
        </row>
        <row r="303">
          <cell r="AF303">
            <v>38260</v>
          </cell>
          <cell r="AG303">
            <v>406</v>
          </cell>
          <cell r="AH303">
            <v>282</v>
          </cell>
          <cell r="AI303">
            <v>1</v>
          </cell>
          <cell r="AJ303">
            <v>81319.57604026614</v>
          </cell>
          <cell r="AL303">
            <v>22.971619958377644</v>
          </cell>
          <cell r="AM303">
            <v>20.295998713002895</v>
          </cell>
          <cell r="AN303">
            <v>21.433690242061587</v>
          </cell>
          <cell r="AQ303">
            <v>-100</v>
          </cell>
        </row>
        <row r="304">
          <cell r="AF304">
            <v>38261</v>
          </cell>
          <cell r="AG304">
            <v>407</v>
          </cell>
          <cell r="AH304">
            <v>283</v>
          </cell>
          <cell r="AI304">
            <v>20</v>
          </cell>
          <cell r="AJ304">
            <v>81256.933066565543</v>
          </cell>
          <cell r="AK304">
            <v>1.0007355338784787</v>
          </cell>
          <cell r="AL304">
            <v>23.066421812991834</v>
          </cell>
          <cell r="AM304">
            <v>20.300000000000008</v>
          </cell>
          <cell r="AN304">
            <v>20.356309546937766</v>
          </cell>
          <cell r="AQ304">
            <v>-100</v>
          </cell>
        </row>
        <row r="305">
          <cell r="AF305">
            <v>38264</v>
          </cell>
          <cell r="AG305">
            <v>410</v>
          </cell>
          <cell r="AH305">
            <v>284</v>
          </cell>
          <cell r="AI305">
            <v>19</v>
          </cell>
          <cell r="AJ305">
            <v>81197.209767943277</v>
          </cell>
          <cell r="AL305">
            <v>23.156941335538448</v>
          </cell>
          <cell r="AM305">
            <v>20.300198226826982</v>
          </cell>
          <cell r="AN305">
            <v>20.356309546937656</v>
          </cell>
          <cell r="AQ305">
            <v>-100</v>
          </cell>
        </row>
        <row r="306">
          <cell r="AF306">
            <v>38265</v>
          </cell>
          <cell r="AG306">
            <v>411</v>
          </cell>
          <cell r="AH306">
            <v>285</v>
          </cell>
          <cell r="AI306">
            <v>18</v>
          </cell>
          <cell r="AJ306">
            <v>81137.530365543324</v>
          </cell>
          <cell r="AL306">
            <v>23.247527438260551</v>
          </cell>
          <cell r="AM306">
            <v>20.300395062911704</v>
          </cell>
          <cell r="AN306">
            <v>20.356309546937702</v>
          </cell>
          <cell r="AQ306">
            <v>-100</v>
          </cell>
        </row>
        <row r="307">
          <cell r="AF307">
            <v>38266</v>
          </cell>
          <cell r="AG307">
            <v>412</v>
          </cell>
          <cell r="AH307">
            <v>286</v>
          </cell>
          <cell r="AI307">
            <v>17</v>
          </cell>
          <cell r="AJ307">
            <v>81077.894827102253</v>
          </cell>
          <cell r="AL307">
            <v>23.338180170130141</v>
          </cell>
          <cell r="AM307">
            <v>20.300590522839013</v>
          </cell>
          <cell r="AN307">
            <v>20.356309546937457</v>
          </cell>
          <cell r="AQ307">
            <v>-100</v>
          </cell>
        </row>
        <row r="308">
          <cell r="AF308">
            <v>38267</v>
          </cell>
          <cell r="AG308">
            <v>413</v>
          </cell>
          <cell r="AH308">
            <v>287</v>
          </cell>
          <cell r="AI308">
            <v>16</v>
          </cell>
          <cell r="AJ308">
            <v>81018.303120380355</v>
          </cell>
          <cell r="AL308">
            <v>23.428899580155171</v>
          </cell>
          <cell r="AM308">
            <v>20.300784620990477</v>
          </cell>
          <cell r="AN308">
            <v>20.356309546937233</v>
          </cell>
          <cell r="AQ308">
            <v>-100</v>
          </cell>
        </row>
        <row r="309">
          <cell r="AF309">
            <v>38268</v>
          </cell>
          <cell r="AG309">
            <v>414</v>
          </cell>
          <cell r="AH309">
            <v>288</v>
          </cell>
          <cell r="AI309">
            <v>15</v>
          </cell>
          <cell r="AJ309">
            <v>80958.75521316161</v>
          </cell>
          <cell r="AL309">
            <v>23.519685717379723</v>
          </cell>
          <cell r="AM309">
            <v>20.300977371548036</v>
          </cell>
          <cell r="AN309">
            <v>20.356309546936792</v>
          </cell>
          <cell r="AQ309">
            <v>-100</v>
          </cell>
        </row>
        <row r="310">
          <cell r="AF310">
            <v>38271</v>
          </cell>
          <cell r="AG310">
            <v>417</v>
          </cell>
          <cell r="AH310">
            <v>289</v>
          </cell>
          <cell r="AI310">
            <v>14</v>
          </cell>
          <cell r="AJ310">
            <v>80899.251073253676</v>
          </cell>
          <cell r="AL310">
            <v>23.610538630883916</v>
          </cell>
          <cell r="AM310">
            <v>20.301168788497325</v>
          </cell>
          <cell r="AN310">
            <v>20.356309546936547</v>
          </cell>
          <cell r="AQ310">
            <v>-100</v>
          </cell>
        </row>
        <row r="311">
          <cell r="AF311">
            <v>38273</v>
          </cell>
          <cell r="AG311">
            <v>419</v>
          </cell>
          <cell r="AH311">
            <v>290</v>
          </cell>
          <cell r="AI311">
            <v>13</v>
          </cell>
          <cell r="AJ311">
            <v>80839.790668487884</v>
          </cell>
          <cell r="AL311">
            <v>23.701458369783921</v>
          </cell>
          <cell r="AM311">
            <v>20.30135888563116</v>
          </cell>
          <cell r="AN311">
            <v>20.356309546936412</v>
          </cell>
          <cell r="AQ311">
            <v>-100</v>
          </cell>
        </row>
        <row r="312">
          <cell r="AF312">
            <v>38274</v>
          </cell>
          <cell r="AG312">
            <v>420</v>
          </cell>
          <cell r="AH312">
            <v>291</v>
          </cell>
          <cell r="AI312">
            <v>12</v>
          </cell>
          <cell r="AJ312">
            <v>80780.373966719184</v>
          </cell>
          <cell r="AL312">
            <v>23.792444983232119</v>
          </cell>
          <cell r="AM312">
            <v>20.30154767655279</v>
          </cell>
          <cell r="AN312">
            <v>20.356309546935989</v>
          </cell>
          <cell r="AQ312">
            <v>-100</v>
          </cell>
        </row>
        <row r="313">
          <cell r="AF313">
            <v>38275</v>
          </cell>
          <cell r="AG313">
            <v>421</v>
          </cell>
          <cell r="AH313">
            <v>292</v>
          </cell>
          <cell r="AI313">
            <v>11</v>
          </cell>
          <cell r="AJ313">
            <v>80721.000935826174</v>
          </cell>
          <cell r="AL313">
            <v>23.883498520416978</v>
          </cell>
          <cell r="AM313">
            <v>20.301735174679123</v>
          </cell>
          <cell r="AN313">
            <v>20.356309546935702</v>
          </cell>
          <cell r="AQ313">
            <v>-100</v>
          </cell>
        </row>
        <row r="314">
          <cell r="AF314">
            <v>38278</v>
          </cell>
          <cell r="AG314">
            <v>424</v>
          </cell>
          <cell r="AH314">
            <v>293</v>
          </cell>
          <cell r="AI314">
            <v>10</v>
          </cell>
          <cell r="AJ314">
            <v>80661.671543711054</v>
          </cell>
          <cell r="AL314">
            <v>23.974619030563215</v>
          </cell>
          <cell r="AM314">
            <v>20.301921393244026</v>
          </cell>
          <cell r="AN314">
            <v>20.356309546935456</v>
          </cell>
          <cell r="AQ314">
            <v>-100</v>
          </cell>
        </row>
        <row r="315">
          <cell r="AF315">
            <v>38279</v>
          </cell>
          <cell r="AG315">
            <v>425</v>
          </cell>
          <cell r="AH315">
            <v>294</v>
          </cell>
          <cell r="AI315">
            <v>9</v>
          </cell>
          <cell r="AJ315">
            <v>80602.385758299613</v>
          </cell>
          <cell r="AL315">
            <v>24.065806562931691</v>
          </cell>
          <cell r="AM315">
            <v>20.302106345301276</v>
          </cell>
          <cell r="AN315">
            <v>20.356309546935126</v>
          </cell>
          <cell r="AQ315">
            <v>-100</v>
          </cell>
        </row>
        <row r="316">
          <cell r="AF316">
            <v>38280</v>
          </cell>
          <cell r="AG316">
            <v>426</v>
          </cell>
          <cell r="AH316">
            <v>295</v>
          </cell>
          <cell r="AI316">
            <v>8</v>
          </cell>
          <cell r="AJ316">
            <v>80543.143547541229</v>
          </cell>
          <cell r="AL316">
            <v>24.157061166819503</v>
          </cell>
          <cell r="AM316">
            <v>20.302290043727744</v>
          </cell>
          <cell r="AN316">
            <v>20.356309546934838</v>
          </cell>
          <cell r="AQ316">
            <v>-100</v>
          </cell>
        </row>
        <row r="317">
          <cell r="AF317">
            <v>38281</v>
          </cell>
          <cell r="AG317">
            <v>427</v>
          </cell>
          <cell r="AH317">
            <v>296</v>
          </cell>
          <cell r="AI317">
            <v>7</v>
          </cell>
          <cell r="AJ317">
            <v>80483.944879408809</v>
          </cell>
          <cell r="AL317">
            <v>24.248382891560063</v>
          </cell>
          <cell r="AM317">
            <v>20.302472501226298</v>
          </cell>
          <cell r="AN317">
            <v>20.35630954693368</v>
          </cell>
          <cell r="AQ317">
            <v>-100</v>
          </cell>
        </row>
        <row r="318">
          <cell r="AF318">
            <v>38282</v>
          </cell>
          <cell r="AG318">
            <v>428</v>
          </cell>
          <cell r="AH318">
            <v>297</v>
          </cell>
          <cell r="AI318">
            <v>6</v>
          </cell>
          <cell r="AJ318">
            <v>80424.789721898822</v>
          </cell>
          <cell r="AL318">
            <v>24.339771786523002</v>
          </cell>
          <cell r="AM318">
            <v>20.302653730328778</v>
          </cell>
          <cell r="AN318">
            <v>20.35630954693206</v>
          </cell>
          <cell r="AQ318">
            <v>-100</v>
          </cell>
        </row>
        <row r="319">
          <cell r="AF319">
            <v>38285</v>
          </cell>
          <cell r="AG319">
            <v>431</v>
          </cell>
          <cell r="AH319">
            <v>298</v>
          </cell>
          <cell r="AI319">
            <v>5</v>
          </cell>
          <cell r="AJ319">
            <v>80365.678043031265</v>
          </cell>
          <cell r="AL319">
            <v>24.431227901114294</v>
          </cell>
          <cell r="AM319">
            <v>20.302833743398807</v>
          </cell>
          <cell r="AN319">
            <v>20.356309546930973</v>
          </cell>
          <cell r="AQ319">
            <v>-100</v>
          </cell>
        </row>
        <row r="320">
          <cell r="AF320">
            <v>38286</v>
          </cell>
          <cell r="AG320">
            <v>432</v>
          </cell>
          <cell r="AH320">
            <v>299</v>
          </cell>
          <cell r="AI320">
            <v>4</v>
          </cell>
          <cell r="AJ320">
            <v>80306.609810849623</v>
          </cell>
          <cell r="AL320">
            <v>24.522751284776255</v>
          </cell>
          <cell r="AM320">
            <v>20.303012552634691</v>
          </cell>
          <cell r="AN320">
            <v>20.356309546929818</v>
          </cell>
          <cell r="AQ320">
            <v>-100</v>
          </cell>
        </row>
        <row r="321">
          <cell r="AF321">
            <v>38287</v>
          </cell>
          <cell r="AG321">
            <v>433</v>
          </cell>
          <cell r="AH321">
            <v>300</v>
          </cell>
          <cell r="AI321">
            <v>3</v>
          </cell>
          <cell r="AJ321">
            <v>80247.584993420867</v>
          </cell>
          <cell r="AL321">
            <v>24.614341986987576</v>
          </cell>
          <cell r="AM321">
            <v>20.303190170072117</v>
          </cell>
          <cell r="AN321">
            <v>20.356309546925466</v>
          </cell>
          <cell r="AQ321">
            <v>-100</v>
          </cell>
        </row>
        <row r="322">
          <cell r="AF322">
            <v>38288</v>
          </cell>
          <cell r="AG322">
            <v>434</v>
          </cell>
          <cell r="AH322">
            <v>301</v>
          </cell>
          <cell r="AI322">
            <v>2</v>
          </cell>
          <cell r="AJ322">
            <v>80188.603558835443</v>
          </cell>
          <cell r="AL322">
            <v>24.706000057263331</v>
          </cell>
          <cell r="AM322">
            <v>20.30336660758687</v>
          </cell>
          <cell r="AN322">
            <v>20.356309546918048</v>
          </cell>
          <cell r="AQ322">
            <v>-100</v>
          </cell>
        </row>
        <row r="323">
          <cell r="AF323">
            <v>38289</v>
          </cell>
          <cell r="AG323">
            <v>435</v>
          </cell>
          <cell r="AH323">
            <v>302</v>
          </cell>
          <cell r="AI323">
            <v>1</v>
          </cell>
          <cell r="AJ323">
            <v>80129.665475207265</v>
          </cell>
          <cell r="AL323">
            <v>24.797725545155025</v>
          </cell>
          <cell r="AM323">
            <v>20.303541876897469</v>
          </cell>
          <cell r="AN323">
            <v>20.356309546898043</v>
          </cell>
          <cell r="AQ323">
            <v>-100</v>
          </cell>
        </row>
        <row r="324">
          <cell r="AF324">
            <v>38292</v>
          </cell>
          <cell r="AG324">
            <v>438</v>
          </cell>
          <cell r="AH324">
            <v>303</v>
          </cell>
          <cell r="AI324">
            <v>20</v>
          </cell>
          <cell r="AJ324">
            <v>80070.77071067378</v>
          </cell>
          <cell r="AK324">
            <v>1.0007355338784787</v>
          </cell>
          <cell r="AL324">
            <v>24.889518500250386</v>
          </cell>
          <cell r="AM324">
            <v>20.303715989567618</v>
          </cell>
          <cell r="AN324">
            <v>20.356309546938078</v>
          </cell>
          <cell r="AQ324">
            <v>-100</v>
          </cell>
        </row>
        <row r="325">
          <cell r="AF325">
            <v>38294</v>
          </cell>
          <cell r="AG325">
            <v>440</v>
          </cell>
          <cell r="AH325">
            <v>304</v>
          </cell>
          <cell r="AI325">
            <v>19</v>
          </cell>
          <cell r="AJ325">
            <v>80011.919233395514</v>
          </cell>
          <cell r="AL325">
            <v>24.981378972174227</v>
          </cell>
          <cell r="AM325">
            <v>20.30388895700932</v>
          </cell>
          <cell r="AN325">
            <v>20.356309546938011</v>
          </cell>
          <cell r="AQ325">
            <v>-100</v>
          </cell>
        </row>
        <row r="326">
          <cell r="AF326">
            <v>38295</v>
          </cell>
          <cell r="AG326">
            <v>441</v>
          </cell>
          <cell r="AH326">
            <v>305</v>
          </cell>
          <cell r="AI326">
            <v>18</v>
          </cell>
          <cell r="AJ326">
            <v>79953.111011556743</v>
          </cell>
          <cell r="AL326">
            <v>25.073307010587254</v>
          </cell>
          <cell r="AM326">
            <v>20.304060790484524</v>
          </cell>
          <cell r="AN326">
            <v>20.356309546937702</v>
          </cell>
          <cell r="AQ326">
            <v>-100</v>
          </cell>
        </row>
        <row r="327">
          <cell r="AF327">
            <v>38296</v>
          </cell>
          <cell r="AG327">
            <v>442</v>
          </cell>
          <cell r="AH327">
            <v>306</v>
          </cell>
          <cell r="AI327">
            <v>17</v>
          </cell>
          <cell r="AJ327">
            <v>79894.346013365008</v>
          </cell>
          <cell r="AL327">
            <v>25.165302665186907</v>
          </cell>
          <cell r="AM327">
            <v>20.304231501108163</v>
          </cell>
          <cell r="AN327">
            <v>20.356309546937457</v>
          </cell>
          <cell r="AQ327">
            <v>-100</v>
          </cell>
        </row>
        <row r="328">
          <cell r="AF328">
            <v>38299</v>
          </cell>
          <cell r="AG328">
            <v>445</v>
          </cell>
          <cell r="AH328">
            <v>307</v>
          </cell>
          <cell r="AI328">
            <v>16</v>
          </cell>
          <cell r="AJ328">
            <v>79835.624207051223</v>
          </cell>
          <cell r="AL328">
            <v>25.257365985707203</v>
          </cell>
          <cell r="AM328">
            <v>20.304401099850345</v>
          </cell>
          <cell r="AN328">
            <v>20.356309546937233</v>
          </cell>
          <cell r="AQ328">
            <v>-100</v>
          </cell>
        </row>
        <row r="329">
          <cell r="AF329">
            <v>38300</v>
          </cell>
          <cell r="AG329">
            <v>446</v>
          </cell>
          <cell r="AH329">
            <v>308</v>
          </cell>
          <cell r="AI329">
            <v>15</v>
          </cell>
          <cell r="AJ329">
            <v>79776.945560869659</v>
          </cell>
          <cell r="AL329">
            <v>25.349497021918687</v>
          </cell>
          <cell r="AM329">
            <v>20.304569597538769</v>
          </cell>
          <cell r="AN329">
            <v>20.356309546937233</v>
          </cell>
          <cell r="AQ329">
            <v>-100</v>
          </cell>
        </row>
        <row r="330">
          <cell r="AF330">
            <v>38301</v>
          </cell>
          <cell r="AG330">
            <v>447</v>
          </cell>
          <cell r="AH330">
            <v>309</v>
          </cell>
          <cell r="AI330">
            <v>14</v>
          </cell>
          <cell r="AJ330">
            <v>79718.310043097896</v>
          </cell>
          <cell r="AL330">
            <v>25.441695823628564</v>
          </cell>
          <cell r="AM330">
            <v>20.30473700486095</v>
          </cell>
          <cell r="AN330">
            <v>20.356309546936991</v>
          </cell>
          <cell r="AQ330">
            <v>-100</v>
          </cell>
        </row>
        <row r="331">
          <cell r="AF331">
            <v>38302</v>
          </cell>
          <cell r="AG331">
            <v>448</v>
          </cell>
          <cell r="AH331">
            <v>310</v>
          </cell>
          <cell r="AI331">
            <v>13</v>
          </cell>
          <cell r="AJ331">
            <v>79659.717622036842</v>
          </cell>
          <cell r="AL331">
            <v>25.533962440680646</v>
          </cell>
          <cell r="AM331">
            <v>20.304903332366607</v>
          </cell>
          <cell r="AN331">
            <v>20.356309546936902</v>
          </cell>
          <cell r="AQ331">
            <v>-100</v>
          </cell>
        </row>
        <row r="332">
          <cell r="AF332">
            <v>38303</v>
          </cell>
          <cell r="AG332">
            <v>449</v>
          </cell>
          <cell r="AH332">
            <v>311</v>
          </cell>
          <cell r="AI332">
            <v>12</v>
          </cell>
          <cell r="AJ332">
            <v>79601.168266010704</v>
          </cell>
          <cell r="AL332">
            <v>25.626296922955461</v>
          </cell>
          <cell r="AM332">
            <v>20.305068590469766</v>
          </cell>
          <cell r="AN332">
            <v>20.356309546936835</v>
          </cell>
          <cell r="AQ332">
            <v>-100</v>
          </cell>
        </row>
        <row r="333">
          <cell r="AF333">
            <v>38307</v>
          </cell>
          <cell r="AG333">
            <v>453</v>
          </cell>
          <cell r="AH333">
            <v>312</v>
          </cell>
          <cell r="AI333">
            <v>11</v>
          </cell>
          <cell r="AJ333">
            <v>79542.661943366984</v>
          </cell>
          <cell r="AL333">
            <v>25.718699320370099</v>
          </cell>
          <cell r="AM333">
            <v>20.305232789450912</v>
          </cell>
          <cell r="AN333">
            <v>20.356309546936302</v>
          </cell>
          <cell r="AQ333">
            <v>-100</v>
          </cell>
        </row>
        <row r="334">
          <cell r="AF334">
            <v>38308</v>
          </cell>
          <cell r="AG334">
            <v>454</v>
          </cell>
          <cell r="AH334">
            <v>313</v>
          </cell>
          <cell r="AI334">
            <v>10</v>
          </cell>
          <cell r="AJ334">
            <v>79484.198622476426</v>
          </cell>
          <cell r="AL334">
            <v>25.811169682878511</v>
          </cell>
          <cell r="AM334">
            <v>20.305395939459281</v>
          </cell>
          <cell r="AN334">
            <v>20.356309546936124</v>
          </cell>
          <cell r="AQ334">
            <v>-100</v>
          </cell>
        </row>
        <row r="335">
          <cell r="AF335">
            <v>38309</v>
          </cell>
          <cell r="AG335">
            <v>455</v>
          </cell>
          <cell r="AH335">
            <v>314</v>
          </cell>
          <cell r="AI335">
            <v>9</v>
          </cell>
          <cell r="AJ335">
            <v>79425.778271733026</v>
          </cell>
          <cell r="AL335">
            <v>25.90370806047131</v>
          </cell>
          <cell r="AM335">
            <v>20.305558050514772</v>
          </cell>
          <cell r="AN335">
            <v>20.356309546935126</v>
          </cell>
          <cell r="AQ335">
            <v>-100</v>
          </cell>
        </row>
        <row r="336">
          <cell r="AF336">
            <v>38310</v>
          </cell>
          <cell r="AG336">
            <v>456</v>
          </cell>
          <cell r="AH336">
            <v>315</v>
          </cell>
          <cell r="AI336">
            <v>8</v>
          </cell>
          <cell r="AJ336">
            <v>79367.400859554022</v>
          </cell>
          <cell r="AL336">
            <v>25.996314503175878</v>
          </cell>
          <cell r="AM336">
            <v>20.30571913251007</v>
          </cell>
          <cell r="AN336">
            <v>20.356309546934838</v>
          </cell>
          <cell r="AQ336">
            <v>-100</v>
          </cell>
        </row>
        <row r="337">
          <cell r="AF337">
            <v>38313</v>
          </cell>
          <cell r="AG337">
            <v>459</v>
          </cell>
          <cell r="AH337">
            <v>316</v>
          </cell>
          <cell r="AI337">
            <v>7</v>
          </cell>
          <cell r="AJ337">
            <v>79309.066354379858</v>
          </cell>
          <cell r="AL337">
            <v>26.088989061056434</v>
          </cell>
          <cell r="AM337">
            <v>20.305879195212718</v>
          </cell>
          <cell r="AN337">
            <v>20.35630954693368</v>
          </cell>
          <cell r="AQ337">
            <v>-100</v>
          </cell>
        </row>
        <row r="338">
          <cell r="AF338">
            <v>38314</v>
          </cell>
          <cell r="AG338">
            <v>460</v>
          </cell>
          <cell r="AH338">
            <v>317</v>
          </cell>
          <cell r="AI338">
            <v>6</v>
          </cell>
          <cell r="AJ338">
            <v>79250.774724674178</v>
          </cell>
          <cell r="AL338">
            <v>26.181731784213969</v>
          </cell>
          <cell r="AM338">
            <v>20.306038248266955</v>
          </cell>
          <cell r="AN338">
            <v>20.35630954693206</v>
          </cell>
          <cell r="AQ338">
            <v>-100</v>
          </cell>
        </row>
        <row r="339">
          <cell r="AF339">
            <v>38315</v>
          </cell>
          <cell r="AG339">
            <v>461</v>
          </cell>
          <cell r="AH339">
            <v>318</v>
          </cell>
          <cell r="AI339">
            <v>5</v>
          </cell>
          <cell r="AJ339">
            <v>79192.525938923791</v>
          </cell>
          <cell r="AL339">
            <v>26.274542722786375</v>
          </cell>
          <cell r="AM339">
            <v>20.306196301195854</v>
          </cell>
          <cell r="AN339">
            <v>20.356309546930973</v>
          </cell>
          <cell r="AQ339">
            <v>-100</v>
          </cell>
        </row>
        <row r="340">
          <cell r="AF340">
            <v>38316</v>
          </cell>
          <cell r="AG340">
            <v>462</v>
          </cell>
          <cell r="AH340">
            <v>319</v>
          </cell>
          <cell r="AI340">
            <v>4</v>
          </cell>
          <cell r="AJ340">
            <v>79134.319965638686</v>
          </cell>
          <cell r="AL340">
            <v>26.367421926948388</v>
          </cell>
          <cell r="AM340">
            <v>20.306353363402984</v>
          </cell>
          <cell r="AN340">
            <v>20.356309546928109</v>
          </cell>
          <cell r="AQ340">
            <v>-100</v>
          </cell>
        </row>
        <row r="341">
          <cell r="AF341">
            <v>38317</v>
          </cell>
          <cell r="AG341">
            <v>463</v>
          </cell>
          <cell r="AH341">
            <v>320</v>
          </cell>
          <cell r="AI341">
            <v>3</v>
          </cell>
          <cell r="AJ341">
            <v>79076.156773351991</v>
          </cell>
          <cell r="AL341">
            <v>26.460369446911681</v>
          </cell>
          <cell r="AM341">
            <v>20.306509444174448</v>
          </cell>
          <cell r="AN341">
            <v>20.356309546923246</v>
          </cell>
          <cell r="AQ341">
            <v>-100</v>
          </cell>
        </row>
        <row r="342">
          <cell r="AF342">
            <v>38320</v>
          </cell>
          <cell r="AG342">
            <v>466</v>
          </cell>
          <cell r="AH342">
            <v>321</v>
          </cell>
          <cell r="AI342">
            <v>2</v>
          </cell>
          <cell r="AJ342">
            <v>79018.036330619958</v>
          </cell>
          <cell r="AL342">
            <v>26.553385332924819</v>
          </cell>
          <cell r="AM342">
            <v>20.306664552680644</v>
          </cell>
          <cell r="AN342">
            <v>20.356309546914741</v>
          </cell>
          <cell r="AQ342">
            <v>-100</v>
          </cell>
        </row>
        <row r="343">
          <cell r="AF343">
            <v>38321</v>
          </cell>
          <cell r="AG343">
            <v>467</v>
          </cell>
          <cell r="AH343">
            <v>322</v>
          </cell>
          <cell r="AI343">
            <v>1</v>
          </cell>
          <cell r="AJ343">
            <v>78959.958606021959</v>
          </cell>
          <cell r="AL343">
            <v>26.646469635273352</v>
          </cell>
          <cell r="AM343">
            <v>20.306818697978102</v>
          </cell>
          <cell r="AN343">
            <v>20.356309546891495</v>
          </cell>
          <cell r="AQ343">
            <v>-100</v>
          </cell>
        </row>
        <row r="344">
          <cell r="AF344">
            <v>38322</v>
          </cell>
          <cell r="AG344">
            <v>468</v>
          </cell>
          <cell r="AH344">
            <v>323</v>
          </cell>
          <cell r="AI344">
            <v>23</v>
          </cell>
          <cell r="AJ344">
            <v>78901.923568160564</v>
          </cell>
          <cell r="AK344">
            <v>1.0008048886376513</v>
          </cell>
          <cell r="AL344">
            <v>26.739622404279608</v>
          </cell>
          <cell r="AM344">
            <v>20.306971889011006</v>
          </cell>
          <cell r="AN344">
            <v>22.476666940898539</v>
          </cell>
          <cell r="AQ344">
            <v>-100</v>
          </cell>
        </row>
        <row r="345">
          <cell r="AF345">
            <v>38323</v>
          </cell>
          <cell r="AG345">
            <v>469</v>
          </cell>
          <cell r="AH345">
            <v>324</v>
          </cell>
          <cell r="AI345">
            <v>22</v>
          </cell>
          <cell r="AJ345">
            <v>78838.467381555311</v>
          </cell>
          <cell r="AL345">
            <v>26.841633686293022</v>
          </cell>
          <cell r="AM345">
            <v>20.313608992736533</v>
          </cell>
          <cell r="AN345">
            <v>22.476666940898404</v>
          </cell>
          <cell r="AQ345">
            <v>-100</v>
          </cell>
        </row>
        <row r="346">
          <cell r="AF346">
            <v>38324</v>
          </cell>
          <cell r="AG346">
            <v>470</v>
          </cell>
          <cell r="AH346">
            <v>325</v>
          </cell>
          <cell r="AI346">
            <v>21</v>
          </cell>
          <cell r="AJ346">
            <v>78775.062229036892</v>
          </cell>
          <cell r="AL346">
            <v>26.943727076028235</v>
          </cell>
          <cell r="AM346">
            <v>20.320205615530007</v>
          </cell>
          <cell r="AN346">
            <v>22.476666940898625</v>
          </cell>
          <cell r="AQ346">
            <v>-100</v>
          </cell>
        </row>
        <row r="347">
          <cell r="AF347">
            <v>38327</v>
          </cell>
          <cell r="AG347">
            <v>473</v>
          </cell>
          <cell r="AH347">
            <v>326</v>
          </cell>
          <cell r="AI347">
            <v>20</v>
          </cell>
          <cell r="AJ347">
            <v>78711.708069561573</v>
          </cell>
          <cell r="AL347">
            <v>27.045902639572851</v>
          </cell>
          <cell r="AM347">
            <v>20.326762126606781</v>
          </cell>
          <cell r="AN347">
            <v>22.476666940898692</v>
          </cell>
          <cell r="AQ347">
            <v>-100</v>
          </cell>
        </row>
        <row r="348">
          <cell r="AF348">
            <v>38328</v>
          </cell>
          <cell r="AG348">
            <v>474</v>
          </cell>
          <cell r="AH348">
            <v>327</v>
          </cell>
          <cell r="AI348">
            <v>19</v>
          </cell>
          <cell r="AJ348">
            <v>78648.404862118652</v>
          </cell>
          <cell r="AL348">
            <v>27.148160443067603</v>
          </cell>
          <cell r="AM348">
            <v>20.333278890705863</v>
          </cell>
          <cell r="AN348">
            <v>22.476666940898692</v>
          </cell>
          <cell r="AQ348">
            <v>-100</v>
          </cell>
        </row>
        <row r="349">
          <cell r="AF349">
            <v>38329</v>
          </cell>
          <cell r="AG349">
            <v>475</v>
          </cell>
          <cell r="AH349">
            <v>328</v>
          </cell>
          <cell r="AI349">
            <v>18</v>
          </cell>
          <cell r="AJ349">
            <v>78585.152565730401</v>
          </cell>
          <cell r="AL349">
            <v>27.25050055270648</v>
          </cell>
          <cell r="AM349">
            <v>20.339756268157583</v>
          </cell>
          <cell r="AN349">
            <v>22.476666940898472</v>
          </cell>
          <cell r="AQ349">
            <v>-100</v>
          </cell>
        </row>
        <row r="350">
          <cell r="AF350">
            <v>38330</v>
          </cell>
          <cell r="AG350">
            <v>476</v>
          </cell>
          <cell r="AH350">
            <v>329</v>
          </cell>
          <cell r="AI350">
            <v>17</v>
          </cell>
          <cell r="AJ350">
            <v>78521.951139452052</v>
          </cell>
          <cell r="AL350">
            <v>27.352923034736797</v>
          </cell>
          <cell r="AM350">
            <v>20.346194614950129</v>
          </cell>
          <cell r="AN350">
            <v>22.476666940898738</v>
          </cell>
          <cell r="AQ350">
            <v>-100</v>
          </cell>
        </row>
        <row r="351">
          <cell r="AF351">
            <v>38331</v>
          </cell>
          <cell r="AG351">
            <v>477</v>
          </cell>
          <cell r="AH351">
            <v>330</v>
          </cell>
          <cell r="AI351">
            <v>16</v>
          </cell>
          <cell r="AJ351">
            <v>78458.800542371755</v>
          </cell>
          <cell r="AL351">
            <v>27.455427955459122</v>
          </cell>
          <cell r="AM351">
            <v>20.352594282794524</v>
          </cell>
          <cell r="AN351">
            <v>22.476666940899115</v>
          </cell>
          <cell r="AQ351">
            <v>-100</v>
          </cell>
        </row>
        <row r="352">
          <cell r="AF352">
            <v>38334</v>
          </cell>
          <cell r="AG352">
            <v>480</v>
          </cell>
          <cell r="AH352">
            <v>331</v>
          </cell>
          <cell r="AI352">
            <v>15</v>
          </cell>
          <cell r="AJ352">
            <v>78395.70073361056</v>
          </cell>
          <cell r="AL352">
            <v>27.558015381227442</v>
          </cell>
          <cell r="AM352">
            <v>20.358955619188901</v>
          </cell>
          <cell r="AN352">
            <v>22.476666940898895</v>
          </cell>
          <cell r="AQ352">
            <v>-100</v>
          </cell>
        </row>
        <row r="353">
          <cell r="AF353">
            <v>38335</v>
          </cell>
          <cell r="AG353">
            <v>481</v>
          </cell>
          <cell r="AH353">
            <v>332</v>
          </cell>
          <cell r="AI353">
            <v>14</v>
          </cell>
          <cell r="AJ353">
            <v>78332.651672322419</v>
          </cell>
          <cell r="AL353">
            <v>27.660685378449145</v>
          </cell>
          <cell r="AM353">
            <v>20.365278967481217</v>
          </cell>
          <cell r="AN353">
            <v>22.476666940899381</v>
          </cell>
          <cell r="AQ353">
            <v>-100</v>
          </cell>
        </row>
        <row r="354">
          <cell r="AF354">
            <v>38336</v>
          </cell>
          <cell r="AG354">
            <v>482</v>
          </cell>
          <cell r="AH354">
            <v>333</v>
          </cell>
          <cell r="AI354">
            <v>13</v>
          </cell>
          <cell r="AJ354">
            <v>78269.653317694101</v>
          </cell>
          <cell r="AL354">
            <v>27.763438013585031</v>
          </cell>
          <cell r="AM354">
            <v>20.371564666931153</v>
          </cell>
          <cell r="AN354">
            <v>22.476666940899381</v>
          </cell>
          <cell r="AQ354">
            <v>-100</v>
          </cell>
        </row>
        <row r="355">
          <cell r="AF355">
            <v>38337</v>
          </cell>
          <cell r="AG355">
            <v>483</v>
          </cell>
          <cell r="AH355">
            <v>334</v>
          </cell>
          <cell r="AI355">
            <v>12</v>
          </cell>
          <cell r="AJ355">
            <v>78206.70562894523</v>
          </cell>
          <cell r="AL355">
            <v>27.866273353149417</v>
          </cell>
          <cell r="AM355">
            <v>20.377813052770644</v>
          </cell>
          <cell r="AN355">
            <v>22.476666940899648</v>
          </cell>
          <cell r="AQ355">
            <v>-100</v>
          </cell>
        </row>
        <row r="356">
          <cell r="AF356">
            <v>38338</v>
          </cell>
          <cell r="AG356">
            <v>484</v>
          </cell>
          <cell r="AH356">
            <v>335</v>
          </cell>
          <cell r="AI356">
            <v>11</v>
          </cell>
          <cell r="AJ356">
            <v>78143.808565328203</v>
          </cell>
          <cell r="AL356">
            <v>27.969191463710175</v>
          </cell>
          <cell r="AM356">
            <v>20.384024456263639</v>
          </cell>
          <cell r="AN356">
            <v>22.476666940900138</v>
          </cell>
          <cell r="AQ356">
            <v>-100</v>
          </cell>
        </row>
        <row r="357">
          <cell r="AF357">
            <v>38341</v>
          </cell>
          <cell r="AG357">
            <v>487</v>
          </cell>
          <cell r="AH357">
            <v>336</v>
          </cell>
          <cell r="AI357">
            <v>10</v>
          </cell>
          <cell r="AJ357">
            <v>78080.962086128202</v>
          </cell>
          <cell r="AL357">
            <v>28.072192411888743</v>
          </cell>
          <cell r="AM357">
            <v>20.390199204764482</v>
          </cell>
          <cell r="AN357">
            <v>22.476666940900358</v>
          </cell>
          <cell r="AQ357">
            <v>-100</v>
          </cell>
        </row>
        <row r="358">
          <cell r="AF358">
            <v>38342</v>
          </cell>
          <cell r="AG358">
            <v>488</v>
          </cell>
          <cell r="AH358">
            <v>337</v>
          </cell>
          <cell r="AI358">
            <v>9</v>
          </cell>
          <cell r="AJ358">
            <v>78018.16615066315</v>
          </cell>
          <cell r="AL358">
            <v>28.175276264360139</v>
          </cell>
          <cell r="AM358">
            <v>20.396337621775508</v>
          </cell>
          <cell r="AN358">
            <v>22.476666940901069</v>
          </cell>
          <cell r="AQ358">
            <v>-100</v>
          </cell>
        </row>
        <row r="359">
          <cell r="AF359">
            <v>38343</v>
          </cell>
          <cell r="AG359">
            <v>489</v>
          </cell>
          <cell r="AH359">
            <v>338</v>
          </cell>
          <cell r="AI359">
            <v>8</v>
          </cell>
          <cell r="AJ359">
            <v>77955.420718283684</v>
          </cell>
          <cell r="AL359">
            <v>28.278443087853123</v>
          </cell>
          <cell r="AM359">
            <v>20.402440027003532</v>
          </cell>
          <cell r="AN359">
            <v>22.476666940901382</v>
          </cell>
          <cell r="AQ359">
            <v>-100</v>
          </cell>
        </row>
        <row r="360">
          <cell r="AF360">
            <v>38344</v>
          </cell>
          <cell r="AG360">
            <v>490</v>
          </cell>
          <cell r="AH360">
            <v>339</v>
          </cell>
          <cell r="AI360">
            <v>7</v>
          </cell>
          <cell r="AJ360">
            <v>77892.725748373137</v>
          </cell>
          <cell r="AL360">
            <v>28.381692949150118</v>
          </cell>
          <cell r="AM360">
            <v>20.408506736415276</v>
          </cell>
          <cell r="AN360">
            <v>22.476666940902803</v>
          </cell>
          <cell r="AQ360">
            <v>-100</v>
          </cell>
        </row>
        <row r="361">
          <cell r="AF361">
            <v>38345</v>
          </cell>
          <cell r="AG361">
            <v>491</v>
          </cell>
          <cell r="AH361">
            <v>340</v>
          </cell>
          <cell r="AI361">
            <v>6</v>
          </cell>
          <cell r="AJ361">
            <v>77830.0812003475</v>
          </cell>
          <cell r="AL361">
            <v>28.485025915087327</v>
          </cell>
          <cell r="AM361">
            <v>20.41453806229201</v>
          </cell>
          <cell r="AN361">
            <v>22.476666940903645</v>
          </cell>
          <cell r="AQ361">
            <v>-100</v>
          </cell>
        </row>
        <row r="362">
          <cell r="AF362">
            <v>38348</v>
          </cell>
          <cell r="AG362">
            <v>494</v>
          </cell>
          <cell r="AH362">
            <v>341</v>
          </cell>
          <cell r="AI362">
            <v>5</v>
          </cell>
          <cell r="AJ362">
            <v>77767.487033655416</v>
          </cell>
          <cell r="AL362">
            <v>28.588442052554729</v>
          </cell>
          <cell r="AM362">
            <v>20.420534313283035</v>
          </cell>
          <cell r="AN362">
            <v>22.476666940903243</v>
          </cell>
          <cell r="AQ362">
            <v>-100</v>
          </cell>
        </row>
        <row r="363">
          <cell r="AF363">
            <v>38349</v>
          </cell>
          <cell r="AG363">
            <v>495</v>
          </cell>
          <cell r="AH363">
            <v>342</v>
          </cell>
          <cell r="AI363">
            <v>4</v>
          </cell>
          <cell r="AJ363">
            <v>77704.943207778138</v>
          </cell>
          <cell r="AL363">
            <v>28.691941428496094</v>
          </cell>
          <cell r="AM363">
            <v>20.426495794458322</v>
          </cell>
          <cell r="AN363">
            <v>22.47666694090471</v>
          </cell>
          <cell r="AQ363">
            <v>-100</v>
          </cell>
        </row>
        <row r="364">
          <cell r="AF364">
            <v>38350</v>
          </cell>
          <cell r="AG364">
            <v>496</v>
          </cell>
          <cell r="AH364">
            <v>343</v>
          </cell>
          <cell r="AI364">
            <v>3</v>
          </cell>
          <cell r="AJ364">
            <v>77642.449682229504</v>
          </cell>
          <cell r="AL364">
            <v>28.795524109909177</v>
          </cell>
          <cell r="AM364">
            <v>20.432422807360396</v>
          </cell>
          <cell r="AN364">
            <v>22.476666940909485</v>
          </cell>
          <cell r="AQ364">
            <v>-100</v>
          </cell>
        </row>
        <row r="365">
          <cell r="AF365">
            <v>38351</v>
          </cell>
          <cell r="AG365">
            <v>497</v>
          </cell>
          <cell r="AH365">
            <v>344</v>
          </cell>
          <cell r="AI365">
            <v>2</v>
          </cell>
          <cell r="AJ365">
            <v>77580.006416555902</v>
          </cell>
          <cell r="AL365">
            <v>28.899190163845589</v>
          </cell>
          <cell r="AM365">
            <v>20.43831565005496</v>
          </cell>
          <cell r="AN365">
            <v>22.47666694091177</v>
          </cell>
          <cell r="AQ365">
            <v>-100</v>
          </cell>
        </row>
        <row r="366">
          <cell r="AF366">
            <v>38352</v>
          </cell>
          <cell r="AG366">
            <v>498</v>
          </cell>
          <cell r="AH366">
            <v>345</v>
          </cell>
          <cell r="AI366">
            <v>1</v>
          </cell>
          <cell r="AJ366">
            <v>77517.613370336272</v>
          </cell>
          <cell r="AL366">
            <v>29.00293965741092</v>
          </cell>
          <cell r="AM366">
            <v>20.444174617181019</v>
          </cell>
          <cell r="AN366">
            <v>22.476666940925362</v>
          </cell>
          <cell r="AQ366">
            <v>-100</v>
          </cell>
        </row>
        <row r="367">
          <cell r="AF367">
            <v>38355</v>
          </cell>
          <cell r="AG367">
            <v>501</v>
          </cell>
          <cell r="AH367">
            <v>346</v>
          </cell>
          <cell r="AJ367">
            <v>77455.270503181979</v>
          </cell>
          <cell r="AL367">
            <v>29.106772657764914</v>
          </cell>
          <cell r="AM367">
            <v>20.449999999999989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"/>
      <sheetName val="101"/>
      <sheetName val="GERAL"/>
      <sheetName val="Gráf."/>
      <sheetName val="Copom"/>
      <sheetName val="Termo"/>
      <sheetName val="Finan."/>
      <sheetName val="Butter US$"/>
      <sheetName val="Borboleta"/>
      <sheetName val="Teste"/>
      <sheetName val="TA +"/>
      <sheetName val="TNLP4"/>
      <sheetName val="OPÇÕES"/>
      <sheetName val="Índice"/>
      <sheetName val="DI Futuro"/>
      <sheetName val="FER"/>
      <sheetName val="Prazo"/>
      <sheetName val="Inflação"/>
      <sheetName val="Despesas"/>
      <sheetName val="DDI"/>
      <sheetName val="Calendário"/>
      <sheetName val="BOLSA"/>
      <sheetName val="INPUT"/>
      <sheetName val="US$ Futuros"/>
      <sheetName val="US$ Futuro"/>
      <sheetName val="Condor"/>
      <sheetName val="Rolagem"/>
      <sheetName val="Arbitragem"/>
      <sheetName val="Sheet1"/>
      <sheetName val="DERIV1"/>
      <sheetName val="INDICE"/>
      <sheetName val="DOL"/>
      <sheetName val="STF"/>
      <sheetName val="Sheet2"/>
      <sheetName val="CarteiraSet.04"/>
      <sheetName val="indicadores"/>
      <sheetName val="trade"/>
    </sheetNames>
    <sheetDataSet>
      <sheetData sheetId="0" refreshError="1"/>
      <sheetData sheetId="1" refreshError="1"/>
      <sheetData sheetId="2" refreshError="1">
        <row r="17">
          <cell r="AF17">
            <v>37848</v>
          </cell>
          <cell r="AG17">
            <v>0</v>
          </cell>
          <cell r="AH17">
            <v>0</v>
          </cell>
          <cell r="AI17">
            <v>11</v>
          </cell>
          <cell r="AJ17">
            <v>100000</v>
          </cell>
          <cell r="AO17">
            <v>3014</v>
          </cell>
        </row>
        <row r="18">
          <cell r="AF18">
            <v>37851</v>
          </cell>
          <cell r="AG18">
            <v>3</v>
          </cell>
          <cell r="AH18">
            <v>1</v>
          </cell>
          <cell r="AI18">
            <v>10</v>
          </cell>
          <cell r="AJ18">
            <v>99917.241063672423</v>
          </cell>
          <cell r="AL18">
            <v>8.282748347188118E-2</v>
          </cell>
          <cell r="AM18">
            <v>23.199999999998887</v>
          </cell>
          <cell r="AN18">
            <v>23.199999999999932</v>
          </cell>
          <cell r="AO18">
            <v>3014.5449616053379</v>
          </cell>
          <cell r="AQ18">
            <v>1.8081008803516596E-2</v>
          </cell>
        </row>
        <row r="19">
          <cell r="AF19">
            <v>37852</v>
          </cell>
          <cell r="AG19">
            <v>4</v>
          </cell>
          <cell r="AH19">
            <v>2</v>
          </cell>
          <cell r="AI19">
            <v>9</v>
          </cell>
          <cell r="AJ19">
            <v>99834.550617760266</v>
          </cell>
          <cell r="AL19">
            <v>0.16572357086395151</v>
          </cell>
          <cell r="AM19">
            <v>23.199999999998887</v>
          </cell>
          <cell r="AN19">
            <v>23.199999999999822</v>
          </cell>
          <cell r="AO19">
            <v>3015.0900217452318</v>
          </cell>
          <cell r="AQ19">
            <v>3.6165286835831978E-2</v>
          </cell>
        </row>
        <row r="20">
          <cell r="AF20">
            <v>37853</v>
          </cell>
          <cell r="AG20">
            <v>5</v>
          </cell>
          <cell r="AH20">
            <v>3</v>
          </cell>
          <cell r="AI20">
            <v>8</v>
          </cell>
          <cell r="AJ20">
            <v>99751.92860558159</v>
          </cell>
          <cell r="AL20">
            <v>0.24868831899911292</v>
          </cell>
          <cell r="AM20">
            <v>23.200000000000575</v>
          </cell>
          <cell r="AN20">
            <v>23.199999999999797</v>
          </cell>
          <cell r="AO20">
            <v>3015.6351804374976</v>
          </cell>
          <cell r="AQ20">
            <v>5.4252834688051088E-2</v>
          </cell>
        </row>
        <row r="21">
          <cell r="AF21">
            <v>37854</v>
          </cell>
          <cell r="AG21">
            <v>0</v>
          </cell>
          <cell r="AH21">
            <v>0</v>
          </cell>
          <cell r="AI21">
            <v>7</v>
          </cell>
          <cell r="AJ21">
            <v>100000</v>
          </cell>
          <cell r="AL21">
            <v>0.33172178474729641</v>
          </cell>
          <cell r="AM21">
            <v>23.199999999998887</v>
          </cell>
          <cell r="AN21">
            <v>23.199999999999932</v>
          </cell>
          <cell r="AO21">
            <v>3001</v>
          </cell>
          <cell r="AQ21">
            <v>7.2343652951367687E-2</v>
          </cell>
        </row>
        <row r="22">
          <cell r="AF22">
            <v>37855</v>
          </cell>
          <cell r="AG22">
            <v>1</v>
          </cell>
          <cell r="AH22">
            <v>1</v>
          </cell>
          <cell r="AI22">
            <v>6</v>
          </cell>
          <cell r="AJ22">
            <v>99921.902849756792</v>
          </cell>
          <cell r="AL22">
            <v>7.8158189561938762E-2</v>
          </cell>
          <cell r="AM22">
            <v>21.759999999998357</v>
          </cell>
          <cell r="AN22">
            <v>21.760000000000048</v>
          </cell>
          <cell r="AO22">
            <v>3003.7069495578376</v>
          </cell>
          <cell r="AQ22">
            <v>9.0201584733007323E-2</v>
          </cell>
        </row>
        <row r="23">
          <cell r="AF23">
            <v>37858</v>
          </cell>
          <cell r="AG23">
            <v>4</v>
          </cell>
          <cell r="AH23">
            <v>2</v>
          </cell>
          <cell r="AI23">
            <v>5</v>
          </cell>
          <cell r="AJ23">
            <v>99843.866691162344</v>
          </cell>
          <cell r="AL23">
            <v>0.15637746614982628</v>
          </cell>
          <cell r="AM23">
            <v>21.759999999998357</v>
          </cell>
          <cell r="AN23">
            <v>21.760000000000868</v>
          </cell>
          <cell r="AO23">
            <v>3006.4163408270742</v>
          </cell>
          <cell r="AQ23">
            <v>0.1804845327249005</v>
          </cell>
        </row>
        <row r="24">
          <cell r="AF24">
            <v>37859</v>
          </cell>
          <cell r="AG24">
            <v>5</v>
          </cell>
          <cell r="AH24">
            <v>3</v>
          </cell>
          <cell r="AI24">
            <v>4</v>
          </cell>
          <cell r="AJ24">
            <v>99765.891476583914</v>
          </cell>
          <cell r="AL24">
            <v>0.23465787750820422</v>
          </cell>
          <cell r="AM24">
            <v>21.760000000000048</v>
          </cell>
          <cell r="AN24">
            <v>21.760000000000048</v>
          </cell>
          <cell r="AO24">
            <v>3009.1281760101724</v>
          </cell>
          <cell r="AQ24">
            <v>0.27084891736661731</v>
          </cell>
        </row>
        <row r="25">
          <cell r="AF25">
            <v>37860</v>
          </cell>
          <cell r="AG25">
            <v>6</v>
          </cell>
          <cell r="AH25">
            <v>4</v>
          </cell>
          <cell r="AI25">
            <v>3</v>
          </cell>
          <cell r="AJ25">
            <v>99687.977158425972</v>
          </cell>
          <cell r="AL25">
            <v>0.31299947141885109</v>
          </cell>
          <cell r="AM25">
            <v>21.759999999998357</v>
          </cell>
          <cell r="AN25">
            <v>21.760000000002378</v>
          </cell>
          <cell r="AO25">
            <v>3011.8424573115808</v>
          </cell>
          <cell r="AQ25">
            <v>0.36129481211533143</v>
          </cell>
        </row>
        <row r="26">
          <cell r="AF26">
            <v>37861</v>
          </cell>
          <cell r="AG26">
            <v>7</v>
          </cell>
          <cell r="AH26">
            <v>5</v>
          </cell>
          <cell r="AI26">
            <v>2</v>
          </cell>
          <cell r="AJ26">
            <v>99610.123689130138</v>
          </cell>
          <cell r="AL26">
            <v>0.39140229570100438</v>
          </cell>
          <cell r="AM26">
            <v>21.759999999999515</v>
          </cell>
          <cell r="AN26">
            <v>21.760000000001689</v>
          </cell>
          <cell r="AO26">
            <v>3014.5591869377372</v>
          </cell>
          <cell r="AQ26">
            <v>0.45182229049440803</v>
          </cell>
        </row>
        <row r="27">
          <cell r="AF27">
            <v>37862</v>
          </cell>
          <cell r="AG27">
            <v>8</v>
          </cell>
          <cell r="AH27">
            <v>6</v>
          </cell>
          <cell r="AI27">
            <v>1</v>
          </cell>
          <cell r="AJ27">
            <v>99532.331021175196</v>
          </cell>
          <cell r="AL27">
            <v>0.46986639821116061</v>
          </cell>
          <cell r="AM27">
            <v>21.759999999998957</v>
          </cell>
          <cell r="AN27">
            <v>21.760000000004997</v>
          </cell>
          <cell r="AO27">
            <v>3017.2783670970693</v>
          </cell>
          <cell r="AQ27">
            <v>0.54243142609360362</v>
          </cell>
        </row>
        <row r="28">
          <cell r="AF28">
            <v>37865</v>
          </cell>
          <cell r="AG28">
            <v>11</v>
          </cell>
          <cell r="AH28">
            <v>7</v>
          </cell>
          <cell r="AI28">
            <v>22</v>
          </cell>
          <cell r="AJ28">
            <v>99454.599107076996</v>
          </cell>
          <cell r="AK28">
            <v>1.0007660811925823</v>
          </cell>
          <cell r="AL28">
            <v>0.54839182684331966</v>
          </cell>
          <cell r="AM28">
            <v>21.760000000000023</v>
          </cell>
          <cell r="AN28">
            <v>21.285677909433719</v>
          </cell>
          <cell r="AO28">
            <v>3020</v>
          </cell>
          <cell r="AP28">
            <v>1.0007170320409393</v>
          </cell>
          <cell r="AQ28">
            <v>0.63312229256913266</v>
          </cell>
        </row>
        <row r="29">
          <cell r="AF29">
            <v>37866</v>
          </cell>
          <cell r="AG29">
            <v>12</v>
          </cell>
          <cell r="AH29">
            <v>8</v>
          </cell>
          <cell r="AI29">
            <v>21</v>
          </cell>
          <cell r="AJ29">
            <v>99378.467132459162</v>
          </cell>
          <cell r="AL29">
            <v>0.62542005876626838</v>
          </cell>
          <cell r="AM29">
            <v>21.700608443402803</v>
          </cell>
          <cell r="AN29">
            <v>21.285677909433765</v>
          </cell>
          <cell r="AO29">
            <v>3022.1654367636365</v>
          </cell>
          <cell r="AQ29">
            <v>0.70527946563267996</v>
          </cell>
        </row>
        <row r="30">
          <cell r="AF30">
            <v>37867</v>
          </cell>
          <cell r="AG30">
            <v>13</v>
          </cell>
          <cell r="AH30">
            <v>9</v>
          </cell>
          <cell r="AI30">
            <v>20</v>
          </cell>
          <cell r="AJ30">
            <v>99302.393436469079</v>
          </cell>
          <cell r="AL30">
            <v>0.70250730056897748</v>
          </cell>
          <cell r="AM30">
            <v>21.654435039687449</v>
          </cell>
          <cell r="AN30">
            <v>21.28567790943341</v>
          </cell>
          <cell r="AO30">
            <v>3024.3324262148153</v>
          </cell>
          <cell r="AQ30">
            <v>0.77748837770128532</v>
          </cell>
        </row>
        <row r="31">
          <cell r="AF31">
            <v>37868</v>
          </cell>
          <cell r="AG31">
            <v>14</v>
          </cell>
          <cell r="AH31">
            <v>10</v>
          </cell>
          <cell r="AI31">
            <v>19</v>
          </cell>
          <cell r="AJ31">
            <v>99226.377974494768</v>
          </cell>
          <cell r="AL31">
            <v>0.77965359745781893</v>
          </cell>
          <cell r="AM31">
            <v>21.617508930183661</v>
          </cell>
          <cell r="AN31">
            <v>21.285677909433474</v>
          </cell>
          <cell r="AO31">
            <v>3026.5009694668629</v>
          </cell>
          <cell r="AQ31">
            <v>0.84974906587347299</v>
          </cell>
        </row>
        <row r="32">
          <cell r="AF32">
            <v>37869</v>
          </cell>
          <cell r="AG32">
            <v>15</v>
          </cell>
          <cell r="AH32">
            <v>11</v>
          </cell>
          <cell r="AI32">
            <v>18</v>
          </cell>
          <cell r="AJ32">
            <v>99150.420701958385</v>
          </cell>
          <cell r="AL32">
            <v>0.85685899467378146</v>
          </cell>
          <cell r="AM32">
            <v>21.587304995665392</v>
          </cell>
          <cell r="AN32">
            <v>21.285677909433652</v>
          </cell>
          <cell r="AO32">
            <v>3028.6710676339044</v>
          </cell>
          <cell r="AQ32">
            <v>0.92206156727439037</v>
          </cell>
        </row>
        <row r="33">
          <cell r="AF33">
            <v>37872</v>
          </cell>
          <cell r="AG33">
            <v>18</v>
          </cell>
          <cell r="AH33">
            <v>12</v>
          </cell>
          <cell r="AI33">
            <v>17</v>
          </cell>
          <cell r="AJ33">
            <v>99074.521574316212</v>
          </cell>
          <cell r="AL33">
            <v>0.93412353749251498</v>
          </cell>
          <cell r="AM33">
            <v>21.562140780398508</v>
          </cell>
          <cell r="AN33">
            <v>21.285677909433698</v>
          </cell>
          <cell r="AO33">
            <v>3030.8427218308639</v>
          </cell>
          <cell r="AQ33">
            <v>0.99442591905578581</v>
          </cell>
        </row>
        <row r="34">
          <cell r="AF34">
            <v>37873</v>
          </cell>
          <cell r="AG34">
            <v>19</v>
          </cell>
          <cell r="AH34">
            <v>13</v>
          </cell>
          <cell r="AI34">
            <v>16</v>
          </cell>
          <cell r="AJ34">
            <v>98998.680547058655</v>
          </cell>
          <cell r="AL34">
            <v>1.0114472712243527</v>
          </cell>
          <cell r="AM34">
            <v>21.540852050765793</v>
          </cell>
          <cell r="AN34">
            <v>21.285677909433854</v>
          </cell>
          <cell r="AO34">
            <v>3033.0159331734644</v>
          </cell>
          <cell r="AQ34">
            <v>1.0668421583960086</v>
          </cell>
        </row>
        <row r="35">
          <cell r="AF35">
            <v>37874</v>
          </cell>
          <cell r="AG35">
            <v>20</v>
          </cell>
          <cell r="AH35">
            <v>14</v>
          </cell>
          <cell r="AI35">
            <v>15</v>
          </cell>
          <cell r="AJ35">
            <v>98922.897575710158</v>
          </cell>
          <cell r="AL35">
            <v>1.0888302412143558</v>
          </cell>
          <cell r="AM35">
            <v>21.52260753560482</v>
          </cell>
          <cell r="AN35">
            <v>21.285677909433321</v>
          </cell>
          <cell r="AO35">
            <v>3035.190702778229</v>
          </cell>
          <cell r="AQ35">
            <v>1.1393103225001422</v>
          </cell>
        </row>
        <row r="36">
          <cell r="AF36">
            <v>37875</v>
          </cell>
          <cell r="AG36">
            <v>21</v>
          </cell>
          <cell r="AH36">
            <v>15</v>
          </cell>
          <cell r="AI36">
            <v>14</v>
          </cell>
          <cell r="AJ36">
            <v>98847.172615829244</v>
          </cell>
          <cell r="AL36">
            <v>1.1662724928422907</v>
          </cell>
          <cell r="AM36">
            <v>21.506797837773362</v>
          </cell>
          <cell r="AN36">
            <v>21.28567790943352</v>
          </cell>
          <cell r="AO36">
            <v>3037.3670317624819</v>
          </cell>
          <cell r="AQ36">
            <v>1.211830448599871</v>
          </cell>
        </row>
        <row r="37">
          <cell r="AF37">
            <v>37876</v>
          </cell>
          <cell r="AG37">
            <v>22</v>
          </cell>
          <cell r="AH37">
            <v>16</v>
          </cell>
          <cell r="AI37">
            <v>13</v>
          </cell>
          <cell r="AJ37">
            <v>98771.50562300843</v>
          </cell>
          <cell r="AL37">
            <v>1.2437740715226964</v>
          </cell>
          <cell r="AM37">
            <v>21.492966039390705</v>
          </cell>
          <cell r="AN37">
            <v>21.285677909433474</v>
          </cell>
          <cell r="AO37">
            <v>3039.5449212443482</v>
          </cell>
          <cell r="AQ37">
            <v>1.2844025739536136</v>
          </cell>
        </row>
        <row r="38">
          <cell r="AF38">
            <v>37879</v>
          </cell>
          <cell r="AG38">
            <v>25</v>
          </cell>
          <cell r="AH38">
            <v>17</v>
          </cell>
          <cell r="AI38">
            <v>12</v>
          </cell>
          <cell r="AJ38">
            <v>98695.896552874226</v>
          </cell>
          <cell r="AL38">
            <v>1.3213350227049503</v>
          </cell>
          <cell r="AM38">
            <v>21.480762818997889</v>
          </cell>
          <cell r="AN38">
            <v>21.285677909433677</v>
          </cell>
          <cell r="AO38">
            <v>3041.7243723427546</v>
          </cell>
          <cell r="AQ38">
            <v>1.3570267358465449</v>
          </cell>
        </row>
        <row r="39">
          <cell r="AF39">
            <v>37880</v>
          </cell>
          <cell r="AG39">
            <v>26</v>
          </cell>
          <cell r="AH39">
            <v>18</v>
          </cell>
          <cell r="AI39">
            <v>11</v>
          </cell>
          <cell r="AJ39">
            <v>98620.345361087137</v>
          </cell>
          <cell r="AL39">
            <v>1.3989553918731579</v>
          </cell>
          <cell r="AM39">
            <v>21.469916541000256</v>
          </cell>
          <cell r="AN39">
            <v>21.285677909433787</v>
          </cell>
          <cell r="AO39">
            <v>3043.9053861774305</v>
          </cell>
          <cell r="AQ39">
            <v>1.4297029715904852</v>
          </cell>
        </row>
        <row r="40">
          <cell r="AF40">
            <v>37881</v>
          </cell>
          <cell r="AG40">
            <v>27</v>
          </cell>
          <cell r="AH40">
            <v>19</v>
          </cell>
          <cell r="AI40">
            <v>10</v>
          </cell>
          <cell r="AJ40">
            <v>98544.85200334157</v>
          </cell>
          <cell r="AL40">
            <v>1.4766352245463743</v>
          </cell>
          <cell r="AM40">
            <v>21.46021279733754</v>
          </cell>
          <cell r="AN40">
            <v>21.285677909433321</v>
          </cell>
          <cell r="AO40">
            <v>3046.0879638689075</v>
          </cell>
          <cell r="AQ40">
            <v>1.5024313185240779</v>
          </cell>
        </row>
        <row r="41">
          <cell r="AF41">
            <v>37882</v>
          </cell>
          <cell r="AG41">
            <v>28</v>
          </cell>
          <cell r="AH41">
            <v>20</v>
          </cell>
          <cell r="AI41">
            <v>9</v>
          </cell>
          <cell r="AJ41">
            <v>98469.416435365885</v>
          </cell>
          <cell r="AL41">
            <v>1.554374566278427</v>
          </cell>
          <cell r="AM41">
            <v>21.451480090832597</v>
          </cell>
          <cell r="AN41">
            <v>21.285677909433652</v>
          </cell>
          <cell r="AO41">
            <v>3048.2721065385213</v>
          </cell>
          <cell r="AQ41">
            <v>1.5752118140127003</v>
          </cell>
        </row>
        <row r="42">
          <cell r="AF42">
            <v>37883</v>
          </cell>
          <cell r="AG42">
            <v>29</v>
          </cell>
          <cell r="AH42">
            <v>21</v>
          </cell>
          <cell r="AI42">
            <v>8</v>
          </cell>
          <cell r="AJ42">
            <v>98394.038612922319</v>
          </cell>
          <cell r="AL42">
            <v>1.632173462658093</v>
          </cell>
          <cell r="AM42">
            <v>21.443579611676821</v>
          </cell>
          <cell r="AN42">
            <v>21.28567790943352</v>
          </cell>
          <cell r="AO42">
            <v>3050.4578153084108</v>
          </cell>
          <cell r="AQ42">
            <v>1.6480444954485529</v>
          </cell>
        </row>
        <row r="43">
          <cell r="AF43">
            <v>37886</v>
          </cell>
          <cell r="AG43">
            <v>32</v>
          </cell>
          <cell r="AH43">
            <v>22</v>
          </cell>
          <cell r="AI43">
            <v>7</v>
          </cell>
          <cell r="AJ43">
            <v>98318.718491806954</v>
          </cell>
          <cell r="AL43">
            <v>1.7100319593090996</v>
          </cell>
          <cell r="AM43">
            <v>21.436397803872296</v>
          </cell>
          <cell r="AN43">
            <v>21.28567790943352</v>
          </cell>
          <cell r="AO43">
            <v>3052.6450913015206</v>
          </cell>
          <cell r="AQ43">
            <v>1.7209294002505926</v>
          </cell>
        </row>
        <row r="44">
          <cell r="AF44">
            <v>37887</v>
          </cell>
          <cell r="AG44">
            <v>33</v>
          </cell>
          <cell r="AH44">
            <v>23</v>
          </cell>
          <cell r="AI44">
            <v>6</v>
          </cell>
          <cell r="AJ44">
            <v>98243.456027849737</v>
          </cell>
          <cell r="AL44">
            <v>1.7879501018900568</v>
          </cell>
          <cell r="AM44">
            <v>21.429840872013916</v>
          </cell>
          <cell r="AN44">
            <v>21.285677909433677</v>
          </cell>
          <cell r="AO44">
            <v>3054.8339356416</v>
          </cell>
          <cell r="AQ44">
            <v>1.7938665658647102</v>
          </cell>
        </row>
        <row r="45">
          <cell r="AF45">
            <v>37888</v>
          </cell>
          <cell r="AG45">
            <v>34</v>
          </cell>
          <cell r="AH45">
            <v>24</v>
          </cell>
          <cell r="AI45">
            <v>5</v>
          </cell>
          <cell r="AJ45">
            <v>98168.251176914418</v>
          </cell>
          <cell r="AL45">
            <v>1.8659279360946135</v>
          </cell>
          <cell r="AM45">
            <v>21.423830662158693</v>
          </cell>
          <cell r="AN45">
            <v>21.285677909434142</v>
          </cell>
          <cell r="AO45">
            <v>3057.0243494532037</v>
          </cell>
          <cell r="AQ45">
            <v>1.8668560297635306</v>
          </cell>
        </row>
        <row r="46">
          <cell r="AF46">
            <v>37889</v>
          </cell>
          <cell r="AG46">
            <v>35</v>
          </cell>
          <cell r="AH46">
            <v>25</v>
          </cell>
          <cell r="AI46">
            <v>4</v>
          </cell>
          <cell r="AJ46">
            <v>98093.103894898522</v>
          </cell>
          <cell r="AL46">
            <v>1.9439655076513906</v>
          </cell>
          <cell r="AM46">
            <v>21.418301531824181</v>
          </cell>
          <cell r="AN46">
            <v>21.285677909434231</v>
          </cell>
          <cell r="AO46">
            <v>3059.2163338616933</v>
          </cell>
          <cell r="AQ46">
            <v>1.9398978294466351</v>
          </cell>
        </row>
        <row r="47">
          <cell r="AF47">
            <v>37890</v>
          </cell>
          <cell r="AG47">
            <v>36</v>
          </cell>
          <cell r="AH47">
            <v>26</v>
          </cell>
          <cell r="AI47">
            <v>3</v>
          </cell>
          <cell r="AJ47">
            <v>98018.014137733349</v>
          </cell>
          <cell r="AL47">
            <v>2.0220628623240477</v>
          </cell>
          <cell r="AM47">
            <v>21.413197942675353</v>
          </cell>
          <cell r="AN47">
            <v>21.285677909434717</v>
          </cell>
          <cell r="AO47">
            <v>3061.4098899932369</v>
          </cell>
          <cell r="AQ47">
            <v>2.0129920024404058</v>
          </cell>
        </row>
        <row r="48">
          <cell r="AF48">
            <v>37893</v>
          </cell>
          <cell r="AG48">
            <v>39</v>
          </cell>
          <cell r="AH48">
            <v>27</v>
          </cell>
          <cell r="AI48">
            <v>2</v>
          </cell>
          <cell r="AJ48">
            <v>97942.981861383916</v>
          </cell>
          <cell r="AL48">
            <v>2.1002200459113274</v>
          </cell>
          <cell r="AM48">
            <v>21.408472588440318</v>
          </cell>
          <cell r="AN48">
            <v>21.285677909434231</v>
          </cell>
          <cell r="AO48">
            <v>3063.6050189748107</v>
          </cell>
          <cell r="AQ48">
            <v>2.0861385862982473</v>
          </cell>
        </row>
        <row r="49">
          <cell r="AF49">
            <v>37894</v>
          </cell>
          <cell r="AG49">
            <v>40</v>
          </cell>
          <cell r="AH49">
            <v>28</v>
          </cell>
          <cell r="AI49">
            <v>1</v>
          </cell>
          <cell r="AJ49">
            <v>97868.007021848971</v>
          </cell>
          <cell r="AL49">
            <v>2.1784371042470108</v>
          </cell>
          <cell r="AM49">
            <v>21.404084924181465</v>
          </cell>
          <cell r="AN49">
            <v>21.285677909434231</v>
          </cell>
          <cell r="AO49">
            <v>3065.8017219341982</v>
          </cell>
          <cell r="AQ49">
            <v>2.1593376186004098</v>
          </cell>
        </row>
        <row r="50">
          <cell r="AF50">
            <v>37895</v>
          </cell>
          <cell r="AG50">
            <v>41</v>
          </cell>
          <cell r="AH50">
            <v>29</v>
          </cell>
          <cell r="AI50">
            <v>23</v>
          </cell>
          <cell r="AJ50">
            <v>97793.089575160921</v>
          </cell>
          <cell r="AK50">
            <v>1.0007357375846868</v>
          </cell>
          <cell r="AL50">
            <v>2.2567140832000288</v>
          </cell>
          <cell r="AM50">
            <v>21.400000000000041</v>
          </cell>
          <cell r="AN50">
            <v>20.36248353011829</v>
          </cell>
          <cell r="AO50">
            <v>3068</v>
          </cell>
          <cell r="AQ50">
            <v>2.2325891369543438</v>
          </cell>
        </row>
        <row r="51">
          <cell r="AF51">
            <v>37896</v>
          </cell>
          <cell r="AG51">
            <v>42</v>
          </cell>
          <cell r="AH51">
            <v>30</v>
          </cell>
          <cell r="AI51">
            <v>22</v>
          </cell>
          <cell r="AJ51">
            <v>97721.192421076325</v>
          </cell>
          <cell r="AL51">
            <v>2.3319481910376139</v>
          </cell>
          <cell r="AM51">
            <v>21.365272456760831</v>
          </cell>
          <cell r="AN51">
            <v>20.362483530118467</v>
          </cell>
          <cell r="AQ51">
            <v>-100</v>
          </cell>
        </row>
        <row r="52">
          <cell r="AF52">
            <v>37897</v>
          </cell>
          <cell r="AG52">
            <v>43</v>
          </cell>
          <cell r="AH52">
            <v>31</v>
          </cell>
          <cell r="AI52">
            <v>21</v>
          </cell>
          <cell r="AJ52">
            <v>97649.3481255402</v>
          </cell>
          <cell r="AL52">
            <v>2.4072376514359783</v>
          </cell>
          <cell r="AM52">
            <v>21.332794393666266</v>
          </cell>
          <cell r="AN52">
            <v>20.362483530118425</v>
          </cell>
          <cell r="AQ52">
            <v>-100</v>
          </cell>
        </row>
        <row r="53">
          <cell r="AF53">
            <v>37900</v>
          </cell>
          <cell r="AG53">
            <v>46</v>
          </cell>
          <cell r="AH53">
            <v>32</v>
          </cell>
          <cell r="AI53">
            <v>20</v>
          </cell>
          <cell r="AJ53">
            <v>97577.55664969112</v>
          </cell>
          <cell r="AL53">
            <v>2.4825825051201011</v>
          </cell>
          <cell r="AM53">
            <v>21.302354103044419</v>
          </cell>
          <cell r="AN53">
            <v>20.362483530118382</v>
          </cell>
          <cell r="AQ53">
            <v>-100</v>
          </cell>
        </row>
        <row r="54">
          <cell r="AF54">
            <v>37901</v>
          </cell>
          <cell r="AG54">
            <v>47</v>
          </cell>
          <cell r="AH54">
            <v>33</v>
          </cell>
          <cell r="AI54">
            <v>19</v>
          </cell>
          <cell r="AJ54">
            <v>97505.81795469622</v>
          </cell>
          <cell r="AL54">
            <v>2.5579827928448706</v>
          </cell>
          <cell r="AM54">
            <v>21.273765635254449</v>
          </cell>
          <cell r="AN54">
            <v>20.36248353011856</v>
          </cell>
          <cell r="AQ54">
            <v>-100</v>
          </cell>
        </row>
        <row r="55">
          <cell r="AF55">
            <v>37902</v>
          </cell>
          <cell r="AG55">
            <v>48</v>
          </cell>
          <cell r="AH55">
            <v>34</v>
          </cell>
          <cell r="AI55">
            <v>18</v>
          </cell>
          <cell r="AJ55">
            <v>97434.13200175119</v>
          </cell>
          <cell r="AL55">
            <v>2.63343855539524</v>
          </cell>
          <cell r="AM55">
            <v>21.246864996935177</v>
          </cell>
          <cell r="AN55">
            <v>20.362483530118226</v>
          </cell>
          <cell r="AQ55">
            <v>-100</v>
          </cell>
        </row>
        <row r="56">
          <cell r="AF56">
            <v>37903</v>
          </cell>
          <cell r="AG56">
            <v>49</v>
          </cell>
          <cell r="AH56">
            <v>35</v>
          </cell>
          <cell r="AI56">
            <v>17</v>
          </cell>
          <cell r="AJ56">
            <v>97362.498752080268</v>
          </cell>
          <cell r="AL56">
            <v>2.708949833586094</v>
          </cell>
          <cell r="AM56">
            <v>21.221507003284955</v>
          </cell>
          <cell r="AN56">
            <v>20.362483530118336</v>
          </cell>
          <cell r="AQ56">
            <v>-100</v>
          </cell>
        </row>
        <row r="57">
          <cell r="AF57">
            <v>37904</v>
          </cell>
          <cell r="AG57">
            <v>50</v>
          </cell>
          <cell r="AH57">
            <v>36</v>
          </cell>
          <cell r="AI57">
            <v>16</v>
          </cell>
          <cell r="AJ57">
            <v>97290.918166936157</v>
          </cell>
          <cell r="AL57">
            <v>2.7845166682623823</v>
          </cell>
          <cell r="AM57">
            <v>21.197562656767555</v>
          </cell>
          <cell r="AN57">
            <v>20.362483530118269</v>
          </cell>
          <cell r="AQ57">
            <v>-100</v>
          </cell>
        </row>
        <row r="58">
          <cell r="AF58">
            <v>37907</v>
          </cell>
          <cell r="AG58">
            <v>53</v>
          </cell>
          <cell r="AH58">
            <v>37</v>
          </cell>
          <cell r="AI58">
            <v>15</v>
          </cell>
          <cell r="AJ58">
            <v>97219.390207600096</v>
          </cell>
          <cell r="AL58">
            <v>2.860139100299075</v>
          </cell>
          <cell r="AM58">
            <v>21.174916952313794</v>
          </cell>
          <cell r="AN58">
            <v>20.362483530118091</v>
          </cell>
          <cell r="AQ58">
            <v>-100</v>
          </cell>
        </row>
        <row r="59">
          <cell r="AF59">
            <v>37908</v>
          </cell>
          <cell r="AG59">
            <v>54</v>
          </cell>
          <cell r="AH59">
            <v>38</v>
          </cell>
          <cell r="AI59">
            <v>14</v>
          </cell>
          <cell r="AJ59">
            <v>97147.914835381758</v>
          </cell>
          <cell r="AL59">
            <v>2.9358171706012737</v>
          </cell>
          <cell r="AM59">
            <v>21.153467030200868</v>
          </cell>
          <cell r="AN59">
            <v>20.362483530118535</v>
          </cell>
          <cell r="AQ59">
            <v>-100</v>
          </cell>
        </row>
        <row r="60">
          <cell r="AF60">
            <v>37909</v>
          </cell>
          <cell r="AG60">
            <v>55</v>
          </cell>
          <cell r="AH60">
            <v>39</v>
          </cell>
          <cell r="AI60">
            <v>13</v>
          </cell>
          <cell r="AJ60">
            <v>97076.492011619266</v>
          </cell>
          <cell r="AL60">
            <v>3.0115509201041224</v>
          </cell>
          <cell r="AM60">
            <v>21.133120614004874</v>
          </cell>
          <cell r="AN60">
            <v>20.362483530118691</v>
          </cell>
          <cell r="AQ60">
            <v>-100</v>
          </cell>
        </row>
        <row r="61">
          <cell r="AF61">
            <v>37910</v>
          </cell>
          <cell r="AG61">
            <v>56</v>
          </cell>
          <cell r="AH61">
            <v>40</v>
          </cell>
          <cell r="AI61">
            <v>12</v>
          </cell>
          <cell r="AJ61">
            <v>97005.121697679162</v>
          </cell>
          <cell r="AL61">
            <v>3.0873403897729412</v>
          </cell>
          <cell r="AM61">
            <v>21.113794683587738</v>
          </cell>
          <cell r="AN61">
            <v>20.362483530118336</v>
          </cell>
          <cell r="AQ61">
            <v>-100</v>
          </cell>
        </row>
        <row r="62">
          <cell r="AF62">
            <v>37911</v>
          </cell>
          <cell r="AG62">
            <v>57</v>
          </cell>
          <cell r="AH62">
            <v>41</v>
          </cell>
          <cell r="AI62">
            <v>11</v>
          </cell>
          <cell r="AJ62">
            <v>96933.803854956408</v>
          </cell>
          <cell r="AL62">
            <v>3.1631856206030928</v>
          </cell>
          <cell r="AM62">
            <v>21.095414342866036</v>
          </cell>
          <cell r="AN62">
            <v>20.362483530118027</v>
          </cell>
          <cell r="AQ62">
            <v>-100</v>
          </cell>
        </row>
        <row r="63">
          <cell r="AF63">
            <v>37914</v>
          </cell>
          <cell r="AG63">
            <v>60</v>
          </cell>
          <cell r="AH63">
            <v>42</v>
          </cell>
          <cell r="AI63">
            <v>10</v>
          </cell>
          <cell r="AJ63">
            <v>96862.538444874343</v>
          </cell>
          <cell r="AL63">
            <v>3.2390866536202045</v>
          </cell>
          <cell r="AM63">
            <v>21.077911849806675</v>
          </cell>
          <cell r="AN63">
            <v>20.362483530117959</v>
          </cell>
          <cell r="AQ63">
            <v>-100</v>
          </cell>
        </row>
        <row r="64">
          <cell r="AF64">
            <v>37915</v>
          </cell>
          <cell r="AG64">
            <v>61</v>
          </cell>
          <cell r="AH64">
            <v>43</v>
          </cell>
          <cell r="AI64">
            <v>9</v>
          </cell>
          <cell r="AJ64">
            <v>96791.325428884666</v>
          </cell>
          <cell r="AL64">
            <v>3.3150435298799907</v>
          </cell>
          <cell r="AM64">
            <v>21.061225782159475</v>
          </cell>
          <cell r="AN64">
            <v>20.362483530118226</v>
          </cell>
          <cell r="AQ64">
            <v>-100</v>
          </cell>
        </row>
        <row r="65">
          <cell r="AF65">
            <v>37916</v>
          </cell>
          <cell r="AG65">
            <v>62</v>
          </cell>
          <cell r="AH65">
            <v>44</v>
          </cell>
          <cell r="AI65">
            <v>8</v>
          </cell>
          <cell r="AJ65">
            <v>96720.16476846741</v>
          </cell>
          <cell r="AL65">
            <v>3.3910562904684749</v>
          </cell>
          <cell r="AM65">
            <v>21.045300317276361</v>
          </cell>
          <cell r="AN65">
            <v>20.362483530118247</v>
          </cell>
          <cell r="AQ65">
            <v>-100</v>
          </cell>
        </row>
        <row r="66">
          <cell r="AF66">
            <v>37917</v>
          </cell>
          <cell r="AG66">
            <v>63</v>
          </cell>
          <cell r="AH66">
            <v>45</v>
          </cell>
          <cell r="AI66">
            <v>7</v>
          </cell>
          <cell r="AJ66">
            <v>96649.056425130926</v>
          </cell>
          <cell r="AL66">
            <v>3.4671249765018342</v>
          </cell>
          <cell r="AM66">
            <v>21.030084608216825</v>
          </cell>
          <cell r="AN66">
            <v>20.362483530118535</v>
          </cell>
          <cell r="AQ66">
            <v>-100</v>
          </cell>
        </row>
        <row r="67">
          <cell r="AF67">
            <v>37918</v>
          </cell>
          <cell r="AG67">
            <v>64</v>
          </cell>
          <cell r="AH67">
            <v>46</v>
          </cell>
          <cell r="AI67">
            <v>6</v>
          </cell>
          <cell r="AJ67">
            <v>96578.000360411868</v>
          </cell>
          <cell r="AL67">
            <v>3.5432496291265547</v>
          </cell>
          <cell r="AM67">
            <v>21.015532241452274</v>
          </cell>
          <cell r="AN67">
            <v>20.362483530118336</v>
          </cell>
          <cell r="AQ67">
            <v>-100</v>
          </cell>
        </row>
        <row r="68">
          <cell r="AF68">
            <v>37921</v>
          </cell>
          <cell r="AG68">
            <v>67</v>
          </cell>
          <cell r="AH68">
            <v>47</v>
          </cell>
          <cell r="AI68">
            <v>5</v>
          </cell>
          <cell r="AJ68">
            <v>96506.99653587518</v>
          </cell>
          <cell r="AL68">
            <v>3.6194302895193209</v>
          </cell>
          <cell r="AM68">
            <v>21.001600763980164</v>
          </cell>
          <cell r="AN68">
            <v>20.362483530118492</v>
          </cell>
          <cell r="AQ68">
            <v>-100</v>
          </cell>
        </row>
        <row r="69">
          <cell r="AF69">
            <v>37922</v>
          </cell>
          <cell r="AG69">
            <v>68</v>
          </cell>
          <cell r="AH69">
            <v>48</v>
          </cell>
          <cell r="AI69">
            <v>4</v>
          </cell>
          <cell r="AJ69">
            <v>96436.044913114063</v>
          </cell>
          <cell r="AL69">
            <v>3.6956669988871482</v>
          </cell>
          <cell r="AM69">
            <v>20.988251269703539</v>
          </cell>
          <cell r="AN69">
            <v>20.36248353011738</v>
          </cell>
          <cell r="AQ69">
            <v>-100</v>
          </cell>
        </row>
        <row r="70">
          <cell r="AF70">
            <v>37923</v>
          </cell>
          <cell r="AG70">
            <v>69</v>
          </cell>
          <cell r="AH70">
            <v>49</v>
          </cell>
          <cell r="AI70">
            <v>3</v>
          </cell>
          <cell r="AJ70">
            <v>96365.145453749923</v>
          </cell>
          <cell r="AL70">
            <v>3.7719597984673836</v>
          </cell>
          <cell r="AM70">
            <v>20.975448036585021</v>
          </cell>
          <cell r="AN70">
            <v>20.36248353011727</v>
          </cell>
          <cell r="AQ70">
            <v>-100</v>
          </cell>
        </row>
        <row r="71">
          <cell r="AF71">
            <v>37924</v>
          </cell>
          <cell r="AG71">
            <v>70</v>
          </cell>
          <cell r="AH71">
            <v>50</v>
          </cell>
          <cell r="AI71">
            <v>2</v>
          </cell>
          <cell r="AJ71">
            <v>96294.298119432424</v>
          </cell>
          <cell r="AL71">
            <v>3.8483087295277274</v>
          </cell>
          <cell r="AM71">
            <v>20.963158207450338</v>
          </cell>
          <cell r="AN71">
            <v>20.36248353011738</v>
          </cell>
          <cell r="AQ71">
            <v>-100</v>
          </cell>
        </row>
        <row r="72">
          <cell r="AF72">
            <v>37925</v>
          </cell>
          <cell r="AG72">
            <v>71</v>
          </cell>
          <cell r="AH72">
            <v>51</v>
          </cell>
          <cell r="AI72">
            <v>1</v>
          </cell>
          <cell r="AJ72">
            <v>96223.502871839388</v>
          </cell>
          <cell r="AL72">
            <v>3.9247138333662113</v>
          </cell>
          <cell r="AM72">
            <v>20.951351508435835</v>
          </cell>
          <cell r="AN72">
            <v>20.362483530110744</v>
          </cell>
          <cell r="AQ72">
            <v>-100</v>
          </cell>
        </row>
        <row r="73">
          <cell r="AF73">
            <v>37928</v>
          </cell>
          <cell r="AG73">
            <v>74</v>
          </cell>
          <cell r="AH73">
            <v>52</v>
          </cell>
          <cell r="AI73">
            <v>20</v>
          </cell>
          <cell r="AJ73">
            <v>96152.759672676853</v>
          </cell>
          <cell r="AK73">
            <v>1.000720424551319</v>
          </cell>
          <cell r="AL73">
            <v>4.0011751513112204</v>
          </cell>
          <cell r="AM73">
            <v>20.940000000000047</v>
          </cell>
          <cell r="AN73">
            <v>19.899250246673983</v>
          </cell>
          <cell r="AQ73">
            <v>-100</v>
          </cell>
        </row>
        <row r="74">
          <cell r="AF74">
            <v>37929</v>
          </cell>
          <cell r="AG74">
            <v>75</v>
          </cell>
          <cell r="AH74">
            <v>53</v>
          </cell>
          <cell r="AI74">
            <v>19</v>
          </cell>
          <cell r="AJ74">
            <v>96083.538732396424</v>
          </cell>
          <cell r="AL74">
            <v>4.0761001512562567</v>
          </cell>
          <cell r="AM74">
            <v>20.920279840016541</v>
          </cell>
          <cell r="AN74">
            <v>19.899250246673962</v>
          </cell>
          <cell r="AQ74">
            <v>-100</v>
          </cell>
        </row>
        <row r="75">
          <cell r="AF75">
            <v>37930</v>
          </cell>
          <cell r="AG75">
            <v>76</v>
          </cell>
          <cell r="AH75">
            <v>54</v>
          </cell>
          <cell r="AI75">
            <v>18</v>
          </cell>
          <cell r="AJ75">
            <v>96014.367624680235</v>
          </cell>
          <cell r="AL75">
            <v>4.1510791290107596</v>
          </cell>
          <cell r="AM75">
            <v>20.901293095418062</v>
          </cell>
          <cell r="AN75">
            <v>19.899250246674271</v>
          </cell>
          <cell r="AQ75">
            <v>-100</v>
          </cell>
        </row>
        <row r="76">
          <cell r="AF76">
            <v>37931</v>
          </cell>
          <cell r="AG76">
            <v>77</v>
          </cell>
          <cell r="AH76">
            <v>55</v>
          </cell>
          <cell r="AI76">
            <v>17</v>
          </cell>
          <cell r="AJ76">
            <v>95945.246313653523</v>
          </cell>
          <cell r="AL76">
            <v>4.2261121234616672</v>
          </cell>
          <cell r="AM76">
            <v>20.882999598531281</v>
          </cell>
          <cell r="AN76">
            <v>19.899250246674537</v>
          </cell>
          <cell r="AQ76">
            <v>-100</v>
          </cell>
        </row>
        <row r="77">
          <cell r="AF77">
            <v>37932</v>
          </cell>
          <cell r="AG77">
            <v>78</v>
          </cell>
          <cell r="AH77">
            <v>56</v>
          </cell>
          <cell r="AI77">
            <v>16</v>
          </cell>
          <cell r="AJ77">
            <v>95876.174763467367</v>
          </cell>
          <cell r="AL77">
            <v>4.3011991735239397</v>
          </cell>
          <cell r="AM77">
            <v>20.865362062281822</v>
          </cell>
          <cell r="AN77">
            <v>19.899250246674384</v>
          </cell>
          <cell r="AQ77">
            <v>-100</v>
          </cell>
        </row>
        <row r="78">
          <cell r="AF78">
            <v>37935</v>
          </cell>
          <cell r="AG78">
            <v>81</v>
          </cell>
          <cell r="AH78">
            <v>57</v>
          </cell>
          <cell r="AI78">
            <v>15</v>
          </cell>
          <cell r="AJ78">
            <v>95807.152938298634</v>
          </cell>
          <cell r="AL78">
            <v>4.3763403181405813</v>
          </cell>
          <cell r="AM78">
            <v>20.848345826518266</v>
          </cell>
          <cell r="AN78">
            <v>19.899250246674761</v>
          </cell>
          <cell r="AQ78">
            <v>-100</v>
          </cell>
        </row>
        <row r="79">
          <cell r="AF79">
            <v>37936</v>
          </cell>
          <cell r="AG79">
            <v>82</v>
          </cell>
          <cell r="AH79">
            <v>58</v>
          </cell>
          <cell r="AI79">
            <v>14</v>
          </cell>
          <cell r="AJ79">
            <v>95738.180802350005</v>
          </cell>
          <cell r="AL79">
            <v>4.4515355962825964</v>
          </cell>
          <cell r="AM79">
            <v>20.831918630679326</v>
          </cell>
          <cell r="AN79">
            <v>19.899250246674605</v>
          </cell>
          <cell r="AQ79">
            <v>-100</v>
          </cell>
        </row>
        <row r="80">
          <cell r="AF80">
            <v>37937</v>
          </cell>
          <cell r="AG80">
            <v>83</v>
          </cell>
          <cell r="AH80">
            <v>59</v>
          </cell>
          <cell r="AI80">
            <v>13</v>
          </cell>
          <cell r="AJ80">
            <v>95669.258319849905</v>
          </cell>
          <cell r="AL80">
            <v>4.5267850469491222</v>
          </cell>
          <cell r="AM80">
            <v>20.81605040966792</v>
          </cell>
          <cell r="AN80">
            <v>19.899250246675116</v>
          </cell>
          <cell r="AQ80">
            <v>-100</v>
          </cell>
        </row>
        <row r="81">
          <cell r="AF81">
            <v>37938</v>
          </cell>
          <cell r="AG81">
            <v>84</v>
          </cell>
          <cell r="AH81">
            <v>60</v>
          </cell>
          <cell r="AI81">
            <v>12</v>
          </cell>
          <cell r="AJ81">
            <v>95600.385455052528</v>
          </cell>
          <cell r="AL81">
            <v>4.6020887091673846</v>
          </cell>
          <cell r="AM81">
            <v>20.80071311021312</v>
          </cell>
          <cell r="AN81">
            <v>19.899250246675869</v>
          </cell>
          <cell r="AQ81">
            <v>-100</v>
          </cell>
        </row>
        <row r="82">
          <cell r="AF82">
            <v>37939</v>
          </cell>
          <cell r="AG82">
            <v>85</v>
          </cell>
          <cell r="AH82">
            <v>61</v>
          </cell>
          <cell r="AI82">
            <v>11</v>
          </cell>
          <cell r="AJ82">
            <v>95531.562172237784</v>
          </cell>
          <cell r="AL82">
            <v>4.6774466219927202</v>
          </cell>
          <cell r="AM82">
            <v>20.785880525361257</v>
          </cell>
          <cell r="AN82">
            <v>19.899250246675713</v>
          </cell>
          <cell r="AQ82">
            <v>-100</v>
          </cell>
        </row>
        <row r="83">
          <cell r="AF83">
            <v>37942</v>
          </cell>
          <cell r="AG83">
            <v>88</v>
          </cell>
          <cell r="AH83">
            <v>62</v>
          </cell>
          <cell r="AI83">
            <v>10</v>
          </cell>
          <cell r="AJ83">
            <v>95462.788435711322</v>
          </cell>
          <cell r="AL83">
            <v>4.752858824508599</v>
          </cell>
          <cell r="AM83">
            <v>20.771528145041906</v>
          </cell>
          <cell r="AN83">
            <v>19.899250246676115</v>
          </cell>
          <cell r="AQ83">
            <v>-100</v>
          </cell>
        </row>
        <row r="84">
          <cell r="AF84">
            <v>37943</v>
          </cell>
          <cell r="AG84">
            <v>89</v>
          </cell>
          <cell r="AH84">
            <v>63</v>
          </cell>
          <cell r="AI84">
            <v>9</v>
          </cell>
          <cell r="AJ84">
            <v>95394.064209804477</v>
          </cell>
          <cell r="AL84">
            <v>4.8283253558266237</v>
          </cell>
          <cell r="AM84">
            <v>20.757633020915954</v>
          </cell>
          <cell r="AN84">
            <v>19.899250246677159</v>
          </cell>
          <cell r="AQ84">
            <v>-100</v>
          </cell>
        </row>
        <row r="85">
          <cell r="AF85">
            <v>37944</v>
          </cell>
          <cell r="AG85">
            <v>90</v>
          </cell>
          <cell r="AH85">
            <v>64</v>
          </cell>
          <cell r="AI85">
            <v>8</v>
          </cell>
          <cell r="AJ85">
            <v>95325.389458874255</v>
          </cell>
          <cell r="AL85">
            <v>4.9038462550866191</v>
          </cell>
          <cell r="AM85">
            <v>20.744173643938947</v>
          </cell>
          <cell r="AN85">
            <v>19.899250246677582</v>
          </cell>
          <cell r="AQ85">
            <v>-100</v>
          </cell>
        </row>
        <row r="86">
          <cell r="AF86">
            <v>37945</v>
          </cell>
          <cell r="AG86">
            <v>91</v>
          </cell>
          <cell r="AH86">
            <v>65</v>
          </cell>
          <cell r="AI86">
            <v>7</v>
          </cell>
          <cell r="AJ86">
            <v>95256.764147303329</v>
          </cell>
          <cell r="AL86">
            <v>4.9794215614565873</v>
          </cell>
          <cell r="AM86">
            <v>20.731129833264351</v>
          </cell>
          <cell r="AN86">
            <v>19.899250246678424</v>
          </cell>
          <cell r="AQ86">
            <v>-100</v>
          </cell>
        </row>
        <row r="87">
          <cell r="AF87">
            <v>37946</v>
          </cell>
          <cell r="AG87">
            <v>92</v>
          </cell>
          <cell r="AH87">
            <v>66</v>
          </cell>
          <cell r="AI87">
            <v>6</v>
          </cell>
          <cell r="AJ87">
            <v>95188.188239500014</v>
          </cell>
          <cell r="AL87">
            <v>5.0550513141327302</v>
          </cell>
          <cell r="AM87">
            <v>20.718482635281312</v>
          </cell>
          <cell r="AN87">
            <v>19.899250246679291</v>
          </cell>
          <cell r="AQ87">
            <v>-100</v>
          </cell>
        </row>
        <row r="88">
          <cell r="AF88">
            <v>37949</v>
          </cell>
          <cell r="AG88">
            <v>95</v>
          </cell>
          <cell r="AH88">
            <v>67</v>
          </cell>
          <cell r="AI88">
            <v>5</v>
          </cell>
          <cell r="AJ88">
            <v>95119.66169989825</v>
          </cell>
          <cell r="AL88">
            <v>5.1307355523395159</v>
          </cell>
          <cell r="AM88">
            <v>20.706214231724008</v>
          </cell>
          <cell r="AN88">
            <v>19.899250246681376</v>
          </cell>
          <cell r="AQ88">
            <v>-100</v>
          </cell>
        </row>
        <row r="89">
          <cell r="AF89">
            <v>37950</v>
          </cell>
          <cell r="AG89">
            <v>96</v>
          </cell>
          <cell r="AH89">
            <v>68</v>
          </cell>
          <cell r="AI89">
            <v>4</v>
          </cell>
          <cell r="AJ89">
            <v>95051.184492957575</v>
          </cell>
          <cell r="AL89">
            <v>5.2064743153296345</v>
          </cell>
          <cell r="AM89">
            <v>20.694307855915149</v>
          </cell>
          <cell r="AN89">
            <v>19.899250246683398</v>
          </cell>
          <cell r="AQ89">
            <v>-100</v>
          </cell>
        </row>
        <row r="90">
          <cell r="AF90">
            <v>37951</v>
          </cell>
          <cell r="AG90">
            <v>97</v>
          </cell>
          <cell r="AH90">
            <v>69</v>
          </cell>
          <cell r="AI90">
            <v>3</v>
          </cell>
          <cell r="AJ90">
            <v>94982.756583163107</v>
          </cell>
          <cell r="AL90">
            <v>5.2822676423841086</v>
          </cell>
          <cell r="AM90">
            <v>20.682747716317106</v>
          </cell>
          <cell r="AN90">
            <v>19.899250246689128</v>
          </cell>
          <cell r="AQ90">
            <v>-100</v>
          </cell>
        </row>
        <row r="91">
          <cell r="AF91">
            <v>37952</v>
          </cell>
          <cell r="AG91">
            <v>98</v>
          </cell>
          <cell r="AH91">
            <v>70</v>
          </cell>
          <cell r="AI91">
            <v>2</v>
          </cell>
          <cell r="AJ91">
            <v>94914.377935025535</v>
          </cell>
          <cell r="AL91">
            <v>5.3581155728122276</v>
          </cell>
          <cell r="AM91">
            <v>20.671518926655818</v>
          </cell>
          <cell r="AN91">
            <v>19.899250246696766</v>
          </cell>
          <cell r="AQ91">
            <v>-100</v>
          </cell>
        </row>
        <row r="92">
          <cell r="AF92">
            <v>37953</v>
          </cell>
          <cell r="AG92">
            <v>99</v>
          </cell>
          <cell r="AH92">
            <v>71</v>
          </cell>
          <cell r="AI92">
            <v>1</v>
          </cell>
          <cell r="AJ92">
            <v>94846.048513081114</v>
          </cell>
          <cell r="AL92">
            <v>5.4340181459515913</v>
          </cell>
          <cell r="AM92">
            <v>20.660607441968825</v>
          </cell>
          <cell r="AN92">
            <v>19.899250246719991</v>
          </cell>
          <cell r="AQ92">
            <v>-100</v>
          </cell>
        </row>
        <row r="93">
          <cell r="AF93">
            <v>37956</v>
          </cell>
          <cell r="AG93">
            <v>102</v>
          </cell>
          <cell r="AH93">
            <v>72</v>
          </cell>
          <cell r="AI93">
            <v>22</v>
          </cell>
          <cell r="AJ93">
            <v>94777.768281891462</v>
          </cell>
          <cell r="AK93">
            <v>1.0007128355285624</v>
          </cell>
          <cell r="AL93">
            <v>5.5099754011683322</v>
          </cell>
          <cell r="AM93">
            <v>20.649999999999991</v>
          </cell>
          <cell r="AN93">
            <v>19.670333887479874</v>
          </cell>
          <cell r="AQ93">
            <v>-100</v>
          </cell>
        </row>
        <row r="94">
          <cell r="AF94">
            <v>37957</v>
          </cell>
          <cell r="AG94">
            <v>103</v>
          </cell>
          <cell r="AH94">
            <v>73</v>
          </cell>
          <cell r="AI94">
            <v>21</v>
          </cell>
          <cell r="AJ94">
            <v>94710.2554468897</v>
          </cell>
          <cell r="AL94">
            <v>5.5851866602520284</v>
          </cell>
          <cell r="AM94">
            <v>20.636525887084932</v>
          </cell>
          <cell r="AN94">
            <v>19.670333887479629</v>
          </cell>
          <cell r="AQ94">
            <v>-100</v>
          </cell>
        </row>
        <row r="95">
          <cell r="AF95">
            <v>37958</v>
          </cell>
          <cell r="AG95">
            <v>104</v>
          </cell>
          <cell r="AH95">
            <v>74</v>
          </cell>
          <cell r="AI95">
            <v>20</v>
          </cell>
          <cell r="AJ95">
            <v>94642.790703154198</v>
          </cell>
          <cell r="AL95">
            <v>5.6604515325933358</v>
          </cell>
          <cell r="AM95">
            <v>20.623417383710297</v>
          </cell>
          <cell r="AN95">
            <v>19.670333887479718</v>
          </cell>
          <cell r="AQ95">
            <v>-100</v>
          </cell>
        </row>
        <row r="96">
          <cell r="AF96">
            <v>37959</v>
          </cell>
          <cell r="AG96">
            <v>105</v>
          </cell>
          <cell r="AH96">
            <v>75</v>
          </cell>
          <cell r="AI96">
            <v>19</v>
          </cell>
          <cell r="AJ96">
            <v>94575.374016428206</v>
          </cell>
          <cell r="AL96">
            <v>5.735770056409728</v>
          </cell>
          <cell r="AM96">
            <v>20.610659808343158</v>
          </cell>
          <cell r="AN96">
            <v>19.670333887479675</v>
          </cell>
          <cell r="AQ96">
            <v>-100</v>
          </cell>
        </row>
        <row r="97">
          <cell r="AF97">
            <v>37960</v>
          </cell>
          <cell r="AG97">
            <v>106</v>
          </cell>
          <cell r="AH97">
            <v>76</v>
          </cell>
          <cell r="AI97">
            <v>18</v>
          </cell>
          <cell r="AJ97">
            <v>94508.005352479391</v>
          </cell>
          <cell r="AL97">
            <v>5.8111422699458348</v>
          </cell>
          <cell r="AM97">
            <v>20.59823925513853</v>
          </cell>
          <cell r="AN97">
            <v>19.670333887479718</v>
          </cell>
          <cell r="AQ97">
            <v>-100</v>
          </cell>
        </row>
        <row r="98">
          <cell r="AF98">
            <v>37963</v>
          </cell>
          <cell r="AG98">
            <v>109</v>
          </cell>
          <cell r="AH98">
            <v>77</v>
          </cell>
          <cell r="AI98">
            <v>17</v>
          </cell>
          <cell r="AJ98">
            <v>94440.684677099794</v>
          </cell>
          <cell r="AL98">
            <v>5.8865682114736417</v>
          </cell>
          <cell r="AM98">
            <v>20.586142543379495</v>
          </cell>
          <cell r="AN98">
            <v>19.670333887479565</v>
          </cell>
          <cell r="AQ98">
            <v>-100</v>
          </cell>
        </row>
        <row r="99">
          <cell r="AF99">
            <v>37964</v>
          </cell>
          <cell r="AG99">
            <v>110</v>
          </cell>
          <cell r="AH99">
            <v>78</v>
          </cell>
          <cell r="AI99">
            <v>16</v>
          </cell>
          <cell r="AJ99">
            <v>94373.411956105832</v>
          </cell>
          <cell r="AL99">
            <v>5.9620479192923126</v>
          </cell>
          <cell r="AM99">
            <v>20.574357170819745</v>
          </cell>
          <cell r="AN99">
            <v>19.670333887479451</v>
          </cell>
          <cell r="AQ99">
            <v>-100</v>
          </cell>
        </row>
        <row r="100">
          <cell r="AF100">
            <v>37965</v>
          </cell>
          <cell r="AG100">
            <v>111</v>
          </cell>
          <cell r="AH100">
            <v>79</v>
          </cell>
          <cell r="AI100">
            <v>15</v>
          </cell>
          <cell r="AJ100">
            <v>94306.187155338252</v>
          </cell>
          <cell r="AL100">
            <v>6.0375814317284116</v>
          </cell>
          <cell r="AM100">
            <v>20.562871270584072</v>
          </cell>
          <cell r="AN100">
            <v>19.67033388747943</v>
          </cell>
          <cell r="AQ100">
            <v>-100</v>
          </cell>
        </row>
        <row r="101">
          <cell r="AF101">
            <v>37966</v>
          </cell>
          <cell r="AG101">
            <v>112</v>
          </cell>
          <cell r="AH101">
            <v>80</v>
          </cell>
          <cell r="AI101">
            <v>14</v>
          </cell>
          <cell r="AJ101">
            <v>94239.010240662159</v>
          </cell>
          <cell r="AL101">
            <v>6.1131687871357698</v>
          </cell>
          <cell r="AM101">
            <v>20.551673571312222</v>
          </cell>
          <cell r="AN101">
            <v>19.670333887479806</v>
          </cell>
          <cell r="AQ101">
            <v>-100</v>
          </cell>
        </row>
        <row r="102">
          <cell r="AF102">
            <v>37967</v>
          </cell>
          <cell r="AG102">
            <v>113</v>
          </cell>
          <cell r="AH102">
            <v>81</v>
          </cell>
          <cell r="AI102">
            <v>13</v>
          </cell>
          <cell r="AJ102">
            <v>94171.881177966949</v>
          </cell>
          <cell r="AL102">
            <v>6.1888100238955746</v>
          </cell>
          <cell r="AM102">
            <v>20.540753360266038</v>
          </cell>
          <cell r="AN102">
            <v>19.670333887479408</v>
          </cell>
          <cell r="AQ102">
            <v>-100</v>
          </cell>
        </row>
        <row r="103">
          <cell r="AF103">
            <v>37970</v>
          </cell>
          <cell r="AG103">
            <v>116</v>
          </cell>
          <cell r="AH103">
            <v>82</v>
          </cell>
          <cell r="AI103">
            <v>12</v>
          </cell>
          <cell r="AJ103">
            <v>94104.79993316633</v>
          </cell>
          <cell r="AL103">
            <v>6.2645051804163687</v>
          </cell>
          <cell r="AM103">
            <v>20.530100449145785</v>
          </cell>
          <cell r="AN103">
            <v>19.670333887479472</v>
          </cell>
          <cell r="AQ103">
            <v>-100</v>
          </cell>
        </row>
        <row r="104">
          <cell r="AF104">
            <v>37971</v>
          </cell>
          <cell r="AG104">
            <v>117</v>
          </cell>
          <cell r="AH104">
            <v>83</v>
          </cell>
          <cell r="AI104">
            <v>11</v>
          </cell>
          <cell r="AJ104">
            <v>94037.766472198302</v>
          </cell>
          <cell r="AL104">
            <v>6.3402542951340735</v>
          </cell>
          <cell r="AM104">
            <v>20.51970514238608</v>
          </cell>
          <cell r="AN104">
            <v>19.670333887479408</v>
          </cell>
          <cell r="AQ104">
            <v>-100</v>
          </cell>
        </row>
        <row r="105">
          <cell r="AF105">
            <v>37972</v>
          </cell>
          <cell r="AG105">
            <v>118</v>
          </cell>
          <cell r="AH105">
            <v>84</v>
          </cell>
          <cell r="AI105">
            <v>10</v>
          </cell>
          <cell r="AJ105">
            <v>93970.780761025104</v>
          </cell>
          <cell r="AL105">
            <v>6.416057406511988</v>
          </cell>
          <cell r="AM105">
            <v>20.509558207724311</v>
          </cell>
          <cell r="AN105">
            <v>19.670333887479941</v>
          </cell>
          <cell r="AQ105">
            <v>-100</v>
          </cell>
        </row>
        <row r="106">
          <cell r="AF106">
            <v>37973</v>
          </cell>
          <cell r="AG106">
            <v>119</v>
          </cell>
          <cell r="AH106">
            <v>85</v>
          </cell>
          <cell r="AI106">
            <v>9</v>
          </cell>
          <cell r="AJ106">
            <v>93903.842765633221</v>
          </cell>
          <cell r="AL106">
            <v>6.4919145530409006</v>
          </cell>
          <cell r="AM106">
            <v>20.499650848854124</v>
          </cell>
          <cell r="AN106">
            <v>19.670333887479718</v>
          </cell>
          <cell r="AQ106">
            <v>-100</v>
          </cell>
        </row>
        <row r="107">
          <cell r="AF107">
            <v>37974</v>
          </cell>
          <cell r="AG107">
            <v>120</v>
          </cell>
          <cell r="AH107">
            <v>86</v>
          </cell>
          <cell r="AI107">
            <v>8</v>
          </cell>
          <cell r="AJ107">
            <v>93836.952452033394</v>
          </cell>
          <cell r="AL107">
            <v>6.5678257732389334</v>
          </cell>
          <cell r="AM107">
            <v>20.489974679992272</v>
          </cell>
          <cell r="AN107">
            <v>19.670333887479497</v>
          </cell>
          <cell r="AQ107">
            <v>-100</v>
          </cell>
        </row>
        <row r="108">
          <cell r="AF108">
            <v>37977</v>
          </cell>
          <cell r="AG108">
            <v>123</v>
          </cell>
          <cell r="AH108">
            <v>87</v>
          </cell>
          <cell r="AI108">
            <v>7</v>
          </cell>
          <cell r="AJ108">
            <v>93770.109786260553</v>
          </cell>
          <cell r="AL108">
            <v>6.6437911056517418</v>
          </cell>
          <cell r="AM108">
            <v>20.480521702206733</v>
          </cell>
          <cell r="AN108">
            <v>19.670333887479806</v>
          </cell>
          <cell r="AQ108">
            <v>-100</v>
          </cell>
        </row>
        <row r="109">
          <cell r="AF109">
            <v>37978</v>
          </cell>
          <cell r="AG109">
            <v>124</v>
          </cell>
          <cell r="AH109">
            <v>88</v>
          </cell>
          <cell r="AI109">
            <v>6</v>
          </cell>
          <cell r="AJ109">
            <v>93703.314734373824</v>
          </cell>
          <cell r="AL109">
            <v>6.7198105888524262</v>
          </cell>
          <cell r="AM109">
            <v>20.471284281362976</v>
          </cell>
          <cell r="AN109">
            <v>19.670333887478876</v>
          </cell>
          <cell r="AQ109">
            <v>-100</v>
          </cell>
        </row>
        <row r="110">
          <cell r="AF110">
            <v>37979</v>
          </cell>
          <cell r="AG110">
            <v>125</v>
          </cell>
          <cell r="AH110">
            <v>89</v>
          </cell>
          <cell r="AI110">
            <v>5</v>
          </cell>
          <cell r="AJ110">
            <v>93636.56726245652</v>
          </cell>
          <cell r="AL110">
            <v>6.7958842614416204</v>
          </cell>
          <cell r="AM110">
            <v>20.462255127562678</v>
          </cell>
          <cell r="AN110">
            <v>19.670333887478474</v>
          </cell>
          <cell r="AQ110">
            <v>-100</v>
          </cell>
        </row>
        <row r="111">
          <cell r="AF111">
            <v>37981</v>
          </cell>
          <cell r="AG111">
            <v>127</v>
          </cell>
          <cell r="AH111">
            <v>90</v>
          </cell>
          <cell r="AI111">
            <v>4</v>
          </cell>
          <cell r="AJ111">
            <v>93569.867336616109</v>
          </cell>
          <cell r="AL111">
            <v>6.872012162047425</v>
          </cell>
          <cell r="AM111">
            <v>20.453427275957068</v>
          </cell>
          <cell r="AN111">
            <v>19.670333887478741</v>
          </cell>
          <cell r="AQ111">
            <v>-100</v>
          </cell>
        </row>
        <row r="112">
          <cell r="AF112">
            <v>37984</v>
          </cell>
          <cell r="AG112">
            <v>130</v>
          </cell>
          <cell r="AH112">
            <v>91</v>
          </cell>
          <cell r="AI112">
            <v>3</v>
          </cell>
          <cell r="AJ112">
            <v>93503.214922984203</v>
          </cell>
          <cell r="AL112">
            <v>6.9481943293254744</v>
          </cell>
          <cell r="AM112">
            <v>20.444794068829751</v>
          </cell>
          <cell r="AN112">
            <v>19.670333887478876</v>
          </cell>
          <cell r="AQ112">
            <v>-100</v>
          </cell>
        </row>
        <row r="113">
          <cell r="AF113">
            <v>37985</v>
          </cell>
          <cell r="AG113">
            <v>131</v>
          </cell>
          <cell r="AH113">
            <v>92</v>
          </cell>
          <cell r="AI113">
            <v>2</v>
          </cell>
          <cell r="AJ113">
            <v>93436.609987716525</v>
          </cell>
          <cell r="AL113">
            <v>7.0244308019590251</v>
          </cell>
          <cell r="AM113">
            <v>20.436349138851952</v>
          </cell>
          <cell r="AN113">
            <v>19.670333887475255</v>
          </cell>
          <cell r="AQ113">
            <v>-100</v>
          </cell>
        </row>
        <row r="114">
          <cell r="AF114">
            <v>37986</v>
          </cell>
          <cell r="AG114">
            <v>132</v>
          </cell>
          <cell r="AH114">
            <v>93</v>
          </cell>
          <cell r="AI114">
            <v>1</v>
          </cell>
          <cell r="AJ114">
            <v>93370.052496992939</v>
          </cell>
          <cell r="AL114">
            <v>7.1007216186588229</v>
          </cell>
          <cell r="AM114">
            <v>20.428086393420529</v>
          </cell>
          <cell r="AN114">
            <v>19.670333887471948</v>
          </cell>
          <cell r="AQ114">
            <v>-100</v>
          </cell>
        </row>
        <row r="115">
          <cell r="AF115">
            <v>37988</v>
          </cell>
          <cell r="AG115">
            <v>134</v>
          </cell>
          <cell r="AH115">
            <v>94</v>
          </cell>
          <cell r="AI115">
            <v>21</v>
          </cell>
          <cell r="AJ115">
            <v>93303.542417017379</v>
          </cell>
          <cell r="AK115">
            <v>1.000711879317459</v>
          </cell>
          <cell r="AL115">
            <v>7.1770668181632358</v>
          </cell>
          <cell r="AM115">
            <v>20.420000000000016</v>
          </cell>
          <cell r="AN115">
            <v>19.641521498023828</v>
          </cell>
          <cell r="AQ115">
            <v>-100</v>
          </cell>
        </row>
        <row r="116">
          <cell r="AF116">
            <v>37991</v>
          </cell>
          <cell r="AG116">
            <v>137</v>
          </cell>
          <cell r="AH116">
            <v>95</v>
          </cell>
          <cell r="AI116">
            <v>20</v>
          </cell>
          <cell r="AJ116">
            <v>93237.168804926725</v>
          </cell>
          <cell r="AL116">
            <v>7.253363955337</v>
          </cell>
          <cell r="AM116">
            <v>20.411779167860121</v>
          </cell>
          <cell r="AN116">
            <v>19.641521498023849</v>
          </cell>
          <cell r="AQ116">
            <v>-100</v>
          </cell>
        </row>
        <row r="117">
          <cell r="AF117">
            <v>37992</v>
          </cell>
          <cell r="AG117">
            <v>138</v>
          </cell>
          <cell r="AH117">
            <v>96</v>
          </cell>
          <cell r="AI117">
            <v>19</v>
          </cell>
          <cell r="AJ117">
            <v>93170.84240922537</v>
          </cell>
          <cell r="AL117">
            <v>7.3297154068647119</v>
          </cell>
          <cell r="AM117">
            <v>20.403730146860166</v>
          </cell>
          <cell r="AN117">
            <v>19.641521498023785</v>
          </cell>
          <cell r="AQ117">
            <v>-100</v>
          </cell>
        </row>
        <row r="118">
          <cell r="AF118">
            <v>37993</v>
          </cell>
          <cell r="AG118">
            <v>139</v>
          </cell>
          <cell r="AH118">
            <v>97</v>
          </cell>
          <cell r="AI118">
            <v>18</v>
          </cell>
          <cell r="AJ118">
            <v>93104.56319632486</v>
          </cell>
          <cell r="AL118">
            <v>7.4061212114115982</v>
          </cell>
          <cell r="AM118">
            <v>20.395847606573312</v>
          </cell>
          <cell r="AN118">
            <v>19.641521498023941</v>
          </cell>
          <cell r="AQ118">
            <v>-100</v>
          </cell>
        </row>
        <row r="119">
          <cell r="AF119">
            <v>37994</v>
          </cell>
          <cell r="AG119">
            <v>140</v>
          </cell>
          <cell r="AH119">
            <v>98</v>
          </cell>
          <cell r="AI119">
            <v>17</v>
          </cell>
          <cell r="AJ119">
            <v>93038.33113266062</v>
          </cell>
          <cell r="AL119">
            <v>7.4825814076705077</v>
          </cell>
          <cell r="AM119">
            <v>20.388126434816691</v>
          </cell>
          <cell r="AN119">
            <v>19.641521498024161</v>
          </cell>
          <cell r="AQ119">
            <v>-100</v>
          </cell>
        </row>
        <row r="120">
          <cell r="AF120">
            <v>37995</v>
          </cell>
          <cell r="AG120">
            <v>141</v>
          </cell>
          <cell r="AH120">
            <v>99</v>
          </cell>
          <cell r="AI120">
            <v>16</v>
          </cell>
          <cell r="AJ120">
            <v>92972.14618469197</v>
          </cell>
          <cell r="AL120">
            <v>7.559096034361712</v>
          </cell>
          <cell r="AM120">
            <v>20.38056172659455</v>
          </cell>
          <cell r="AN120">
            <v>19.64152149802436</v>
          </cell>
          <cell r="AQ120">
            <v>-100</v>
          </cell>
        </row>
        <row r="121">
          <cell r="AF121">
            <v>37998</v>
          </cell>
          <cell r="AG121">
            <v>144</v>
          </cell>
          <cell r="AH121">
            <v>100</v>
          </cell>
          <cell r="AI121">
            <v>15</v>
          </cell>
          <cell r="AJ121">
            <v>92906.008318902066</v>
          </cell>
          <cell r="AL121">
            <v>7.6356651302331713</v>
          </cell>
          <cell r="AM121">
            <v>20.373148773708127</v>
          </cell>
          <cell r="AN121">
            <v>19.641521498024229</v>
          </cell>
          <cell r="AQ121">
            <v>-100</v>
          </cell>
        </row>
        <row r="122">
          <cell r="AF122">
            <v>37999</v>
          </cell>
          <cell r="AG122">
            <v>145</v>
          </cell>
          <cell r="AH122">
            <v>101</v>
          </cell>
          <cell r="AI122">
            <v>14</v>
          </cell>
          <cell r="AJ122">
            <v>92839.917501797943</v>
          </cell>
          <cell r="AL122">
            <v>7.712288734060313</v>
          </cell>
          <cell r="AM122">
            <v>20.365883054983193</v>
          </cell>
          <cell r="AN122">
            <v>19.641521498024229</v>
          </cell>
          <cell r="AQ122">
            <v>-100</v>
          </cell>
        </row>
        <row r="123">
          <cell r="AF123">
            <v>38000</v>
          </cell>
          <cell r="AG123">
            <v>146</v>
          </cell>
          <cell r="AH123">
            <v>102</v>
          </cell>
          <cell r="AI123">
            <v>13</v>
          </cell>
          <cell r="AJ123">
            <v>92773.873699910429</v>
          </cell>
          <cell r="AL123">
            <v>7.7889668846462534</v>
          </cell>
          <cell r="AM123">
            <v>20.358760227075521</v>
          </cell>
          <cell r="AN123">
            <v>19.641521498024652</v>
          </cell>
          <cell r="AQ123">
            <v>-100</v>
          </cell>
        </row>
        <row r="124">
          <cell r="AF124">
            <v>38001</v>
          </cell>
          <cell r="AG124">
            <v>147</v>
          </cell>
          <cell r="AH124">
            <v>103</v>
          </cell>
          <cell r="AI124">
            <v>12</v>
          </cell>
          <cell r="AJ124">
            <v>92707.876879794174</v>
          </cell>
          <cell r="AL124">
            <v>7.8656996208217089</v>
          </cell>
          <cell r="AM124">
            <v>20.351776115812513</v>
          </cell>
          <cell r="AN124">
            <v>19.641521498024627</v>
          </cell>
          <cell r="AQ124">
            <v>-100</v>
          </cell>
        </row>
        <row r="125">
          <cell r="AF125">
            <v>38002</v>
          </cell>
          <cell r="AG125">
            <v>148</v>
          </cell>
          <cell r="AH125">
            <v>104</v>
          </cell>
          <cell r="AI125">
            <v>11</v>
          </cell>
          <cell r="AJ125">
            <v>92641.927008027618</v>
          </cell>
          <cell r="AL125">
            <v>7.9424869814450183</v>
          </cell>
          <cell r="AM125">
            <v>20.344926708036205</v>
          </cell>
          <cell r="AN125">
            <v>19.641521498024915</v>
          </cell>
          <cell r="AQ125">
            <v>-100</v>
          </cell>
        </row>
        <row r="126">
          <cell r="AF126">
            <v>38005</v>
          </cell>
          <cell r="AG126">
            <v>151</v>
          </cell>
          <cell r="AH126">
            <v>105</v>
          </cell>
          <cell r="AI126">
            <v>10</v>
          </cell>
          <cell r="AJ126">
            <v>92576.024051212982</v>
          </cell>
          <cell r="AL126">
            <v>8.019329005402188</v>
          </cell>
          <cell r="AM126">
            <v>20.338208143913803</v>
          </cell>
          <cell r="AN126">
            <v>19.641521498025295</v>
          </cell>
          <cell r="AQ126">
            <v>-100</v>
          </cell>
        </row>
        <row r="127">
          <cell r="AF127">
            <v>38006</v>
          </cell>
          <cell r="AG127">
            <v>152</v>
          </cell>
          <cell r="AH127">
            <v>106</v>
          </cell>
          <cell r="AI127">
            <v>9</v>
          </cell>
          <cell r="AJ127">
            <v>92510.167975976234</v>
          </cell>
          <cell r="AL127">
            <v>8.0962257316069106</v>
          </cell>
          <cell r="AM127">
            <v>20.331616709684642</v>
          </cell>
          <cell r="AN127">
            <v>19.64152149802554</v>
          </cell>
          <cell r="AQ127">
            <v>-100</v>
          </cell>
        </row>
        <row r="128">
          <cell r="AF128">
            <v>38007</v>
          </cell>
          <cell r="AG128">
            <v>153</v>
          </cell>
          <cell r="AH128">
            <v>107</v>
          </cell>
          <cell r="AI128">
            <v>8</v>
          </cell>
          <cell r="AJ128">
            <v>92444.35874896709</v>
          </cell>
          <cell r="AL128">
            <v>8.1731771990006141</v>
          </cell>
          <cell r="AM128">
            <v>20.325148830814999</v>
          </cell>
          <cell r="AN128">
            <v>19.641521498026449</v>
          </cell>
          <cell r="AQ128">
            <v>-100</v>
          </cell>
        </row>
        <row r="129">
          <cell r="AF129">
            <v>38008</v>
          </cell>
          <cell r="AG129">
            <v>154</v>
          </cell>
          <cell r="AH129">
            <v>108</v>
          </cell>
          <cell r="AI129">
            <v>7</v>
          </cell>
          <cell r="AJ129">
            <v>92378.596336858987</v>
          </cell>
          <cell r="AL129">
            <v>8.2501834465524162</v>
          </cell>
          <cell r="AM129">
            <v>20.318801065534164</v>
          </cell>
          <cell r="AN129">
            <v>19.641521498026538</v>
          </cell>
          <cell r="AQ129">
            <v>-100</v>
          </cell>
        </row>
        <row r="130">
          <cell r="AF130">
            <v>38009</v>
          </cell>
          <cell r="AG130">
            <v>155</v>
          </cell>
          <cell r="AH130">
            <v>109</v>
          </cell>
          <cell r="AI130">
            <v>6</v>
          </cell>
          <cell r="AJ130">
            <v>92312.880706349082</v>
          </cell>
          <cell r="AL130">
            <v>8.3272445132591457</v>
          </cell>
          <cell r="AM130">
            <v>20.312570098727399</v>
          </cell>
          <cell r="AN130">
            <v>19.641521498027494</v>
          </cell>
          <cell r="AQ130">
            <v>-100</v>
          </cell>
        </row>
        <row r="131">
          <cell r="AF131">
            <v>38012</v>
          </cell>
          <cell r="AG131">
            <v>158</v>
          </cell>
          <cell r="AH131">
            <v>110</v>
          </cell>
          <cell r="AI131">
            <v>5</v>
          </cell>
          <cell r="AJ131">
            <v>92247.211824158207</v>
          </cell>
          <cell r="AL131">
            <v>8.4043604381454529</v>
          </cell>
          <cell r="AM131">
            <v>20.306452736163159</v>
          </cell>
          <cell r="AN131">
            <v>19.641521498028048</v>
          </cell>
          <cell r="AQ131">
            <v>-100</v>
          </cell>
        </row>
        <row r="132">
          <cell r="AF132">
            <v>38013</v>
          </cell>
          <cell r="AG132">
            <v>159</v>
          </cell>
          <cell r="AH132">
            <v>111</v>
          </cell>
          <cell r="AI132">
            <v>4</v>
          </cell>
          <cell r="AJ132">
            <v>92181.589657030883</v>
          </cell>
          <cell r="AL132">
            <v>8.4815312602637416</v>
          </cell>
          <cell r="AM132">
            <v>20.30044589903277</v>
          </cell>
          <cell r="AN132">
            <v>19.641521498028869</v>
          </cell>
          <cell r="AQ132">
            <v>-100</v>
          </cell>
        </row>
        <row r="133">
          <cell r="AF133">
            <v>38014</v>
          </cell>
          <cell r="AG133">
            <v>160</v>
          </cell>
          <cell r="AH133">
            <v>112</v>
          </cell>
          <cell r="AI133">
            <v>3</v>
          </cell>
          <cell r="AJ133">
            <v>92116.014171735267</v>
          </cell>
          <cell r="AL133">
            <v>8.5587570186941964</v>
          </cell>
          <cell r="AM133">
            <v>20.29454661878367</v>
          </cell>
          <cell r="AN133">
            <v>19.641521498030734</v>
          </cell>
          <cell r="AQ133">
            <v>-100</v>
          </cell>
        </row>
        <row r="134">
          <cell r="AF134">
            <v>38015</v>
          </cell>
          <cell r="AG134">
            <v>161</v>
          </cell>
          <cell r="AH134">
            <v>113</v>
          </cell>
          <cell r="AI134">
            <v>2</v>
          </cell>
          <cell r="AJ134">
            <v>92050.485335063175</v>
          </cell>
          <cell r="AL134">
            <v>8.6360377525448673</v>
          </cell>
          <cell r="AM134">
            <v>20.288752032227841</v>
          </cell>
          <cell r="AN134">
            <v>19.641521498033864</v>
          </cell>
          <cell r="AQ134">
            <v>-100</v>
          </cell>
        </row>
        <row r="135">
          <cell r="AF135">
            <v>38016</v>
          </cell>
          <cell r="AG135">
            <v>162</v>
          </cell>
          <cell r="AH135">
            <v>114</v>
          </cell>
          <cell r="AI135">
            <v>1</v>
          </cell>
          <cell r="AJ135">
            <v>91985.00311383004</v>
          </cell>
          <cell r="AL135">
            <v>8.7133735009515831</v>
          </cell>
          <cell r="AM135">
            <v>20.283059376908021</v>
          </cell>
          <cell r="AN135">
            <v>19.641521498050384</v>
          </cell>
          <cell r="AQ135">
            <v>-100</v>
          </cell>
        </row>
        <row r="136">
          <cell r="AF136">
            <v>38019</v>
          </cell>
          <cell r="AG136">
            <v>165</v>
          </cell>
          <cell r="AH136">
            <v>115</v>
          </cell>
          <cell r="AI136">
            <v>18</v>
          </cell>
          <cell r="AJ136">
            <v>91919.567474874828</v>
          </cell>
          <cell r="AK136">
            <v>1.000711879317459</v>
          </cell>
          <cell r="AL136">
            <v>8.7907643030781912</v>
          </cell>
          <cell r="AM136">
            <v>20.277465986706964</v>
          </cell>
          <cell r="AN136">
            <v>19.641521498023561</v>
          </cell>
          <cell r="AQ136">
            <v>-100</v>
          </cell>
        </row>
        <row r="137">
          <cell r="AF137">
            <v>38020</v>
          </cell>
          <cell r="AG137">
            <v>166</v>
          </cell>
          <cell r="AH137">
            <v>116</v>
          </cell>
          <cell r="AI137">
            <v>17</v>
          </cell>
          <cell r="AJ137">
            <v>91854.17838506031</v>
          </cell>
          <cell r="AL137">
            <v>8.8682101981161221</v>
          </cell>
          <cell r="AM137">
            <v>20.271969287683</v>
          </cell>
          <cell r="AN137">
            <v>19.641521498023785</v>
          </cell>
          <cell r="AQ137">
            <v>-100</v>
          </cell>
        </row>
        <row r="138">
          <cell r="AF138">
            <v>38021</v>
          </cell>
          <cell r="AG138">
            <v>167</v>
          </cell>
          <cell r="AH138">
            <v>117</v>
          </cell>
          <cell r="AI138">
            <v>16</v>
          </cell>
          <cell r="AJ138">
            <v>91788.835811272627</v>
          </cell>
          <cell r="AL138">
            <v>8.9457112252849349</v>
          </cell>
          <cell r="AM138">
            <v>20.2665667941218</v>
          </cell>
          <cell r="AN138">
            <v>19.64152149802354</v>
          </cell>
          <cell r="AQ138">
            <v>-100</v>
          </cell>
        </row>
        <row r="139">
          <cell r="AF139">
            <v>38022</v>
          </cell>
          <cell r="AG139">
            <v>168</v>
          </cell>
          <cell r="AH139">
            <v>118</v>
          </cell>
          <cell r="AI139">
            <v>15</v>
          </cell>
          <cell r="AJ139">
            <v>91723.539720421526</v>
          </cell>
          <cell r="AL139">
            <v>9.0232674238320811</v>
          </cell>
          <cell r="AM139">
            <v>20.261256104787819</v>
          </cell>
          <cell r="AN139">
            <v>19.641521498023806</v>
          </cell>
          <cell r="AQ139">
            <v>-100</v>
          </cell>
        </row>
        <row r="140">
          <cell r="AF140">
            <v>38023</v>
          </cell>
          <cell r="AG140">
            <v>169</v>
          </cell>
          <cell r="AH140">
            <v>119</v>
          </cell>
          <cell r="AI140">
            <v>14</v>
          </cell>
          <cell r="AJ140">
            <v>91658.29007944031</v>
          </cell>
          <cell r="AL140">
            <v>9.1008788330329224</v>
          </cell>
          <cell r="AM140">
            <v>20.256034899365559</v>
          </cell>
          <cell r="AN140">
            <v>19.641521498023273</v>
          </cell>
          <cell r="AQ140">
            <v>-100</v>
          </cell>
        </row>
        <row r="141">
          <cell r="AF141">
            <v>38026</v>
          </cell>
          <cell r="AG141">
            <v>172</v>
          </cell>
          <cell r="AH141">
            <v>120</v>
          </cell>
          <cell r="AI141">
            <v>13</v>
          </cell>
          <cell r="AJ141">
            <v>91593.086855285816</v>
          </cell>
          <cell r="AL141">
            <v>9.1785454921907483</v>
          </cell>
          <cell r="AM141">
            <v>20.250900935079507</v>
          </cell>
          <cell r="AN141">
            <v>19.641521498023629</v>
          </cell>
          <cell r="AQ141">
            <v>-100</v>
          </cell>
        </row>
        <row r="142">
          <cell r="AF142">
            <v>38027</v>
          </cell>
          <cell r="AG142">
            <v>173</v>
          </cell>
          <cell r="AH142">
            <v>121</v>
          </cell>
          <cell r="AI142">
            <v>12</v>
          </cell>
          <cell r="AJ142">
            <v>91527.930014938349</v>
          </cell>
          <cell r="AL142">
            <v>9.2562674406368792</v>
          </cell>
          <cell r="AM142">
            <v>20.245852043481971</v>
          </cell>
          <cell r="AN142">
            <v>19.641521498023586</v>
          </cell>
          <cell r="AQ142">
            <v>-100</v>
          </cell>
        </row>
        <row r="143">
          <cell r="AF143">
            <v>38028</v>
          </cell>
          <cell r="AG143">
            <v>174</v>
          </cell>
          <cell r="AH143">
            <v>122</v>
          </cell>
          <cell r="AI143">
            <v>11</v>
          </cell>
          <cell r="AJ143">
            <v>91462.819525401734</v>
          </cell>
          <cell r="AL143">
            <v>9.3340447177306274</v>
          </cell>
          <cell r="AM143">
            <v>20.240886127399314</v>
          </cell>
          <cell r="AN143">
            <v>19.641521498023717</v>
          </cell>
          <cell r="AQ143">
            <v>-100</v>
          </cell>
        </row>
        <row r="144">
          <cell r="AF144">
            <v>38029</v>
          </cell>
          <cell r="AG144">
            <v>175</v>
          </cell>
          <cell r="AH144">
            <v>123</v>
          </cell>
          <cell r="AI144">
            <v>10</v>
          </cell>
          <cell r="AJ144">
            <v>91397.755353703251</v>
          </cell>
          <cell r="AL144">
            <v>9.4118773628593324</v>
          </cell>
          <cell r="AM144">
            <v>20.236001158027349</v>
          </cell>
          <cell r="AN144">
            <v>19.641521498023295</v>
          </cell>
          <cell r="AQ144">
            <v>-100</v>
          </cell>
        </row>
        <row r="145">
          <cell r="AF145">
            <v>38030</v>
          </cell>
          <cell r="AG145">
            <v>176</v>
          </cell>
          <cell r="AH145">
            <v>124</v>
          </cell>
          <cell r="AI145">
            <v>9</v>
          </cell>
          <cell r="AJ145">
            <v>91332.737466893654</v>
          </cell>
          <cell r="AL145">
            <v>9.4897654154383115</v>
          </cell>
          <cell r="AM145">
            <v>20.231195172167649</v>
          </cell>
          <cell r="AN145">
            <v>19.641521498023231</v>
          </cell>
          <cell r="AQ145">
            <v>-100</v>
          </cell>
        </row>
        <row r="146">
          <cell r="AF146">
            <v>38033</v>
          </cell>
          <cell r="AG146">
            <v>179</v>
          </cell>
          <cell r="AH146">
            <v>125</v>
          </cell>
          <cell r="AI146">
            <v>8</v>
          </cell>
          <cell r="AJ146">
            <v>91267.765832047124</v>
          </cell>
          <cell r="AL146">
            <v>9.5677089149110106</v>
          </cell>
          <cell r="AM146">
            <v>20.226466269597321</v>
          </cell>
          <cell r="AN146">
            <v>19.641521498023117</v>
          </cell>
          <cell r="AQ146">
            <v>-100</v>
          </cell>
        </row>
        <row r="147">
          <cell r="AF147">
            <v>38034</v>
          </cell>
          <cell r="AG147">
            <v>180</v>
          </cell>
          <cell r="AH147">
            <v>126</v>
          </cell>
          <cell r="AI147">
            <v>7</v>
          </cell>
          <cell r="AJ147">
            <v>91202.840416261271</v>
          </cell>
          <cell r="AL147">
            <v>9.6457079007489011</v>
          </cell>
          <cell r="AM147">
            <v>20.221812610563504</v>
          </cell>
          <cell r="AN147">
            <v>19.641521498022851</v>
          </cell>
          <cell r="AQ147">
            <v>-100</v>
          </cell>
        </row>
        <row r="148">
          <cell r="AF148">
            <v>38035</v>
          </cell>
          <cell r="AG148">
            <v>181</v>
          </cell>
          <cell r="AH148">
            <v>127</v>
          </cell>
          <cell r="AI148">
            <v>6</v>
          </cell>
          <cell r="AJ148">
            <v>91137.961186657107</v>
          </cell>
          <cell r="AL148">
            <v>9.7237624124516095</v>
          </cell>
          <cell r="AM148">
            <v>20.21723241339728</v>
          </cell>
          <cell r="AN148">
            <v>19.641521498023074</v>
          </cell>
          <cell r="AQ148">
            <v>-100</v>
          </cell>
        </row>
        <row r="149">
          <cell r="AF149">
            <v>38036</v>
          </cell>
          <cell r="AG149">
            <v>182</v>
          </cell>
          <cell r="AH149">
            <v>128</v>
          </cell>
          <cell r="AI149">
            <v>5</v>
          </cell>
          <cell r="AJ149">
            <v>91073.128110379039</v>
          </cell>
          <cell r="AL149">
            <v>9.8018724895468026</v>
          </cell>
          <cell r="AM149">
            <v>20.212723952239166</v>
          </cell>
          <cell r="AN149">
            <v>19.641521498022698</v>
          </cell>
          <cell r="AQ149">
            <v>-100</v>
          </cell>
        </row>
        <row r="150">
          <cell r="AF150">
            <v>38037</v>
          </cell>
          <cell r="AG150">
            <v>183</v>
          </cell>
          <cell r="AH150">
            <v>129</v>
          </cell>
          <cell r="AI150">
            <v>4</v>
          </cell>
          <cell r="AJ150">
            <v>91008.341154594833</v>
          </cell>
          <cell r="AL150">
            <v>9.8800381715903782</v>
          </cell>
          <cell r="AM150">
            <v>20.208285554871065</v>
          </cell>
          <cell r="AN150">
            <v>19.641521498022364</v>
          </cell>
          <cell r="AQ150">
            <v>-100</v>
          </cell>
        </row>
        <row r="151">
          <cell r="AF151">
            <v>38042</v>
          </cell>
          <cell r="AG151">
            <v>188</v>
          </cell>
          <cell r="AH151">
            <v>130</v>
          </cell>
          <cell r="AI151">
            <v>3</v>
          </cell>
          <cell r="AJ151">
            <v>90943.600286495624</v>
          </cell>
          <cell r="AL151">
            <v>9.958259498166333</v>
          </cell>
          <cell r="AM151">
            <v>20.203915600648092</v>
          </cell>
          <cell r="AN151">
            <v>19.641521498021962</v>
          </cell>
          <cell r="AQ151">
            <v>-100</v>
          </cell>
        </row>
        <row r="152">
          <cell r="AF152">
            <v>38043</v>
          </cell>
          <cell r="AG152">
            <v>189</v>
          </cell>
          <cell r="AH152">
            <v>131</v>
          </cell>
          <cell r="AI152">
            <v>2</v>
          </cell>
          <cell r="AJ152">
            <v>90878.905473295876</v>
          </cell>
          <cell r="AL152">
            <v>10.036536508886872</v>
          </cell>
          <cell r="AM152">
            <v>20.199612518525779</v>
          </cell>
          <cell r="AN152">
            <v>19.641521498020765</v>
          </cell>
          <cell r="AQ152">
            <v>-100</v>
          </cell>
        </row>
        <row r="153">
          <cell r="AF153">
            <v>38044</v>
          </cell>
          <cell r="AG153">
            <v>190</v>
          </cell>
          <cell r="AH153">
            <v>132</v>
          </cell>
          <cell r="AI153">
            <v>1</v>
          </cell>
          <cell r="AJ153">
            <v>90814.25668223339</v>
          </cell>
          <cell r="AL153">
            <v>10.114869243392356</v>
          </cell>
          <cell r="AM153">
            <v>20.195374785176657</v>
          </cell>
          <cell r="AN153">
            <v>19.641521498023984</v>
          </cell>
          <cell r="AQ153">
            <v>-100</v>
          </cell>
        </row>
        <row r="154">
          <cell r="AF154">
            <v>38047</v>
          </cell>
          <cell r="AG154">
            <v>193</v>
          </cell>
          <cell r="AH154">
            <v>133</v>
          </cell>
          <cell r="AI154">
            <v>23</v>
          </cell>
          <cell r="AJ154">
            <v>90749.653880569254</v>
          </cell>
          <cell r="AK154">
            <v>1.000711879317459</v>
          </cell>
          <cell r="AL154">
            <v>10.193257741351424</v>
          </cell>
          <cell r="AM154">
            <v>20.191200923192643</v>
          </cell>
          <cell r="AN154">
            <v>19.641521498026691</v>
          </cell>
          <cell r="AQ154">
            <v>-100</v>
          </cell>
        </row>
        <row r="155">
          <cell r="AF155">
            <v>38048</v>
          </cell>
          <cell r="AG155">
            <v>194</v>
          </cell>
          <cell r="AH155">
            <v>134</v>
          </cell>
          <cell r="AI155">
            <v>22</v>
          </cell>
          <cell r="AJ155">
            <v>90685.097035587853</v>
          </cell>
          <cell r="AL155">
            <v>10.271702042460928</v>
          </cell>
          <cell r="AM155">
            <v>20.187089499367495</v>
          </cell>
          <cell r="AN155">
            <v>19.641521498026826</v>
          </cell>
          <cell r="AQ155">
            <v>-100</v>
          </cell>
        </row>
        <row r="156">
          <cell r="AF156">
            <v>38049</v>
          </cell>
          <cell r="AG156">
            <v>195</v>
          </cell>
          <cell r="AH156">
            <v>135</v>
          </cell>
          <cell r="AI156">
            <v>21</v>
          </cell>
          <cell r="AJ156">
            <v>90620.586114596867</v>
          </cell>
          <cell r="AL156">
            <v>10.350202186445934</v>
          </cell>
          <cell r="AM156">
            <v>20.183039123055902</v>
          </cell>
          <cell r="AN156">
            <v>19.641521498027114</v>
          </cell>
          <cell r="AQ156">
            <v>-100</v>
          </cell>
        </row>
        <row r="157">
          <cell r="AF157">
            <v>38050</v>
          </cell>
          <cell r="AG157">
            <v>196</v>
          </cell>
          <cell r="AH157">
            <v>136</v>
          </cell>
          <cell r="AI157">
            <v>20</v>
          </cell>
          <cell r="AJ157">
            <v>90556.121084927203</v>
          </cell>
          <cell r="AL157">
            <v>10.428758213059886</v>
          </cell>
          <cell r="AM157">
            <v>20.179048444605741</v>
          </cell>
          <cell r="AN157">
            <v>19.641521498027469</v>
          </cell>
          <cell r="AQ157">
            <v>-100</v>
          </cell>
        </row>
        <row r="158">
          <cell r="AF158">
            <v>38051</v>
          </cell>
          <cell r="AG158">
            <v>197</v>
          </cell>
          <cell r="AH158">
            <v>137</v>
          </cell>
          <cell r="AI158">
            <v>19</v>
          </cell>
          <cell r="AJ158">
            <v>90491.701913933008</v>
          </cell>
          <cell r="AL158">
            <v>10.507370162084451</v>
          </cell>
          <cell r="AM158">
            <v>20.175116153858099</v>
          </cell>
          <cell r="AN158">
            <v>19.641521498027625</v>
          </cell>
          <cell r="AQ158">
            <v>-100</v>
          </cell>
        </row>
        <row r="159">
          <cell r="AF159">
            <v>38054</v>
          </cell>
          <cell r="AG159">
            <v>200</v>
          </cell>
          <cell r="AH159">
            <v>138</v>
          </cell>
          <cell r="AI159">
            <v>18</v>
          </cell>
          <cell r="AJ159">
            <v>90427.328568991681</v>
          </cell>
          <cell r="AL159">
            <v>10.586038073329608</v>
          </cell>
          <cell r="AM159">
            <v>20.171240978713456</v>
          </cell>
          <cell r="AN159">
            <v>19.641521498028112</v>
          </cell>
          <cell r="AQ159">
            <v>-100</v>
          </cell>
        </row>
        <row r="160">
          <cell r="AF160">
            <v>38055</v>
          </cell>
          <cell r="AG160">
            <v>201</v>
          </cell>
          <cell r="AH160">
            <v>139</v>
          </cell>
          <cell r="AI160">
            <v>17</v>
          </cell>
          <cell r="AJ160">
            <v>90363.00101750379</v>
          </cell>
          <cell r="AL160">
            <v>10.664761986633753</v>
          </cell>
          <cell r="AM160">
            <v>20.167421683759777</v>
          </cell>
          <cell r="AN160">
            <v>19.641521498028069</v>
          </cell>
          <cell r="AQ160">
            <v>-100</v>
          </cell>
        </row>
        <row r="161">
          <cell r="AF161">
            <v>38056</v>
          </cell>
          <cell r="AG161">
            <v>202</v>
          </cell>
          <cell r="AH161">
            <v>140</v>
          </cell>
          <cell r="AI161">
            <v>16</v>
          </cell>
          <cell r="AJ161">
            <v>90298.719226893125</v>
          </cell>
          <cell r="AL161">
            <v>10.743541941863555</v>
          </cell>
          <cell r="AM161">
            <v>20.163657068959083</v>
          </cell>
          <cell r="AN161">
            <v>19.641521498028091</v>
          </cell>
          <cell r="AQ161">
            <v>-100</v>
          </cell>
        </row>
        <row r="162">
          <cell r="AF162">
            <v>38057</v>
          </cell>
          <cell r="AG162">
            <v>203</v>
          </cell>
          <cell r="AH162">
            <v>141</v>
          </cell>
          <cell r="AI162">
            <v>15</v>
          </cell>
          <cell r="AJ162">
            <v>90234.483164606645</v>
          </cell>
          <cell r="AL162">
            <v>10.822377978914123</v>
          </cell>
          <cell r="AM162">
            <v>20.159945968390613</v>
          </cell>
          <cell r="AN162">
            <v>19.641521498028645</v>
          </cell>
          <cell r="AQ162">
            <v>-100</v>
          </cell>
        </row>
        <row r="163">
          <cell r="AF163">
            <v>38058</v>
          </cell>
          <cell r="AG163">
            <v>204</v>
          </cell>
          <cell r="AH163">
            <v>142</v>
          </cell>
          <cell r="AI163">
            <v>14</v>
          </cell>
          <cell r="AJ163">
            <v>90170.292798114446</v>
          </cell>
          <cell r="AL163">
            <v>10.901270137708918</v>
          </cell>
          <cell r="AM163">
            <v>20.156287249046791</v>
          </cell>
          <cell r="AN163">
            <v>19.641521498028915</v>
          </cell>
          <cell r="AQ163">
            <v>-100</v>
          </cell>
        </row>
        <row r="164">
          <cell r="AF164">
            <v>38061</v>
          </cell>
          <cell r="AG164">
            <v>207</v>
          </cell>
          <cell r="AH164">
            <v>143</v>
          </cell>
          <cell r="AI164">
            <v>13</v>
          </cell>
          <cell r="AJ164">
            <v>90106.14809490979</v>
          </cell>
          <cell r="AL164">
            <v>10.980218458199897</v>
          </cell>
          <cell r="AM164">
            <v>20.152679809680095</v>
          </cell>
          <cell r="AN164">
            <v>19.641521498029757</v>
          </cell>
          <cell r="AQ164">
            <v>-100</v>
          </cell>
        </row>
        <row r="165">
          <cell r="AF165">
            <v>38062</v>
          </cell>
          <cell r="AG165">
            <v>208</v>
          </cell>
          <cell r="AH165">
            <v>144</v>
          </cell>
          <cell r="AI165">
            <v>12</v>
          </cell>
          <cell r="AJ165">
            <v>90042.049022509033</v>
          </cell>
          <cell r="AL165">
            <v>11.059222980367366</v>
          </cell>
          <cell r="AM165">
            <v>20.149122579697764</v>
          </cell>
          <cell r="AN165">
            <v>19.64152149803018</v>
          </cell>
          <cell r="AQ165">
            <v>-100</v>
          </cell>
        </row>
        <row r="166">
          <cell r="AF166">
            <v>38063</v>
          </cell>
          <cell r="AG166">
            <v>209</v>
          </cell>
          <cell r="AH166">
            <v>145</v>
          </cell>
          <cell r="AI166">
            <v>11</v>
          </cell>
          <cell r="AJ166">
            <v>89977.995548451669</v>
          </cell>
          <cell r="AL166">
            <v>11.138283744220168</v>
          </cell>
          <cell r="AM166">
            <v>20.14561451810275</v>
          </cell>
          <cell r="AN166">
            <v>19.641521498030357</v>
          </cell>
          <cell r="AQ166">
            <v>-100</v>
          </cell>
        </row>
        <row r="167">
          <cell r="AF167">
            <v>38064</v>
          </cell>
          <cell r="AG167">
            <v>210</v>
          </cell>
          <cell r="AH167">
            <v>146</v>
          </cell>
          <cell r="AI167">
            <v>10</v>
          </cell>
          <cell r="AJ167">
            <v>89913.987640300271</v>
          </cell>
          <cell r="AL167">
            <v>11.217400789795562</v>
          </cell>
          <cell r="AM167">
            <v>20.142154612477814</v>
          </cell>
          <cell r="AN167">
            <v>19.641521498030624</v>
          </cell>
          <cell r="AQ167">
            <v>-100</v>
          </cell>
        </row>
        <row r="168">
          <cell r="AF168">
            <v>38065</v>
          </cell>
          <cell r="AG168">
            <v>211</v>
          </cell>
          <cell r="AH168">
            <v>147</v>
          </cell>
          <cell r="AI168">
            <v>9</v>
          </cell>
          <cell r="AJ168">
            <v>89850.025265640492</v>
          </cell>
          <cell r="AL168">
            <v>11.296574157159366</v>
          </cell>
          <cell r="AM168">
            <v>20.138741878011611</v>
          </cell>
          <cell r="AN168">
            <v>19.641521498031334</v>
          </cell>
          <cell r="AQ168">
            <v>-100</v>
          </cell>
        </row>
        <row r="169">
          <cell r="AF169">
            <v>38068</v>
          </cell>
          <cell r="AG169">
            <v>214</v>
          </cell>
          <cell r="AH169">
            <v>148</v>
          </cell>
          <cell r="AI169">
            <v>8</v>
          </cell>
          <cell r="AJ169">
            <v>89786.108392081034</v>
          </cell>
          <cell r="AL169">
            <v>11.375803886405889</v>
          </cell>
          <cell r="AM169">
            <v>20.135375356564044</v>
          </cell>
          <cell r="AN169">
            <v>19.64152149803229</v>
          </cell>
          <cell r="AQ169">
            <v>-100</v>
          </cell>
        </row>
        <row r="170">
          <cell r="AF170">
            <v>38069</v>
          </cell>
          <cell r="AG170">
            <v>215</v>
          </cell>
          <cell r="AH170">
            <v>149</v>
          </cell>
          <cell r="AI170">
            <v>7</v>
          </cell>
          <cell r="AJ170">
            <v>89722.236987253651</v>
          </cell>
          <cell r="AL170">
            <v>11.455090017658009</v>
          </cell>
          <cell r="AM170">
            <v>20.13205411576946</v>
          </cell>
          <cell r="AN170">
            <v>19.641521498033043</v>
          </cell>
          <cell r="AQ170">
            <v>-100</v>
          </cell>
        </row>
        <row r="171">
          <cell r="AF171">
            <v>38070</v>
          </cell>
          <cell r="AG171">
            <v>216</v>
          </cell>
          <cell r="AH171">
            <v>150</v>
          </cell>
          <cell r="AI171">
            <v>6</v>
          </cell>
          <cell r="AJ171">
            <v>89658.411018813116</v>
          </cell>
          <cell r="AL171">
            <v>11.534432591067102</v>
          </cell>
          <cell r="AM171">
            <v>20.128777248175634</v>
          </cell>
          <cell r="AN171">
            <v>19.641521498035196</v>
          </cell>
          <cell r="AQ171">
            <v>-100</v>
          </cell>
        </row>
        <row r="172">
          <cell r="AF172">
            <v>38071</v>
          </cell>
          <cell r="AG172">
            <v>217</v>
          </cell>
          <cell r="AH172">
            <v>151</v>
          </cell>
          <cell r="AI172">
            <v>5</v>
          </cell>
          <cell r="AJ172">
            <v>89594.630454437225</v>
          </cell>
          <cell r="AL172">
            <v>11.6138316468132</v>
          </cell>
          <cell r="AM172">
            <v>20.125543870417427</v>
          </cell>
          <cell r="AN172">
            <v>19.641521498037374</v>
          </cell>
          <cell r="AQ172">
            <v>-100</v>
          </cell>
        </row>
        <row r="173">
          <cell r="AF173">
            <v>38072</v>
          </cell>
          <cell r="AG173">
            <v>218</v>
          </cell>
          <cell r="AH173">
            <v>152</v>
          </cell>
          <cell r="AI173">
            <v>4</v>
          </cell>
          <cell r="AJ173">
            <v>89530.89526182675</v>
          </cell>
          <cell r="AL173">
            <v>11.693287225104921</v>
          </cell>
          <cell r="AM173">
            <v>20.122353122422677</v>
          </cell>
          <cell r="AN173">
            <v>19.641521498042145</v>
          </cell>
          <cell r="AQ173">
            <v>-100</v>
          </cell>
        </row>
        <row r="174">
          <cell r="AF174">
            <v>38075</v>
          </cell>
          <cell r="AG174">
            <v>221</v>
          </cell>
          <cell r="AH174">
            <v>153</v>
          </cell>
          <cell r="AI174">
            <v>3</v>
          </cell>
          <cell r="AJ174">
            <v>89467.205408705442</v>
          </cell>
          <cell r="AL174">
            <v>11.772799366179477</v>
          </cell>
          <cell r="AM174">
            <v>20.119204166649386</v>
          </cell>
          <cell r="AN174">
            <v>19.641521498048519</v>
          </cell>
          <cell r="AQ174">
            <v>-100</v>
          </cell>
        </row>
        <row r="175">
          <cell r="AF175">
            <v>38076</v>
          </cell>
          <cell r="AG175">
            <v>222</v>
          </cell>
          <cell r="AH175">
            <v>154</v>
          </cell>
          <cell r="AI175">
            <v>2</v>
          </cell>
          <cell r="AJ175">
            <v>89403.560862820013</v>
          </cell>
          <cell r="AL175">
            <v>11.852368110302747</v>
          </cell>
          <cell r="AM175">
            <v>20.116096187353037</v>
          </cell>
          <cell r="AN175">
            <v>19.641521498060822</v>
          </cell>
          <cell r="AQ175">
            <v>-100</v>
          </cell>
        </row>
        <row r="176">
          <cell r="AF176">
            <v>38077</v>
          </cell>
          <cell r="AG176">
            <v>223</v>
          </cell>
          <cell r="AH176">
            <v>155</v>
          </cell>
          <cell r="AI176">
            <v>1</v>
          </cell>
          <cell r="AJ176">
            <v>89339.961591940126</v>
          </cell>
          <cell r="AL176">
            <v>11.931993497769277</v>
          </cell>
          <cell r="AM176">
            <v>20.113028389881848</v>
          </cell>
          <cell r="AN176">
            <v>19.641521498090462</v>
          </cell>
          <cell r="AQ176">
            <v>-100</v>
          </cell>
        </row>
        <row r="177">
          <cell r="AF177">
            <v>38078</v>
          </cell>
          <cell r="AG177">
            <v>224</v>
          </cell>
          <cell r="AH177">
            <v>156</v>
          </cell>
          <cell r="AI177">
            <v>20</v>
          </cell>
          <cell r="AJ177">
            <v>89276.407563858171</v>
          </cell>
          <cell r="AK177">
            <v>1.0007355338784787</v>
          </cell>
          <cell r="AL177">
            <v>12.011675568902568</v>
          </cell>
          <cell r="AM177">
            <v>20.110000000000007</v>
          </cell>
          <cell r="AN177">
            <v>20.356309546938434</v>
          </cell>
          <cell r="AQ177">
            <v>-100</v>
          </cell>
        </row>
        <row r="178">
          <cell r="AF178">
            <v>38079</v>
          </cell>
          <cell r="AG178">
            <v>225</v>
          </cell>
          <cell r="AH178">
            <v>157</v>
          </cell>
          <cell r="AI178">
            <v>19</v>
          </cell>
          <cell r="AJ178">
            <v>89210.790005483286</v>
          </cell>
          <cell r="AL178">
            <v>12.094063951068645</v>
          </cell>
          <cell r="AM178">
            <v>20.111567254417515</v>
          </cell>
          <cell r="AN178">
            <v>20.356309546938345</v>
          </cell>
          <cell r="AQ178">
            <v>-100</v>
          </cell>
        </row>
        <row r="179">
          <cell r="AF179">
            <v>38082</v>
          </cell>
          <cell r="AG179">
            <v>228</v>
          </cell>
          <cell r="AH179">
            <v>158</v>
          </cell>
          <cell r="AI179">
            <v>18</v>
          </cell>
          <cell r="AJ179">
            <v>89145.220675571938</v>
          </cell>
          <cell r="AL179">
            <v>12.176512932681028</v>
          </cell>
          <cell r="AM179">
            <v>20.113114690235246</v>
          </cell>
          <cell r="AN179">
            <v>20.356309546938078</v>
          </cell>
          <cell r="AQ179">
            <v>-100</v>
          </cell>
        </row>
        <row r="180">
          <cell r="AF180">
            <v>38083</v>
          </cell>
          <cell r="AG180">
            <v>229</v>
          </cell>
          <cell r="AH180">
            <v>159</v>
          </cell>
          <cell r="AI180">
            <v>17</v>
          </cell>
          <cell r="AJ180">
            <v>89079.699538676534</v>
          </cell>
          <cell r="AL180">
            <v>12.259022558312637</v>
          </cell>
          <cell r="AM180">
            <v>20.114642681013017</v>
          </cell>
          <cell r="AN180">
            <v>20.356309546937858</v>
          </cell>
          <cell r="AQ180">
            <v>-100</v>
          </cell>
        </row>
        <row r="181">
          <cell r="AF181">
            <v>38084</v>
          </cell>
          <cell r="AG181">
            <v>230</v>
          </cell>
          <cell r="AH181">
            <v>160</v>
          </cell>
          <cell r="AI181">
            <v>16</v>
          </cell>
          <cell r="AJ181">
            <v>89014.226559375529</v>
          </cell>
          <cell r="AL181">
            <v>12.341592872569173</v>
          </cell>
          <cell r="AM181">
            <v>20.116151590981058</v>
          </cell>
          <cell r="AN181">
            <v>20.356309546937634</v>
          </cell>
          <cell r="AQ181">
            <v>-100</v>
          </cell>
        </row>
        <row r="182">
          <cell r="AF182">
            <v>38085</v>
          </cell>
          <cell r="AG182">
            <v>231</v>
          </cell>
          <cell r="AH182">
            <v>161</v>
          </cell>
          <cell r="AI182">
            <v>15</v>
          </cell>
          <cell r="AJ182">
            <v>88948.801702273428</v>
          </cell>
          <cell r="AL182">
            <v>12.424223920089217</v>
          </cell>
          <cell r="AM182">
            <v>20.117641775329488</v>
          </cell>
          <cell r="AN182">
            <v>20.35630954693768</v>
          </cell>
          <cell r="AQ182">
            <v>-100</v>
          </cell>
        </row>
        <row r="183">
          <cell r="AF183">
            <v>38089</v>
          </cell>
          <cell r="AG183">
            <v>235</v>
          </cell>
          <cell r="AH183">
            <v>162</v>
          </cell>
          <cell r="AI183">
            <v>14</v>
          </cell>
          <cell r="AJ183">
            <v>88883.424932000722</v>
          </cell>
          <cell r="AL183">
            <v>12.5069157455441</v>
          </cell>
          <cell r="AM183">
            <v>20.11911358048679</v>
          </cell>
          <cell r="AN183">
            <v>20.356309546937435</v>
          </cell>
          <cell r="AQ183">
            <v>-100</v>
          </cell>
        </row>
        <row r="184">
          <cell r="AF184">
            <v>38090</v>
          </cell>
          <cell r="AG184">
            <v>236</v>
          </cell>
          <cell r="AH184">
            <v>163</v>
          </cell>
          <cell r="AI184">
            <v>13</v>
          </cell>
          <cell r="AJ184">
            <v>88818.096213213925</v>
          </cell>
          <cell r="AL184">
            <v>12.58966839363811</v>
          </cell>
          <cell r="AM184">
            <v>20.120567344388675</v>
          </cell>
          <cell r="AN184">
            <v>20.356309546936902</v>
          </cell>
          <cell r="AQ184">
            <v>-100</v>
          </cell>
        </row>
        <row r="185">
          <cell r="AF185">
            <v>38091</v>
          </cell>
          <cell r="AG185">
            <v>237</v>
          </cell>
          <cell r="AH185">
            <v>164</v>
          </cell>
          <cell r="AI185">
            <v>12</v>
          </cell>
          <cell r="AJ185">
            <v>88752.815510595508</v>
          </cell>
          <cell r="AL185">
            <v>12.672481909108303</v>
          </cell>
          <cell r="AM185">
            <v>20.122003396736353</v>
          </cell>
          <cell r="AN185">
            <v>20.356309546936835</v>
          </cell>
          <cell r="AQ185">
            <v>-100</v>
          </cell>
        </row>
        <row r="186">
          <cell r="AF186">
            <v>38092</v>
          </cell>
          <cell r="AG186">
            <v>238</v>
          </cell>
          <cell r="AH186">
            <v>165</v>
          </cell>
          <cell r="AI186">
            <v>11</v>
          </cell>
          <cell r="AJ186">
            <v>88687.582788853921</v>
          </cell>
          <cell r="AL186">
            <v>12.755356336724732</v>
          </cell>
          <cell r="AM186">
            <v>20.123422059246177</v>
          </cell>
          <cell r="AN186">
            <v>20.356309546936302</v>
          </cell>
          <cell r="AQ186">
            <v>-100</v>
          </cell>
        </row>
        <row r="187">
          <cell r="AF187">
            <v>38093</v>
          </cell>
          <cell r="AG187">
            <v>239</v>
          </cell>
          <cell r="AH187">
            <v>166</v>
          </cell>
          <cell r="AI187">
            <v>10</v>
          </cell>
          <cell r="AJ187">
            <v>88622.398012723541</v>
          </cell>
          <cell r="AL187">
            <v>12.838291721290339</v>
          </cell>
          <cell r="AM187">
            <v>20.124823645889698</v>
          </cell>
          <cell r="AN187">
            <v>20.356309546936124</v>
          </cell>
          <cell r="AQ187">
            <v>-100</v>
          </cell>
        </row>
        <row r="188">
          <cell r="AF188">
            <v>38096</v>
          </cell>
          <cell r="AG188">
            <v>242</v>
          </cell>
          <cell r="AH188">
            <v>167</v>
          </cell>
          <cell r="AI188">
            <v>9</v>
          </cell>
          <cell r="AJ188">
            <v>88557.261146964665</v>
          </cell>
          <cell r="AL188">
            <v>12.921288107641015</v>
          </cell>
          <cell r="AM188">
            <v>20.126208463125383</v>
          </cell>
          <cell r="AN188">
            <v>20.356309546935837</v>
          </cell>
          <cell r="AQ188">
            <v>-100</v>
          </cell>
        </row>
        <row r="189">
          <cell r="AF189">
            <v>38097</v>
          </cell>
          <cell r="AG189">
            <v>243</v>
          </cell>
          <cell r="AH189">
            <v>168</v>
          </cell>
          <cell r="AI189">
            <v>8</v>
          </cell>
          <cell r="AJ189">
            <v>88492.172156363493</v>
          </cell>
          <cell r="AL189">
            <v>13.004345540645623</v>
          </cell>
          <cell r="AM189">
            <v>20.127576810122005</v>
          </cell>
          <cell r="AN189">
            <v>20.35630954693568</v>
          </cell>
          <cell r="AQ189">
            <v>-100</v>
          </cell>
        </row>
        <row r="190">
          <cell r="AF190">
            <v>38099</v>
          </cell>
          <cell r="AG190">
            <v>245</v>
          </cell>
          <cell r="AH190">
            <v>169</v>
          </cell>
          <cell r="AI190">
            <v>7</v>
          </cell>
          <cell r="AJ190">
            <v>88427.13100573211</v>
          </cell>
          <cell r="AL190">
            <v>13.087464065206067</v>
          </cell>
          <cell r="AM190">
            <v>20.128928978974159</v>
          </cell>
          <cell r="AN190">
            <v>20.356309546934568</v>
          </cell>
          <cell r="AQ190">
            <v>-100</v>
          </cell>
        </row>
        <row r="191">
          <cell r="AF191">
            <v>38100</v>
          </cell>
          <cell r="AG191">
            <v>246</v>
          </cell>
          <cell r="AH191">
            <v>170</v>
          </cell>
          <cell r="AI191">
            <v>6</v>
          </cell>
          <cell r="AJ191">
            <v>88362.137659908447</v>
          </cell>
          <cell r="AL191">
            <v>13.17064372625727</v>
          </cell>
          <cell r="AM191">
            <v>20.130265254910128</v>
          </cell>
          <cell r="AN191">
            <v>20.356309546933172</v>
          </cell>
          <cell r="AQ191">
            <v>-100</v>
          </cell>
        </row>
        <row r="192">
          <cell r="AF192">
            <v>38103</v>
          </cell>
          <cell r="AG192">
            <v>249</v>
          </cell>
          <cell r="AH192">
            <v>171</v>
          </cell>
          <cell r="AI192">
            <v>5</v>
          </cell>
          <cell r="AJ192">
            <v>88297.192083756308</v>
          </cell>
          <cell r="AL192">
            <v>13.253884568767171</v>
          </cell>
          <cell r="AM192">
            <v>20.131585916492291</v>
          </cell>
          <cell r="AN192">
            <v>20.356309546933659</v>
          </cell>
          <cell r="AQ192">
            <v>-100</v>
          </cell>
        </row>
        <row r="193">
          <cell r="AF193">
            <v>38104</v>
          </cell>
          <cell r="AG193">
            <v>250</v>
          </cell>
          <cell r="AH193">
            <v>172</v>
          </cell>
          <cell r="AI193">
            <v>4</v>
          </cell>
          <cell r="AJ193">
            <v>88232.294242165299</v>
          </cell>
          <cell r="AL193">
            <v>13.337186637736821</v>
          </cell>
          <cell r="AM193">
            <v>20.132891235811012</v>
          </cell>
          <cell r="AN193">
            <v>20.356309546931396</v>
          </cell>
          <cell r="AQ193">
            <v>-100</v>
          </cell>
        </row>
        <row r="194">
          <cell r="AF194">
            <v>38105</v>
          </cell>
          <cell r="AG194">
            <v>251</v>
          </cell>
          <cell r="AH194">
            <v>173</v>
          </cell>
          <cell r="AI194">
            <v>3</v>
          </cell>
          <cell r="AJ194">
            <v>88167.444100050838</v>
          </cell>
          <cell r="AL194">
            <v>13.420549978200324</v>
          </cell>
          <cell r="AM194">
            <v>20.134181478671209</v>
          </cell>
          <cell r="AN194">
            <v>20.356309546929928</v>
          </cell>
          <cell r="AQ194">
            <v>-100</v>
          </cell>
        </row>
        <row r="195">
          <cell r="AF195">
            <v>38106</v>
          </cell>
          <cell r="AG195">
            <v>252</v>
          </cell>
          <cell r="AH195">
            <v>174</v>
          </cell>
          <cell r="AI195">
            <v>2</v>
          </cell>
          <cell r="AJ195">
            <v>88102.641622354131</v>
          </cell>
          <cell r="AL195">
            <v>13.503974635224992</v>
          </cell>
          <cell r="AM195">
            <v>20.135456904773097</v>
          </cell>
          <cell r="AN195">
            <v>20.356309546924777</v>
          </cell>
          <cell r="AQ195">
            <v>-100</v>
          </cell>
        </row>
        <row r="196">
          <cell r="AF196">
            <v>38107</v>
          </cell>
          <cell r="AG196">
            <v>253</v>
          </cell>
          <cell r="AH196">
            <v>175</v>
          </cell>
          <cell r="AI196">
            <v>1</v>
          </cell>
          <cell r="AJ196">
            <v>88037.886774042156</v>
          </cell>
          <cell r="AL196">
            <v>13.587460653911165</v>
          </cell>
          <cell r="AM196">
            <v>20.136717767886193</v>
          </cell>
          <cell r="AN196">
            <v>20.356309546904725</v>
          </cell>
          <cell r="AQ196">
            <v>-100</v>
          </cell>
        </row>
        <row r="197">
          <cell r="AF197">
            <v>38110</v>
          </cell>
          <cell r="AG197">
            <v>256</v>
          </cell>
          <cell r="AH197">
            <v>176</v>
          </cell>
          <cell r="AI197">
            <v>21</v>
          </cell>
          <cell r="AJ197">
            <v>87973.179520107718</v>
          </cell>
          <cell r="AK197">
            <v>1.0007355338784787</v>
          </cell>
          <cell r="AL197">
            <v>13.671008079392365</v>
          </cell>
          <cell r="AM197">
            <v>20.137964316017708</v>
          </cell>
          <cell r="AN197">
            <v>20.356309546938036</v>
          </cell>
          <cell r="AQ197">
            <v>-100</v>
          </cell>
        </row>
        <row r="198">
          <cell r="AF198">
            <v>38111</v>
          </cell>
          <cell r="AG198">
            <v>257</v>
          </cell>
          <cell r="AH198">
            <v>177</v>
          </cell>
          <cell r="AI198">
            <v>20</v>
          </cell>
          <cell r="AJ198">
            <v>87908.519825569092</v>
          </cell>
          <cell r="AL198">
            <v>13.754616956835598</v>
          </cell>
          <cell r="AM198">
            <v>20.139196791575653</v>
          </cell>
          <cell r="AN198">
            <v>20.356309546938078</v>
          </cell>
          <cell r="AQ198">
            <v>-100</v>
          </cell>
        </row>
        <row r="199">
          <cell r="AF199">
            <v>38112</v>
          </cell>
          <cell r="AG199">
            <v>258</v>
          </cell>
          <cell r="AH199">
            <v>178</v>
          </cell>
          <cell r="AI199">
            <v>19</v>
          </cell>
          <cell r="AJ199">
            <v>87843.907655470539</v>
          </cell>
          <cell r="AL199">
            <v>13.838287331440725</v>
          </cell>
          <cell r="AM199">
            <v>20.140415431525092</v>
          </cell>
          <cell r="AN199">
            <v>20.356309546937656</v>
          </cell>
          <cell r="AQ199">
            <v>-100</v>
          </cell>
        </row>
        <row r="200">
          <cell r="AF200">
            <v>38113</v>
          </cell>
          <cell r="AG200">
            <v>259</v>
          </cell>
          <cell r="AH200">
            <v>179</v>
          </cell>
          <cell r="AI200">
            <v>18</v>
          </cell>
          <cell r="AJ200">
            <v>87779.342974881918</v>
          </cell>
          <cell r="AL200">
            <v>13.922019248440986</v>
          </cell>
          <cell r="AM200">
            <v>20.141620467540665</v>
          </cell>
          <cell r="AN200">
            <v>20.356309546937702</v>
          </cell>
          <cell r="AQ200">
            <v>-100</v>
          </cell>
        </row>
        <row r="201">
          <cell r="AF201">
            <v>38114</v>
          </cell>
          <cell r="AG201">
            <v>260</v>
          </cell>
          <cell r="AH201">
            <v>180</v>
          </cell>
          <cell r="AI201">
            <v>17</v>
          </cell>
          <cell r="AJ201">
            <v>87714.825748898744</v>
          </cell>
          <cell r="AL201">
            <v>14.005812753102909</v>
          </cell>
          <cell r="AM201">
            <v>20.142812126153231</v>
          </cell>
          <cell r="AN201">
            <v>20.356309546937457</v>
          </cell>
          <cell r="AQ201">
            <v>-100</v>
          </cell>
        </row>
        <row r="202">
          <cell r="AF202">
            <v>38117</v>
          </cell>
          <cell r="AG202">
            <v>263</v>
          </cell>
          <cell r="AH202">
            <v>181</v>
          </cell>
          <cell r="AI202">
            <v>16</v>
          </cell>
          <cell r="AJ202">
            <v>87650.355942642214</v>
          </cell>
          <cell r="AL202">
            <v>14.089667890726322</v>
          </cell>
          <cell r="AM202">
            <v>20.143990628891963</v>
          </cell>
          <cell r="AN202">
            <v>20.356309546937233</v>
          </cell>
          <cell r="AQ202">
            <v>-100</v>
          </cell>
        </row>
        <row r="203">
          <cell r="AF203">
            <v>38118</v>
          </cell>
          <cell r="AG203">
            <v>264</v>
          </cell>
          <cell r="AH203">
            <v>182</v>
          </cell>
          <cell r="AI203">
            <v>15</v>
          </cell>
          <cell r="AJ203">
            <v>87585.93352125914</v>
          </cell>
          <cell r="AL203">
            <v>14.173584706644338</v>
          </cell>
          <cell r="AM203">
            <v>20.145156192421432</v>
          </cell>
          <cell r="AN203">
            <v>20.356309546937233</v>
          </cell>
          <cell r="AQ203">
            <v>-100</v>
          </cell>
        </row>
        <row r="204">
          <cell r="AF204">
            <v>38119</v>
          </cell>
          <cell r="AG204">
            <v>265</v>
          </cell>
          <cell r="AH204">
            <v>183</v>
          </cell>
          <cell r="AI204">
            <v>14</v>
          </cell>
          <cell r="AJ204">
            <v>87521.558449921969</v>
          </cell>
          <cell r="AL204">
            <v>14.257563246223427</v>
          </cell>
          <cell r="AM204">
            <v>20.146309028674558</v>
          </cell>
          <cell r="AN204">
            <v>20.356309546936991</v>
          </cell>
          <cell r="AQ204">
            <v>-100</v>
          </cell>
        </row>
        <row r="205">
          <cell r="AF205">
            <v>38120</v>
          </cell>
          <cell r="AG205">
            <v>266</v>
          </cell>
          <cell r="AH205">
            <v>184</v>
          </cell>
          <cell r="AI205">
            <v>13</v>
          </cell>
          <cell r="AJ205">
            <v>87457.230693828737</v>
          </cell>
          <cell r="AL205">
            <v>14.341603554863447</v>
          </cell>
          <cell r="AM205">
            <v>20.147449344981027</v>
          </cell>
          <cell r="AN205">
            <v>20.356309546936902</v>
          </cell>
          <cell r="AQ205">
            <v>-100</v>
          </cell>
        </row>
        <row r="206">
          <cell r="AF206">
            <v>38121</v>
          </cell>
          <cell r="AG206">
            <v>267</v>
          </cell>
          <cell r="AH206">
            <v>185</v>
          </cell>
          <cell r="AI206">
            <v>12</v>
          </cell>
          <cell r="AJ206">
            <v>87392.950218203041</v>
          </cell>
          <cell r="AL206">
            <v>14.425705677997636</v>
          </cell>
          <cell r="AM206">
            <v>20.148577344191597</v>
          </cell>
          <cell r="AN206">
            <v>20.356309546936835</v>
          </cell>
          <cell r="AQ206">
            <v>-100</v>
          </cell>
        </row>
        <row r="207">
          <cell r="AF207">
            <v>38124</v>
          </cell>
          <cell r="AG207">
            <v>270</v>
          </cell>
          <cell r="AH207">
            <v>186</v>
          </cell>
          <cell r="AI207">
            <v>11</v>
          </cell>
          <cell r="AJ207">
            <v>87328.71698829408</v>
          </cell>
          <cell r="AL207">
            <v>14.509869661092623</v>
          </cell>
          <cell r="AM207">
            <v>20.149693224798337</v>
          </cell>
          <cell r="AN207">
            <v>20.356309546936302</v>
          </cell>
          <cell r="AQ207">
            <v>-100</v>
          </cell>
        </row>
        <row r="208">
          <cell r="AF208">
            <v>38125</v>
          </cell>
          <cell r="AG208">
            <v>271</v>
          </cell>
          <cell r="AH208">
            <v>187</v>
          </cell>
          <cell r="AI208">
            <v>10</v>
          </cell>
          <cell r="AJ208">
            <v>87264.530969376545</v>
          </cell>
          <cell r="AL208">
            <v>14.594095549648545</v>
          </cell>
          <cell r="AM208">
            <v>20.150797181051239</v>
          </cell>
          <cell r="AN208">
            <v>20.356309546935456</v>
          </cell>
          <cell r="AQ208">
            <v>-100</v>
          </cell>
        </row>
        <row r="209">
          <cell r="AF209">
            <v>38126</v>
          </cell>
          <cell r="AG209">
            <v>272</v>
          </cell>
          <cell r="AH209">
            <v>188</v>
          </cell>
          <cell r="AI209">
            <v>9</v>
          </cell>
          <cell r="AJ209">
            <v>87200.392126750696</v>
          </cell>
          <cell r="AL209">
            <v>14.678383389198935</v>
          </cell>
          <cell r="AM209">
            <v>20.151889403070733</v>
          </cell>
          <cell r="AN209">
            <v>20.356309546935126</v>
          </cell>
          <cell r="AQ209">
            <v>-100</v>
          </cell>
        </row>
        <row r="210">
          <cell r="AF210">
            <v>38127</v>
          </cell>
          <cell r="AG210">
            <v>273</v>
          </cell>
          <cell r="AH210">
            <v>189</v>
          </cell>
          <cell r="AI210">
            <v>8</v>
          </cell>
          <cell r="AJ210">
            <v>87136.300425742258</v>
          </cell>
          <cell r="AL210">
            <v>14.762733225310853</v>
          </cell>
          <cell r="AM210">
            <v>20.152970076956976</v>
          </cell>
          <cell r="AN210">
            <v>20.356309546934838</v>
          </cell>
          <cell r="AQ210">
            <v>-100</v>
          </cell>
        </row>
        <row r="211">
          <cell r="AF211">
            <v>38128</v>
          </cell>
          <cell r="AG211">
            <v>274</v>
          </cell>
          <cell r="AH211">
            <v>190</v>
          </cell>
          <cell r="AI211">
            <v>7</v>
          </cell>
          <cell r="AJ211">
            <v>87072.255831702481</v>
          </cell>
          <cell r="AL211">
            <v>14.847145103584891</v>
          </cell>
          <cell r="AM211">
            <v>20.154039384895526</v>
          </cell>
          <cell r="AN211">
            <v>20.35630954693368</v>
          </cell>
          <cell r="AQ211">
            <v>-100</v>
          </cell>
        </row>
        <row r="212">
          <cell r="AF212">
            <v>38131</v>
          </cell>
          <cell r="AG212">
            <v>277</v>
          </cell>
          <cell r="AH212">
            <v>191</v>
          </cell>
          <cell r="AI212">
            <v>6</v>
          </cell>
          <cell r="AJ212">
            <v>87008.258310008052</v>
          </cell>
          <cell r="AL212">
            <v>14.931619069655122</v>
          </cell>
          <cell r="AM212">
            <v>20.155097505259722</v>
          </cell>
          <cell r="AN212">
            <v>20.356309546933172</v>
          </cell>
          <cell r="AQ212">
            <v>-100</v>
          </cell>
        </row>
        <row r="213">
          <cell r="AF213">
            <v>38132</v>
          </cell>
          <cell r="AG213">
            <v>278</v>
          </cell>
          <cell r="AH213">
            <v>192</v>
          </cell>
          <cell r="AI213">
            <v>5</v>
          </cell>
          <cell r="AJ213">
            <v>86944.307826061107</v>
          </cell>
          <cell r="AL213">
            <v>15.016155169189261</v>
          </cell>
          <cell r="AM213">
            <v>20.156144612709891</v>
          </cell>
          <cell r="AN213">
            <v>20.356309546932327</v>
          </cell>
          <cell r="AQ213">
            <v>-100</v>
          </cell>
        </row>
        <row r="214">
          <cell r="AF214">
            <v>38133</v>
          </cell>
          <cell r="AG214">
            <v>279</v>
          </cell>
          <cell r="AH214">
            <v>193</v>
          </cell>
          <cell r="AI214">
            <v>4</v>
          </cell>
          <cell r="AJ214">
            <v>86880.404345289222</v>
          </cell>
          <cell r="AL214">
            <v>15.100753447888549</v>
          </cell>
          <cell r="AM214">
            <v>20.157180878289438</v>
          </cell>
          <cell r="AN214">
            <v>20.356309546929818</v>
          </cell>
          <cell r="AQ214">
            <v>-100</v>
          </cell>
        </row>
        <row r="215">
          <cell r="AF215">
            <v>38134</v>
          </cell>
          <cell r="AG215">
            <v>280</v>
          </cell>
          <cell r="AH215">
            <v>194</v>
          </cell>
          <cell r="AI215">
            <v>3</v>
          </cell>
          <cell r="AJ215">
            <v>86816.547833145378</v>
          </cell>
          <cell r="AL215">
            <v>15.185413951487892</v>
          </cell>
          <cell r="AM215">
            <v>20.15820646951807</v>
          </cell>
          <cell r="AN215">
            <v>20.356309546927733</v>
          </cell>
          <cell r="AQ215">
            <v>-100</v>
          </cell>
        </row>
        <row r="216">
          <cell r="AF216">
            <v>38135</v>
          </cell>
          <cell r="AG216">
            <v>281</v>
          </cell>
          <cell r="AH216">
            <v>195</v>
          </cell>
          <cell r="AI216">
            <v>2</v>
          </cell>
          <cell r="AJ216">
            <v>86752.73825510795</v>
          </cell>
          <cell r="AL216">
            <v>15.270136725755812</v>
          </cell>
          <cell r="AM216">
            <v>20.159221550481952</v>
          </cell>
          <cell r="AN216">
            <v>20.356309546921359</v>
          </cell>
          <cell r="AQ216">
            <v>-100</v>
          </cell>
        </row>
        <row r="217">
          <cell r="AF217">
            <v>38138</v>
          </cell>
          <cell r="AG217">
            <v>284</v>
          </cell>
          <cell r="AH217">
            <v>196</v>
          </cell>
          <cell r="AI217">
            <v>1</v>
          </cell>
          <cell r="AJ217">
            <v>86688.975576680692</v>
          </cell>
          <cell r="AL217">
            <v>15.354921816494471</v>
          </cell>
          <cell r="AM217">
            <v>20.160226281921247</v>
          </cell>
          <cell r="AN217">
            <v>20.356309546898043</v>
          </cell>
          <cell r="AQ217">
            <v>-100</v>
          </cell>
        </row>
        <row r="218">
          <cell r="AF218">
            <v>38139</v>
          </cell>
          <cell r="AG218">
            <v>285</v>
          </cell>
          <cell r="AH218">
            <v>197</v>
          </cell>
          <cell r="AI218">
            <v>21</v>
          </cell>
          <cell r="AJ218">
            <v>86625.259763392809</v>
          </cell>
          <cell r="AK218">
            <v>1.0007355338784789</v>
          </cell>
          <cell r="AL218">
            <v>15.439769269539628</v>
          </cell>
          <cell r="AM218">
            <v>20.161220821314927</v>
          </cell>
          <cell r="AN218">
            <v>20.356309546949337</v>
          </cell>
          <cell r="AQ218">
            <v>-100</v>
          </cell>
        </row>
        <row r="219">
          <cell r="AF219">
            <v>38140</v>
          </cell>
          <cell r="AG219">
            <v>286</v>
          </cell>
          <cell r="AH219">
            <v>198</v>
          </cell>
          <cell r="AI219">
            <v>20</v>
          </cell>
          <cell r="AJ219">
            <v>86561.590780798506</v>
          </cell>
          <cell r="AL219">
            <v>15.524679130761143</v>
          </cell>
          <cell r="AM219">
            <v>20.162205322963601</v>
          </cell>
          <cell r="AN219">
            <v>20.356309546949714</v>
          </cell>
          <cell r="AQ219">
            <v>-100</v>
          </cell>
        </row>
        <row r="220">
          <cell r="AF220">
            <v>38141</v>
          </cell>
          <cell r="AG220">
            <v>287</v>
          </cell>
          <cell r="AH220">
            <v>199</v>
          </cell>
          <cell r="AI220">
            <v>19</v>
          </cell>
          <cell r="AJ220">
            <v>86497.968594477657</v>
          </cell>
          <cell r="AL220">
            <v>15.609651446062234</v>
          </cell>
          <cell r="AM220">
            <v>20.163179938068399</v>
          </cell>
          <cell r="AN220">
            <v>20.356309546949536</v>
          </cell>
          <cell r="AQ220">
            <v>-100</v>
          </cell>
        </row>
        <row r="221">
          <cell r="AF221">
            <v>38142</v>
          </cell>
          <cell r="AG221">
            <v>288</v>
          </cell>
          <cell r="AH221">
            <v>200</v>
          </cell>
          <cell r="AI221">
            <v>18</v>
          </cell>
          <cell r="AJ221">
            <v>86434.393170035328</v>
          </cell>
          <cell r="AL221">
            <v>15.694686261379953</v>
          </cell>
          <cell r="AM221">
            <v>20.164144814808882</v>
          </cell>
          <cell r="AN221">
            <v>20.35630954694987</v>
          </cell>
          <cell r="AQ221">
            <v>-100</v>
          </cell>
        </row>
        <row r="222">
          <cell r="AF222">
            <v>38145</v>
          </cell>
          <cell r="AG222">
            <v>291</v>
          </cell>
          <cell r="AH222">
            <v>201</v>
          </cell>
          <cell r="AI222">
            <v>17</v>
          </cell>
          <cell r="AJ222">
            <v>86370.864473101858</v>
          </cell>
          <cell r="AL222">
            <v>15.779783622685173</v>
          </cell>
          <cell r="AM222">
            <v>20.165100098418186</v>
          </cell>
          <cell r="AN222">
            <v>20.35630954694998</v>
          </cell>
          <cell r="AQ222">
            <v>-100</v>
          </cell>
        </row>
        <row r="223">
          <cell r="AF223">
            <v>38146</v>
          </cell>
          <cell r="AG223">
            <v>292</v>
          </cell>
          <cell r="AH223">
            <v>202</v>
          </cell>
          <cell r="AI223">
            <v>16</v>
          </cell>
          <cell r="AJ223">
            <v>86307.382469332821</v>
          </cell>
          <cell r="AL223">
            <v>15.864943575982625</v>
          </cell>
          <cell r="AM223">
            <v>20.166045931255905</v>
          </cell>
          <cell r="AN223">
            <v>20.356309546950115</v>
          </cell>
          <cell r="AQ223">
            <v>-100</v>
          </cell>
        </row>
        <row r="224">
          <cell r="AF224">
            <v>38147</v>
          </cell>
          <cell r="AG224">
            <v>293</v>
          </cell>
          <cell r="AH224">
            <v>203</v>
          </cell>
          <cell r="AI224">
            <v>15</v>
          </cell>
          <cell r="AJ224">
            <v>86243.947124409067</v>
          </cell>
          <cell r="AL224">
            <v>15.950166167310819</v>
          </cell>
          <cell r="AM224">
            <v>20.166982452878578</v>
          </cell>
          <cell r="AN224">
            <v>20.35630954695009</v>
          </cell>
          <cell r="AQ224">
            <v>-100</v>
          </cell>
        </row>
        <row r="225">
          <cell r="AF225">
            <v>38149</v>
          </cell>
          <cell r="AG225">
            <v>295</v>
          </cell>
          <cell r="AH225">
            <v>204</v>
          </cell>
          <cell r="AI225">
            <v>14</v>
          </cell>
          <cell r="AJ225">
            <v>86180.558404036667</v>
          </cell>
          <cell r="AL225">
            <v>16.035451442742144</v>
          </cell>
          <cell r="AM225">
            <v>20.167909800108585</v>
          </cell>
          <cell r="AN225">
            <v>20.356309546950403</v>
          </cell>
          <cell r="AQ225">
            <v>-100</v>
          </cell>
        </row>
        <row r="226">
          <cell r="AF226">
            <v>38152</v>
          </cell>
          <cell r="AG226">
            <v>298</v>
          </cell>
          <cell r="AH226">
            <v>205</v>
          </cell>
          <cell r="AI226">
            <v>13</v>
          </cell>
          <cell r="AJ226">
            <v>86117.216273946877</v>
          </cell>
          <cell r="AL226">
            <v>16.120799448382893</v>
          </cell>
          <cell r="AM226">
            <v>20.168828107100634</v>
          </cell>
          <cell r="AN226">
            <v>20.356309546950779</v>
          </cell>
          <cell r="AQ226">
            <v>-100</v>
          </cell>
        </row>
        <row r="227">
          <cell r="AF227">
            <v>38153</v>
          </cell>
          <cell r="AG227">
            <v>299</v>
          </cell>
          <cell r="AH227">
            <v>206</v>
          </cell>
          <cell r="AI227">
            <v>12</v>
          </cell>
          <cell r="AJ227">
            <v>86053.92069989616</v>
          </cell>
          <cell r="AL227">
            <v>16.20621023037323</v>
          </cell>
          <cell r="AM227">
            <v>20.169737505406495</v>
          </cell>
          <cell r="AN227">
            <v>20.356309546950602</v>
          </cell>
          <cell r="AQ227">
            <v>-100</v>
          </cell>
        </row>
        <row r="228">
          <cell r="AF228">
            <v>38154</v>
          </cell>
          <cell r="AG228">
            <v>300</v>
          </cell>
          <cell r="AH228">
            <v>207</v>
          </cell>
          <cell r="AI228">
            <v>11</v>
          </cell>
          <cell r="AJ228">
            <v>85990.671647666139</v>
          </cell>
          <cell r="AL228">
            <v>16.291683834887326</v>
          </cell>
          <cell r="AM228">
            <v>20.170638124037943</v>
          </cell>
          <cell r="AN228">
            <v>20.356309546950889</v>
          </cell>
          <cell r="AQ228">
            <v>-100</v>
          </cell>
        </row>
        <row r="229">
          <cell r="AF229">
            <v>38155</v>
          </cell>
          <cell r="AG229">
            <v>301</v>
          </cell>
          <cell r="AH229">
            <v>208</v>
          </cell>
          <cell r="AI229">
            <v>10</v>
          </cell>
          <cell r="AJ229">
            <v>85927.469083063595</v>
          </cell>
          <cell r="AL229">
            <v>16.377220308133246</v>
          </cell>
          <cell r="AM229">
            <v>20.171530089527522</v>
          </cell>
          <cell r="AN229">
            <v>20.356309546951511</v>
          </cell>
          <cell r="AQ229">
            <v>-100</v>
          </cell>
        </row>
        <row r="230">
          <cell r="AF230">
            <v>38156</v>
          </cell>
          <cell r="AG230">
            <v>302</v>
          </cell>
          <cell r="AH230">
            <v>209</v>
          </cell>
          <cell r="AI230">
            <v>9</v>
          </cell>
          <cell r="AJ230">
            <v>85864.31297192043</v>
          </cell>
          <cell r="AL230">
            <v>16.46281969635308</v>
          </cell>
          <cell r="AM230">
            <v>20.172413525988063</v>
          </cell>
          <cell r="AN230">
            <v>20.35630954695209</v>
          </cell>
          <cell r="AQ230">
            <v>-100</v>
          </cell>
        </row>
        <row r="231">
          <cell r="AF231">
            <v>38159</v>
          </cell>
          <cell r="AG231">
            <v>305</v>
          </cell>
          <cell r="AH231">
            <v>210</v>
          </cell>
          <cell r="AI231">
            <v>8</v>
          </cell>
          <cell r="AJ231">
            <v>85801.203280093672</v>
          </cell>
          <cell r="AL231">
            <v>16.548482045822908</v>
          </cell>
          <cell r="AM231">
            <v>20.173288555170068</v>
          </cell>
          <cell r="AN231">
            <v>20.356309546952424</v>
          </cell>
          <cell r="AQ231">
            <v>-100</v>
          </cell>
        </row>
        <row r="232">
          <cell r="AF232">
            <v>38160</v>
          </cell>
          <cell r="AG232">
            <v>306</v>
          </cell>
          <cell r="AH232">
            <v>211</v>
          </cell>
          <cell r="AI232">
            <v>7</v>
          </cell>
          <cell r="AJ232">
            <v>85738.139973465426</v>
          </cell>
          <cell r="AL232">
            <v>16.634207402852908</v>
          </cell>
          <cell r="AM232">
            <v>20.174155296517803</v>
          </cell>
          <cell r="AN232">
            <v>20.35630954695371</v>
          </cell>
          <cell r="AQ232">
            <v>-100</v>
          </cell>
        </row>
        <row r="233">
          <cell r="AF233">
            <v>38161</v>
          </cell>
          <cell r="AG233">
            <v>307</v>
          </cell>
          <cell r="AH233">
            <v>212</v>
          </cell>
          <cell r="AI233">
            <v>6</v>
          </cell>
          <cell r="AJ233">
            <v>85675.123017942882</v>
          </cell>
          <cell r="AL233">
            <v>16.719995813787246</v>
          </cell>
          <cell r="AM233">
            <v>20.175013867223491</v>
          </cell>
          <cell r="AN233">
            <v>20.356309546954954</v>
          </cell>
          <cell r="AQ233">
            <v>-100</v>
          </cell>
        </row>
        <row r="234">
          <cell r="AF234">
            <v>38162</v>
          </cell>
          <cell r="AG234">
            <v>308</v>
          </cell>
          <cell r="AH234">
            <v>213</v>
          </cell>
          <cell r="AI234">
            <v>5</v>
          </cell>
          <cell r="AJ234">
            <v>85612.15237945829</v>
          </cell>
          <cell r="AL234">
            <v>16.805847325004208</v>
          </cell>
          <cell r="AM234">
            <v>20.175864382280274</v>
          </cell>
          <cell r="AN234">
            <v>20.356309546956485</v>
          </cell>
          <cell r="AQ234">
            <v>-100</v>
          </cell>
        </row>
        <row r="235">
          <cell r="AF235">
            <v>38163</v>
          </cell>
          <cell r="AG235">
            <v>309</v>
          </cell>
          <cell r="AH235">
            <v>214</v>
          </cell>
          <cell r="AI235">
            <v>4</v>
          </cell>
          <cell r="AJ235">
            <v>85549.228023968943</v>
          </cell>
          <cell r="AL235">
            <v>16.891761982916176</v>
          </cell>
          <cell r="AM235">
            <v>20.176706954533397</v>
          </cell>
          <cell r="AN235">
            <v>20.356309546960194</v>
          </cell>
          <cell r="AQ235">
            <v>-100</v>
          </cell>
        </row>
        <row r="236">
          <cell r="AF236">
            <v>38166</v>
          </cell>
          <cell r="AG236">
            <v>312</v>
          </cell>
          <cell r="AH236">
            <v>215</v>
          </cell>
          <cell r="AI236">
            <v>3</v>
          </cell>
          <cell r="AJ236">
            <v>85486.349917457148</v>
          </cell>
          <cell r="AL236">
            <v>16.977739833969707</v>
          </cell>
          <cell r="AM236">
            <v>20.177541694730383</v>
          </cell>
          <cell r="AN236">
            <v>20.356309546963747</v>
          </cell>
          <cell r="AQ236">
            <v>-100</v>
          </cell>
        </row>
        <row r="237">
          <cell r="AF237">
            <v>38167</v>
          </cell>
          <cell r="AG237">
            <v>313</v>
          </cell>
          <cell r="AH237">
            <v>216</v>
          </cell>
          <cell r="AI237">
            <v>2</v>
          </cell>
          <cell r="AJ237">
            <v>85423.518025930229</v>
          </cell>
          <cell r="AL237">
            <v>17.063780924645467</v>
          </cell>
          <cell r="AM237">
            <v>20.178368711569195</v>
          </cell>
          <cell r="AN237">
            <v>20.35630954697163</v>
          </cell>
          <cell r="AQ237">
            <v>-100</v>
          </cell>
        </row>
        <row r="238">
          <cell r="AF238">
            <v>38168</v>
          </cell>
          <cell r="AG238">
            <v>314</v>
          </cell>
          <cell r="AH238">
            <v>217</v>
          </cell>
          <cell r="AI238">
            <v>1</v>
          </cell>
          <cell r="AJ238">
            <v>85360.732315420464</v>
          </cell>
          <cell r="AL238">
            <v>17.149885301458379</v>
          </cell>
          <cell r="AM238">
            <v>20.179188111745795</v>
          </cell>
          <cell r="AN238">
            <v>20.356309546998453</v>
          </cell>
          <cell r="AQ238">
            <v>-100</v>
          </cell>
        </row>
        <row r="239">
          <cell r="AF239">
            <v>38169</v>
          </cell>
          <cell r="AG239">
            <v>315</v>
          </cell>
          <cell r="AH239">
            <v>218</v>
          </cell>
          <cell r="AI239">
            <v>22</v>
          </cell>
          <cell r="AJ239">
            <v>85297.992751984988</v>
          </cell>
          <cell r="AK239">
            <v>1.0007355338784787</v>
          </cell>
          <cell r="AL239">
            <v>17.236053010957718</v>
          </cell>
          <cell r="AM239">
            <v>20.180000000000021</v>
          </cell>
          <cell r="AN239">
            <v>20.356309546938057</v>
          </cell>
          <cell r="AQ239">
            <v>-100</v>
          </cell>
        </row>
        <row r="240">
          <cell r="AF240">
            <v>38170</v>
          </cell>
          <cell r="AG240">
            <v>316</v>
          </cell>
          <cell r="AH240">
            <v>219</v>
          </cell>
          <cell r="AI240">
            <v>21</v>
          </cell>
          <cell r="AJ240">
            <v>85235.299301706313</v>
          </cell>
          <cell r="AL240">
            <v>17.322284099726403</v>
          </cell>
          <cell r="AM240">
            <v>20.180804479159285</v>
          </cell>
          <cell r="AN240">
            <v>20.356309546938036</v>
          </cell>
          <cell r="AQ240">
            <v>-100</v>
          </cell>
        </row>
        <row r="241">
          <cell r="AF241">
            <v>38173</v>
          </cell>
          <cell r="AG241">
            <v>319</v>
          </cell>
          <cell r="AH241">
            <v>220</v>
          </cell>
          <cell r="AI241">
            <v>20</v>
          </cell>
          <cell r="AJ241">
            <v>85172.651930691412</v>
          </cell>
          <cell r="AL241">
            <v>17.408578614382254</v>
          </cell>
          <cell r="AM241">
            <v>20.181601650183588</v>
          </cell>
          <cell r="AN241">
            <v>20.356309546937766</v>
          </cell>
          <cell r="AQ241">
            <v>-100</v>
          </cell>
        </row>
        <row r="242">
          <cell r="AF242">
            <v>38174</v>
          </cell>
          <cell r="AG242">
            <v>320</v>
          </cell>
          <cell r="AH242">
            <v>221</v>
          </cell>
          <cell r="AI242">
            <v>19</v>
          </cell>
          <cell r="AJ242">
            <v>85110.050605072349</v>
          </cell>
          <cell r="AL242">
            <v>17.494936601577173</v>
          </cell>
          <cell r="AM242">
            <v>20.182391612206629</v>
          </cell>
          <cell r="AN242">
            <v>20.356309546937656</v>
          </cell>
          <cell r="AQ242">
            <v>-100</v>
          </cell>
        </row>
        <row r="243">
          <cell r="AF243">
            <v>38175</v>
          </cell>
          <cell r="AG243">
            <v>321</v>
          </cell>
          <cell r="AH243">
            <v>222</v>
          </cell>
          <cell r="AI243">
            <v>18</v>
          </cell>
          <cell r="AJ243">
            <v>85047.495291006053</v>
          </cell>
          <cell r="AL243">
            <v>17.581358107997346</v>
          </cell>
          <cell r="AM243">
            <v>20.183174462577202</v>
          </cell>
          <cell r="AN243">
            <v>20.356309546937702</v>
          </cell>
          <cell r="AQ243">
            <v>-100</v>
          </cell>
        </row>
        <row r="244">
          <cell r="AF244">
            <v>38176</v>
          </cell>
          <cell r="AG244">
            <v>322</v>
          </cell>
          <cell r="AH244">
            <v>223</v>
          </cell>
          <cell r="AI244">
            <v>17</v>
          </cell>
          <cell r="AJ244">
            <v>84984.985954674354</v>
          </cell>
          <cell r="AL244">
            <v>17.667843180363295</v>
          </cell>
          <cell r="AM244">
            <v>20.183950296899191</v>
          </cell>
          <cell r="AN244">
            <v>20.356309546937457</v>
          </cell>
          <cell r="AQ244">
            <v>-100</v>
          </cell>
        </row>
        <row r="245">
          <cell r="AF245">
            <v>38177</v>
          </cell>
          <cell r="AG245">
            <v>323</v>
          </cell>
          <cell r="AH245">
            <v>224</v>
          </cell>
          <cell r="AI245">
            <v>16</v>
          </cell>
          <cell r="AJ245">
            <v>84922.522562283921</v>
          </cell>
          <cell r="AL245">
            <v>17.754391865429973</v>
          </cell>
          <cell r="AM245">
            <v>20.184719209070479</v>
          </cell>
          <cell r="AN245">
            <v>20.356309546937233</v>
          </cell>
          <cell r="AQ245">
            <v>-100</v>
          </cell>
        </row>
        <row r="246">
          <cell r="AF246">
            <v>38180</v>
          </cell>
          <cell r="AG246">
            <v>326</v>
          </cell>
          <cell r="AH246">
            <v>225</v>
          </cell>
          <cell r="AI246">
            <v>15</v>
          </cell>
          <cell r="AJ246">
            <v>84860.105080066263</v>
          </cell>
          <cell r="AL246">
            <v>17.841004209986664</v>
          </cell>
          <cell r="AM246">
            <v>20.185481291320894</v>
          </cell>
          <cell r="AN246">
            <v>20.356309546936792</v>
          </cell>
          <cell r="AQ246">
            <v>-100</v>
          </cell>
        </row>
        <row r="247">
          <cell r="AF247">
            <v>38181</v>
          </cell>
          <cell r="AG247">
            <v>327</v>
          </cell>
          <cell r="AH247">
            <v>226</v>
          </cell>
          <cell r="AI247">
            <v>14</v>
          </cell>
          <cell r="AJ247">
            <v>84797.733474277731</v>
          </cell>
          <cell r="AL247">
            <v>17.92768026085707</v>
          </cell>
          <cell r="AM247">
            <v>20.186236634248921</v>
          </cell>
          <cell r="AN247">
            <v>20.356309546936991</v>
          </cell>
          <cell r="AQ247">
            <v>-100</v>
          </cell>
        </row>
        <row r="248">
          <cell r="AF248">
            <v>38182</v>
          </cell>
          <cell r="AG248">
            <v>328</v>
          </cell>
          <cell r="AH248">
            <v>227</v>
          </cell>
          <cell r="AI248">
            <v>13</v>
          </cell>
          <cell r="AJ248">
            <v>84735.407711199441</v>
          </cell>
          <cell r="AL248">
            <v>18.014420064899326</v>
          </cell>
          <cell r="AM248">
            <v>20.186985326857808</v>
          </cell>
          <cell r="AN248">
            <v>20.356309546936412</v>
          </cell>
          <cell r="AQ248">
            <v>-100</v>
          </cell>
        </row>
        <row r="249">
          <cell r="AF249">
            <v>38183</v>
          </cell>
          <cell r="AG249">
            <v>329</v>
          </cell>
          <cell r="AH249">
            <v>228</v>
          </cell>
          <cell r="AI249">
            <v>12</v>
          </cell>
          <cell r="AJ249">
            <v>84673.127757137307</v>
          </cell>
          <cell r="AL249">
            <v>18.101223669006082</v>
          </cell>
          <cell r="AM249">
            <v>20.18772745659043</v>
          </cell>
          <cell r="AN249">
            <v>20.356309546935989</v>
          </cell>
          <cell r="AQ249">
            <v>-100</v>
          </cell>
        </row>
        <row r="250">
          <cell r="AF250">
            <v>38184</v>
          </cell>
          <cell r="AG250">
            <v>330</v>
          </cell>
          <cell r="AH250">
            <v>229</v>
          </cell>
          <cell r="AI250">
            <v>11</v>
          </cell>
          <cell r="AJ250">
            <v>84610.893578422023</v>
          </cell>
          <cell r="AL250">
            <v>18.188091120104421</v>
          </cell>
          <cell r="AM250">
            <v>20.188463109363287</v>
          </cell>
          <cell r="AN250">
            <v>20.356309546935702</v>
          </cell>
          <cell r="AQ250">
            <v>-100</v>
          </cell>
        </row>
        <row r="251">
          <cell r="AF251">
            <v>38187</v>
          </cell>
          <cell r="AG251">
            <v>333</v>
          </cell>
          <cell r="AH251">
            <v>230</v>
          </cell>
          <cell r="AI251">
            <v>10</v>
          </cell>
          <cell r="AJ251">
            <v>84548.705141409009</v>
          </cell>
          <cell r="AL251">
            <v>18.275022465155978</v>
          </cell>
          <cell r="AM251">
            <v>20.189192369599773</v>
          </cell>
          <cell r="AN251">
            <v>20.356309546935456</v>
          </cell>
          <cell r="AQ251">
            <v>-100</v>
          </cell>
        </row>
        <row r="252">
          <cell r="AF252">
            <v>38188</v>
          </cell>
          <cell r="AG252">
            <v>334</v>
          </cell>
          <cell r="AH252">
            <v>231</v>
          </cell>
          <cell r="AI252">
            <v>9</v>
          </cell>
          <cell r="AJ252">
            <v>84486.562412478423</v>
          </cell>
          <cell r="AL252">
            <v>18.362017751156934</v>
          </cell>
          <cell r="AM252">
            <v>20.189915320262418</v>
          </cell>
          <cell r="AN252">
            <v>20.356309546934437</v>
          </cell>
          <cell r="AQ252">
            <v>-100</v>
          </cell>
        </row>
        <row r="253">
          <cell r="AF253">
            <v>38189</v>
          </cell>
          <cell r="AG253">
            <v>335</v>
          </cell>
          <cell r="AH253">
            <v>232</v>
          </cell>
          <cell r="AI253">
            <v>8</v>
          </cell>
          <cell r="AJ253">
            <v>84424.465358035144</v>
          </cell>
          <cell r="AL253">
            <v>18.449077025138006</v>
          </cell>
          <cell r="AM253">
            <v>20.190632042884339</v>
          </cell>
          <cell r="AN253">
            <v>20.356309546933993</v>
          </cell>
          <cell r="AQ253">
            <v>-100</v>
          </cell>
        </row>
        <row r="254">
          <cell r="AF254">
            <v>38190</v>
          </cell>
          <cell r="AG254">
            <v>336</v>
          </cell>
          <cell r="AH254">
            <v>233</v>
          </cell>
          <cell r="AI254">
            <v>7</v>
          </cell>
          <cell r="AJ254">
            <v>84362.41394450872</v>
          </cell>
          <cell r="AL254">
            <v>18.536200334164519</v>
          </cell>
          <cell r="AM254">
            <v>20.191342617599851</v>
          </cell>
          <cell r="AN254">
            <v>20.35630954693368</v>
          </cell>
          <cell r="AQ254">
            <v>-100</v>
          </cell>
        </row>
        <row r="255">
          <cell r="AF255">
            <v>38191</v>
          </cell>
          <cell r="AG255">
            <v>337</v>
          </cell>
          <cell r="AH255">
            <v>234</v>
          </cell>
          <cell r="AI255">
            <v>6</v>
          </cell>
          <cell r="AJ255">
            <v>84300.408138353378</v>
          </cell>
          <cell r="AL255">
            <v>18.62338772533645</v>
          </cell>
          <cell r="AM255">
            <v>20.192047123174461</v>
          </cell>
          <cell r="AN255">
            <v>20.35630954693206</v>
          </cell>
          <cell r="AQ255">
            <v>-100</v>
          </cell>
        </row>
        <row r="256">
          <cell r="AF256">
            <v>38194</v>
          </cell>
          <cell r="AG256">
            <v>340</v>
          </cell>
          <cell r="AH256">
            <v>235</v>
          </cell>
          <cell r="AI256">
            <v>5</v>
          </cell>
          <cell r="AJ256">
            <v>84238.447906048023</v>
          </cell>
          <cell r="AL256">
            <v>18.710639245788329</v>
          </cell>
          <cell r="AM256">
            <v>20.192745637033838</v>
          </cell>
          <cell r="AN256">
            <v>20.356309546930973</v>
          </cell>
          <cell r="AQ256">
            <v>-100</v>
          </cell>
        </row>
        <row r="257">
          <cell r="AF257">
            <v>38195</v>
          </cell>
          <cell r="AG257">
            <v>341</v>
          </cell>
          <cell r="AH257">
            <v>236</v>
          </cell>
          <cell r="AI257">
            <v>4</v>
          </cell>
          <cell r="AJ257">
            <v>84176.533214096169</v>
          </cell>
          <cell r="AL257">
            <v>18.797954942689476</v>
          </cell>
          <cell r="AM257">
            <v>20.193438235292337</v>
          </cell>
          <cell r="AN257">
            <v>20.356309546929818</v>
          </cell>
          <cell r="AQ257">
            <v>-100</v>
          </cell>
        </row>
        <row r="258">
          <cell r="AF258">
            <v>38196</v>
          </cell>
          <cell r="AG258">
            <v>342</v>
          </cell>
          <cell r="AH258">
            <v>237</v>
          </cell>
          <cell r="AI258">
            <v>3</v>
          </cell>
          <cell r="AJ258">
            <v>84114.664029025967</v>
          </cell>
          <cell r="AL258">
            <v>18.885334863243799</v>
          </cell>
          <cell r="AM258">
            <v>20.194124992780395</v>
          </cell>
          <cell r="AN258">
            <v>20.356309546925466</v>
          </cell>
          <cell r="AQ258">
            <v>-100</v>
          </cell>
        </row>
        <row r="259">
          <cell r="AF259">
            <v>38197</v>
          </cell>
          <cell r="AG259">
            <v>343</v>
          </cell>
          <cell r="AH259">
            <v>238</v>
          </cell>
          <cell r="AI259">
            <v>2</v>
          </cell>
          <cell r="AJ259">
            <v>84052.840317390161</v>
          </cell>
          <cell r="AL259">
            <v>18.972779054690015</v>
          </cell>
          <cell r="AM259">
            <v>20.194805983071838</v>
          </cell>
          <cell r="AN259">
            <v>20.356309546918048</v>
          </cell>
          <cell r="AQ259">
            <v>-100</v>
          </cell>
        </row>
        <row r="260">
          <cell r="AF260">
            <v>38198</v>
          </cell>
          <cell r="AG260">
            <v>344</v>
          </cell>
          <cell r="AH260">
            <v>239</v>
          </cell>
          <cell r="AI260">
            <v>1</v>
          </cell>
          <cell r="AJ260">
            <v>83991.062045766099</v>
          </cell>
          <cell r="AL260">
            <v>19.060287564301493</v>
          </cell>
          <cell r="AM260">
            <v>20.195481278509742</v>
          </cell>
          <cell r="AN260">
            <v>20.356309546898043</v>
          </cell>
          <cell r="AQ260">
            <v>-100</v>
          </cell>
        </row>
        <row r="261">
          <cell r="AF261">
            <v>38201</v>
          </cell>
          <cell r="AG261">
            <v>347</v>
          </cell>
          <cell r="AH261">
            <v>240</v>
          </cell>
          <cell r="AI261">
            <v>22</v>
          </cell>
          <cell r="AJ261">
            <v>83929.329180755783</v>
          </cell>
          <cell r="AK261">
            <v>1.0007355338784787</v>
          </cell>
          <cell r="AL261">
            <v>19.147860439386278</v>
          </cell>
          <cell r="AM261">
            <v>20.196150950232216</v>
          </cell>
          <cell r="AN261">
            <v>20.356309546938366</v>
          </cell>
          <cell r="AQ261">
            <v>-100</v>
          </cell>
        </row>
        <row r="262">
          <cell r="AF262">
            <v>38202</v>
          </cell>
          <cell r="AG262">
            <v>348</v>
          </cell>
          <cell r="AH262">
            <v>241</v>
          </cell>
          <cell r="AI262">
            <v>21</v>
          </cell>
          <cell r="AJ262">
            <v>83867.64168898543</v>
          </cell>
          <cell r="AL262">
            <v>19.235497727287676</v>
          </cell>
          <cell r="AM262">
            <v>20.196815068197971</v>
          </cell>
          <cell r="AN262">
            <v>20.356309546938324</v>
          </cell>
          <cell r="AQ262">
            <v>-100</v>
          </cell>
        </row>
        <row r="263">
          <cell r="AF263">
            <v>38203</v>
          </cell>
          <cell r="AG263">
            <v>349</v>
          </cell>
          <cell r="AH263">
            <v>242</v>
          </cell>
          <cell r="AI263">
            <v>20</v>
          </cell>
          <cell r="AJ263">
            <v>83805.999537106123</v>
          </cell>
          <cell r="AL263">
            <v>19.323199475383369</v>
          </cell>
          <cell r="AM263">
            <v>20.197473701209589</v>
          </cell>
          <cell r="AN263">
            <v>20.356309546938434</v>
          </cell>
          <cell r="AQ263">
            <v>-100</v>
          </cell>
        </row>
        <row r="264">
          <cell r="AF264">
            <v>38204</v>
          </cell>
          <cell r="AG264">
            <v>350</v>
          </cell>
          <cell r="AH264">
            <v>243</v>
          </cell>
          <cell r="AI264">
            <v>19</v>
          </cell>
          <cell r="AJ264">
            <v>83744.402691793352</v>
          </cell>
          <cell r="AL264">
            <v>19.410965731085984</v>
          </cell>
          <cell r="AM264">
            <v>20.198126916937987</v>
          </cell>
          <cell r="AN264">
            <v>20.356309546938345</v>
          </cell>
          <cell r="AQ264">
            <v>-100</v>
          </cell>
        </row>
        <row r="265">
          <cell r="AF265">
            <v>38205</v>
          </cell>
          <cell r="AG265">
            <v>351</v>
          </cell>
          <cell r="AH265">
            <v>244</v>
          </cell>
          <cell r="AI265">
            <v>18</v>
          </cell>
          <cell r="AJ265">
            <v>83682.851119747094</v>
          </cell>
          <cell r="AL265">
            <v>19.498796541843035</v>
          </cell>
          <cell r="AM265">
            <v>20.198774781945474</v>
          </cell>
          <cell r="AN265">
            <v>20.356309546938412</v>
          </cell>
          <cell r="AQ265">
            <v>-100</v>
          </cell>
        </row>
        <row r="266">
          <cell r="AF266">
            <v>38208</v>
          </cell>
          <cell r="AG266">
            <v>354</v>
          </cell>
          <cell r="AH266">
            <v>245</v>
          </cell>
          <cell r="AI266">
            <v>17</v>
          </cell>
          <cell r="AJ266">
            <v>83621.344787691793</v>
          </cell>
          <cell r="AL266">
            <v>19.586691955137002</v>
          </cell>
          <cell r="AM266">
            <v>20.199417361708385</v>
          </cell>
          <cell r="AN266">
            <v>20.356309546937858</v>
          </cell>
          <cell r="AQ266">
            <v>-100</v>
          </cell>
        </row>
        <row r="267">
          <cell r="AF267">
            <v>38209</v>
          </cell>
          <cell r="AG267">
            <v>355</v>
          </cell>
          <cell r="AH267">
            <v>246</v>
          </cell>
          <cell r="AI267">
            <v>16</v>
          </cell>
          <cell r="AJ267">
            <v>83559.883662376378</v>
          </cell>
          <cell r="AL267">
            <v>19.674652018485194</v>
          </cell>
          <cell r="AM267">
            <v>20.200054720639017</v>
          </cell>
          <cell r="AN267">
            <v>20.356309546938057</v>
          </cell>
          <cell r="AQ267">
            <v>-100</v>
          </cell>
        </row>
        <row r="268">
          <cell r="AF268">
            <v>38210</v>
          </cell>
          <cell r="AG268">
            <v>356</v>
          </cell>
          <cell r="AH268">
            <v>247</v>
          </cell>
          <cell r="AI268">
            <v>15</v>
          </cell>
          <cell r="AJ268">
            <v>83498.467710574187</v>
          </cell>
          <cell r="AL268">
            <v>19.762676779439946</v>
          </cell>
          <cell r="AM268">
            <v>20.200686922107259</v>
          </cell>
          <cell r="AN268">
            <v>20.35630954693768</v>
          </cell>
          <cell r="AQ268">
            <v>-100</v>
          </cell>
        </row>
        <row r="269">
          <cell r="AF269">
            <v>38211</v>
          </cell>
          <cell r="AG269">
            <v>357</v>
          </cell>
          <cell r="AH269">
            <v>248</v>
          </cell>
          <cell r="AI269">
            <v>14</v>
          </cell>
          <cell r="AJ269">
            <v>83437.096899083001</v>
          </cell>
          <cell r="AL269">
            <v>19.850766285588527</v>
          </cell>
          <cell r="AM269">
            <v>20.201314028461571</v>
          </cell>
          <cell r="AN269">
            <v>20.356309546937435</v>
          </cell>
          <cell r="AQ269">
            <v>-100</v>
          </cell>
        </row>
        <row r="270">
          <cell r="AF270">
            <v>38212</v>
          </cell>
          <cell r="AG270">
            <v>358</v>
          </cell>
          <cell r="AH270">
            <v>249</v>
          </cell>
          <cell r="AI270">
            <v>13</v>
          </cell>
          <cell r="AJ270">
            <v>83375.771194724992</v>
          </cell>
          <cell r="AL270">
            <v>19.938920584553223</v>
          </cell>
          <cell r="AM270">
            <v>20.201936101049455</v>
          </cell>
          <cell r="AN270">
            <v>20.356309546937435</v>
          </cell>
          <cell r="AQ270">
            <v>-100</v>
          </cell>
        </row>
        <row r="271">
          <cell r="AF271">
            <v>38215</v>
          </cell>
          <cell r="AG271">
            <v>361</v>
          </cell>
          <cell r="AH271">
            <v>250</v>
          </cell>
          <cell r="AI271">
            <v>12</v>
          </cell>
          <cell r="AJ271">
            <v>83314.490564346721</v>
          </cell>
          <cell r="AL271">
            <v>20.027139723991304</v>
          </cell>
          <cell r="AM271">
            <v>20.20255320023745</v>
          </cell>
          <cell r="AN271">
            <v>20.356309546937347</v>
          </cell>
          <cell r="AQ271">
            <v>-100</v>
          </cell>
        </row>
        <row r="272">
          <cell r="AF272">
            <v>38216</v>
          </cell>
          <cell r="AG272">
            <v>362</v>
          </cell>
          <cell r="AH272">
            <v>251</v>
          </cell>
          <cell r="AI272">
            <v>11</v>
          </cell>
          <cell r="AJ272">
            <v>83253.254974819123</v>
          </cell>
          <cell r="AL272">
            <v>20.115423751595209</v>
          </cell>
          <cell r="AM272">
            <v>20.203165385430811</v>
          </cell>
          <cell r="AN272">
            <v>20.356309546936924</v>
          </cell>
          <cell r="AQ272">
            <v>-100</v>
          </cell>
        </row>
        <row r="273">
          <cell r="AF273">
            <v>38217</v>
          </cell>
          <cell r="AG273">
            <v>363</v>
          </cell>
          <cell r="AH273">
            <v>252</v>
          </cell>
          <cell r="AI273">
            <v>10</v>
          </cell>
          <cell r="AJ273">
            <v>83192.064393037464</v>
          </cell>
          <cell r="AL273">
            <v>20.203772715092327</v>
          </cell>
          <cell r="AM273">
            <v>20.203772715092327</v>
          </cell>
          <cell r="AN273">
            <v>20.356309546936792</v>
          </cell>
          <cell r="AQ273">
            <v>-100</v>
          </cell>
        </row>
        <row r="274">
          <cell r="AF274">
            <v>38218</v>
          </cell>
          <cell r="AG274">
            <v>364</v>
          </cell>
          <cell r="AH274">
            <v>253</v>
          </cell>
          <cell r="AI274">
            <v>9</v>
          </cell>
          <cell r="AJ274">
            <v>83130.918785921356</v>
          </cell>
          <cell r="AL274">
            <v>20.292186662245214</v>
          </cell>
          <cell r="AM274">
            <v>20.204375246761085</v>
          </cell>
          <cell r="AN274">
            <v>20.356309546936568</v>
          </cell>
          <cell r="AQ274">
            <v>-100</v>
          </cell>
        </row>
        <row r="275">
          <cell r="AF275">
            <v>38219</v>
          </cell>
          <cell r="AG275">
            <v>365</v>
          </cell>
          <cell r="AH275">
            <v>254</v>
          </cell>
          <cell r="AI275">
            <v>8</v>
          </cell>
          <cell r="AJ275">
            <v>83069.818120414726</v>
          </cell>
          <cell r="AL275">
            <v>20.380665640851593</v>
          </cell>
          <cell r="AM275">
            <v>20.204973037070694</v>
          </cell>
          <cell r="AN275">
            <v>20.35630954693568</v>
          </cell>
          <cell r="AQ275">
            <v>-100</v>
          </cell>
        </row>
        <row r="276">
          <cell r="AF276">
            <v>38222</v>
          </cell>
          <cell r="AG276">
            <v>368</v>
          </cell>
          <cell r="AH276">
            <v>255</v>
          </cell>
          <cell r="AI276">
            <v>7</v>
          </cell>
          <cell r="AJ276">
            <v>83008.762363485788</v>
          </cell>
          <cell r="AL276">
            <v>20.469209698744262</v>
          </cell>
          <cell r="AM276">
            <v>20.205566141766852</v>
          </cell>
          <cell r="AN276">
            <v>20.356309546934568</v>
          </cell>
          <cell r="AQ276">
            <v>-100</v>
          </cell>
        </row>
        <row r="277">
          <cell r="AF277">
            <v>38223</v>
          </cell>
          <cell r="AG277">
            <v>369</v>
          </cell>
          <cell r="AH277">
            <v>256</v>
          </cell>
          <cell r="AI277">
            <v>6</v>
          </cell>
          <cell r="AJ277">
            <v>82947.75148212706</v>
          </cell>
          <cell r="AL277">
            <v>20.557818883791224</v>
          </cell>
          <cell r="AM277">
            <v>20.20615461572477</v>
          </cell>
          <cell r="AN277">
            <v>20.356309546934348</v>
          </cell>
          <cell r="AQ277">
            <v>-100</v>
          </cell>
        </row>
        <row r="278">
          <cell r="AF278">
            <v>38224</v>
          </cell>
          <cell r="AG278">
            <v>370</v>
          </cell>
          <cell r="AH278">
            <v>257</v>
          </cell>
          <cell r="AI278">
            <v>5</v>
          </cell>
          <cell r="AJ278">
            <v>82886.785443355271</v>
          </cell>
          <cell r="AL278">
            <v>20.64649324389578</v>
          </cell>
          <cell r="AM278">
            <v>20.20673851296624</v>
          </cell>
          <cell r="AN278">
            <v>20.356309546932327</v>
          </cell>
          <cell r="AQ278">
            <v>-100</v>
          </cell>
        </row>
        <row r="279">
          <cell r="AF279">
            <v>38225</v>
          </cell>
          <cell r="AG279">
            <v>371</v>
          </cell>
          <cell r="AH279">
            <v>258</v>
          </cell>
          <cell r="AI279">
            <v>4</v>
          </cell>
          <cell r="AJ279">
            <v>82825.86421421144</v>
          </cell>
          <cell r="AL279">
            <v>20.73523282699632</v>
          </cell>
          <cell r="AM279">
            <v>20.207317886675845</v>
          </cell>
          <cell r="AN279">
            <v>20.356309546929818</v>
          </cell>
          <cell r="AQ279">
            <v>-100</v>
          </cell>
        </row>
        <row r="280">
          <cell r="AF280">
            <v>38226</v>
          </cell>
          <cell r="AG280">
            <v>372</v>
          </cell>
          <cell r="AH280">
            <v>259</v>
          </cell>
          <cell r="AI280">
            <v>3</v>
          </cell>
          <cell r="AJ280">
            <v>82764.987761760785</v>
          </cell>
          <cell r="AL280">
            <v>20.824037681066578</v>
          </cell>
          <cell r="AM280">
            <v>20.207892789217375</v>
          </cell>
          <cell r="AN280">
            <v>20.356309546927733</v>
          </cell>
          <cell r="AQ280">
            <v>-100</v>
          </cell>
        </row>
        <row r="281">
          <cell r="AF281">
            <v>38229</v>
          </cell>
          <cell r="AG281">
            <v>375</v>
          </cell>
          <cell r="AH281">
            <v>260</v>
          </cell>
          <cell r="AI281">
            <v>2</v>
          </cell>
          <cell r="AJ281">
            <v>82704.156053092753</v>
          </cell>
          <cell r="AL281">
            <v>20.912907854115591</v>
          </cell>
          <cell r="AM281">
            <v>20.208463272149579</v>
          </cell>
          <cell r="AN281">
            <v>20.356309546921359</v>
          </cell>
          <cell r="AQ281">
            <v>-100</v>
          </cell>
        </row>
        <row r="282">
          <cell r="AF282">
            <v>38230</v>
          </cell>
          <cell r="AG282">
            <v>376</v>
          </cell>
          <cell r="AH282">
            <v>261</v>
          </cell>
          <cell r="AI282">
            <v>1</v>
          </cell>
          <cell r="AJ282">
            <v>82643.369055320945</v>
          </cell>
          <cell r="AL282">
            <v>21.00184339418767</v>
          </cell>
          <cell r="AM282">
            <v>20.209029386241404</v>
          </cell>
          <cell r="AN282">
            <v>20.356309546898043</v>
          </cell>
          <cell r="AQ282">
            <v>-100</v>
          </cell>
        </row>
        <row r="283">
          <cell r="AF283">
            <v>38231</v>
          </cell>
          <cell r="AG283">
            <v>377</v>
          </cell>
          <cell r="AH283">
            <v>262</v>
          </cell>
          <cell r="AI283">
            <v>21</v>
          </cell>
          <cell r="AJ283">
            <v>82582.626735583268</v>
          </cell>
          <cell r="AK283">
            <v>1.0007709246625076</v>
          </cell>
          <cell r="AL283">
            <v>21.090844349362303</v>
          </cell>
          <cell r="AM283">
            <v>20.209591181487085</v>
          </cell>
          <cell r="AN283">
            <v>21.433690242112856</v>
          </cell>
          <cell r="AQ283">
            <v>-100</v>
          </cell>
        </row>
        <row r="284">
          <cell r="AF284">
            <v>38232</v>
          </cell>
          <cell r="AG284">
            <v>378</v>
          </cell>
          <cell r="AH284">
            <v>263</v>
          </cell>
          <cell r="AI284">
            <v>20</v>
          </cell>
          <cell r="AJ284">
            <v>82519.010795035647</v>
          </cell>
          <cell r="AL284">
            <v>21.184196267675091</v>
          </cell>
          <cell r="AM284">
            <v>20.214222101582347</v>
          </cell>
          <cell r="AN284">
            <v>21.433690242112814</v>
          </cell>
          <cell r="AQ284">
            <v>-100</v>
          </cell>
        </row>
        <row r="285">
          <cell r="AF285">
            <v>38233</v>
          </cell>
          <cell r="AG285">
            <v>379</v>
          </cell>
          <cell r="AH285">
            <v>264</v>
          </cell>
          <cell r="AI285">
            <v>19</v>
          </cell>
          <cell r="AJ285">
            <v>82455.44385980611</v>
          </cell>
          <cell r="AL285">
            <v>21.277620153284005</v>
          </cell>
          <cell r="AM285">
            <v>20.218818115327686</v>
          </cell>
          <cell r="AN285">
            <v>21.433690242112526</v>
          </cell>
          <cell r="AQ285">
            <v>-100</v>
          </cell>
        </row>
        <row r="286">
          <cell r="AF286">
            <v>38236</v>
          </cell>
          <cell r="AG286">
            <v>382</v>
          </cell>
          <cell r="AH286">
            <v>265</v>
          </cell>
          <cell r="AI286">
            <v>18</v>
          </cell>
          <cell r="AJ286">
            <v>82391.925892144354</v>
          </cell>
          <cell r="AL286">
            <v>21.371116061670413</v>
          </cell>
          <cell r="AM286">
            <v>20.22337961590679</v>
          </cell>
          <cell r="AN286">
            <v>21.433690242112391</v>
          </cell>
          <cell r="AQ286">
            <v>-100</v>
          </cell>
        </row>
        <row r="287">
          <cell r="AF287">
            <v>38238</v>
          </cell>
          <cell r="AG287">
            <v>384</v>
          </cell>
          <cell r="AH287">
            <v>266</v>
          </cell>
          <cell r="AI287">
            <v>17</v>
          </cell>
          <cell r="AJ287">
            <v>82328.456854329153</v>
          </cell>
          <cell r="AL287">
            <v>21.464684048358439</v>
          </cell>
          <cell r="AM287">
            <v>20.227906990620383</v>
          </cell>
          <cell r="AN287">
            <v>21.433690242112036</v>
          </cell>
          <cell r="AQ287">
            <v>-100</v>
          </cell>
        </row>
        <row r="288">
          <cell r="AF288">
            <v>38239</v>
          </cell>
          <cell r="AG288">
            <v>385</v>
          </cell>
          <cell r="AH288">
            <v>267</v>
          </cell>
          <cell r="AI288">
            <v>16</v>
          </cell>
          <cell r="AJ288">
            <v>82265.03670866834</v>
          </cell>
          <cell r="AL288">
            <v>21.558324168915011</v>
          </cell>
          <cell r="AM288">
            <v>20.23240062099585</v>
          </cell>
          <cell r="AN288">
            <v>21.433690242111926</v>
          </cell>
          <cell r="AQ288">
            <v>-100</v>
          </cell>
        </row>
        <row r="289">
          <cell r="AF289">
            <v>38240</v>
          </cell>
          <cell r="AG289">
            <v>386</v>
          </cell>
          <cell r="AH289">
            <v>268</v>
          </cell>
          <cell r="AI289">
            <v>15</v>
          </cell>
          <cell r="AJ289">
            <v>82201.665417498793</v>
          </cell>
          <cell r="AL289">
            <v>21.652036478949931</v>
          </cell>
          <cell r="AM289">
            <v>20.236860882894536</v>
          </cell>
          <cell r="AN289">
            <v>21.433690242111414</v>
          </cell>
          <cell r="AQ289">
            <v>-100</v>
          </cell>
        </row>
        <row r="290">
          <cell r="AF290">
            <v>38243</v>
          </cell>
          <cell r="AG290">
            <v>389</v>
          </cell>
          <cell r="AH290">
            <v>269</v>
          </cell>
          <cell r="AI290">
            <v>14</v>
          </cell>
          <cell r="AJ290">
            <v>82138.342943186377</v>
          </cell>
          <cell r="AL290">
            <v>21.745821034115842</v>
          </cell>
          <cell r="AM290">
            <v>20.241288146616299</v>
          </cell>
          <cell r="AN290">
            <v>21.433690242111147</v>
          </cell>
          <cell r="AQ290">
            <v>-100</v>
          </cell>
        </row>
        <row r="291">
          <cell r="AF291">
            <v>38244</v>
          </cell>
          <cell r="AG291">
            <v>390</v>
          </cell>
          <cell r="AH291">
            <v>270</v>
          </cell>
          <cell r="AI291">
            <v>13</v>
          </cell>
          <cell r="AJ291">
            <v>82075.069248125976</v>
          </cell>
          <cell r="AL291">
            <v>21.839677890108277</v>
          </cell>
          <cell r="AM291">
            <v>20.245682777002227</v>
          </cell>
          <cell r="AN291">
            <v>21.433690242110991</v>
          </cell>
          <cell r="AQ291">
            <v>-100</v>
          </cell>
        </row>
        <row r="292">
          <cell r="AF292">
            <v>38245</v>
          </cell>
          <cell r="AG292">
            <v>391</v>
          </cell>
          <cell r="AH292">
            <v>271</v>
          </cell>
          <cell r="AI292">
            <v>12</v>
          </cell>
          <cell r="AJ292">
            <v>82011.84429474143</v>
          </cell>
          <cell r="AL292">
            <v>21.933607102665743</v>
          </cell>
          <cell r="AM292">
            <v>20.250045133534744</v>
          </cell>
          <cell r="AN292">
            <v>21.433690242110636</v>
          </cell>
          <cell r="AQ292">
            <v>-100</v>
          </cell>
        </row>
        <row r="293">
          <cell r="AF293">
            <v>38246</v>
          </cell>
          <cell r="AG293">
            <v>392</v>
          </cell>
          <cell r="AH293">
            <v>272</v>
          </cell>
          <cell r="AI293">
            <v>11</v>
          </cell>
          <cell r="AJ293">
            <v>81948.668045485509</v>
          </cell>
          <cell r="AL293">
            <v>22.027608727569703</v>
          </cell>
          <cell r="AM293">
            <v>20.254375570435634</v>
          </cell>
          <cell r="AN293">
            <v>21.433690242109837</v>
          </cell>
          <cell r="AQ293">
            <v>-100</v>
          </cell>
        </row>
        <row r="294">
          <cell r="AF294">
            <v>38247</v>
          </cell>
          <cell r="AG294">
            <v>393</v>
          </cell>
          <cell r="AH294">
            <v>273</v>
          </cell>
          <cell r="AI294">
            <v>10</v>
          </cell>
          <cell r="AJ294">
            <v>81885.540462839941</v>
          </cell>
          <cell r="AL294">
            <v>22.121682820644615</v>
          </cell>
          <cell r="AM294">
            <v>20.258674436761947</v>
          </cell>
          <cell r="AN294">
            <v>21.433690242109794</v>
          </cell>
          <cell r="AQ294">
            <v>-100</v>
          </cell>
        </row>
        <row r="295">
          <cell r="AF295">
            <v>38250</v>
          </cell>
          <cell r="AG295">
            <v>396</v>
          </cell>
          <cell r="AH295">
            <v>274</v>
          </cell>
          <cell r="AI295">
            <v>9</v>
          </cell>
          <cell r="AJ295">
            <v>81822.461509315326</v>
          </cell>
          <cell r="AL295">
            <v>22.215829437757996</v>
          </cell>
          <cell r="AM295">
            <v>20.262942076499769</v>
          </cell>
          <cell r="AN295">
            <v>21.433690242108195</v>
          </cell>
          <cell r="AQ295">
            <v>-100</v>
          </cell>
        </row>
        <row r="296">
          <cell r="AF296">
            <v>38251</v>
          </cell>
          <cell r="AG296">
            <v>397</v>
          </cell>
          <cell r="AH296">
            <v>275</v>
          </cell>
          <cell r="AI296">
            <v>8</v>
          </cell>
          <cell r="AJ296">
            <v>81759.431147451163</v>
          </cell>
          <cell r="AL296">
            <v>22.310048634820379</v>
          </cell>
          <cell r="AM296">
            <v>20.267178828655965</v>
          </cell>
          <cell r="AN296">
            <v>21.433690242108085</v>
          </cell>
          <cell r="AQ296">
            <v>-100</v>
          </cell>
        </row>
        <row r="297">
          <cell r="AF297">
            <v>38252</v>
          </cell>
          <cell r="AG297">
            <v>398</v>
          </cell>
          <cell r="AH297">
            <v>276</v>
          </cell>
          <cell r="AI297">
            <v>7</v>
          </cell>
          <cell r="AJ297">
            <v>81696.449339815794</v>
          </cell>
          <cell r="AL297">
            <v>22.404340467785477</v>
          </cell>
          <cell r="AM297">
            <v>20.271385027347975</v>
          </cell>
          <cell r="AN297">
            <v>21.433690242107375</v>
          </cell>
          <cell r="AQ297">
            <v>-100</v>
          </cell>
        </row>
        <row r="298">
          <cell r="AF298">
            <v>38253</v>
          </cell>
          <cell r="AG298">
            <v>399</v>
          </cell>
          <cell r="AH298">
            <v>277</v>
          </cell>
          <cell r="AI298">
            <v>6</v>
          </cell>
          <cell r="AJ298">
            <v>81633.516049006401</v>
          </cell>
          <cell r="AL298">
            <v>22.498704992650076</v>
          </cell>
          <cell r="AM298">
            <v>20.275561001891674</v>
          </cell>
          <cell r="AN298">
            <v>21.433690242105598</v>
          </cell>
          <cell r="AQ298">
            <v>-100</v>
          </cell>
        </row>
        <row r="299">
          <cell r="AF299">
            <v>38254</v>
          </cell>
          <cell r="AG299">
            <v>400</v>
          </cell>
          <cell r="AH299">
            <v>278</v>
          </cell>
          <cell r="AI299">
            <v>5</v>
          </cell>
          <cell r="AJ299">
            <v>81570.63123764898</v>
          </cell>
          <cell r="AL299">
            <v>22.593142265454148</v>
          </cell>
          <cell r="AM299">
            <v>20.279707076887178</v>
          </cell>
          <cell r="AN299">
            <v>21.433690242103687</v>
          </cell>
          <cell r="AQ299">
            <v>-100</v>
          </cell>
        </row>
        <row r="300">
          <cell r="AF300">
            <v>38257</v>
          </cell>
          <cell r="AG300">
            <v>403</v>
          </cell>
          <cell r="AH300">
            <v>279</v>
          </cell>
          <cell r="AI300">
            <v>4</v>
          </cell>
          <cell r="AJ300">
            <v>81507.794868398327</v>
          </cell>
          <cell r="AL300">
            <v>22.687652342280895</v>
          </cell>
          <cell r="AM300">
            <v>20.283823572303138</v>
          </cell>
          <cell r="AN300">
            <v>21.433690242100578</v>
          </cell>
          <cell r="AQ300">
            <v>-100</v>
          </cell>
        </row>
        <row r="301">
          <cell r="AF301">
            <v>38258</v>
          </cell>
          <cell r="AG301">
            <v>404</v>
          </cell>
          <cell r="AH301">
            <v>280</v>
          </cell>
          <cell r="AI301">
            <v>3</v>
          </cell>
          <cell r="AJ301">
            <v>81445.006903937974</v>
          </cell>
          <cell r="AL301">
            <v>22.782235279256714</v>
          </cell>
          <cell r="AM301">
            <v>20.287910803558916</v>
          </cell>
          <cell r="AN301">
            <v>21.433690242095338</v>
          </cell>
          <cell r="AQ301">
            <v>-100</v>
          </cell>
        </row>
        <row r="302">
          <cell r="AF302">
            <v>38259</v>
          </cell>
          <cell r="AG302">
            <v>405</v>
          </cell>
          <cell r="AH302">
            <v>281</v>
          </cell>
          <cell r="AI302">
            <v>2</v>
          </cell>
          <cell r="AJ302">
            <v>81382.26730698024</v>
          </cell>
          <cell r="AL302">
            <v>22.876891132551293</v>
          </cell>
          <cell r="AM302">
            <v>20.291969081605199</v>
          </cell>
          <cell r="AN302">
            <v>21.433690242085433</v>
          </cell>
          <cell r="AQ302">
            <v>-100</v>
          </cell>
        </row>
        <row r="303">
          <cell r="AF303">
            <v>38260</v>
          </cell>
          <cell r="AG303">
            <v>406</v>
          </cell>
          <cell r="AH303">
            <v>282</v>
          </cell>
          <cell r="AI303">
            <v>1</v>
          </cell>
          <cell r="AJ303">
            <v>81319.57604026614</v>
          </cell>
          <cell r="AL303">
            <v>22.971619958377644</v>
          </cell>
          <cell r="AM303">
            <v>20.295998713002895</v>
          </cell>
          <cell r="AN303">
            <v>21.433690242061587</v>
          </cell>
          <cell r="AQ303">
            <v>-100</v>
          </cell>
        </row>
        <row r="304">
          <cell r="AF304">
            <v>38261</v>
          </cell>
          <cell r="AG304">
            <v>407</v>
          </cell>
          <cell r="AH304">
            <v>283</v>
          </cell>
          <cell r="AI304">
            <v>20</v>
          </cell>
          <cell r="AJ304">
            <v>81256.933066565543</v>
          </cell>
          <cell r="AK304">
            <v>1.0007355338784787</v>
          </cell>
          <cell r="AL304">
            <v>23.066421812991834</v>
          </cell>
          <cell r="AM304">
            <v>20.300000000000008</v>
          </cell>
          <cell r="AN304">
            <v>20.356309546937766</v>
          </cell>
          <cell r="AQ304">
            <v>-100</v>
          </cell>
        </row>
        <row r="305">
          <cell r="AF305">
            <v>38264</v>
          </cell>
          <cell r="AG305">
            <v>410</v>
          </cell>
          <cell r="AH305">
            <v>284</v>
          </cell>
          <cell r="AI305">
            <v>19</v>
          </cell>
          <cell r="AJ305">
            <v>81197.209767943277</v>
          </cell>
          <cell r="AL305">
            <v>23.156941335538448</v>
          </cell>
          <cell r="AM305">
            <v>20.300198226826982</v>
          </cell>
          <cell r="AN305">
            <v>20.356309546937656</v>
          </cell>
          <cell r="AQ305">
            <v>-100</v>
          </cell>
        </row>
        <row r="306">
          <cell r="AF306">
            <v>38265</v>
          </cell>
          <cell r="AG306">
            <v>411</v>
          </cell>
          <cell r="AH306">
            <v>285</v>
          </cell>
          <cell r="AI306">
            <v>18</v>
          </cell>
          <cell r="AJ306">
            <v>81137.530365543324</v>
          </cell>
          <cell r="AL306">
            <v>23.247527438260551</v>
          </cell>
          <cell r="AM306">
            <v>20.300395062911704</v>
          </cell>
          <cell r="AN306">
            <v>20.356309546937702</v>
          </cell>
          <cell r="AQ306">
            <v>-100</v>
          </cell>
        </row>
        <row r="307">
          <cell r="AF307">
            <v>38266</v>
          </cell>
          <cell r="AG307">
            <v>412</v>
          </cell>
          <cell r="AH307">
            <v>286</v>
          </cell>
          <cell r="AI307">
            <v>17</v>
          </cell>
          <cell r="AJ307">
            <v>81077.894827102253</v>
          </cell>
          <cell r="AL307">
            <v>23.338180170130141</v>
          </cell>
          <cell r="AM307">
            <v>20.300590522839013</v>
          </cell>
          <cell r="AN307">
            <v>20.356309546937457</v>
          </cell>
          <cell r="AQ307">
            <v>-100</v>
          </cell>
        </row>
        <row r="308">
          <cell r="AF308">
            <v>38267</v>
          </cell>
          <cell r="AG308">
            <v>413</v>
          </cell>
          <cell r="AH308">
            <v>287</v>
          </cell>
          <cell r="AI308">
            <v>16</v>
          </cell>
          <cell r="AJ308">
            <v>81018.303120380355</v>
          </cell>
          <cell r="AL308">
            <v>23.428899580155171</v>
          </cell>
          <cell r="AM308">
            <v>20.300784620990477</v>
          </cell>
          <cell r="AN308">
            <v>20.356309546937233</v>
          </cell>
          <cell r="AQ308">
            <v>-100</v>
          </cell>
        </row>
        <row r="309">
          <cell r="AF309">
            <v>38268</v>
          </cell>
          <cell r="AG309">
            <v>414</v>
          </cell>
          <cell r="AH309">
            <v>288</v>
          </cell>
          <cell r="AI309">
            <v>15</v>
          </cell>
          <cell r="AJ309">
            <v>80958.75521316161</v>
          </cell>
          <cell r="AL309">
            <v>23.519685717379723</v>
          </cell>
          <cell r="AM309">
            <v>20.300977371548036</v>
          </cell>
          <cell r="AN309">
            <v>20.356309546936792</v>
          </cell>
          <cell r="AQ309">
            <v>-100</v>
          </cell>
        </row>
        <row r="310">
          <cell r="AF310">
            <v>38271</v>
          </cell>
          <cell r="AG310">
            <v>417</v>
          </cell>
          <cell r="AH310">
            <v>289</v>
          </cell>
          <cell r="AI310">
            <v>14</v>
          </cell>
          <cell r="AJ310">
            <v>80899.251073253676</v>
          </cell>
          <cell r="AL310">
            <v>23.610538630883916</v>
          </cell>
          <cell r="AM310">
            <v>20.301168788497325</v>
          </cell>
          <cell r="AN310">
            <v>20.356309546936547</v>
          </cell>
          <cell r="AQ310">
            <v>-100</v>
          </cell>
        </row>
        <row r="311">
          <cell r="AF311">
            <v>38273</v>
          </cell>
          <cell r="AG311">
            <v>419</v>
          </cell>
          <cell r="AH311">
            <v>290</v>
          </cell>
          <cell r="AI311">
            <v>13</v>
          </cell>
          <cell r="AJ311">
            <v>80839.790668487884</v>
          </cell>
          <cell r="AL311">
            <v>23.701458369783921</v>
          </cell>
          <cell r="AM311">
            <v>20.30135888563116</v>
          </cell>
          <cell r="AN311">
            <v>20.356309546936412</v>
          </cell>
          <cell r="AQ311">
            <v>-100</v>
          </cell>
        </row>
        <row r="312">
          <cell r="AF312">
            <v>38274</v>
          </cell>
          <cell r="AG312">
            <v>420</v>
          </cell>
          <cell r="AH312">
            <v>291</v>
          </cell>
          <cell r="AI312">
            <v>12</v>
          </cell>
          <cell r="AJ312">
            <v>80780.373966719184</v>
          </cell>
          <cell r="AL312">
            <v>23.792444983232119</v>
          </cell>
          <cell r="AM312">
            <v>20.30154767655279</v>
          </cell>
          <cell r="AN312">
            <v>20.356309546935989</v>
          </cell>
          <cell r="AQ312">
            <v>-100</v>
          </cell>
        </row>
        <row r="313">
          <cell r="AF313">
            <v>38275</v>
          </cell>
          <cell r="AG313">
            <v>421</v>
          </cell>
          <cell r="AH313">
            <v>292</v>
          </cell>
          <cell r="AI313">
            <v>11</v>
          </cell>
          <cell r="AJ313">
            <v>80721.000935826174</v>
          </cell>
          <cell r="AL313">
            <v>23.883498520416978</v>
          </cell>
          <cell r="AM313">
            <v>20.301735174679123</v>
          </cell>
          <cell r="AN313">
            <v>20.356309546935702</v>
          </cell>
          <cell r="AQ313">
            <v>-100</v>
          </cell>
        </row>
        <row r="314">
          <cell r="AF314">
            <v>38278</v>
          </cell>
          <cell r="AG314">
            <v>424</v>
          </cell>
          <cell r="AH314">
            <v>293</v>
          </cell>
          <cell r="AI314">
            <v>10</v>
          </cell>
          <cell r="AJ314">
            <v>80661.671543711054</v>
          </cell>
          <cell r="AL314">
            <v>23.974619030563215</v>
          </cell>
          <cell r="AM314">
            <v>20.301921393244026</v>
          </cell>
          <cell r="AN314">
            <v>20.356309546935456</v>
          </cell>
          <cell r="AQ314">
            <v>-100</v>
          </cell>
        </row>
        <row r="315">
          <cell r="AF315">
            <v>38279</v>
          </cell>
          <cell r="AG315">
            <v>425</v>
          </cell>
          <cell r="AH315">
            <v>294</v>
          </cell>
          <cell r="AI315">
            <v>9</v>
          </cell>
          <cell r="AJ315">
            <v>80602.385758299613</v>
          </cell>
          <cell r="AL315">
            <v>24.065806562931691</v>
          </cell>
          <cell r="AM315">
            <v>20.302106345301276</v>
          </cell>
          <cell r="AN315">
            <v>20.356309546935126</v>
          </cell>
          <cell r="AQ315">
            <v>-100</v>
          </cell>
        </row>
        <row r="316">
          <cell r="AF316">
            <v>38280</v>
          </cell>
          <cell r="AG316">
            <v>426</v>
          </cell>
          <cell r="AH316">
            <v>295</v>
          </cell>
          <cell r="AI316">
            <v>8</v>
          </cell>
          <cell r="AJ316">
            <v>80543.143547541229</v>
          </cell>
          <cell r="AL316">
            <v>24.157061166819503</v>
          </cell>
          <cell r="AM316">
            <v>20.302290043727744</v>
          </cell>
          <cell r="AN316">
            <v>20.356309546934838</v>
          </cell>
          <cell r="AQ316">
            <v>-100</v>
          </cell>
        </row>
        <row r="317">
          <cell r="AF317">
            <v>38281</v>
          </cell>
          <cell r="AG317">
            <v>427</v>
          </cell>
          <cell r="AH317">
            <v>296</v>
          </cell>
          <cell r="AI317">
            <v>7</v>
          </cell>
          <cell r="AJ317">
            <v>80483.944879408809</v>
          </cell>
          <cell r="AL317">
            <v>24.248382891560063</v>
          </cell>
          <cell r="AM317">
            <v>20.302472501226298</v>
          </cell>
          <cell r="AN317">
            <v>20.35630954693368</v>
          </cell>
          <cell r="AQ317">
            <v>-100</v>
          </cell>
        </row>
        <row r="318">
          <cell r="AF318">
            <v>38282</v>
          </cell>
          <cell r="AG318">
            <v>428</v>
          </cell>
          <cell r="AH318">
            <v>297</v>
          </cell>
          <cell r="AI318">
            <v>6</v>
          </cell>
          <cell r="AJ318">
            <v>80424.789721898822</v>
          </cell>
          <cell r="AL318">
            <v>24.339771786523002</v>
          </cell>
          <cell r="AM318">
            <v>20.302653730328778</v>
          </cell>
          <cell r="AN318">
            <v>20.35630954693206</v>
          </cell>
          <cell r="AQ318">
            <v>-100</v>
          </cell>
        </row>
        <row r="319">
          <cell r="AF319">
            <v>38285</v>
          </cell>
          <cell r="AG319">
            <v>431</v>
          </cell>
          <cell r="AH319">
            <v>298</v>
          </cell>
          <cell r="AI319">
            <v>5</v>
          </cell>
          <cell r="AJ319">
            <v>80365.678043031265</v>
          </cell>
          <cell r="AL319">
            <v>24.431227901114294</v>
          </cell>
          <cell r="AM319">
            <v>20.302833743398807</v>
          </cell>
          <cell r="AN319">
            <v>20.356309546930973</v>
          </cell>
          <cell r="AQ319">
            <v>-100</v>
          </cell>
        </row>
        <row r="320">
          <cell r="AF320">
            <v>38286</v>
          </cell>
          <cell r="AG320">
            <v>432</v>
          </cell>
          <cell r="AH320">
            <v>299</v>
          </cell>
          <cell r="AI320">
            <v>4</v>
          </cell>
          <cell r="AJ320">
            <v>80306.609810849623</v>
          </cell>
          <cell r="AL320">
            <v>24.522751284776255</v>
          </cell>
          <cell r="AM320">
            <v>20.303012552634691</v>
          </cell>
          <cell r="AN320">
            <v>20.356309546929818</v>
          </cell>
          <cell r="AQ320">
            <v>-100</v>
          </cell>
        </row>
        <row r="321">
          <cell r="AF321">
            <v>38287</v>
          </cell>
          <cell r="AG321">
            <v>433</v>
          </cell>
          <cell r="AH321">
            <v>300</v>
          </cell>
          <cell r="AI321">
            <v>3</v>
          </cell>
          <cell r="AJ321">
            <v>80247.584993420867</v>
          </cell>
          <cell r="AL321">
            <v>24.614341986987576</v>
          </cell>
          <cell r="AM321">
            <v>20.303190170072117</v>
          </cell>
          <cell r="AN321">
            <v>20.356309546925466</v>
          </cell>
          <cell r="AQ321">
            <v>-100</v>
          </cell>
        </row>
        <row r="322">
          <cell r="AF322">
            <v>38288</v>
          </cell>
          <cell r="AG322">
            <v>434</v>
          </cell>
          <cell r="AH322">
            <v>301</v>
          </cell>
          <cell r="AI322">
            <v>2</v>
          </cell>
          <cell r="AJ322">
            <v>80188.603558835443</v>
          </cell>
          <cell r="AL322">
            <v>24.706000057263331</v>
          </cell>
          <cell r="AM322">
            <v>20.30336660758687</v>
          </cell>
          <cell r="AN322">
            <v>20.356309546918048</v>
          </cell>
          <cell r="AQ322">
            <v>-100</v>
          </cell>
        </row>
        <row r="323">
          <cell r="AF323">
            <v>38289</v>
          </cell>
          <cell r="AG323">
            <v>435</v>
          </cell>
          <cell r="AH323">
            <v>302</v>
          </cell>
          <cell r="AI323">
            <v>1</v>
          </cell>
          <cell r="AJ323">
            <v>80129.665475207265</v>
          </cell>
          <cell r="AL323">
            <v>24.797725545155025</v>
          </cell>
          <cell r="AM323">
            <v>20.303541876897469</v>
          </cell>
          <cell r="AN323">
            <v>20.356309546898043</v>
          </cell>
          <cell r="AQ323">
            <v>-100</v>
          </cell>
        </row>
        <row r="324">
          <cell r="AF324">
            <v>38292</v>
          </cell>
          <cell r="AG324">
            <v>438</v>
          </cell>
          <cell r="AH324">
            <v>303</v>
          </cell>
          <cell r="AI324">
            <v>20</v>
          </cell>
          <cell r="AJ324">
            <v>80070.77071067378</v>
          </cell>
          <cell r="AK324">
            <v>1.0007355338784787</v>
          </cell>
          <cell r="AL324">
            <v>24.889518500250386</v>
          </cell>
          <cell r="AM324">
            <v>20.303715989567618</v>
          </cell>
          <cell r="AN324">
            <v>20.356309546938078</v>
          </cell>
          <cell r="AQ324">
            <v>-100</v>
          </cell>
        </row>
        <row r="325">
          <cell r="AF325">
            <v>38294</v>
          </cell>
          <cell r="AG325">
            <v>440</v>
          </cell>
          <cell r="AH325">
            <v>304</v>
          </cell>
          <cell r="AI325">
            <v>19</v>
          </cell>
          <cell r="AJ325">
            <v>80011.919233395514</v>
          </cell>
          <cell r="AL325">
            <v>24.981378972174227</v>
          </cell>
          <cell r="AM325">
            <v>20.30388895700932</v>
          </cell>
          <cell r="AN325">
            <v>20.356309546938011</v>
          </cell>
          <cell r="AQ325">
            <v>-100</v>
          </cell>
        </row>
        <row r="326">
          <cell r="AF326">
            <v>38295</v>
          </cell>
          <cell r="AG326">
            <v>441</v>
          </cell>
          <cell r="AH326">
            <v>305</v>
          </cell>
          <cell r="AI326">
            <v>18</v>
          </cell>
          <cell r="AJ326">
            <v>79953.111011556743</v>
          </cell>
          <cell r="AL326">
            <v>25.073307010587254</v>
          </cell>
          <cell r="AM326">
            <v>20.304060790484524</v>
          </cell>
          <cell r="AN326">
            <v>20.356309546937702</v>
          </cell>
          <cell r="AQ326">
            <v>-100</v>
          </cell>
        </row>
        <row r="327">
          <cell r="AF327">
            <v>38296</v>
          </cell>
          <cell r="AG327">
            <v>442</v>
          </cell>
          <cell r="AH327">
            <v>306</v>
          </cell>
          <cell r="AI327">
            <v>17</v>
          </cell>
          <cell r="AJ327">
            <v>79894.346013365008</v>
          </cell>
          <cell r="AL327">
            <v>25.165302665186907</v>
          </cell>
          <cell r="AM327">
            <v>20.304231501108163</v>
          </cell>
          <cell r="AN327">
            <v>20.356309546937457</v>
          </cell>
          <cell r="AQ327">
            <v>-100</v>
          </cell>
        </row>
        <row r="328">
          <cell r="AF328">
            <v>38299</v>
          </cell>
          <cell r="AG328">
            <v>445</v>
          </cell>
          <cell r="AH328">
            <v>307</v>
          </cell>
          <cell r="AI328">
            <v>16</v>
          </cell>
          <cell r="AJ328">
            <v>79835.624207051223</v>
          </cell>
          <cell r="AL328">
            <v>25.257365985707203</v>
          </cell>
          <cell r="AM328">
            <v>20.304401099850345</v>
          </cell>
          <cell r="AN328">
            <v>20.356309546937233</v>
          </cell>
          <cell r="AQ328">
            <v>-100</v>
          </cell>
        </row>
        <row r="329">
          <cell r="AF329">
            <v>38300</v>
          </cell>
          <cell r="AG329">
            <v>446</v>
          </cell>
          <cell r="AH329">
            <v>308</v>
          </cell>
          <cell r="AI329">
            <v>15</v>
          </cell>
          <cell r="AJ329">
            <v>79776.945560869659</v>
          </cell>
          <cell r="AL329">
            <v>25.349497021918687</v>
          </cell>
          <cell r="AM329">
            <v>20.304569597538769</v>
          </cell>
          <cell r="AN329">
            <v>20.356309546937233</v>
          </cell>
          <cell r="AQ329">
            <v>-100</v>
          </cell>
        </row>
        <row r="330">
          <cell r="AF330">
            <v>38301</v>
          </cell>
          <cell r="AG330">
            <v>447</v>
          </cell>
          <cell r="AH330">
            <v>309</v>
          </cell>
          <cell r="AI330">
            <v>14</v>
          </cell>
          <cell r="AJ330">
            <v>79718.310043097896</v>
          </cell>
          <cell r="AL330">
            <v>25.441695823628564</v>
          </cell>
          <cell r="AM330">
            <v>20.30473700486095</v>
          </cell>
          <cell r="AN330">
            <v>20.356309546936991</v>
          </cell>
          <cell r="AQ330">
            <v>-100</v>
          </cell>
        </row>
        <row r="331">
          <cell r="AF331">
            <v>38302</v>
          </cell>
          <cell r="AG331">
            <v>448</v>
          </cell>
          <cell r="AH331">
            <v>310</v>
          </cell>
          <cell r="AI331">
            <v>13</v>
          </cell>
          <cell r="AJ331">
            <v>79659.717622036842</v>
          </cell>
          <cell r="AL331">
            <v>25.533962440680646</v>
          </cell>
          <cell r="AM331">
            <v>20.304903332366607</v>
          </cell>
          <cell r="AN331">
            <v>20.356309546936902</v>
          </cell>
          <cell r="AQ331">
            <v>-100</v>
          </cell>
        </row>
        <row r="332">
          <cell r="AF332">
            <v>38303</v>
          </cell>
          <cell r="AG332">
            <v>449</v>
          </cell>
          <cell r="AH332">
            <v>311</v>
          </cell>
          <cell r="AI332">
            <v>12</v>
          </cell>
          <cell r="AJ332">
            <v>79601.168266010704</v>
          </cell>
          <cell r="AL332">
            <v>25.626296922955461</v>
          </cell>
          <cell r="AM332">
            <v>20.305068590469766</v>
          </cell>
          <cell r="AN332">
            <v>20.356309546936835</v>
          </cell>
          <cell r="AQ332">
            <v>-100</v>
          </cell>
        </row>
        <row r="333">
          <cell r="AF333">
            <v>38307</v>
          </cell>
          <cell r="AG333">
            <v>453</v>
          </cell>
          <cell r="AH333">
            <v>312</v>
          </cell>
          <cell r="AI333">
            <v>11</v>
          </cell>
          <cell r="AJ333">
            <v>79542.661943366984</v>
          </cell>
          <cell r="AL333">
            <v>25.718699320370099</v>
          </cell>
          <cell r="AM333">
            <v>20.305232789450912</v>
          </cell>
          <cell r="AN333">
            <v>20.356309546936302</v>
          </cell>
          <cell r="AQ333">
            <v>-100</v>
          </cell>
        </row>
        <row r="334">
          <cell r="AF334">
            <v>38308</v>
          </cell>
          <cell r="AG334">
            <v>454</v>
          </cell>
          <cell r="AH334">
            <v>313</v>
          </cell>
          <cell r="AI334">
            <v>10</v>
          </cell>
          <cell r="AJ334">
            <v>79484.198622476426</v>
          </cell>
          <cell r="AL334">
            <v>25.811169682878511</v>
          </cell>
          <cell r="AM334">
            <v>20.305395939459281</v>
          </cell>
          <cell r="AN334">
            <v>20.356309546936124</v>
          </cell>
          <cell r="AQ334">
            <v>-100</v>
          </cell>
        </row>
        <row r="335">
          <cell r="AF335">
            <v>38309</v>
          </cell>
          <cell r="AG335">
            <v>455</v>
          </cell>
          <cell r="AH335">
            <v>314</v>
          </cell>
          <cell r="AI335">
            <v>9</v>
          </cell>
          <cell r="AJ335">
            <v>79425.778271733026</v>
          </cell>
          <cell r="AL335">
            <v>25.90370806047131</v>
          </cell>
          <cell r="AM335">
            <v>20.305558050514772</v>
          </cell>
          <cell r="AN335">
            <v>20.356309546935126</v>
          </cell>
          <cell r="AQ335">
            <v>-100</v>
          </cell>
        </row>
        <row r="336">
          <cell r="AF336">
            <v>38310</v>
          </cell>
          <cell r="AG336">
            <v>456</v>
          </cell>
          <cell r="AH336">
            <v>315</v>
          </cell>
          <cell r="AI336">
            <v>8</v>
          </cell>
          <cell r="AJ336">
            <v>79367.400859554022</v>
          </cell>
          <cell r="AL336">
            <v>25.996314503175878</v>
          </cell>
          <cell r="AM336">
            <v>20.30571913251007</v>
          </cell>
          <cell r="AN336">
            <v>20.356309546934838</v>
          </cell>
          <cell r="AQ336">
            <v>-100</v>
          </cell>
        </row>
        <row r="337">
          <cell r="AF337">
            <v>38313</v>
          </cell>
          <cell r="AG337">
            <v>459</v>
          </cell>
          <cell r="AH337">
            <v>316</v>
          </cell>
          <cell r="AI337">
            <v>7</v>
          </cell>
          <cell r="AJ337">
            <v>79309.066354379858</v>
          </cell>
          <cell r="AL337">
            <v>26.088989061056434</v>
          </cell>
          <cell r="AM337">
            <v>20.305879195212718</v>
          </cell>
          <cell r="AN337">
            <v>20.35630954693368</v>
          </cell>
          <cell r="AQ337">
            <v>-100</v>
          </cell>
        </row>
        <row r="338">
          <cell r="AF338">
            <v>38314</v>
          </cell>
          <cell r="AG338">
            <v>460</v>
          </cell>
          <cell r="AH338">
            <v>317</v>
          </cell>
          <cell r="AI338">
            <v>6</v>
          </cell>
          <cell r="AJ338">
            <v>79250.774724674178</v>
          </cell>
          <cell r="AL338">
            <v>26.181731784213969</v>
          </cell>
          <cell r="AM338">
            <v>20.306038248266955</v>
          </cell>
          <cell r="AN338">
            <v>20.35630954693206</v>
          </cell>
          <cell r="AQ338">
            <v>-100</v>
          </cell>
        </row>
        <row r="339">
          <cell r="AF339">
            <v>38315</v>
          </cell>
          <cell r="AG339">
            <v>461</v>
          </cell>
          <cell r="AH339">
            <v>318</v>
          </cell>
          <cell r="AI339">
            <v>5</v>
          </cell>
          <cell r="AJ339">
            <v>79192.525938923791</v>
          </cell>
          <cell r="AL339">
            <v>26.274542722786375</v>
          </cell>
          <cell r="AM339">
            <v>20.306196301195854</v>
          </cell>
          <cell r="AN339">
            <v>20.356309546930973</v>
          </cell>
          <cell r="AQ339">
            <v>-100</v>
          </cell>
        </row>
        <row r="340">
          <cell r="AF340">
            <v>38316</v>
          </cell>
          <cell r="AG340">
            <v>462</v>
          </cell>
          <cell r="AH340">
            <v>319</v>
          </cell>
          <cell r="AI340">
            <v>4</v>
          </cell>
          <cell r="AJ340">
            <v>79134.319965638686</v>
          </cell>
          <cell r="AL340">
            <v>26.367421926948388</v>
          </cell>
          <cell r="AM340">
            <v>20.306353363402984</v>
          </cell>
          <cell r="AN340">
            <v>20.356309546928109</v>
          </cell>
          <cell r="AQ340">
            <v>-100</v>
          </cell>
        </row>
        <row r="341">
          <cell r="AF341">
            <v>38317</v>
          </cell>
          <cell r="AG341">
            <v>463</v>
          </cell>
          <cell r="AH341">
            <v>320</v>
          </cell>
          <cell r="AI341">
            <v>3</v>
          </cell>
          <cell r="AJ341">
            <v>79076.156773351991</v>
          </cell>
          <cell r="AL341">
            <v>26.460369446911681</v>
          </cell>
          <cell r="AM341">
            <v>20.306509444174448</v>
          </cell>
          <cell r="AN341">
            <v>20.356309546923246</v>
          </cell>
          <cell r="AQ341">
            <v>-100</v>
          </cell>
        </row>
        <row r="342">
          <cell r="AF342">
            <v>38320</v>
          </cell>
          <cell r="AG342">
            <v>466</v>
          </cell>
          <cell r="AH342">
            <v>321</v>
          </cell>
          <cell r="AI342">
            <v>2</v>
          </cell>
          <cell r="AJ342">
            <v>79018.036330619958</v>
          </cell>
          <cell r="AL342">
            <v>26.553385332924819</v>
          </cell>
          <cell r="AM342">
            <v>20.306664552680644</v>
          </cell>
          <cell r="AN342">
            <v>20.356309546914741</v>
          </cell>
          <cell r="AQ342">
            <v>-100</v>
          </cell>
        </row>
        <row r="343">
          <cell r="AF343">
            <v>38321</v>
          </cell>
          <cell r="AG343">
            <v>467</v>
          </cell>
          <cell r="AH343">
            <v>322</v>
          </cell>
          <cell r="AI343">
            <v>1</v>
          </cell>
          <cell r="AJ343">
            <v>78959.958606021959</v>
          </cell>
          <cell r="AL343">
            <v>26.646469635273352</v>
          </cell>
          <cell r="AM343">
            <v>20.306818697978102</v>
          </cell>
          <cell r="AN343">
            <v>20.356309546891495</v>
          </cell>
          <cell r="AQ343">
            <v>-100</v>
          </cell>
        </row>
        <row r="344">
          <cell r="AF344">
            <v>38322</v>
          </cell>
          <cell r="AG344">
            <v>468</v>
          </cell>
          <cell r="AH344">
            <v>323</v>
          </cell>
          <cell r="AI344">
            <v>23</v>
          </cell>
          <cell r="AJ344">
            <v>78901.923568160564</v>
          </cell>
          <cell r="AK344">
            <v>1.0008048886376513</v>
          </cell>
          <cell r="AL344">
            <v>26.739622404279608</v>
          </cell>
          <cell r="AM344">
            <v>20.306971889011006</v>
          </cell>
          <cell r="AN344">
            <v>22.476666940898539</v>
          </cell>
          <cell r="AQ344">
            <v>-100</v>
          </cell>
        </row>
        <row r="345">
          <cell r="AF345">
            <v>38323</v>
          </cell>
          <cell r="AG345">
            <v>469</v>
          </cell>
          <cell r="AH345">
            <v>324</v>
          </cell>
          <cell r="AI345">
            <v>22</v>
          </cell>
          <cell r="AJ345">
            <v>78838.467381555311</v>
          </cell>
          <cell r="AL345">
            <v>26.841633686293022</v>
          </cell>
          <cell r="AM345">
            <v>20.313608992736533</v>
          </cell>
          <cell r="AN345">
            <v>22.476666940898404</v>
          </cell>
          <cell r="AQ345">
            <v>-100</v>
          </cell>
        </row>
        <row r="346">
          <cell r="AF346">
            <v>38324</v>
          </cell>
          <cell r="AG346">
            <v>470</v>
          </cell>
          <cell r="AH346">
            <v>325</v>
          </cell>
          <cell r="AI346">
            <v>21</v>
          </cell>
          <cell r="AJ346">
            <v>78775.062229036892</v>
          </cell>
          <cell r="AL346">
            <v>26.943727076028235</v>
          </cell>
          <cell r="AM346">
            <v>20.320205615530007</v>
          </cell>
          <cell r="AN346">
            <v>22.476666940898625</v>
          </cell>
          <cell r="AQ346">
            <v>-100</v>
          </cell>
        </row>
        <row r="347">
          <cell r="AF347">
            <v>38327</v>
          </cell>
          <cell r="AG347">
            <v>473</v>
          </cell>
          <cell r="AH347">
            <v>326</v>
          </cell>
          <cell r="AI347">
            <v>20</v>
          </cell>
          <cell r="AJ347">
            <v>78711.708069561573</v>
          </cell>
          <cell r="AL347">
            <v>27.045902639572851</v>
          </cell>
          <cell r="AM347">
            <v>20.326762126606781</v>
          </cell>
          <cell r="AN347">
            <v>22.476666940898692</v>
          </cell>
          <cell r="AQ347">
            <v>-100</v>
          </cell>
        </row>
        <row r="348">
          <cell r="AF348">
            <v>38328</v>
          </cell>
          <cell r="AG348">
            <v>474</v>
          </cell>
          <cell r="AH348">
            <v>327</v>
          </cell>
          <cell r="AI348">
            <v>19</v>
          </cell>
          <cell r="AJ348">
            <v>78648.404862118652</v>
          </cell>
          <cell r="AL348">
            <v>27.148160443067603</v>
          </cell>
          <cell r="AM348">
            <v>20.333278890705863</v>
          </cell>
          <cell r="AN348">
            <v>22.476666940898692</v>
          </cell>
          <cell r="AQ348">
            <v>-100</v>
          </cell>
        </row>
        <row r="349">
          <cell r="AF349">
            <v>38329</v>
          </cell>
          <cell r="AG349">
            <v>475</v>
          </cell>
          <cell r="AH349">
            <v>328</v>
          </cell>
          <cell r="AI349">
            <v>18</v>
          </cell>
          <cell r="AJ349">
            <v>78585.152565730401</v>
          </cell>
          <cell r="AL349">
            <v>27.25050055270648</v>
          </cell>
          <cell r="AM349">
            <v>20.339756268157583</v>
          </cell>
          <cell r="AN349">
            <v>22.476666940898472</v>
          </cell>
          <cell r="AQ349">
            <v>-100</v>
          </cell>
        </row>
        <row r="350">
          <cell r="AF350">
            <v>38330</v>
          </cell>
          <cell r="AG350">
            <v>476</v>
          </cell>
          <cell r="AH350">
            <v>329</v>
          </cell>
          <cell r="AI350">
            <v>17</v>
          </cell>
          <cell r="AJ350">
            <v>78521.951139452052</v>
          </cell>
          <cell r="AL350">
            <v>27.352923034736797</v>
          </cell>
          <cell r="AM350">
            <v>20.346194614950129</v>
          </cell>
          <cell r="AN350">
            <v>22.476666940898738</v>
          </cell>
          <cell r="AQ350">
            <v>-100</v>
          </cell>
        </row>
        <row r="351">
          <cell r="AF351">
            <v>38331</v>
          </cell>
          <cell r="AG351">
            <v>477</v>
          </cell>
          <cell r="AH351">
            <v>330</v>
          </cell>
          <cell r="AI351">
            <v>16</v>
          </cell>
          <cell r="AJ351">
            <v>78458.800542371755</v>
          </cell>
          <cell r="AL351">
            <v>27.455427955459122</v>
          </cell>
          <cell r="AM351">
            <v>20.352594282794524</v>
          </cell>
          <cell r="AN351">
            <v>22.476666940899115</v>
          </cell>
          <cell r="AQ351">
            <v>-100</v>
          </cell>
        </row>
        <row r="352">
          <cell r="AF352">
            <v>38334</v>
          </cell>
          <cell r="AG352">
            <v>480</v>
          </cell>
          <cell r="AH352">
            <v>331</v>
          </cell>
          <cell r="AI352">
            <v>15</v>
          </cell>
          <cell r="AJ352">
            <v>78395.70073361056</v>
          </cell>
          <cell r="AL352">
            <v>27.558015381227442</v>
          </cell>
          <cell r="AM352">
            <v>20.358955619188901</v>
          </cell>
          <cell r="AN352">
            <v>22.476666940898895</v>
          </cell>
          <cell r="AQ352">
            <v>-100</v>
          </cell>
        </row>
        <row r="353">
          <cell r="AF353">
            <v>38335</v>
          </cell>
          <cell r="AG353">
            <v>481</v>
          </cell>
          <cell r="AH353">
            <v>332</v>
          </cell>
          <cell r="AI353">
            <v>14</v>
          </cell>
          <cell r="AJ353">
            <v>78332.651672322419</v>
          </cell>
          <cell r="AL353">
            <v>27.660685378449145</v>
          </cell>
          <cell r="AM353">
            <v>20.365278967481217</v>
          </cell>
          <cell r="AN353">
            <v>22.476666940899381</v>
          </cell>
          <cell r="AQ353">
            <v>-100</v>
          </cell>
        </row>
        <row r="354">
          <cell r="AF354">
            <v>38336</v>
          </cell>
          <cell r="AG354">
            <v>482</v>
          </cell>
          <cell r="AH354">
            <v>333</v>
          </cell>
          <cell r="AI354">
            <v>13</v>
          </cell>
          <cell r="AJ354">
            <v>78269.653317694101</v>
          </cell>
          <cell r="AL354">
            <v>27.763438013585031</v>
          </cell>
          <cell r="AM354">
            <v>20.371564666931153</v>
          </cell>
          <cell r="AN354">
            <v>22.476666940899381</v>
          </cell>
          <cell r="AQ354">
            <v>-100</v>
          </cell>
        </row>
        <row r="355">
          <cell r="AF355">
            <v>38337</v>
          </cell>
          <cell r="AG355">
            <v>483</v>
          </cell>
          <cell r="AH355">
            <v>334</v>
          </cell>
          <cell r="AI355">
            <v>12</v>
          </cell>
          <cell r="AJ355">
            <v>78206.70562894523</v>
          </cell>
          <cell r="AL355">
            <v>27.866273353149417</v>
          </cell>
          <cell r="AM355">
            <v>20.377813052770644</v>
          </cell>
          <cell r="AN355">
            <v>22.476666940899648</v>
          </cell>
          <cell r="AQ355">
            <v>-100</v>
          </cell>
        </row>
        <row r="356">
          <cell r="AF356">
            <v>38338</v>
          </cell>
          <cell r="AG356">
            <v>484</v>
          </cell>
          <cell r="AH356">
            <v>335</v>
          </cell>
          <cell r="AI356">
            <v>11</v>
          </cell>
          <cell r="AJ356">
            <v>78143.808565328203</v>
          </cell>
          <cell r="AL356">
            <v>27.969191463710175</v>
          </cell>
          <cell r="AM356">
            <v>20.384024456263639</v>
          </cell>
          <cell r="AN356">
            <v>22.476666940900138</v>
          </cell>
          <cell r="AQ356">
            <v>-100</v>
          </cell>
        </row>
        <row r="357">
          <cell r="AF357">
            <v>38341</v>
          </cell>
          <cell r="AG357">
            <v>487</v>
          </cell>
          <cell r="AH357">
            <v>336</v>
          </cell>
          <cell r="AI357">
            <v>10</v>
          </cell>
          <cell r="AJ357">
            <v>78080.962086128202</v>
          </cell>
          <cell r="AL357">
            <v>28.072192411888743</v>
          </cell>
          <cell r="AM357">
            <v>20.390199204764482</v>
          </cell>
          <cell r="AN357">
            <v>22.476666940900358</v>
          </cell>
          <cell r="AQ357">
            <v>-100</v>
          </cell>
        </row>
        <row r="358">
          <cell r="AF358">
            <v>38342</v>
          </cell>
          <cell r="AG358">
            <v>488</v>
          </cell>
          <cell r="AH358">
            <v>337</v>
          </cell>
          <cell r="AI358">
            <v>9</v>
          </cell>
          <cell r="AJ358">
            <v>78018.16615066315</v>
          </cell>
          <cell r="AL358">
            <v>28.175276264360139</v>
          </cell>
          <cell r="AM358">
            <v>20.396337621775508</v>
          </cell>
          <cell r="AN358">
            <v>22.476666940901069</v>
          </cell>
          <cell r="AQ358">
            <v>-100</v>
          </cell>
        </row>
        <row r="359">
          <cell r="AF359">
            <v>38343</v>
          </cell>
          <cell r="AG359">
            <v>489</v>
          </cell>
          <cell r="AH359">
            <v>338</v>
          </cell>
          <cell r="AI359">
            <v>8</v>
          </cell>
          <cell r="AJ359">
            <v>77955.420718283684</v>
          </cell>
          <cell r="AL359">
            <v>28.278443087853123</v>
          </cell>
          <cell r="AM359">
            <v>20.402440027003532</v>
          </cell>
          <cell r="AN359">
            <v>22.476666940901382</v>
          </cell>
          <cell r="AQ359">
            <v>-100</v>
          </cell>
        </row>
        <row r="360">
          <cell r="AF360">
            <v>38344</v>
          </cell>
          <cell r="AG360">
            <v>490</v>
          </cell>
          <cell r="AH360">
            <v>339</v>
          </cell>
          <cell r="AI360">
            <v>7</v>
          </cell>
          <cell r="AJ360">
            <v>77892.725748373137</v>
          </cell>
          <cell r="AL360">
            <v>28.381692949150118</v>
          </cell>
          <cell r="AM360">
            <v>20.408506736415276</v>
          </cell>
          <cell r="AN360">
            <v>22.476666940902803</v>
          </cell>
          <cell r="AQ360">
            <v>-100</v>
          </cell>
        </row>
        <row r="361">
          <cell r="AF361">
            <v>38345</v>
          </cell>
          <cell r="AG361">
            <v>491</v>
          </cell>
          <cell r="AH361">
            <v>340</v>
          </cell>
          <cell r="AI361">
            <v>6</v>
          </cell>
          <cell r="AJ361">
            <v>77830.0812003475</v>
          </cell>
          <cell r="AL361">
            <v>28.485025915087327</v>
          </cell>
          <cell r="AM361">
            <v>20.41453806229201</v>
          </cell>
          <cell r="AN361">
            <v>22.476666940903645</v>
          </cell>
          <cell r="AQ361">
            <v>-100</v>
          </cell>
        </row>
        <row r="362">
          <cell r="AF362">
            <v>38348</v>
          </cell>
          <cell r="AG362">
            <v>494</v>
          </cell>
          <cell r="AH362">
            <v>341</v>
          </cell>
          <cell r="AI362">
            <v>5</v>
          </cell>
          <cell r="AJ362">
            <v>77767.487033655416</v>
          </cell>
          <cell r="AL362">
            <v>28.588442052554729</v>
          </cell>
          <cell r="AM362">
            <v>20.420534313283035</v>
          </cell>
          <cell r="AN362">
            <v>22.476666940903243</v>
          </cell>
          <cell r="AQ362">
            <v>-100</v>
          </cell>
        </row>
        <row r="363">
          <cell r="AF363">
            <v>38349</v>
          </cell>
          <cell r="AG363">
            <v>495</v>
          </cell>
          <cell r="AH363">
            <v>342</v>
          </cell>
          <cell r="AI363">
            <v>4</v>
          </cell>
          <cell r="AJ363">
            <v>77704.943207778138</v>
          </cell>
          <cell r="AL363">
            <v>28.691941428496094</v>
          </cell>
          <cell r="AM363">
            <v>20.426495794458322</v>
          </cell>
          <cell r="AN363">
            <v>22.47666694090471</v>
          </cell>
          <cell r="AQ363">
            <v>-100</v>
          </cell>
        </row>
        <row r="364">
          <cell r="AF364">
            <v>38350</v>
          </cell>
          <cell r="AG364">
            <v>496</v>
          </cell>
          <cell r="AH364">
            <v>343</v>
          </cell>
          <cell r="AI364">
            <v>3</v>
          </cell>
          <cell r="AJ364">
            <v>77642.449682229504</v>
          </cell>
          <cell r="AL364">
            <v>28.795524109909177</v>
          </cell>
          <cell r="AM364">
            <v>20.432422807360396</v>
          </cell>
          <cell r="AN364">
            <v>22.476666940909485</v>
          </cell>
          <cell r="AQ364">
            <v>-100</v>
          </cell>
        </row>
        <row r="365">
          <cell r="AF365">
            <v>38351</v>
          </cell>
          <cell r="AG365">
            <v>497</v>
          </cell>
          <cell r="AH365">
            <v>344</v>
          </cell>
          <cell r="AI365">
            <v>2</v>
          </cell>
          <cell r="AJ365">
            <v>77580.006416555902</v>
          </cell>
          <cell r="AL365">
            <v>28.899190163845589</v>
          </cell>
          <cell r="AM365">
            <v>20.43831565005496</v>
          </cell>
          <cell r="AN365">
            <v>22.47666694091177</v>
          </cell>
          <cell r="AQ365">
            <v>-100</v>
          </cell>
        </row>
        <row r="366">
          <cell r="AF366">
            <v>38352</v>
          </cell>
          <cell r="AG366">
            <v>498</v>
          </cell>
          <cell r="AH366">
            <v>345</v>
          </cell>
          <cell r="AI366">
            <v>1</v>
          </cell>
          <cell r="AJ366">
            <v>77517.613370336272</v>
          </cell>
          <cell r="AL366">
            <v>29.00293965741092</v>
          </cell>
          <cell r="AM366">
            <v>20.444174617181019</v>
          </cell>
          <cell r="AN366">
            <v>22.476666940925362</v>
          </cell>
          <cell r="AQ366">
            <v>-100</v>
          </cell>
        </row>
        <row r="367">
          <cell r="AF367">
            <v>38355</v>
          </cell>
          <cell r="AG367">
            <v>501</v>
          </cell>
          <cell r="AH367">
            <v>346</v>
          </cell>
          <cell r="AJ367">
            <v>77455.270503181979</v>
          </cell>
          <cell r="AL367">
            <v>29.106772657764914</v>
          </cell>
          <cell r="AM367">
            <v>20.449999999999989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ES"/>
      <sheetName val="VOL_HISTORY"/>
      <sheetName val="POP"/>
      <sheetName val="CALC_POP"/>
      <sheetName val="ROBOT"/>
      <sheetName val="CALC"/>
      <sheetName val="LINKS"/>
      <sheetName val="SKEW_VALE5"/>
      <sheetName val="SKEW_PETR4"/>
      <sheetName val="SKEW_TNLP4"/>
      <sheetName val="TNLP4"/>
      <sheetName val="VALE5"/>
      <sheetName val="BOVA11"/>
      <sheetName val="PETR4"/>
      <sheetName val="IBOV"/>
      <sheetName val="NETC4"/>
      <sheetName val="VIVO4"/>
      <sheetName val="BBDC4"/>
      <sheetName val="USIM5"/>
      <sheetName val="Prob_implicita_PETR"/>
      <sheetName val="Prob_acumulada"/>
      <sheetName val="EXPIRY"/>
      <sheetName val="CONS"/>
      <sheetName val="PRM"/>
      <sheetName val="DELTA"/>
      <sheetName val="ADR_vols"/>
      <sheetName val="VENCIMENTO"/>
    </sheetNames>
    <sheetDataSet>
      <sheetData sheetId="0"/>
      <sheetData sheetId="1"/>
      <sheetData sheetId="2"/>
      <sheetData sheetId="3"/>
      <sheetData sheetId="4"/>
      <sheetData sheetId="5"/>
      <sheetData sheetId="6">
        <row r="3">
          <cell r="BY3" t="str">
            <v>BOVAC35</v>
          </cell>
          <cell r="BZ3">
            <v>35</v>
          </cell>
          <cell r="CA3" t="str">
            <v>16-03-2009</v>
          </cell>
          <cell r="CB3" t="str">
            <v xml:space="preserve">BOVA        </v>
          </cell>
          <cell r="CC3" t="str">
            <v xml:space="preserve">CI        </v>
          </cell>
          <cell r="CD3" t="str">
            <v xml:space="preserve">OPCOES COMPRA  </v>
          </cell>
          <cell r="CE3" t="str">
            <v xml:space="preserve">Americano      </v>
          </cell>
        </row>
        <row r="4">
          <cell r="AZ4">
            <v>39814</v>
          </cell>
          <cell r="BA4">
            <v>39814</v>
          </cell>
          <cell r="BY4" t="str">
            <v>BOVAC36</v>
          </cell>
          <cell r="BZ4">
            <v>36</v>
          </cell>
          <cell r="CA4" t="str">
            <v>16-03-2009</v>
          </cell>
          <cell r="CB4" t="str">
            <v xml:space="preserve">BOVA        </v>
          </cell>
          <cell r="CC4" t="str">
            <v xml:space="preserve">CI        </v>
          </cell>
          <cell r="CD4" t="str">
            <v xml:space="preserve">OPCOES COMPRA  </v>
          </cell>
          <cell r="CE4" t="str">
            <v xml:space="preserve">Americano      </v>
          </cell>
        </row>
        <row r="5">
          <cell r="AZ5">
            <v>39867</v>
          </cell>
          <cell r="BA5">
            <v>39838</v>
          </cell>
          <cell r="BY5" t="str">
            <v>BOVAC37</v>
          </cell>
          <cell r="BZ5">
            <v>37</v>
          </cell>
          <cell r="CA5" t="str">
            <v>16-03-2009</v>
          </cell>
          <cell r="CB5" t="str">
            <v xml:space="preserve">BOVA        </v>
          </cell>
          <cell r="CC5" t="str">
            <v xml:space="preserve">CI        </v>
          </cell>
          <cell r="CD5" t="str">
            <v xml:space="preserve">OPCOES COMPRA  </v>
          </cell>
          <cell r="CE5" t="str">
            <v xml:space="preserve">Americano      </v>
          </cell>
        </row>
        <row r="6">
          <cell r="AF6">
            <v>1</v>
          </cell>
          <cell r="AG6">
            <v>0.12619999999999998</v>
          </cell>
          <cell r="AZ6">
            <v>39868</v>
          </cell>
          <cell r="BA6">
            <v>39867</v>
          </cell>
          <cell r="BY6" t="str">
            <v>BOVAC38</v>
          </cell>
          <cell r="BZ6">
            <v>38</v>
          </cell>
          <cell r="CA6" t="str">
            <v>16-03-2009</v>
          </cell>
          <cell r="CB6" t="str">
            <v xml:space="preserve">BOVA        </v>
          </cell>
          <cell r="CC6" t="str">
            <v xml:space="preserve">CI        </v>
          </cell>
          <cell r="CD6" t="str">
            <v xml:space="preserve">OPCOES COMPRA  </v>
          </cell>
          <cell r="CE6" t="str">
            <v xml:space="preserve">Americano      </v>
          </cell>
        </row>
        <row r="7">
          <cell r="AF7">
            <v>2</v>
          </cell>
          <cell r="AG7">
            <v>0.11916308420928901</v>
          </cell>
          <cell r="AZ7">
            <v>39913</v>
          </cell>
          <cell r="BA7">
            <v>39868</v>
          </cell>
          <cell r="BY7" t="str">
            <v>BOVAC39</v>
          </cell>
          <cell r="BZ7">
            <v>39</v>
          </cell>
          <cell r="CA7" t="str">
            <v>16-03-2009</v>
          </cell>
          <cell r="CB7" t="str">
            <v xml:space="preserve">BOVA        </v>
          </cell>
          <cell r="CC7" t="str">
            <v xml:space="preserve">CI        </v>
          </cell>
          <cell r="CD7" t="str">
            <v xml:space="preserve">OPCOES COMPRA  </v>
          </cell>
          <cell r="CE7" t="str">
            <v xml:space="preserve">Americano      </v>
          </cell>
        </row>
        <row r="8">
          <cell r="AF8">
            <v>3</v>
          </cell>
          <cell r="AG8">
            <v>0.1168272301623543</v>
          </cell>
          <cell r="AZ8">
            <v>39924</v>
          </cell>
          <cell r="BA8">
            <v>39913</v>
          </cell>
          <cell r="BY8" t="str">
            <v>BOVAC40</v>
          </cell>
          <cell r="BZ8">
            <v>40</v>
          </cell>
          <cell r="CA8" t="str">
            <v>16-03-2009</v>
          </cell>
          <cell r="CB8" t="str">
            <v xml:space="preserve">BOVA        </v>
          </cell>
          <cell r="CC8" t="str">
            <v xml:space="preserve">CI        </v>
          </cell>
          <cell r="CD8" t="str">
            <v xml:space="preserve">OPCOES COMPRA  </v>
          </cell>
          <cell r="CE8" t="str">
            <v xml:space="preserve">Americano      </v>
          </cell>
        </row>
        <row r="9">
          <cell r="AF9">
            <v>4</v>
          </cell>
          <cell r="AG9">
            <v>0.11566113199888828</v>
          </cell>
          <cell r="AZ9">
            <v>39934</v>
          </cell>
          <cell r="BA9">
            <v>39924</v>
          </cell>
          <cell r="BY9" t="str">
            <v>BOVAC41</v>
          </cell>
          <cell r="BZ9">
            <v>41</v>
          </cell>
          <cell r="CA9" t="str">
            <v>16-03-2009</v>
          </cell>
          <cell r="CB9" t="str">
            <v xml:space="preserve">BOVA        </v>
          </cell>
          <cell r="CC9" t="str">
            <v xml:space="preserve">CI        </v>
          </cell>
          <cell r="CD9" t="str">
            <v xml:space="preserve">OPCOES COMPRA  </v>
          </cell>
          <cell r="CE9" t="str">
            <v xml:space="preserve">Americano      </v>
          </cell>
        </row>
        <row r="10">
          <cell r="AF10">
            <v>5</v>
          </cell>
          <cell r="AG10">
            <v>0.11496205760273148</v>
          </cell>
          <cell r="AZ10">
            <v>39975</v>
          </cell>
          <cell r="BA10">
            <v>39934</v>
          </cell>
          <cell r="BY10" t="str">
            <v>BOVAC42</v>
          </cell>
          <cell r="BZ10">
            <v>42</v>
          </cell>
          <cell r="CA10" t="str">
            <v>16-03-2009</v>
          </cell>
          <cell r="CB10" t="str">
            <v xml:space="preserve">BOVA        </v>
          </cell>
          <cell r="CC10" t="str">
            <v xml:space="preserve">CI        </v>
          </cell>
          <cell r="CD10" t="str">
            <v xml:space="preserve">OPCOES COMPRA  </v>
          </cell>
          <cell r="CE10" t="str">
            <v xml:space="preserve">Americano      </v>
          </cell>
        </row>
        <row r="11">
          <cell r="AF11">
            <v>6</v>
          </cell>
          <cell r="AG11">
            <v>0.11449625137819863</v>
          </cell>
          <cell r="AZ11">
            <v>40063</v>
          </cell>
          <cell r="BA11">
            <v>39975</v>
          </cell>
          <cell r="BY11" t="str">
            <v>BOVAC43</v>
          </cell>
          <cell r="BZ11">
            <v>43</v>
          </cell>
          <cell r="CA11" t="str">
            <v>16-03-2009</v>
          </cell>
          <cell r="CB11" t="str">
            <v xml:space="preserve">BOVA        </v>
          </cell>
          <cell r="CC11" t="str">
            <v xml:space="preserve">CI        </v>
          </cell>
          <cell r="CD11" t="str">
            <v xml:space="preserve">OPCOES COMPRA  </v>
          </cell>
          <cell r="CE11" t="str">
            <v xml:space="preserve">Americano      </v>
          </cell>
        </row>
        <row r="12">
          <cell r="AF12">
            <v>7</v>
          </cell>
          <cell r="AG12">
            <v>0.1141636517960869</v>
          </cell>
          <cell r="AZ12">
            <v>40098</v>
          </cell>
          <cell r="BA12">
            <v>40003</v>
          </cell>
          <cell r="BY12" t="str">
            <v>BOVAC44</v>
          </cell>
          <cell r="BZ12">
            <v>44</v>
          </cell>
          <cell r="CA12" t="str">
            <v>16-03-2009</v>
          </cell>
          <cell r="CB12" t="str">
            <v xml:space="preserve">BOVA        </v>
          </cell>
          <cell r="CC12" t="str">
            <v xml:space="preserve">CI        </v>
          </cell>
          <cell r="CD12" t="str">
            <v xml:space="preserve">OPCOES COMPRA  </v>
          </cell>
          <cell r="CE12" t="str">
            <v xml:space="preserve">Americano      </v>
          </cell>
        </row>
        <row r="13">
          <cell r="AF13">
            <v>8</v>
          </cell>
          <cell r="AG13">
            <v>0.11391426724907583</v>
          </cell>
          <cell r="AZ13">
            <v>40119</v>
          </cell>
          <cell r="BA13">
            <v>40063</v>
          </cell>
          <cell r="BY13" t="str">
            <v>BOVAC45</v>
          </cell>
          <cell r="BZ13">
            <v>45</v>
          </cell>
          <cell r="CA13" t="str">
            <v>16-03-2009</v>
          </cell>
          <cell r="CB13" t="str">
            <v xml:space="preserve">BOVA        </v>
          </cell>
          <cell r="CC13" t="str">
            <v xml:space="preserve">CI        </v>
          </cell>
          <cell r="CD13" t="str">
            <v xml:space="preserve">OPCOES COMPRA  </v>
          </cell>
          <cell r="CE13" t="str">
            <v xml:space="preserve">Americano      </v>
          </cell>
        </row>
        <row r="14">
          <cell r="AF14">
            <v>9</v>
          </cell>
          <cell r="AG14">
            <v>0.11372034008255683</v>
          </cell>
          <cell r="AZ14">
            <v>40132</v>
          </cell>
          <cell r="BA14">
            <v>40098</v>
          </cell>
          <cell r="BY14" t="str">
            <v>BOVAD34</v>
          </cell>
          <cell r="BZ14">
            <v>34</v>
          </cell>
          <cell r="CA14" t="str">
            <v>20-04-2009</v>
          </cell>
          <cell r="CB14" t="str">
            <v xml:space="preserve">BOVA        </v>
          </cell>
          <cell r="CC14" t="str">
            <v xml:space="preserve">CI        </v>
          </cell>
          <cell r="CD14" t="str">
            <v xml:space="preserve">OPCOES COMPRA  </v>
          </cell>
          <cell r="CE14" t="str">
            <v xml:space="preserve">Americano      </v>
          </cell>
        </row>
        <row r="15">
          <cell r="AF15">
            <v>10</v>
          </cell>
          <cell r="AG15">
            <v>0.11356522265811719</v>
          </cell>
          <cell r="AZ15">
            <v>40172</v>
          </cell>
          <cell r="BA15">
            <v>40119</v>
          </cell>
          <cell r="BY15" t="str">
            <v>BOVAD35</v>
          </cell>
          <cell r="BZ15">
            <v>35</v>
          </cell>
          <cell r="CA15" t="str">
            <v>20-04-2009</v>
          </cell>
          <cell r="CB15" t="str">
            <v xml:space="preserve">BOVA        </v>
          </cell>
          <cell r="CC15" t="str">
            <v xml:space="preserve">CI        </v>
          </cell>
          <cell r="CD15" t="str">
            <v xml:space="preserve">OPCOES COMPRA  </v>
          </cell>
          <cell r="CE15" t="str">
            <v xml:space="preserve">Americano      </v>
          </cell>
        </row>
        <row r="16">
          <cell r="AF16">
            <v>11</v>
          </cell>
          <cell r="AG16">
            <v>0.11343832447138502</v>
          </cell>
          <cell r="AZ16">
            <v>40179</v>
          </cell>
          <cell r="BA16">
            <v>40132</v>
          </cell>
          <cell r="BY16" t="str">
            <v>BOVAD36</v>
          </cell>
          <cell r="BZ16">
            <v>36</v>
          </cell>
          <cell r="CA16" t="str">
            <v>20-04-2009</v>
          </cell>
          <cell r="CB16" t="str">
            <v xml:space="preserve">BOVA        </v>
          </cell>
          <cell r="CC16" t="str">
            <v xml:space="preserve">CI        </v>
          </cell>
          <cell r="CD16" t="str">
            <v xml:space="preserve">OPCOES COMPRA  </v>
          </cell>
          <cell r="CE16" t="str">
            <v xml:space="preserve">Americano      </v>
          </cell>
        </row>
        <row r="17">
          <cell r="AF17">
            <v>12</v>
          </cell>
          <cell r="AG17">
            <v>0.11333258702902893</v>
          </cell>
          <cell r="AZ17">
            <v>40203</v>
          </cell>
          <cell r="BA17">
            <v>40137</v>
          </cell>
          <cell r="BY17" t="str">
            <v>BOVAD37</v>
          </cell>
          <cell r="BZ17">
            <v>37</v>
          </cell>
          <cell r="CA17" t="str">
            <v>20-04-2009</v>
          </cell>
          <cell r="CB17" t="str">
            <v xml:space="preserve">BOVA        </v>
          </cell>
          <cell r="CC17" t="str">
            <v xml:space="preserve">CI        </v>
          </cell>
          <cell r="CD17" t="str">
            <v xml:space="preserve">OPCOES COMPRA  </v>
          </cell>
          <cell r="CE17" t="str">
            <v xml:space="preserve">Americano      </v>
          </cell>
        </row>
        <row r="18">
          <cell r="AF18">
            <v>13</v>
          </cell>
          <cell r="AG18">
            <v>0.11324312472847065</v>
          </cell>
          <cell r="AZ18">
            <v>40224</v>
          </cell>
          <cell r="BA18">
            <v>40172</v>
          </cell>
          <cell r="BY18" t="str">
            <v>BOVAD38</v>
          </cell>
          <cell r="BZ18">
            <v>38</v>
          </cell>
          <cell r="CA18" t="str">
            <v>20-04-2009</v>
          </cell>
          <cell r="CB18" t="str">
            <v xml:space="preserve">BOVA        </v>
          </cell>
          <cell r="CC18" t="str">
            <v xml:space="preserve">CI        </v>
          </cell>
          <cell r="CD18" t="str">
            <v xml:space="preserve">OPCOES COMPRA  </v>
          </cell>
          <cell r="CE18" t="str">
            <v xml:space="preserve">Americano      </v>
          </cell>
        </row>
        <row r="19">
          <cell r="AF19">
            <v>14</v>
          </cell>
          <cell r="AG19">
            <v>0.11316644847826796</v>
          </cell>
          <cell r="AZ19">
            <v>40225</v>
          </cell>
          <cell r="BA19">
            <v>40179</v>
          </cell>
          <cell r="BY19" t="str">
            <v>BOVAD39</v>
          </cell>
          <cell r="BZ19">
            <v>39</v>
          </cell>
          <cell r="CA19" t="str">
            <v>20-04-2009</v>
          </cell>
          <cell r="CB19" t="str">
            <v xml:space="preserve">BOVA        </v>
          </cell>
          <cell r="CC19" t="str">
            <v xml:space="preserve">CI        </v>
          </cell>
          <cell r="CD19" t="str">
            <v xml:space="preserve">OPCOES COMPRA  </v>
          </cell>
          <cell r="CE19" t="str">
            <v xml:space="preserve">Americano      </v>
          </cell>
        </row>
        <row r="20">
          <cell r="AF20">
            <v>15</v>
          </cell>
          <cell r="AG20">
            <v>0.11309999999999998</v>
          </cell>
          <cell r="AZ20">
            <v>40270</v>
          </cell>
          <cell r="BA20">
            <v>40203</v>
          </cell>
          <cell r="BY20" t="str">
            <v>BOVAD40</v>
          </cell>
          <cell r="BZ20">
            <v>40</v>
          </cell>
          <cell r="CA20" t="str">
            <v>20-04-2009</v>
          </cell>
          <cell r="CB20" t="str">
            <v xml:space="preserve">BOVA        </v>
          </cell>
          <cell r="CC20" t="str">
            <v xml:space="preserve">CI        </v>
          </cell>
          <cell r="CD20" t="str">
            <v xml:space="preserve">OPCOES COMPRA  </v>
          </cell>
          <cell r="CE20" t="str">
            <v xml:space="preserve">Americano      </v>
          </cell>
        </row>
        <row r="21">
          <cell r="AF21">
            <v>16</v>
          </cell>
          <cell r="AG21">
            <v>0.11302341605050792</v>
          </cell>
          <cell r="AZ21">
            <v>40289</v>
          </cell>
          <cell r="BA21">
            <v>40224</v>
          </cell>
          <cell r="BY21" t="str">
            <v>BOVAD41</v>
          </cell>
          <cell r="BZ21">
            <v>41</v>
          </cell>
          <cell r="CA21" t="str">
            <v>20-04-2009</v>
          </cell>
          <cell r="CB21" t="str">
            <v xml:space="preserve">BOVA        </v>
          </cell>
          <cell r="CC21" t="str">
            <v xml:space="preserve">CI        </v>
          </cell>
          <cell r="CD21" t="str">
            <v xml:space="preserve">OPCOES COMPRA  </v>
          </cell>
          <cell r="CE21" t="str">
            <v xml:space="preserve">Americano      </v>
          </cell>
        </row>
        <row r="22">
          <cell r="AF22">
            <v>17</v>
          </cell>
          <cell r="AG22">
            <v>0.11295584635321076</v>
          </cell>
          <cell r="AZ22">
            <v>40299</v>
          </cell>
          <cell r="BA22">
            <v>40225</v>
          </cell>
          <cell r="BY22" t="str">
            <v>BOVAD42</v>
          </cell>
          <cell r="BZ22">
            <v>42</v>
          </cell>
          <cell r="CA22" t="str">
            <v>20-04-2009</v>
          </cell>
          <cell r="CB22" t="str">
            <v xml:space="preserve">BOVA        </v>
          </cell>
          <cell r="CC22" t="str">
            <v xml:space="preserve">CI        </v>
          </cell>
          <cell r="CD22" t="str">
            <v xml:space="preserve">OPCOES COMPRA  </v>
          </cell>
          <cell r="CE22" t="str">
            <v xml:space="preserve">Americano      </v>
          </cell>
        </row>
        <row r="23">
          <cell r="AF23">
            <v>18</v>
          </cell>
          <cell r="AG23">
            <v>0.11289578784375176</v>
          </cell>
          <cell r="AZ23">
            <v>40332</v>
          </cell>
          <cell r="BA23">
            <v>40270</v>
          </cell>
          <cell r="BY23" t="str">
            <v>BOVAD43</v>
          </cell>
          <cell r="BZ23">
            <v>43</v>
          </cell>
          <cell r="CA23" t="str">
            <v>20-04-2009</v>
          </cell>
          <cell r="CB23" t="str">
            <v xml:space="preserve">BOVA        </v>
          </cell>
          <cell r="CC23" t="str">
            <v xml:space="preserve">CI        </v>
          </cell>
          <cell r="CD23" t="str">
            <v xml:space="preserve">OPCOES COMPRA  </v>
          </cell>
          <cell r="CE23" t="str">
            <v xml:space="preserve">Americano      </v>
          </cell>
        </row>
        <row r="24">
          <cell r="AF24">
            <v>19</v>
          </cell>
          <cell r="AG24">
            <v>0.11284205402983116</v>
          </cell>
          <cell r="AZ24">
            <v>40368</v>
          </cell>
          <cell r="BA24">
            <v>40289</v>
          </cell>
          <cell r="BY24" t="str">
            <v>BOVAD44</v>
          </cell>
          <cell r="BZ24">
            <v>44</v>
          </cell>
          <cell r="CA24" t="str">
            <v>20-04-2009</v>
          </cell>
          <cell r="CB24" t="str">
            <v xml:space="preserve">BOVA        </v>
          </cell>
          <cell r="CC24" t="str">
            <v xml:space="preserve">CI        </v>
          </cell>
          <cell r="CD24" t="str">
            <v xml:space="preserve">OPCOES COMPRA  </v>
          </cell>
          <cell r="CE24" t="str">
            <v xml:space="preserve">Americano      </v>
          </cell>
        </row>
        <row r="25">
          <cell r="AF25">
            <v>20</v>
          </cell>
          <cell r="AG25">
            <v>0.11279369581553778</v>
          </cell>
          <cell r="AZ25">
            <v>40428</v>
          </cell>
          <cell r="BA25">
            <v>40299</v>
          </cell>
          <cell r="BY25" t="str">
            <v>BOVAD45</v>
          </cell>
          <cell r="BZ25">
            <v>45</v>
          </cell>
          <cell r="CA25" t="str">
            <v>20-04-2009</v>
          </cell>
          <cell r="CB25" t="str">
            <v xml:space="preserve">BOVA        </v>
          </cell>
          <cell r="CC25" t="str">
            <v xml:space="preserve">CI        </v>
          </cell>
          <cell r="CD25" t="str">
            <v xml:space="preserve">OPCOES COMPRA  </v>
          </cell>
          <cell r="CE25" t="str">
            <v xml:space="preserve">Americano      </v>
          </cell>
        </row>
        <row r="26">
          <cell r="AF26">
            <v>21</v>
          </cell>
          <cell r="AG26">
            <v>0.1127499449561884</v>
          </cell>
          <cell r="AZ26">
            <v>40463</v>
          </cell>
          <cell r="BA26">
            <v>40332</v>
          </cell>
          <cell r="BY26" t="str">
            <v>BOVAO35</v>
          </cell>
          <cell r="BZ26">
            <v>35</v>
          </cell>
          <cell r="CA26" t="str">
            <v>16-03-2009</v>
          </cell>
          <cell r="CB26" t="str">
            <v xml:space="preserve">BOVA        </v>
          </cell>
          <cell r="CC26" t="str">
            <v xml:space="preserve">CI        </v>
          </cell>
          <cell r="CD26" t="str">
            <v xml:space="preserve">OPCOES VENDA   </v>
          </cell>
          <cell r="CE26" t="str">
            <v xml:space="preserve">Europeu        </v>
          </cell>
        </row>
        <row r="27">
          <cell r="AF27">
            <v>22</v>
          </cell>
          <cell r="AG27">
            <v>0.11271017294035568</v>
          </cell>
          <cell r="AZ27">
            <v>40484</v>
          </cell>
          <cell r="BA27">
            <v>40368</v>
          </cell>
          <cell r="BY27" t="str">
            <v>BOVAO36</v>
          </cell>
          <cell r="BZ27">
            <v>36</v>
          </cell>
          <cell r="CA27" t="str">
            <v>16-03-2009</v>
          </cell>
          <cell r="CB27" t="str">
            <v xml:space="preserve">BOVA        </v>
          </cell>
          <cell r="CC27" t="str">
            <v xml:space="preserve">CI        </v>
          </cell>
          <cell r="CD27" t="str">
            <v xml:space="preserve">OPCOES VENDA   </v>
          </cell>
          <cell r="CE27" t="str">
            <v xml:space="preserve">Europeu        </v>
          </cell>
        </row>
        <row r="28">
          <cell r="AF28">
            <v>23</v>
          </cell>
          <cell r="AG28">
            <v>0.11267386060217621</v>
          </cell>
          <cell r="AZ28">
            <v>40497</v>
          </cell>
          <cell r="BA28">
            <v>40428</v>
          </cell>
          <cell r="BY28" t="str">
            <v>BOVAO37</v>
          </cell>
          <cell r="BZ28">
            <v>37</v>
          </cell>
          <cell r="CA28" t="str">
            <v>16-03-2009</v>
          </cell>
          <cell r="CB28" t="str">
            <v xml:space="preserve">BOVA        </v>
          </cell>
          <cell r="CC28" t="str">
            <v xml:space="preserve">CI        </v>
          </cell>
          <cell r="CD28" t="str">
            <v xml:space="preserve">OPCOES VENDA   </v>
          </cell>
          <cell r="CE28" t="str">
            <v xml:space="preserve">Europeu        </v>
          </cell>
        </row>
        <row r="29">
          <cell r="AF29">
            <v>24</v>
          </cell>
          <cell r="AG29">
            <v>0.11264057533318783</v>
          </cell>
          <cell r="AZ29">
            <v>40537</v>
          </cell>
          <cell r="BA29">
            <v>40463</v>
          </cell>
          <cell r="BY29" t="str">
            <v>BOVAO38</v>
          </cell>
          <cell r="BZ29">
            <v>38</v>
          </cell>
          <cell r="CA29" t="str">
            <v>16-03-2009</v>
          </cell>
          <cell r="CB29" t="str">
            <v xml:space="preserve">BOVA        </v>
          </cell>
          <cell r="CC29" t="str">
            <v xml:space="preserve">CI        </v>
          </cell>
          <cell r="CD29" t="str">
            <v xml:space="preserve">OPCOES VENDA   </v>
          </cell>
          <cell r="CE29" t="str">
            <v xml:space="preserve">Europeu        </v>
          </cell>
        </row>
        <row r="30">
          <cell r="AF30">
            <v>25</v>
          </cell>
          <cell r="AG30">
            <v>0.11260995376513727</v>
          </cell>
          <cell r="AZ30">
            <v>40544</v>
          </cell>
          <cell r="BA30">
            <v>40484</v>
          </cell>
          <cell r="BY30" t="str">
            <v>BOVAO39</v>
          </cell>
          <cell r="BZ30">
            <v>39</v>
          </cell>
          <cell r="CA30" t="str">
            <v>16-03-2009</v>
          </cell>
          <cell r="CB30" t="str">
            <v xml:space="preserve">BOVA        </v>
          </cell>
          <cell r="CC30" t="str">
            <v xml:space="preserve">CI        </v>
          </cell>
          <cell r="CD30" t="str">
            <v xml:space="preserve">OPCOES VENDA   </v>
          </cell>
          <cell r="CE30" t="str">
            <v xml:space="preserve">Europeu        </v>
          </cell>
        </row>
        <row r="31">
          <cell r="AF31">
            <v>26</v>
          </cell>
          <cell r="AG31">
            <v>0.11258168845032657</v>
          </cell>
          <cell r="AZ31">
            <v>40568</v>
          </cell>
          <cell r="BA31">
            <v>40497</v>
          </cell>
          <cell r="BY31" t="str">
            <v>BOVAO40</v>
          </cell>
          <cell r="BZ31">
            <v>40</v>
          </cell>
          <cell r="CA31" t="str">
            <v>16-03-2009</v>
          </cell>
          <cell r="CB31" t="str">
            <v xml:space="preserve">BOVA        </v>
          </cell>
          <cell r="CC31" t="str">
            <v xml:space="preserve">CI        </v>
          </cell>
          <cell r="CD31" t="str">
            <v xml:space="preserve">OPCOES VENDA   </v>
          </cell>
          <cell r="CE31" t="str">
            <v xml:space="preserve">Europeu        </v>
          </cell>
        </row>
        <row r="32">
          <cell r="AF32">
            <v>27</v>
          </cell>
          <cell r="AG32">
            <v>0.11255551750279102</v>
          </cell>
          <cell r="AZ32">
            <v>40609</v>
          </cell>
          <cell r="BA32">
            <v>40502</v>
          </cell>
          <cell r="BY32" t="str">
            <v>BOVAO41</v>
          </cell>
          <cell r="BZ32">
            <v>41</v>
          </cell>
          <cell r="CA32" t="str">
            <v>16-03-2009</v>
          </cell>
          <cell r="CB32" t="str">
            <v xml:space="preserve">BOVA        </v>
          </cell>
          <cell r="CC32" t="str">
            <v xml:space="preserve">CI        </v>
          </cell>
          <cell r="CD32" t="str">
            <v xml:space="preserve">OPCOES VENDA   </v>
          </cell>
          <cell r="CE32" t="str">
            <v xml:space="preserve">Europeu        </v>
          </cell>
        </row>
        <row r="33">
          <cell r="AF33">
            <v>28</v>
          </cell>
          <cell r="AG33">
            <v>0.11253121645987507</v>
          </cell>
          <cell r="AZ33">
            <v>40610</v>
          </cell>
          <cell r="BA33">
            <v>40537</v>
          </cell>
          <cell r="BY33" t="str">
            <v>BOVAO42</v>
          </cell>
          <cell r="BZ33">
            <v>42</v>
          </cell>
          <cell r="CA33" t="str">
            <v>16-03-2009</v>
          </cell>
          <cell r="CB33" t="str">
            <v xml:space="preserve">BOVA        </v>
          </cell>
          <cell r="CC33" t="str">
            <v xml:space="preserve">CI        </v>
          </cell>
          <cell r="CD33" t="str">
            <v xml:space="preserve">OPCOES VENDA   </v>
          </cell>
          <cell r="CE33" t="str">
            <v xml:space="preserve">Europeu        </v>
          </cell>
        </row>
        <row r="34">
          <cell r="AF34">
            <v>29</v>
          </cell>
          <cell r="AG34">
            <v>0.11250859182810236</v>
          </cell>
          <cell r="AZ34">
            <v>40654</v>
          </cell>
          <cell r="BA34">
            <v>40544</v>
          </cell>
          <cell r="BY34" t="str">
            <v>BOVAO43</v>
          </cell>
          <cell r="BZ34">
            <v>43</v>
          </cell>
          <cell r="CA34" t="str">
            <v>16-03-2009</v>
          </cell>
          <cell r="CB34" t="str">
            <v xml:space="preserve">BOVA        </v>
          </cell>
          <cell r="CC34" t="str">
            <v xml:space="preserve">CI        </v>
          </cell>
          <cell r="CD34" t="str">
            <v xml:space="preserve">OPCOES VENDA   </v>
          </cell>
          <cell r="CE34" t="str">
            <v xml:space="preserve">Europeu        </v>
          </cell>
        </row>
        <row r="35">
          <cell r="AF35">
            <v>30</v>
          </cell>
          <cell r="AG35">
            <v>0.1124874759202259</v>
          </cell>
          <cell r="AZ35">
            <v>40655</v>
          </cell>
          <cell r="BA35">
            <v>40568</v>
          </cell>
          <cell r="BY35" t="str">
            <v>BOVAO44</v>
          </cell>
          <cell r="BZ35">
            <v>44</v>
          </cell>
          <cell r="CA35" t="str">
            <v>16-03-2009</v>
          </cell>
          <cell r="CB35" t="str">
            <v xml:space="preserve">BOVA        </v>
          </cell>
          <cell r="CC35" t="str">
            <v xml:space="preserve">CI        </v>
          </cell>
          <cell r="CD35" t="str">
            <v xml:space="preserve">OPCOES VENDA   </v>
          </cell>
          <cell r="CE35" t="str">
            <v xml:space="preserve">Europeu        </v>
          </cell>
        </row>
        <row r="36">
          <cell r="AF36">
            <v>31</v>
          </cell>
          <cell r="AG36">
            <v>0.11246772269182426</v>
          </cell>
          <cell r="AZ36">
            <v>40664</v>
          </cell>
          <cell r="BA36">
            <v>40609</v>
          </cell>
          <cell r="BY36" t="str">
            <v>BOVAO45</v>
          </cell>
          <cell r="BZ36">
            <v>45</v>
          </cell>
          <cell r="CA36" t="str">
            <v>16-03-2009</v>
          </cell>
          <cell r="CB36" t="str">
            <v xml:space="preserve">BOVA        </v>
          </cell>
          <cell r="CC36" t="str">
            <v xml:space="preserve">CI        </v>
          </cell>
          <cell r="CD36" t="str">
            <v xml:space="preserve">OPCOES VENDA   </v>
          </cell>
          <cell r="CE36" t="str">
            <v xml:space="preserve">Europeu        </v>
          </cell>
        </row>
        <row r="37">
          <cell r="AF37">
            <v>32</v>
          </cell>
          <cell r="AG37">
            <v>0.11244920435873751</v>
          </cell>
          <cell r="AZ37">
            <v>40717</v>
          </cell>
          <cell r="BA37">
            <v>40610</v>
          </cell>
          <cell r="BY37" t="str">
            <v>BOVAP34</v>
          </cell>
          <cell r="BZ37">
            <v>34</v>
          </cell>
          <cell r="CA37" t="str">
            <v>20-04-2009</v>
          </cell>
          <cell r="CB37" t="str">
            <v xml:space="preserve">BOVA        </v>
          </cell>
          <cell r="CC37" t="str">
            <v xml:space="preserve">CI        </v>
          </cell>
          <cell r="CD37" t="str">
            <v xml:space="preserve">OPCOES VENDA   </v>
          </cell>
          <cell r="CE37" t="str">
            <v xml:space="preserve">Europeu        </v>
          </cell>
        </row>
        <row r="38">
          <cell r="AF38">
            <v>33</v>
          </cell>
          <cell r="AG38">
            <v>0.11243180862967073</v>
          </cell>
          <cell r="AZ38">
            <v>40733</v>
          </cell>
          <cell r="BA38">
            <v>40654</v>
          </cell>
          <cell r="BY38" t="str">
            <v>BOVAP35</v>
          </cell>
          <cell r="BZ38">
            <v>35</v>
          </cell>
          <cell r="CA38" t="str">
            <v>20-04-2009</v>
          </cell>
          <cell r="CB38" t="str">
            <v xml:space="preserve">BOVA        </v>
          </cell>
          <cell r="CC38" t="str">
            <v xml:space="preserve">CI        </v>
          </cell>
          <cell r="CD38" t="str">
            <v xml:space="preserve">OPCOES VENDA   </v>
          </cell>
          <cell r="CE38" t="str">
            <v xml:space="preserve">Europeu        </v>
          </cell>
        </row>
        <row r="39">
          <cell r="AF39">
            <v>34</v>
          </cell>
          <cell r="AG39">
            <v>0.11241543642727492</v>
          </cell>
          <cell r="AZ39">
            <v>40793</v>
          </cell>
          <cell r="BA39">
            <v>40655</v>
          </cell>
          <cell r="BY39" t="str">
            <v>BOVAP36</v>
          </cell>
          <cell r="BZ39">
            <v>36</v>
          </cell>
          <cell r="CA39" t="str">
            <v>20-04-2009</v>
          </cell>
          <cell r="CB39" t="str">
            <v xml:space="preserve">BOVA        </v>
          </cell>
          <cell r="CC39" t="str">
            <v xml:space="preserve">CI        </v>
          </cell>
          <cell r="CD39" t="str">
            <v xml:space="preserve">OPCOES VENDA   </v>
          </cell>
          <cell r="CE39" t="str">
            <v xml:space="preserve">Europeu        </v>
          </cell>
        </row>
        <row r="40">
          <cell r="AF40">
            <v>35</v>
          </cell>
          <cell r="AG40">
            <v>0.11240000000000006</v>
          </cell>
          <cell r="AZ40">
            <v>40828</v>
          </cell>
          <cell r="BA40">
            <v>40664</v>
          </cell>
          <cell r="BY40" t="str">
            <v>BOVAP37</v>
          </cell>
          <cell r="BZ40">
            <v>37</v>
          </cell>
          <cell r="CA40" t="str">
            <v>20-04-2009</v>
          </cell>
          <cell r="CB40" t="str">
            <v xml:space="preserve">BOVA        </v>
          </cell>
          <cell r="CC40" t="str">
            <v xml:space="preserve">CI        </v>
          </cell>
          <cell r="CD40" t="str">
            <v xml:space="preserve">OPCOES VENDA   </v>
          </cell>
          <cell r="CE40" t="str">
            <v xml:space="preserve">Europeu        </v>
          </cell>
        </row>
        <row r="41">
          <cell r="AF41">
            <v>36</v>
          </cell>
          <cell r="AG41">
            <v>0.11212458815313164</v>
          </cell>
          <cell r="AZ41">
            <v>40849</v>
          </cell>
          <cell r="BA41">
            <v>40717</v>
          </cell>
          <cell r="BY41" t="str">
            <v>BOVAP38</v>
          </cell>
          <cell r="BZ41">
            <v>38</v>
          </cell>
          <cell r="CA41" t="str">
            <v>20-04-2009</v>
          </cell>
          <cell r="CB41" t="str">
            <v xml:space="preserve">BOVA        </v>
          </cell>
          <cell r="CC41" t="str">
            <v xml:space="preserve">CI        </v>
          </cell>
          <cell r="CD41" t="str">
            <v xml:space="preserve">OPCOES VENDA   </v>
          </cell>
          <cell r="CE41" t="str">
            <v xml:space="preserve">Europeu        </v>
          </cell>
        </row>
        <row r="42">
          <cell r="AF42">
            <v>37</v>
          </cell>
          <cell r="AG42">
            <v>0.11186412619172725</v>
          </cell>
          <cell r="AZ42">
            <v>40862</v>
          </cell>
          <cell r="BA42">
            <v>40733</v>
          </cell>
          <cell r="BY42" t="str">
            <v>BOVAP39</v>
          </cell>
          <cell r="BZ42">
            <v>39</v>
          </cell>
          <cell r="CA42" t="str">
            <v>20-04-2009</v>
          </cell>
          <cell r="CB42" t="str">
            <v xml:space="preserve">BOVA        </v>
          </cell>
          <cell r="CC42" t="str">
            <v xml:space="preserve">CI        </v>
          </cell>
          <cell r="CD42" t="str">
            <v xml:space="preserve">OPCOES VENDA   </v>
          </cell>
          <cell r="CE42" t="str">
            <v xml:space="preserve">Europeu        </v>
          </cell>
        </row>
        <row r="43">
          <cell r="AF43">
            <v>38</v>
          </cell>
          <cell r="AG43">
            <v>0.11161742902422778</v>
          </cell>
          <cell r="AZ43">
            <v>40902</v>
          </cell>
          <cell r="BA43">
            <v>40793</v>
          </cell>
          <cell r="BY43" t="str">
            <v>BOVAP40</v>
          </cell>
          <cell r="BZ43">
            <v>40</v>
          </cell>
          <cell r="CA43" t="str">
            <v>20-04-2009</v>
          </cell>
          <cell r="CB43" t="str">
            <v xml:space="preserve">BOVA        </v>
          </cell>
          <cell r="CC43" t="str">
            <v xml:space="preserve">CI        </v>
          </cell>
          <cell r="CD43" t="str">
            <v xml:space="preserve">OPCOES VENDA   </v>
          </cell>
          <cell r="CE43" t="str">
            <v xml:space="preserve">Europeu        </v>
          </cell>
        </row>
        <row r="44">
          <cell r="AF44">
            <v>39</v>
          </cell>
          <cell r="AG44">
            <v>0.11138343359164105</v>
          </cell>
          <cell r="AZ44">
            <v>40909</v>
          </cell>
          <cell r="BA44">
            <v>40828</v>
          </cell>
          <cell r="BY44" t="str">
            <v>BOVAP41</v>
          </cell>
          <cell r="BZ44">
            <v>41</v>
          </cell>
          <cell r="CA44" t="str">
            <v>20-04-2009</v>
          </cell>
          <cell r="CB44" t="str">
            <v xml:space="preserve">BOVA        </v>
          </cell>
          <cell r="CC44" t="str">
            <v xml:space="preserve">CI        </v>
          </cell>
          <cell r="CD44" t="str">
            <v xml:space="preserve">OPCOES VENDA   </v>
          </cell>
          <cell r="CE44" t="str">
            <v xml:space="preserve">Europeu        </v>
          </cell>
        </row>
        <row r="45">
          <cell r="AF45">
            <v>40</v>
          </cell>
          <cell r="AG45">
            <v>0.11116118355424254</v>
          </cell>
          <cell r="AZ45">
            <v>40933</v>
          </cell>
          <cell r="BA45">
            <v>40849</v>
          </cell>
          <cell r="BY45" t="str">
            <v>BOVAP42</v>
          </cell>
          <cell r="BZ45">
            <v>42</v>
          </cell>
          <cell r="CA45" t="str">
            <v>20-04-2009</v>
          </cell>
          <cell r="CB45" t="str">
            <v xml:space="preserve">BOVA        </v>
          </cell>
          <cell r="CC45" t="str">
            <v xml:space="preserve">CI        </v>
          </cell>
          <cell r="CD45" t="str">
            <v xml:space="preserve">OPCOES VENDA   </v>
          </cell>
          <cell r="CE45" t="str">
            <v xml:space="preserve">Europeu        </v>
          </cell>
        </row>
        <row r="46">
          <cell r="AF46">
            <v>41</v>
          </cell>
          <cell r="AG46">
            <v>0.11094981622772448</v>
          </cell>
          <cell r="AZ46">
            <v>40959</v>
          </cell>
          <cell r="BA46">
            <v>40862</v>
          </cell>
          <cell r="BY46" t="str">
            <v>BOVAP43</v>
          </cell>
          <cell r="BZ46">
            <v>43</v>
          </cell>
          <cell r="CA46" t="str">
            <v>20-04-2009</v>
          </cell>
          <cell r="CB46" t="str">
            <v xml:space="preserve">BOVA        </v>
          </cell>
          <cell r="CC46" t="str">
            <v xml:space="preserve">CI        </v>
          </cell>
          <cell r="CD46" t="str">
            <v xml:space="preserve">OPCOES VENDA   </v>
          </cell>
          <cell r="CE46" t="str">
            <v xml:space="preserve">Europeu        </v>
          </cell>
        </row>
        <row r="47">
          <cell r="AF47">
            <v>42</v>
          </cell>
          <cell r="AG47">
            <v>0.11074855139250306</v>
          </cell>
          <cell r="AZ47">
            <v>40960</v>
          </cell>
          <cell r="BA47">
            <v>40867</v>
          </cell>
          <cell r="BY47" t="str">
            <v>BOVAP44</v>
          </cell>
          <cell r="BZ47">
            <v>44</v>
          </cell>
          <cell r="CA47" t="str">
            <v>20-04-2009</v>
          </cell>
          <cell r="CB47" t="str">
            <v xml:space="preserve">BOVA        </v>
          </cell>
          <cell r="CC47" t="str">
            <v xml:space="preserve">CI        </v>
          </cell>
          <cell r="CD47" t="str">
            <v xml:space="preserve">OPCOES VENDA   </v>
          </cell>
          <cell r="CE47" t="str">
            <v xml:space="preserve">Europeu        </v>
          </cell>
        </row>
        <row r="48">
          <cell r="AF48">
            <v>43</v>
          </cell>
          <cell r="AG48">
            <v>0.11055668167015131</v>
          </cell>
          <cell r="AZ48">
            <v>41005</v>
          </cell>
          <cell r="BA48">
            <v>40902</v>
          </cell>
          <cell r="BY48" t="str">
            <v>BOVAP45</v>
          </cell>
          <cell r="BZ48">
            <v>45</v>
          </cell>
          <cell r="CA48" t="str">
            <v>20-04-2009</v>
          </cell>
          <cell r="CB48" t="str">
            <v xml:space="preserve">BOVA        </v>
          </cell>
          <cell r="CC48" t="str">
            <v xml:space="preserve">CI        </v>
          </cell>
          <cell r="CD48" t="str">
            <v xml:space="preserve">OPCOES VENDA   </v>
          </cell>
          <cell r="CE48" t="str">
            <v xml:space="preserve">Europeu        </v>
          </cell>
        </row>
        <row r="49">
          <cell r="AF49">
            <v>44</v>
          </cell>
          <cell r="AG49">
            <v>0.11037356421676425</v>
          </cell>
          <cell r="AZ49">
            <v>41020</v>
          </cell>
          <cell r="BA49">
            <v>40909</v>
          </cell>
          <cell r="BY49" t="str">
            <v>PIBBD98</v>
          </cell>
          <cell r="BZ49">
            <v>90</v>
          </cell>
          <cell r="CA49" t="str">
            <v>20-04-2009</v>
          </cell>
          <cell r="CB49" t="str">
            <v xml:space="preserve">PIBB        </v>
          </cell>
          <cell r="CC49" t="str">
            <v xml:space="preserve">CI        </v>
          </cell>
          <cell r="CD49" t="str">
            <v xml:space="preserve">OPCOES COMPRA  </v>
          </cell>
          <cell r="CE49" t="str">
            <v xml:space="preserve">Europeu        </v>
          </cell>
        </row>
        <row r="50">
          <cell r="AF50">
            <v>45</v>
          </cell>
          <cell r="AG50">
            <v>0.11019861352769444</v>
          </cell>
          <cell r="AZ50">
            <v>41030</v>
          </cell>
          <cell r="BA50">
            <v>40933</v>
          </cell>
          <cell r="BY50" t="str">
            <v>PIBBD99</v>
          </cell>
          <cell r="BZ50">
            <v>100</v>
          </cell>
          <cell r="CA50" t="str">
            <v>20-04-2009</v>
          </cell>
          <cell r="CB50" t="str">
            <v xml:space="preserve">PIBB        </v>
          </cell>
          <cell r="CC50" t="str">
            <v xml:space="preserve">CI        </v>
          </cell>
          <cell r="CD50" t="str">
            <v xml:space="preserve">OPCOES COMPRA  </v>
          </cell>
          <cell r="CE50" t="str">
            <v xml:space="preserve">Europeu        </v>
          </cell>
        </row>
        <row r="51">
          <cell r="AF51">
            <v>46</v>
          </cell>
          <cell r="AG51">
            <v>0.11003129518396815</v>
          </cell>
          <cell r="AZ51">
            <v>41067</v>
          </cell>
          <cell r="BA51">
            <v>40959</v>
          </cell>
          <cell r="BY51" t="str">
            <v>PIBBF98</v>
          </cell>
          <cell r="BZ51">
            <v>95</v>
          </cell>
          <cell r="CA51" t="str">
            <v>15-06-2009</v>
          </cell>
          <cell r="CB51" t="str">
            <v xml:space="preserve">PIBB        </v>
          </cell>
          <cell r="CC51" t="str">
            <v xml:space="preserve">CI        </v>
          </cell>
          <cell r="CD51" t="str">
            <v xml:space="preserve">OPCOES COMPRA  </v>
          </cell>
          <cell r="CE51" t="str">
            <v xml:space="preserve">Europeu        </v>
          </cell>
        </row>
        <row r="52">
          <cell r="AF52">
            <v>47</v>
          </cell>
          <cell r="AG52">
            <v>0.10987112039966807</v>
          </cell>
          <cell r="AZ52">
            <v>41099</v>
          </cell>
          <cell r="BA52">
            <v>40960</v>
          </cell>
          <cell r="BY52" t="str">
            <v>PIBBF99</v>
          </cell>
          <cell r="BZ52">
            <v>105</v>
          </cell>
          <cell r="CA52" t="str">
            <v>15-06-2009</v>
          </cell>
          <cell r="CB52" t="str">
            <v xml:space="preserve">PIBB        </v>
          </cell>
          <cell r="CC52" t="str">
            <v xml:space="preserve">CI        </v>
          </cell>
          <cell r="CD52" t="str">
            <v xml:space="preserve">OPCOES COMPRA  </v>
          </cell>
          <cell r="CE52" t="str">
            <v xml:space="preserve">Europeu        </v>
          </cell>
        </row>
        <row r="53">
          <cell r="AF53">
            <v>48</v>
          </cell>
          <cell r="AG53">
            <v>0.10971764125309624</v>
          </cell>
          <cell r="AZ53">
            <v>41159</v>
          </cell>
          <cell r="BA53">
            <v>41005</v>
          </cell>
          <cell r="BY53" t="str">
            <v>PIBBP98</v>
          </cell>
          <cell r="BZ53">
            <v>90</v>
          </cell>
          <cell r="CA53" t="str">
            <v>20-04-2009</v>
          </cell>
          <cell r="CB53" t="str">
            <v xml:space="preserve">PIBB        </v>
          </cell>
          <cell r="CC53" t="str">
            <v xml:space="preserve">CI        </v>
          </cell>
          <cell r="CD53" t="str">
            <v xml:space="preserve">OPCOES VENDA   </v>
          </cell>
          <cell r="CE53" t="str">
            <v xml:space="preserve">Europeu        </v>
          </cell>
        </row>
        <row r="54">
          <cell r="AF54">
            <v>49</v>
          </cell>
          <cell r="AG54">
            <v>0.1095704465037266</v>
          </cell>
          <cell r="AZ54">
            <v>41194</v>
          </cell>
          <cell r="BA54">
            <v>41020</v>
          </cell>
          <cell r="BY54" t="str">
            <v>PIBBP99</v>
          </cell>
          <cell r="BZ54">
            <v>100</v>
          </cell>
          <cell r="CA54" t="str">
            <v>20-04-2009</v>
          </cell>
          <cell r="CB54" t="str">
            <v xml:space="preserve">PIBB        </v>
          </cell>
          <cell r="CC54" t="str">
            <v xml:space="preserve">CI        </v>
          </cell>
          <cell r="CD54" t="str">
            <v xml:space="preserve">OPCOES VENDA   </v>
          </cell>
          <cell r="CE54" t="str">
            <v xml:space="preserve">Europeu        </v>
          </cell>
        </row>
        <row r="55">
          <cell r="AF55">
            <v>50</v>
          </cell>
          <cell r="AG55">
            <v>0.10942915791268559</v>
          </cell>
          <cell r="AZ55">
            <v>41215</v>
          </cell>
          <cell r="BA55">
            <v>41030</v>
          </cell>
          <cell r="BY55" t="str">
            <v>PIBBR98</v>
          </cell>
          <cell r="BZ55">
            <v>95</v>
          </cell>
          <cell r="CA55" t="str">
            <v>15-06-2009</v>
          </cell>
          <cell r="CB55" t="str">
            <v xml:space="preserve">PIBB        </v>
          </cell>
          <cell r="CC55" t="str">
            <v xml:space="preserve">CI        </v>
          </cell>
          <cell r="CD55" t="str">
            <v xml:space="preserve">OPCOES VENDA   </v>
          </cell>
          <cell r="CE55" t="str">
            <v xml:space="preserve">Europeu        </v>
          </cell>
        </row>
        <row r="56">
          <cell r="AF56">
            <v>51</v>
          </cell>
          <cell r="AG56">
            <v>0.10929342699742928</v>
          </cell>
          <cell r="AZ56">
            <v>41228</v>
          </cell>
          <cell r="BA56">
            <v>41067</v>
          </cell>
          <cell r="BY56" t="str">
            <v>PIBBR99</v>
          </cell>
          <cell r="BZ56">
            <v>105</v>
          </cell>
          <cell r="CA56" t="str">
            <v>15-06-2009</v>
          </cell>
          <cell r="CB56" t="str">
            <v xml:space="preserve">PIBB        </v>
          </cell>
          <cell r="CC56" t="str">
            <v xml:space="preserve">CI        </v>
          </cell>
          <cell r="CD56" t="str">
            <v xml:space="preserve">OPCOES VENDA   </v>
          </cell>
          <cell r="CE56" t="str">
            <v xml:space="preserve">Europeu        </v>
          </cell>
        </row>
        <row r="57">
          <cell r="AF57">
            <v>52</v>
          </cell>
          <cell r="AG57">
            <v>0.10916293216200468</v>
          </cell>
          <cell r="AZ57">
            <v>41268</v>
          </cell>
          <cell r="BA57">
            <v>41099</v>
          </cell>
          <cell r="BY57" t="str">
            <v>AMBVF1</v>
          </cell>
          <cell r="BZ57">
            <v>98</v>
          </cell>
          <cell r="CA57" t="str">
            <v>15-06-2009</v>
          </cell>
          <cell r="CB57" t="str">
            <v xml:space="preserve">AMBV        </v>
          </cell>
          <cell r="CC57" t="str">
            <v xml:space="preserve">ON        </v>
          </cell>
          <cell r="CD57" t="str">
            <v xml:space="preserve">OPCOES COMPRA  </v>
          </cell>
          <cell r="CE57" t="str">
            <v xml:space="preserve">Americano      </v>
          </cell>
        </row>
        <row r="58">
          <cell r="AF58">
            <v>53</v>
          </cell>
          <cell r="AG58">
            <v>0.10903737615313691</v>
          </cell>
          <cell r="AZ58">
            <v>41275</v>
          </cell>
          <cell r="BA58">
            <v>41159</v>
          </cell>
          <cell r="BY58" t="str">
            <v>AMBVR1</v>
          </cell>
          <cell r="BZ58">
            <v>98</v>
          </cell>
          <cell r="CA58" t="str">
            <v>15-06-2009</v>
          </cell>
          <cell r="CB58" t="str">
            <v xml:space="preserve">AMBV        </v>
          </cell>
          <cell r="CC58" t="str">
            <v xml:space="preserve">ON        </v>
          </cell>
          <cell r="CD58" t="str">
            <v xml:space="preserve">OPCOES VENDA   </v>
          </cell>
          <cell r="CE58" t="str">
            <v xml:space="preserve">Europeu        </v>
          </cell>
        </row>
        <row r="59">
          <cell r="AF59">
            <v>54</v>
          </cell>
          <cell r="AG59">
            <v>0.10891648379978713</v>
          </cell>
          <cell r="AZ59">
            <v>41299</v>
          </cell>
          <cell r="BA59">
            <v>41194</v>
          </cell>
          <cell r="BY59" t="str">
            <v>BEESF1</v>
          </cell>
          <cell r="BZ59">
            <v>6.94</v>
          </cell>
          <cell r="CA59" t="str">
            <v>15-06-2009</v>
          </cell>
          <cell r="CB59" t="str">
            <v xml:space="preserve">BEES    /EJ </v>
          </cell>
          <cell r="CC59" t="str">
            <v xml:space="preserve">ON        </v>
          </cell>
          <cell r="CD59" t="str">
            <v xml:space="preserve">OPCOES COMPRA  </v>
          </cell>
          <cell r="CE59" t="str">
            <v xml:space="preserve">Americano      </v>
          </cell>
        </row>
        <row r="60">
          <cell r="AF60">
            <v>55</v>
          </cell>
          <cell r="AG60">
            <v>0.10880000000000001</v>
          </cell>
          <cell r="AZ60">
            <v>41316</v>
          </cell>
          <cell r="BA60">
            <v>41215</v>
          </cell>
          <cell r="BY60" t="str">
            <v>BEESR1</v>
          </cell>
          <cell r="BZ60">
            <v>6.94</v>
          </cell>
          <cell r="CA60" t="str">
            <v>15-06-2009</v>
          </cell>
          <cell r="CB60" t="str">
            <v xml:space="preserve">BEES    /EJ </v>
          </cell>
          <cell r="CC60" t="str">
            <v xml:space="preserve">ON        </v>
          </cell>
          <cell r="CD60" t="str">
            <v xml:space="preserve">OPCOES VENDA   </v>
          </cell>
          <cell r="CE60" t="str">
            <v xml:space="preserve">Europeu        </v>
          </cell>
        </row>
        <row r="61">
          <cell r="AF61">
            <v>56</v>
          </cell>
          <cell r="AG61">
            <v>0.10863826475776683</v>
          </cell>
          <cell r="AZ61">
            <v>41317</v>
          </cell>
          <cell r="BA61">
            <v>41228</v>
          </cell>
          <cell r="BY61" t="str">
            <v>CRUZC46</v>
          </cell>
          <cell r="BZ61">
            <v>46</v>
          </cell>
          <cell r="CA61" t="str">
            <v>16-03-2009</v>
          </cell>
          <cell r="CB61" t="str">
            <v xml:space="preserve">CRUZ        </v>
          </cell>
          <cell r="CC61" t="str">
            <v xml:space="preserve">ON        </v>
          </cell>
          <cell r="CD61" t="str">
            <v xml:space="preserve">OPCOES COMPRA  </v>
          </cell>
          <cell r="CE61" t="str">
            <v xml:space="preserve">Americano      </v>
          </cell>
        </row>
        <row r="62">
          <cell r="AF62">
            <v>57</v>
          </cell>
          <cell r="AG62">
            <v>0.10848222680074482</v>
          </cell>
          <cell r="AZ62">
            <v>41362</v>
          </cell>
          <cell r="BA62">
            <v>41268</v>
          </cell>
          <cell r="BY62" t="str">
            <v>CRUZE45</v>
          </cell>
          <cell r="BZ62">
            <v>45</v>
          </cell>
          <cell r="CA62" t="str">
            <v>18-05-2009</v>
          </cell>
          <cell r="CB62" t="str">
            <v xml:space="preserve">CRUZ        </v>
          </cell>
          <cell r="CC62" t="str">
            <v xml:space="preserve">ON        </v>
          </cell>
          <cell r="CD62" t="str">
            <v xml:space="preserve">OPCOES COMPRA  </v>
          </cell>
          <cell r="CE62" t="str">
            <v xml:space="preserve">Europeu        </v>
          </cell>
        </row>
        <row r="63">
          <cell r="AF63">
            <v>58</v>
          </cell>
          <cell r="AG63">
            <v>0.10833159030199613</v>
          </cell>
          <cell r="AZ63">
            <v>41385</v>
          </cell>
          <cell r="BA63">
            <v>41275</v>
          </cell>
          <cell r="BY63" t="str">
            <v>CRUZF1</v>
          </cell>
          <cell r="BZ63">
            <v>44</v>
          </cell>
          <cell r="CA63" t="str">
            <v>15-06-2009</v>
          </cell>
          <cell r="CB63" t="str">
            <v xml:space="preserve">CRUZ        </v>
          </cell>
          <cell r="CC63" t="str">
            <v xml:space="preserve">ON        </v>
          </cell>
          <cell r="CD63" t="str">
            <v xml:space="preserve">OPCOES COMPRA  </v>
          </cell>
          <cell r="CE63" t="str">
            <v xml:space="preserve">Americano      </v>
          </cell>
        </row>
        <row r="64">
          <cell r="AF64">
            <v>59</v>
          </cell>
          <cell r="AG64">
            <v>0.10818607956680215</v>
          </cell>
          <cell r="AZ64">
            <v>41395</v>
          </cell>
          <cell r="BA64">
            <v>41299</v>
          </cell>
          <cell r="BY64" t="str">
            <v>CRUZO46</v>
          </cell>
          <cell r="BZ64">
            <v>46</v>
          </cell>
          <cell r="CA64" t="str">
            <v>16-03-2009</v>
          </cell>
          <cell r="CB64" t="str">
            <v xml:space="preserve">CRUZ        </v>
          </cell>
          <cell r="CC64" t="str">
            <v xml:space="preserve">ON        </v>
          </cell>
          <cell r="CD64" t="str">
            <v xml:space="preserve">OPCOES VENDA   </v>
          </cell>
          <cell r="CE64" t="str">
            <v xml:space="preserve">Europeu        </v>
          </cell>
        </row>
        <row r="65">
          <cell r="AF65">
            <v>60</v>
          </cell>
          <cell r="AG65">
            <v>0.10804543734872296</v>
          </cell>
          <cell r="AZ65">
            <v>41424</v>
          </cell>
          <cell r="BA65">
            <v>41316</v>
          </cell>
          <cell r="BY65" t="str">
            <v>CRUZQ45</v>
          </cell>
          <cell r="BZ65">
            <v>45</v>
          </cell>
          <cell r="CA65" t="str">
            <v>18-05-2009</v>
          </cell>
          <cell r="CB65" t="str">
            <v xml:space="preserve">CRUZ        </v>
          </cell>
          <cell r="CC65" t="str">
            <v xml:space="preserve">ON        </v>
          </cell>
          <cell r="CD65" t="str">
            <v xml:space="preserve">OPCOES VENDA   </v>
          </cell>
          <cell r="CE65" t="str">
            <v xml:space="preserve">Europeu        </v>
          </cell>
        </row>
        <row r="66">
          <cell r="AF66">
            <v>61</v>
          </cell>
          <cell r="AG66">
            <v>0.1079094233318949</v>
          </cell>
          <cell r="AZ66">
            <v>41464</v>
          </cell>
          <cell r="BA66">
            <v>41317</v>
          </cell>
          <cell r="BY66" t="str">
            <v>CRUZR1</v>
          </cell>
          <cell r="BZ66">
            <v>44</v>
          </cell>
          <cell r="CA66" t="str">
            <v>15-06-2009</v>
          </cell>
          <cell r="CB66" t="str">
            <v xml:space="preserve">CRUZ        </v>
          </cell>
          <cell r="CC66" t="str">
            <v xml:space="preserve">ON        </v>
          </cell>
          <cell r="CD66" t="str">
            <v xml:space="preserve">OPCOES VENDA   </v>
          </cell>
          <cell r="CE66" t="str">
            <v xml:space="preserve">Europeu        </v>
          </cell>
        </row>
        <row r="67">
          <cell r="AF67">
            <v>62</v>
          </cell>
          <cell r="AG67">
            <v>0.10777781276073584</v>
          </cell>
          <cell r="AZ67">
            <v>41524</v>
          </cell>
          <cell r="BA67">
            <v>41362</v>
          </cell>
          <cell r="BY67" t="str">
            <v>CSNAC30</v>
          </cell>
          <cell r="BZ67">
            <v>30</v>
          </cell>
          <cell r="CA67" t="str">
            <v>16-03-2009</v>
          </cell>
          <cell r="CB67" t="str">
            <v xml:space="preserve">CSNA        </v>
          </cell>
          <cell r="CC67" t="str">
            <v xml:space="preserve">ON        </v>
          </cell>
          <cell r="CD67" t="str">
            <v xml:space="preserve">OPCOES COMPRA  </v>
          </cell>
          <cell r="CE67" t="str">
            <v xml:space="preserve">Americano      </v>
          </cell>
        </row>
        <row r="68">
          <cell r="AF68">
            <v>63</v>
          </cell>
          <cell r="AG68">
            <v>0.10765039520061404</v>
          </cell>
          <cell r="AZ68">
            <v>41559</v>
          </cell>
          <cell r="BA68">
            <v>41385</v>
          </cell>
          <cell r="BY68" t="str">
            <v>CSNAC31</v>
          </cell>
          <cell r="BZ68">
            <v>31</v>
          </cell>
          <cell r="CA68" t="str">
            <v>16-03-2009</v>
          </cell>
          <cell r="CB68" t="str">
            <v xml:space="preserve">CSNA        </v>
          </cell>
          <cell r="CC68" t="str">
            <v xml:space="preserve">ON        </v>
          </cell>
          <cell r="CD68" t="str">
            <v xml:space="preserve">OPCOES COMPRA  </v>
          </cell>
          <cell r="CE68" t="str">
            <v xml:space="preserve">Europeu        </v>
          </cell>
        </row>
        <row r="69">
          <cell r="AF69">
            <v>64</v>
          </cell>
          <cell r="AG69">
            <v>0.10752697341511164</v>
          </cell>
          <cell r="AZ69">
            <v>41580</v>
          </cell>
          <cell r="BA69">
            <v>41395</v>
          </cell>
          <cell r="BY69" t="str">
            <v>CSNAC32</v>
          </cell>
          <cell r="BZ69">
            <v>32</v>
          </cell>
          <cell r="CA69" t="str">
            <v>16-03-2009</v>
          </cell>
          <cell r="CB69" t="str">
            <v xml:space="preserve">CSNA        </v>
          </cell>
          <cell r="CC69" t="str">
            <v xml:space="preserve">ON        </v>
          </cell>
          <cell r="CD69" t="str">
            <v xml:space="preserve">OPCOES COMPRA  </v>
          </cell>
          <cell r="CE69" t="str">
            <v xml:space="preserve">Americano      </v>
          </cell>
        </row>
        <row r="70">
          <cell r="AF70">
            <v>65</v>
          </cell>
          <cell r="AG70">
            <v>0.10740736234728199</v>
          </cell>
          <cell r="AZ70">
            <v>41593</v>
          </cell>
          <cell r="BA70">
            <v>41424</v>
          </cell>
          <cell r="BY70" t="str">
            <v>CSNAC33</v>
          </cell>
          <cell r="BZ70">
            <v>33</v>
          </cell>
          <cell r="CA70" t="str">
            <v>16-03-2009</v>
          </cell>
          <cell r="CB70" t="str">
            <v xml:space="preserve">CSNA        </v>
          </cell>
          <cell r="CC70" t="str">
            <v xml:space="preserve">ON        </v>
          </cell>
          <cell r="CD70" t="str">
            <v xml:space="preserve">OPCOES COMPRA  </v>
          </cell>
          <cell r="CE70" t="str">
            <v xml:space="preserve">Europeu        </v>
          </cell>
        </row>
        <row r="71">
          <cell r="AF71">
            <v>66</v>
          </cell>
          <cell r="AG71">
            <v>0.10729138819383355</v>
          </cell>
          <cell r="AZ71">
            <v>41633</v>
          </cell>
          <cell r="BA71">
            <v>41464</v>
          </cell>
          <cell r="BY71" t="str">
            <v>CSNAC34</v>
          </cell>
          <cell r="BZ71">
            <v>34</v>
          </cell>
          <cell r="CA71" t="str">
            <v>16-03-2009</v>
          </cell>
          <cell r="CB71" t="str">
            <v xml:space="preserve">CSNA        </v>
          </cell>
          <cell r="CC71" t="str">
            <v xml:space="preserve">ON        </v>
          </cell>
          <cell r="CD71" t="str">
            <v xml:space="preserve">OPCOES COMPRA  </v>
          </cell>
          <cell r="CE71" t="str">
            <v xml:space="preserve">Americano      </v>
          </cell>
        </row>
        <row r="72">
          <cell r="AF72">
            <v>67</v>
          </cell>
          <cell r="AG72">
            <v>0.10717888756249794</v>
          </cell>
          <cell r="AZ72">
            <v>41640</v>
          </cell>
          <cell r="BA72">
            <v>41524</v>
          </cell>
          <cell r="BY72" t="str">
            <v>CSNAC35</v>
          </cell>
          <cell r="BZ72">
            <v>35</v>
          </cell>
          <cell r="CA72" t="str">
            <v>16-03-2009</v>
          </cell>
          <cell r="CB72" t="str">
            <v xml:space="preserve">CSNA        </v>
          </cell>
          <cell r="CC72" t="str">
            <v xml:space="preserve">ON        </v>
          </cell>
          <cell r="CD72" t="str">
            <v xml:space="preserve">OPCOES COMPRA  </v>
          </cell>
          <cell r="CE72" t="str">
            <v xml:space="preserve">Europeu        </v>
          </cell>
        </row>
        <row r="73">
          <cell r="AF73">
            <v>68</v>
          </cell>
          <cell r="AG73">
            <v>0.10706970670399496</v>
          </cell>
          <cell r="AZ73">
            <v>41664</v>
          </cell>
          <cell r="BA73">
            <v>41559</v>
          </cell>
          <cell r="BY73" t="str">
            <v>CSNAC36</v>
          </cell>
          <cell r="BZ73">
            <v>36</v>
          </cell>
          <cell r="CA73" t="str">
            <v>16-03-2009</v>
          </cell>
          <cell r="CB73" t="str">
            <v xml:space="preserve">CSNA        </v>
          </cell>
          <cell r="CC73" t="str">
            <v xml:space="preserve">ON        </v>
          </cell>
          <cell r="CD73" t="str">
            <v xml:space="preserve">OPCOES COMPRA  </v>
          </cell>
          <cell r="CE73" t="str">
            <v xml:space="preserve">Americano      </v>
          </cell>
        </row>
        <row r="74">
          <cell r="AF74">
            <v>69</v>
          </cell>
          <cell r="AG74">
            <v>0.10696370081099715</v>
          </cell>
          <cell r="AZ74">
            <v>41701</v>
          </cell>
          <cell r="BA74">
            <v>41580</v>
          </cell>
          <cell r="BY74" t="str">
            <v>CSNAC37</v>
          </cell>
          <cell r="BZ74">
            <v>37</v>
          </cell>
          <cell r="CA74" t="str">
            <v>16-03-2009</v>
          </cell>
          <cell r="CB74" t="str">
            <v xml:space="preserve">CSNA        </v>
          </cell>
          <cell r="CC74" t="str">
            <v xml:space="preserve">ON        </v>
          </cell>
          <cell r="CD74" t="str">
            <v xml:space="preserve">OPCOES COMPRA  </v>
          </cell>
          <cell r="CE74" t="str">
            <v xml:space="preserve">Europeu        </v>
          </cell>
        </row>
        <row r="75">
          <cell r="AF75">
            <v>70</v>
          </cell>
          <cell r="AG75">
            <v>0.10686073337737656</v>
          </cell>
          <cell r="AZ75">
            <v>41702</v>
          </cell>
          <cell r="BA75">
            <v>41593</v>
          </cell>
          <cell r="BY75" t="str">
            <v>CSNAC38</v>
          </cell>
          <cell r="BZ75">
            <v>38</v>
          </cell>
          <cell r="CA75" t="str">
            <v>16-03-2009</v>
          </cell>
          <cell r="CB75" t="str">
            <v xml:space="preserve">CSNA        </v>
          </cell>
          <cell r="CC75" t="str">
            <v xml:space="preserve">ON        </v>
          </cell>
          <cell r="CD75" t="str">
            <v xml:space="preserve">OPCOES COMPRA  </v>
          </cell>
          <cell r="CE75" t="str">
            <v xml:space="preserve">Americano      </v>
          </cell>
        </row>
        <row r="76">
          <cell r="AF76">
            <v>71</v>
          </cell>
          <cell r="AG76">
            <v>0.10676067561176916</v>
          </cell>
          <cell r="AZ76">
            <v>41747</v>
          </cell>
          <cell r="BA76">
            <v>41633</v>
          </cell>
          <cell r="BY76" t="str">
            <v>CSNAC39</v>
          </cell>
          <cell r="BZ76">
            <v>39</v>
          </cell>
          <cell r="CA76" t="str">
            <v>16-03-2009</v>
          </cell>
          <cell r="CB76" t="str">
            <v xml:space="preserve">CSNA        </v>
          </cell>
          <cell r="CC76" t="str">
            <v xml:space="preserve">ON        </v>
          </cell>
          <cell r="CD76" t="str">
            <v xml:space="preserve">OPCOES COMPRA  </v>
          </cell>
          <cell r="CE76" t="str">
            <v xml:space="preserve">Europeu        </v>
          </cell>
        </row>
        <row r="77">
          <cell r="AF77">
            <v>72</v>
          </cell>
          <cell r="AG77">
            <v>0.10666340590016254</v>
          </cell>
          <cell r="AZ77">
            <v>41750</v>
          </cell>
          <cell r="BA77">
            <v>41640</v>
          </cell>
          <cell r="BY77" t="str">
            <v>CSNAC1</v>
          </cell>
          <cell r="BZ77">
            <v>39.5</v>
          </cell>
          <cell r="CA77" t="str">
            <v>16-03-2009</v>
          </cell>
          <cell r="CB77" t="str">
            <v xml:space="preserve">CSNA        </v>
          </cell>
          <cell r="CC77" t="str">
            <v xml:space="preserve">ON        </v>
          </cell>
          <cell r="CD77" t="str">
            <v xml:space="preserve">OPCOES COMPRA  </v>
          </cell>
          <cell r="CE77" t="str">
            <v xml:space="preserve">Europeu        </v>
          </cell>
        </row>
        <row r="78">
          <cell r="AF78">
            <v>73</v>
          </cell>
          <cell r="AG78">
            <v>0.10656880931278789</v>
          </cell>
          <cell r="AZ78">
            <v>41760</v>
          </cell>
          <cell r="BA78">
            <v>41664</v>
          </cell>
          <cell r="BY78" t="str">
            <v>CSNAC40</v>
          </cell>
          <cell r="BZ78">
            <v>40</v>
          </cell>
          <cell r="CA78" t="str">
            <v>16-03-2009</v>
          </cell>
          <cell r="CB78" t="str">
            <v xml:space="preserve">CSNA        </v>
          </cell>
          <cell r="CC78" t="str">
            <v xml:space="preserve">ON        </v>
          </cell>
          <cell r="CD78" t="str">
            <v xml:space="preserve">OPCOES COMPRA  </v>
          </cell>
          <cell r="CE78" t="str">
            <v xml:space="preserve">Americano      </v>
          </cell>
        </row>
        <row r="79">
          <cell r="AF79">
            <v>74</v>
          </cell>
          <cell r="AG79">
            <v>0.10647677715111481</v>
          </cell>
          <cell r="AZ79">
            <v>41809</v>
          </cell>
          <cell r="BA79">
            <v>41701</v>
          </cell>
          <cell r="BY79" t="str">
            <v>CSNAC41</v>
          </cell>
          <cell r="BZ79">
            <v>41</v>
          </cell>
          <cell r="CA79" t="str">
            <v>16-03-2009</v>
          </cell>
          <cell r="CB79" t="str">
            <v xml:space="preserve">CSNA        </v>
          </cell>
          <cell r="CC79" t="str">
            <v xml:space="preserve">ON        </v>
          </cell>
          <cell r="CD79" t="str">
            <v xml:space="preserve">OPCOES COMPRA  </v>
          </cell>
          <cell r="CE79" t="str">
            <v xml:space="preserve">Europeu        </v>
          </cell>
        </row>
        <row r="80">
          <cell r="AF80">
            <v>75</v>
          </cell>
          <cell r="AG80">
            <v>0.10638720653119549</v>
          </cell>
          <cell r="AZ80">
            <v>41829</v>
          </cell>
          <cell r="BA80">
            <v>41702</v>
          </cell>
          <cell r="BY80" t="str">
            <v>CSNAC42</v>
          </cell>
          <cell r="BZ80">
            <v>42</v>
          </cell>
          <cell r="CA80" t="str">
            <v>16-03-2009</v>
          </cell>
          <cell r="CB80" t="str">
            <v xml:space="preserve">CSNA        </v>
          </cell>
          <cell r="CC80" t="str">
            <v xml:space="preserve">ON        </v>
          </cell>
          <cell r="CD80" t="str">
            <v xml:space="preserve">OPCOES COMPRA  </v>
          </cell>
          <cell r="CE80" t="str">
            <v xml:space="preserve">Americano      </v>
          </cell>
        </row>
        <row r="81">
          <cell r="AF81">
            <v>76</v>
          </cell>
          <cell r="AG81">
            <v>0.10630000000000006</v>
          </cell>
          <cell r="AZ81">
            <v>41889</v>
          </cell>
          <cell r="BA81">
            <v>41747</v>
          </cell>
          <cell r="BY81" t="str">
            <v>CSNAC2</v>
          </cell>
          <cell r="BZ81">
            <v>42.5</v>
          </cell>
          <cell r="CA81" t="str">
            <v>16-03-2009</v>
          </cell>
          <cell r="CB81" t="str">
            <v xml:space="preserve">CSNA        </v>
          </cell>
          <cell r="CC81" t="str">
            <v xml:space="preserve">ON        </v>
          </cell>
          <cell r="CD81" t="str">
            <v xml:space="preserve">OPCOES COMPRA  </v>
          </cell>
          <cell r="CE81" t="str">
            <v xml:space="preserve">Europeu        </v>
          </cell>
        </row>
        <row r="82">
          <cell r="AF82">
            <v>77</v>
          </cell>
          <cell r="AG82">
            <v>0.10616923730046501</v>
          </cell>
          <cell r="AZ82">
            <v>41924</v>
          </cell>
          <cell r="BA82">
            <v>41750</v>
          </cell>
          <cell r="BY82" t="str">
            <v>CSNAC43</v>
          </cell>
          <cell r="BZ82">
            <v>43</v>
          </cell>
          <cell r="CA82" t="str">
            <v>16-03-2009</v>
          </cell>
          <cell r="CB82" t="str">
            <v xml:space="preserve">CSNA        </v>
          </cell>
          <cell r="CC82" t="str">
            <v xml:space="preserve">ON        </v>
          </cell>
          <cell r="CD82" t="str">
            <v xml:space="preserve">OPCOES COMPRA  </v>
          </cell>
          <cell r="CE82" t="str">
            <v xml:space="preserve">Europeu        </v>
          </cell>
        </row>
        <row r="83">
          <cell r="AF83">
            <v>78</v>
          </cell>
          <cell r="AG83">
            <v>0.10604184235721825</v>
          </cell>
          <cell r="AZ83">
            <v>41945</v>
          </cell>
          <cell r="BA83">
            <v>41760</v>
          </cell>
          <cell r="BY83" t="str">
            <v>CSNAC6</v>
          </cell>
          <cell r="BZ83">
            <v>43.5</v>
          </cell>
          <cell r="CA83" t="str">
            <v>16-03-2009</v>
          </cell>
          <cell r="CB83" t="str">
            <v xml:space="preserve">CSNA        </v>
          </cell>
          <cell r="CC83" t="str">
            <v xml:space="preserve">ON        </v>
          </cell>
          <cell r="CD83" t="str">
            <v xml:space="preserve">OPCOES COMPRA  </v>
          </cell>
          <cell r="CE83" t="str">
            <v xml:space="preserve">Europeu        </v>
          </cell>
        </row>
        <row r="84">
          <cell r="AF84">
            <v>79</v>
          </cell>
          <cell r="AG84">
            <v>0.10591768672174728</v>
          </cell>
          <cell r="AZ84">
            <v>41958</v>
          </cell>
          <cell r="BA84">
            <v>41809</v>
          </cell>
          <cell r="BY84" t="str">
            <v>CSNAC44</v>
          </cell>
          <cell r="BZ84">
            <v>44</v>
          </cell>
          <cell r="CA84" t="str">
            <v>16-03-2009</v>
          </cell>
          <cell r="CB84" t="str">
            <v xml:space="preserve">CSNA        </v>
          </cell>
          <cell r="CC84" t="str">
            <v xml:space="preserve">ON        </v>
          </cell>
          <cell r="CD84" t="str">
            <v xml:space="preserve">OPCOES COMPRA  </v>
          </cell>
          <cell r="CE84" t="str">
            <v xml:space="preserve">Americano      </v>
          </cell>
        </row>
        <row r="85">
          <cell r="AF85">
            <v>80</v>
          </cell>
          <cell r="AG85">
            <v>0.10579664839564651</v>
          </cell>
          <cell r="AZ85">
            <v>41998</v>
          </cell>
          <cell r="BA85">
            <v>41829</v>
          </cell>
          <cell r="BY85" t="str">
            <v>CSNAC5</v>
          </cell>
          <cell r="BZ85">
            <v>45.5</v>
          </cell>
          <cell r="CA85" t="str">
            <v>16-03-2009</v>
          </cell>
          <cell r="CB85" t="str">
            <v xml:space="preserve">CSNA        </v>
          </cell>
          <cell r="CC85" t="str">
            <v xml:space="preserve">ON        </v>
          </cell>
          <cell r="CD85" t="str">
            <v xml:space="preserve">OPCOES COMPRA  </v>
          </cell>
          <cell r="CE85" t="str">
            <v xml:space="preserve">Europeu        </v>
          </cell>
        </row>
        <row r="86">
          <cell r="AF86">
            <v>81</v>
          </cell>
          <cell r="AG86">
            <v>0.10567861143077173</v>
          </cell>
          <cell r="AZ86">
            <v>42005</v>
          </cell>
          <cell r="BA86">
            <v>41889</v>
          </cell>
          <cell r="BY86" t="str">
            <v>CSNAD27</v>
          </cell>
          <cell r="BZ86">
            <v>27</v>
          </cell>
          <cell r="CA86" t="str">
            <v>20-04-2009</v>
          </cell>
          <cell r="CB86" t="str">
            <v xml:space="preserve">CSNA        </v>
          </cell>
          <cell r="CC86" t="str">
            <v xml:space="preserve">ON        </v>
          </cell>
          <cell r="CD86" t="str">
            <v xml:space="preserve">OPCOES COMPRA  </v>
          </cell>
          <cell r="CE86" t="str">
            <v xml:space="preserve">Europeu        </v>
          </cell>
        </row>
        <row r="87">
          <cell r="AF87">
            <v>82</v>
          </cell>
          <cell r="AG87">
            <v>0.10556346555876961</v>
          </cell>
          <cell r="AZ87">
            <v>42029</v>
          </cell>
          <cell r="BA87">
            <v>41924</v>
          </cell>
          <cell r="BY87" t="str">
            <v>CSNAD1</v>
          </cell>
          <cell r="BZ87">
            <v>28.5</v>
          </cell>
          <cell r="CA87" t="str">
            <v>20-04-2009</v>
          </cell>
          <cell r="CB87" t="str">
            <v xml:space="preserve">CSNA        </v>
          </cell>
          <cell r="CC87" t="str">
            <v xml:space="preserve">ON        </v>
          </cell>
          <cell r="CD87" t="str">
            <v xml:space="preserve">OPCOES COMPRA  </v>
          </cell>
          <cell r="CE87" t="str">
            <v xml:space="preserve">Europeu        </v>
          </cell>
        </row>
        <row r="88">
          <cell r="AF88">
            <v>83</v>
          </cell>
          <cell r="AG88">
            <v>0.10545110584750517</v>
          </cell>
          <cell r="AZ88">
            <v>42051</v>
          </cell>
          <cell r="BA88">
            <v>41945</v>
          </cell>
          <cell r="BY88" t="str">
            <v>CSNAD30</v>
          </cell>
          <cell r="BZ88">
            <v>30</v>
          </cell>
          <cell r="CA88" t="str">
            <v>20-04-2009</v>
          </cell>
          <cell r="CB88" t="str">
            <v xml:space="preserve">CSNA        </v>
          </cell>
          <cell r="CC88" t="str">
            <v xml:space="preserve">ON        </v>
          </cell>
          <cell r="CD88" t="str">
            <v xml:space="preserve">OPCOES COMPRA  </v>
          </cell>
          <cell r="CE88" t="str">
            <v xml:space="preserve">Americano      </v>
          </cell>
        </row>
        <row r="89">
          <cell r="AF89">
            <v>84</v>
          </cell>
          <cell r="AG89">
            <v>0.10534143238212579</v>
          </cell>
          <cell r="AZ89">
            <v>42052</v>
          </cell>
          <cell r="BA89">
            <v>41958</v>
          </cell>
          <cell r="BY89" t="str">
            <v>CSNAD31</v>
          </cell>
          <cell r="BZ89">
            <v>31</v>
          </cell>
          <cell r="CA89" t="str">
            <v>20-04-2009</v>
          </cell>
          <cell r="CB89" t="str">
            <v xml:space="preserve">CSNA        </v>
          </cell>
          <cell r="CC89" t="str">
            <v xml:space="preserve">ON        </v>
          </cell>
          <cell r="CD89" t="str">
            <v xml:space="preserve">OPCOES COMPRA  </v>
          </cell>
          <cell r="CE89" t="str">
            <v xml:space="preserve">Europeu        </v>
          </cell>
        </row>
        <row r="90">
          <cell r="AF90">
            <v>85</v>
          </cell>
          <cell r="AG90">
            <v>0.1052343499687316</v>
          </cell>
          <cell r="AZ90">
            <v>42097</v>
          </cell>
          <cell r="BA90">
            <v>41998</v>
          </cell>
          <cell r="BY90" t="str">
            <v>CSNAD32</v>
          </cell>
          <cell r="BZ90">
            <v>32</v>
          </cell>
          <cell r="CA90" t="str">
            <v>20-04-2009</v>
          </cell>
          <cell r="CB90" t="str">
            <v xml:space="preserve">CSNA        </v>
          </cell>
          <cell r="CC90" t="str">
            <v xml:space="preserve">ON        </v>
          </cell>
          <cell r="CD90" t="str">
            <v xml:space="preserve">OPCOES COMPRA  </v>
          </cell>
          <cell r="CE90" t="str">
            <v xml:space="preserve">Americano      </v>
          </cell>
        </row>
        <row r="91">
          <cell r="AF91">
            <v>86</v>
          </cell>
          <cell r="AG91">
            <v>0.10512976785880279</v>
          </cell>
          <cell r="AZ91">
            <v>42115</v>
          </cell>
          <cell r="BA91">
            <v>42005</v>
          </cell>
          <cell r="BY91" t="str">
            <v>CSNAD33</v>
          </cell>
          <cell r="BZ91">
            <v>33</v>
          </cell>
          <cell r="CA91" t="str">
            <v>20-04-2009</v>
          </cell>
          <cell r="CB91" t="str">
            <v xml:space="preserve">CSNA        </v>
          </cell>
          <cell r="CC91" t="str">
            <v xml:space="preserve">ON        </v>
          </cell>
          <cell r="CD91" t="str">
            <v xml:space="preserve">OPCOES COMPRA  </v>
          </cell>
          <cell r="CE91" t="str">
            <v xml:space="preserve">Europeu        </v>
          </cell>
        </row>
        <row r="92">
          <cell r="AF92">
            <v>87</v>
          </cell>
          <cell r="AG92">
            <v>0.10502759949270613</v>
          </cell>
          <cell r="AZ92">
            <v>42125</v>
          </cell>
          <cell r="BA92">
            <v>42029</v>
          </cell>
          <cell r="BY92" t="str">
            <v>CSNAD34</v>
          </cell>
          <cell r="BZ92">
            <v>34</v>
          </cell>
          <cell r="CA92" t="str">
            <v>20-04-2009</v>
          </cell>
          <cell r="CB92" t="str">
            <v xml:space="preserve">CSNA        </v>
          </cell>
          <cell r="CC92" t="str">
            <v xml:space="preserve">ON        </v>
          </cell>
          <cell r="CD92" t="str">
            <v xml:space="preserve">OPCOES COMPRA  </v>
          </cell>
          <cell r="CE92" t="str">
            <v xml:space="preserve">Americano      </v>
          </cell>
        </row>
        <row r="93">
          <cell r="AF93">
            <v>88</v>
          </cell>
          <cell r="AG93">
            <v>0.1049277622607574</v>
          </cell>
          <cell r="AZ93">
            <v>42159</v>
          </cell>
          <cell r="BA93">
            <v>42051</v>
          </cell>
          <cell r="BY93" t="str">
            <v>CSNAD35</v>
          </cell>
          <cell r="BZ93">
            <v>35</v>
          </cell>
          <cell r="CA93" t="str">
            <v>20-04-2009</v>
          </cell>
          <cell r="CB93" t="str">
            <v xml:space="preserve">CSNA        </v>
          </cell>
          <cell r="CC93" t="str">
            <v xml:space="preserve">ON        </v>
          </cell>
          <cell r="CD93" t="str">
            <v xml:space="preserve">OPCOES COMPRA  </v>
          </cell>
          <cell r="CE93" t="str">
            <v xml:space="preserve">Europeu        </v>
          </cell>
        </row>
        <row r="94">
          <cell r="AF94">
            <v>89</v>
          </cell>
          <cell r="AG94">
            <v>0.10483017728045807</v>
          </cell>
          <cell r="AZ94">
            <v>42194</v>
          </cell>
          <cell r="BA94">
            <v>42052</v>
          </cell>
          <cell r="BY94" t="str">
            <v>CSNAD36</v>
          </cell>
          <cell r="BZ94">
            <v>36</v>
          </cell>
          <cell r="CA94" t="str">
            <v>20-04-2009</v>
          </cell>
          <cell r="CB94" t="str">
            <v xml:space="preserve">CSNA        </v>
          </cell>
          <cell r="CC94" t="str">
            <v xml:space="preserve">ON        </v>
          </cell>
          <cell r="CD94" t="str">
            <v xml:space="preserve">OPCOES COMPRA  </v>
          </cell>
          <cell r="CE94" t="str">
            <v xml:space="preserve">Americano      </v>
          </cell>
        </row>
        <row r="95">
          <cell r="AF95">
            <v>90</v>
          </cell>
          <cell r="AG95">
            <v>0.10473476918863378</v>
          </cell>
          <cell r="AZ95">
            <v>42254</v>
          </cell>
          <cell r="BA95">
            <v>42097</v>
          </cell>
          <cell r="BY95" t="str">
            <v>CSNAD37</v>
          </cell>
          <cell r="BZ95">
            <v>37</v>
          </cell>
          <cell r="CA95" t="str">
            <v>20-04-2009</v>
          </cell>
          <cell r="CB95" t="str">
            <v xml:space="preserve">CSNA        </v>
          </cell>
          <cell r="CC95" t="str">
            <v xml:space="preserve">ON        </v>
          </cell>
          <cell r="CD95" t="str">
            <v xml:space="preserve">OPCOES COMPRA  </v>
          </cell>
          <cell r="CE95" t="str">
            <v xml:space="preserve">Europeu        </v>
          </cell>
        </row>
        <row r="96">
          <cell r="AF96">
            <v>91</v>
          </cell>
          <cell r="AG96">
            <v>0.10464146594733537</v>
          </cell>
          <cell r="AZ96">
            <v>42289</v>
          </cell>
          <cell r="BA96">
            <v>42115</v>
          </cell>
          <cell r="BY96" t="str">
            <v>CSNAD38</v>
          </cell>
          <cell r="BZ96">
            <v>38</v>
          </cell>
          <cell r="CA96" t="str">
            <v>20-04-2009</v>
          </cell>
          <cell r="CB96" t="str">
            <v xml:space="preserve">CSNA        </v>
          </cell>
          <cell r="CC96" t="str">
            <v xml:space="preserve">ON        </v>
          </cell>
          <cell r="CD96" t="str">
            <v xml:space="preserve">OPCOES COMPRA  </v>
          </cell>
          <cell r="CE96" t="str">
            <v xml:space="preserve">Americano      </v>
          </cell>
        </row>
        <row r="97">
          <cell r="AF97">
            <v>92</v>
          </cell>
          <cell r="AG97">
            <v>0.10455019866244175</v>
          </cell>
          <cell r="AZ97">
            <v>42310</v>
          </cell>
          <cell r="BA97">
            <v>42125</v>
          </cell>
          <cell r="BY97" t="str">
            <v>CSNAD39</v>
          </cell>
          <cell r="BZ97">
            <v>39</v>
          </cell>
          <cell r="CA97" t="str">
            <v>20-04-2009</v>
          </cell>
          <cell r="CB97" t="str">
            <v xml:space="preserve">CSNA        </v>
          </cell>
          <cell r="CC97" t="str">
            <v xml:space="preserve">ON        </v>
          </cell>
          <cell r="CD97" t="str">
            <v xml:space="preserve">OPCOES COMPRA  </v>
          </cell>
          <cell r="CE97" t="str">
            <v xml:space="preserve">Europeu        </v>
          </cell>
        </row>
        <row r="98">
          <cell r="AF98">
            <v>93</v>
          </cell>
          <cell r="AG98">
            <v>0.10446090141401099</v>
          </cell>
          <cell r="AZ98">
            <v>42323</v>
          </cell>
          <cell r="BA98">
            <v>42159</v>
          </cell>
          <cell r="BY98" t="str">
            <v>CSNAD40</v>
          </cell>
          <cell r="BZ98">
            <v>40</v>
          </cell>
          <cell r="CA98" t="str">
            <v>20-04-2009</v>
          </cell>
          <cell r="CB98" t="str">
            <v xml:space="preserve">CSNA        </v>
          </cell>
          <cell r="CC98" t="str">
            <v xml:space="preserve">ON        </v>
          </cell>
          <cell r="CD98" t="str">
            <v xml:space="preserve">OPCOES COMPRA  </v>
          </cell>
          <cell r="CE98" t="str">
            <v xml:space="preserve">Americano      </v>
          </cell>
        </row>
        <row r="99">
          <cell r="AF99">
            <v>94</v>
          </cell>
          <cell r="AG99">
            <v>0.10437351109750037</v>
          </cell>
          <cell r="AZ99">
            <v>42363</v>
          </cell>
          <cell r="BA99">
            <v>42194</v>
          </cell>
          <cell r="BY99" t="str">
            <v>CSNAD41</v>
          </cell>
          <cell r="BZ99">
            <v>41</v>
          </cell>
          <cell r="CA99" t="str">
            <v>20-04-2009</v>
          </cell>
          <cell r="CB99" t="str">
            <v xml:space="preserve">CSNA        </v>
          </cell>
          <cell r="CC99" t="str">
            <v xml:space="preserve">ON        </v>
          </cell>
          <cell r="CD99" t="str">
            <v xml:space="preserve">OPCOES COMPRA  </v>
          </cell>
          <cell r="CE99" t="str">
            <v xml:space="preserve">Europeu        </v>
          </cell>
        </row>
        <row r="100">
          <cell r="AF100">
            <v>95</v>
          </cell>
          <cell r="AG100">
            <v>0.10428796727504919</v>
          </cell>
          <cell r="AZ100">
            <v>42370</v>
          </cell>
          <cell r="BA100">
            <v>42254</v>
          </cell>
          <cell r="BY100" t="str">
            <v>CSNAD42</v>
          </cell>
          <cell r="BZ100">
            <v>42</v>
          </cell>
          <cell r="CA100" t="str">
            <v>20-04-2009</v>
          </cell>
          <cell r="CB100" t="str">
            <v xml:space="preserve">CSNA        </v>
          </cell>
          <cell r="CC100" t="str">
            <v xml:space="preserve">ON        </v>
          </cell>
          <cell r="CD100" t="str">
            <v xml:space="preserve">OPCOES COMPRA  </v>
          </cell>
          <cell r="CE100" t="str">
            <v xml:space="preserve">Americano      </v>
          </cell>
        </row>
        <row r="101">
          <cell r="AF101">
            <v>96</v>
          </cell>
          <cell r="AG101">
            <v>0.10420421203609087</v>
          </cell>
          <cell r="AZ101">
            <v>42394</v>
          </cell>
          <cell r="BA101">
            <v>42289</v>
          </cell>
          <cell r="BY101" t="str">
            <v>CSNAD43</v>
          </cell>
          <cell r="BZ101">
            <v>43</v>
          </cell>
          <cell r="CA101" t="str">
            <v>20-04-2009</v>
          </cell>
          <cell r="CB101" t="str">
            <v xml:space="preserve">CSNA        </v>
          </cell>
          <cell r="CC101" t="str">
            <v xml:space="preserve">ON        </v>
          </cell>
          <cell r="CD101" t="str">
            <v xml:space="preserve">OPCOES COMPRA  </v>
          </cell>
          <cell r="CE101" t="str">
            <v xml:space="preserve">Europeu        </v>
          </cell>
        </row>
        <row r="102">
          <cell r="AF102">
            <v>97</v>
          </cell>
          <cell r="AG102">
            <v>0.10412218986661737</v>
          </cell>
          <cell r="AZ102">
            <v>42408</v>
          </cell>
          <cell r="BA102">
            <v>42310</v>
          </cell>
          <cell r="BY102" t="str">
            <v>CSNAD44</v>
          </cell>
          <cell r="BZ102">
            <v>44</v>
          </cell>
          <cell r="CA102" t="str">
            <v>20-04-2009</v>
          </cell>
          <cell r="CB102" t="str">
            <v xml:space="preserve">CSNA        </v>
          </cell>
          <cell r="CC102" t="str">
            <v xml:space="preserve">ON        </v>
          </cell>
          <cell r="CD102" t="str">
            <v xml:space="preserve">OPCOES COMPRA  </v>
          </cell>
          <cell r="CE102" t="str">
            <v xml:space="preserve">Americano      </v>
          </cell>
        </row>
        <row r="103">
          <cell r="AF103">
            <v>98</v>
          </cell>
          <cell r="AG103">
            <v>0.10404184752647549</v>
          </cell>
          <cell r="AZ103">
            <v>42409</v>
          </cell>
          <cell r="BA103">
            <v>42323</v>
          </cell>
          <cell r="BY103" t="str">
            <v>CSNAD98</v>
          </cell>
          <cell r="BZ103">
            <v>64.790000000000006</v>
          </cell>
          <cell r="CA103" t="str">
            <v>20-04-2009</v>
          </cell>
          <cell r="CB103" t="str">
            <v xml:space="preserve">CSNA        </v>
          </cell>
          <cell r="CC103" t="str">
            <v xml:space="preserve">ON        </v>
          </cell>
          <cell r="CD103" t="str">
            <v xml:space="preserve">OPCOES COMPRA  </v>
          </cell>
          <cell r="CE103" t="str">
            <v xml:space="preserve">Europeu        </v>
          </cell>
        </row>
        <row r="104">
          <cell r="AF104">
            <v>99</v>
          </cell>
          <cell r="AG104">
            <v>0.10396313393412582</v>
          </cell>
          <cell r="AZ104">
            <v>42454</v>
          </cell>
          <cell r="BA104">
            <v>42363</v>
          </cell>
          <cell r="BY104" t="str">
            <v>CSNAD99</v>
          </cell>
          <cell r="BZ104">
            <v>75</v>
          </cell>
          <cell r="CA104" t="str">
            <v>20-04-2009</v>
          </cell>
          <cell r="CB104" t="str">
            <v xml:space="preserve">CSNA        </v>
          </cell>
          <cell r="CC104" t="str">
            <v xml:space="preserve">ON        </v>
          </cell>
          <cell r="CD104" t="str">
            <v xml:space="preserve">OPCOES COMPRA  </v>
          </cell>
          <cell r="CE104" t="str">
            <v xml:space="preserve">Europeu        </v>
          </cell>
        </row>
        <row r="105">
          <cell r="AF105">
            <v>100</v>
          </cell>
          <cell r="AG105">
            <v>0.1038860000583417</v>
          </cell>
          <cell r="AZ105">
            <v>42481</v>
          </cell>
          <cell r="BA105">
            <v>42370</v>
          </cell>
          <cell r="BY105" t="str">
            <v>CSNAE26</v>
          </cell>
          <cell r="BZ105">
            <v>26</v>
          </cell>
          <cell r="CA105" t="str">
            <v>18-05-2009</v>
          </cell>
          <cell r="CB105" t="str">
            <v xml:space="preserve">CSNA        </v>
          </cell>
          <cell r="CC105" t="str">
            <v xml:space="preserve">ON        </v>
          </cell>
          <cell r="CD105" t="str">
            <v xml:space="preserve">OPCOES COMPRA  </v>
          </cell>
          <cell r="CE105" t="str">
            <v xml:space="preserve">Americano      </v>
          </cell>
        </row>
        <row r="106">
          <cell r="AF106">
            <v>101</v>
          </cell>
          <cell r="AG106">
            <v>0.10381039881635967</v>
          </cell>
          <cell r="AZ106">
            <v>42491</v>
          </cell>
          <cell r="BA106">
            <v>42394</v>
          </cell>
          <cell r="BY106" t="str">
            <v>CSNAE28</v>
          </cell>
          <cell r="BZ106">
            <v>28</v>
          </cell>
          <cell r="CA106" t="str">
            <v>18-05-2009</v>
          </cell>
          <cell r="CB106" t="str">
            <v xml:space="preserve">CSNA        </v>
          </cell>
          <cell r="CC106" t="str">
            <v xml:space="preserve">ON        </v>
          </cell>
          <cell r="CD106" t="str">
            <v xml:space="preserve">OPCOES COMPRA  </v>
          </cell>
          <cell r="CE106" t="str">
            <v xml:space="preserve">Americano      </v>
          </cell>
        </row>
        <row r="107">
          <cell r="AF107">
            <v>102</v>
          </cell>
          <cell r="AG107">
            <v>0.10373628497804654</v>
          </cell>
          <cell r="AZ107">
            <v>42516</v>
          </cell>
          <cell r="BA107">
            <v>42408</v>
          </cell>
          <cell r="BY107" t="str">
            <v>CSNAE30</v>
          </cell>
          <cell r="BZ107">
            <v>30</v>
          </cell>
          <cell r="CA107" t="str">
            <v>18-05-2009</v>
          </cell>
          <cell r="CB107" t="str">
            <v xml:space="preserve">CSNA        </v>
          </cell>
          <cell r="CC107" t="str">
            <v xml:space="preserve">ON        </v>
          </cell>
          <cell r="CD107" t="str">
            <v xml:space="preserve">OPCOES COMPRA  </v>
          </cell>
          <cell r="CE107" t="str">
            <v xml:space="preserve">Americano      </v>
          </cell>
        </row>
        <row r="108">
          <cell r="AF108">
            <v>103</v>
          </cell>
          <cell r="AG108">
            <v>0.10366361507566224</v>
          </cell>
          <cell r="AZ108">
            <v>42560</v>
          </cell>
          <cell r="BA108">
            <v>42409</v>
          </cell>
          <cell r="BY108" t="str">
            <v>CSNAE32</v>
          </cell>
          <cell r="BZ108">
            <v>32</v>
          </cell>
          <cell r="CA108" t="str">
            <v>18-05-2009</v>
          </cell>
          <cell r="CB108" t="str">
            <v xml:space="preserve">CSNA        </v>
          </cell>
          <cell r="CC108" t="str">
            <v xml:space="preserve">ON        </v>
          </cell>
          <cell r="CD108" t="str">
            <v xml:space="preserve">OPCOES COMPRA  </v>
          </cell>
          <cell r="CE108" t="str">
            <v xml:space="preserve">Americano      </v>
          </cell>
        </row>
        <row r="109">
          <cell r="AF109">
            <v>104</v>
          </cell>
          <cell r="AG109">
            <v>0.1035923473188507</v>
          </cell>
          <cell r="AZ109">
            <v>42620</v>
          </cell>
          <cell r="BA109">
            <v>42454</v>
          </cell>
          <cell r="BY109" t="str">
            <v>CSNAE34</v>
          </cell>
          <cell r="BZ109">
            <v>34</v>
          </cell>
          <cell r="CA109" t="str">
            <v>18-05-2009</v>
          </cell>
          <cell r="CB109" t="str">
            <v xml:space="preserve">CSNA        </v>
          </cell>
          <cell r="CC109" t="str">
            <v xml:space="preserve">ON        </v>
          </cell>
          <cell r="CD109" t="str">
            <v xml:space="preserve">OPCOES COMPRA  </v>
          </cell>
          <cell r="CE109" t="str">
            <v xml:space="preserve">Americano      </v>
          </cell>
        </row>
        <row r="110">
          <cell r="AF110">
            <v>105</v>
          </cell>
          <cell r="AG110">
            <v>0.10352244151450152</v>
          </cell>
          <cell r="AZ110">
            <v>42655</v>
          </cell>
          <cell r="BA110">
            <v>42481</v>
          </cell>
          <cell r="BY110" t="str">
            <v>CSNAE36</v>
          </cell>
          <cell r="BZ110">
            <v>36</v>
          </cell>
          <cell r="CA110" t="str">
            <v>18-05-2009</v>
          </cell>
          <cell r="CB110" t="str">
            <v xml:space="preserve">CSNA        </v>
          </cell>
          <cell r="CC110" t="str">
            <v xml:space="preserve">ON        </v>
          </cell>
          <cell r="CD110" t="str">
            <v xml:space="preserve">OPCOES COMPRA  </v>
          </cell>
          <cell r="CE110" t="str">
            <v xml:space="preserve">Americano      </v>
          </cell>
        </row>
        <row r="111">
          <cell r="AF111">
            <v>106</v>
          </cell>
          <cell r="AG111">
            <v>0.10345385899116288</v>
          </cell>
          <cell r="AZ111">
            <v>42676</v>
          </cell>
          <cell r="BA111">
            <v>42491</v>
          </cell>
          <cell r="BY111" t="str">
            <v>CSNAE38</v>
          </cell>
          <cell r="BZ111">
            <v>38</v>
          </cell>
          <cell r="CA111" t="str">
            <v>18-05-2009</v>
          </cell>
          <cell r="CB111" t="str">
            <v xml:space="preserve">CSNA        </v>
          </cell>
          <cell r="CC111" t="str">
            <v xml:space="preserve">ON        </v>
          </cell>
          <cell r="CD111" t="str">
            <v xml:space="preserve">OPCOES COMPRA  </v>
          </cell>
          <cell r="CE111" t="str">
            <v xml:space="preserve">Americano      </v>
          </cell>
        </row>
        <row r="112">
          <cell r="AF112">
            <v>107</v>
          </cell>
          <cell r="AG112">
            <v>0.1033865625277075</v>
          </cell>
          <cell r="AZ112">
            <v>42689</v>
          </cell>
          <cell r="BA112">
            <v>42516</v>
          </cell>
          <cell r="BY112" t="str">
            <v>CSNAE40</v>
          </cell>
          <cell r="BZ112">
            <v>40</v>
          </cell>
          <cell r="CA112" t="str">
            <v>18-05-2009</v>
          </cell>
          <cell r="CB112" t="str">
            <v xml:space="preserve">CSNA        </v>
          </cell>
          <cell r="CC112" t="str">
            <v xml:space="preserve">ON        </v>
          </cell>
          <cell r="CD112" t="str">
            <v xml:space="preserve">OPCOES COMPRA  </v>
          </cell>
          <cell r="CE112" t="str">
            <v xml:space="preserve">Americano      </v>
          </cell>
        </row>
        <row r="113">
          <cell r="AF113">
            <v>108</v>
          </cell>
          <cell r="AG113">
            <v>0.10332051628597272</v>
          </cell>
          <cell r="AZ113">
            <v>42729</v>
          </cell>
          <cell r="BA113">
            <v>42560</v>
          </cell>
          <cell r="BY113" t="str">
            <v>CSNAE42</v>
          </cell>
          <cell r="BZ113">
            <v>42</v>
          </cell>
          <cell r="CA113" t="str">
            <v>18-05-2009</v>
          </cell>
          <cell r="CB113" t="str">
            <v xml:space="preserve">CSNA        </v>
          </cell>
          <cell r="CC113" t="str">
            <v xml:space="preserve">ON        </v>
          </cell>
          <cell r="CD113" t="str">
            <v xml:space="preserve">OPCOES COMPRA  </v>
          </cell>
          <cell r="CE113" t="str">
            <v xml:space="preserve">Americano      </v>
          </cell>
        </row>
        <row r="114">
          <cell r="AF114">
            <v>109</v>
          </cell>
          <cell r="AG114">
            <v>0.10325568574712252</v>
          </cell>
          <cell r="AZ114">
            <v>42736</v>
          </cell>
          <cell r="BA114">
            <v>42620</v>
          </cell>
          <cell r="BY114" t="str">
            <v>CSNAF98</v>
          </cell>
          <cell r="BZ114">
            <v>64.790000000000006</v>
          </cell>
          <cell r="CA114" t="str">
            <v>15-06-2009</v>
          </cell>
          <cell r="CB114" t="str">
            <v xml:space="preserve">CSNA        </v>
          </cell>
          <cell r="CC114" t="str">
            <v xml:space="preserve">ON        </v>
          </cell>
          <cell r="CD114" t="str">
            <v xml:space="preserve">OPCOES COMPRA  </v>
          </cell>
          <cell r="CE114" t="str">
            <v xml:space="preserve">Europeu        </v>
          </cell>
        </row>
        <row r="115">
          <cell r="AF115">
            <v>110</v>
          </cell>
          <cell r="AG115">
            <v>0.10319203765148943</v>
          </cell>
          <cell r="AZ115">
            <v>42760</v>
          </cell>
          <cell r="BA115">
            <v>42655</v>
          </cell>
          <cell r="BY115" t="str">
            <v>CSNAF99</v>
          </cell>
          <cell r="BZ115">
            <v>75</v>
          </cell>
          <cell r="CA115" t="str">
            <v>15-06-2009</v>
          </cell>
          <cell r="CB115" t="str">
            <v xml:space="preserve">CSNA        </v>
          </cell>
          <cell r="CC115" t="str">
            <v xml:space="preserve">ON        </v>
          </cell>
          <cell r="CD115" t="str">
            <v xml:space="preserve">OPCOES COMPRA  </v>
          </cell>
          <cell r="CE115" t="str">
            <v xml:space="preserve">Europeu        </v>
          </cell>
        </row>
        <row r="116">
          <cell r="AF116">
            <v>111</v>
          </cell>
          <cell r="AG116">
            <v>0.10312953994167806</v>
          </cell>
          <cell r="AZ116">
            <v>42793</v>
          </cell>
          <cell r="BA116">
            <v>42676</v>
          </cell>
          <cell r="BY116" t="str">
            <v>CSNAO30</v>
          </cell>
          <cell r="BZ116">
            <v>30</v>
          </cell>
          <cell r="CA116" t="str">
            <v>16-03-2009</v>
          </cell>
          <cell r="CB116" t="str">
            <v xml:space="preserve">CSNA        </v>
          </cell>
          <cell r="CC116" t="str">
            <v xml:space="preserve">ON        </v>
          </cell>
          <cell r="CD116" t="str">
            <v xml:space="preserve">OPCOES VENDA   </v>
          </cell>
          <cell r="CE116" t="str">
            <v xml:space="preserve">Europeu        </v>
          </cell>
        </row>
        <row r="117">
          <cell r="AF117">
            <v>112</v>
          </cell>
          <cell r="AG117">
            <v>0.10306816170872879</v>
          </cell>
          <cell r="AZ117">
            <v>42794</v>
          </cell>
          <cell r="BA117">
            <v>42689</v>
          </cell>
          <cell r="BY117" t="str">
            <v>CSNAO31</v>
          </cell>
          <cell r="BZ117">
            <v>31</v>
          </cell>
          <cell r="CA117" t="str">
            <v>16-03-2009</v>
          </cell>
          <cell r="CB117" t="str">
            <v xml:space="preserve">CSNA        </v>
          </cell>
          <cell r="CC117" t="str">
            <v xml:space="preserve">ON        </v>
          </cell>
          <cell r="CD117" t="str">
            <v xml:space="preserve">OPCOES VENDA   </v>
          </cell>
          <cell r="CE117" t="str">
            <v xml:space="preserve">Europeu        </v>
          </cell>
        </row>
        <row r="118">
          <cell r="AF118">
            <v>113</v>
          </cell>
          <cell r="AG118">
            <v>0.10300787314114657</v>
          </cell>
          <cell r="AZ118">
            <v>42839</v>
          </cell>
          <cell r="BA118">
            <v>42729</v>
          </cell>
          <cell r="BY118" t="str">
            <v>CSNAO32</v>
          </cell>
          <cell r="BZ118">
            <v>32</v>
          </cell>
          <cell r="CA118" t="str">
            <v>16-03-2009</v>
          </cell>
          <cell r="CB118" t="str">
            <v xml:space="preserve">CSNA        </v>
          </cell>
          <cell r="CC118" t="str">
            <v xml:space="preserve">ON        </v>
          </cell>
          <cell r="CD118" t="str">
            <v xml:space="preserve">OPCOES VENDA   </v>
          </cell>
          <cell r="CE118" t="str">
            <v xml:space="preserve">Europeu        </v>
          </cell>
        </row>
        <row r="119">
          <cell r="AF119">
            <v>114</v>
          </cell>
          <cell r="AG119">
            <v>0.10294864547661975</v>
          </cell>
          <cell r="AZ119">
            <v>42846</v>
          </cell>
          <cell r="BA119">
            <v>42736</v>
          </cell>
          <cell r="BY119" t="str">
            <v>CSNAO33</v>
          </cell>
          <cell r="BZ119">
            <v>33</v>
          </cell>
          <cell r="CA119" t="str">
            <v>16-03-2009</v>
          </cell>
          <cell r="CB119" t="str">
            <v xml:space="preserve">CSNA        </v>
          </cell>
          <cell r="CC119" t="str">
            <v xml:space="preserve">ON        </v>
          </cell>
          <cell r="CD119" t="str">
            <v xml:space="preserve">OPCOES VENDA   </v>
          </cell>
          <cell r="CE119" t="str">
            <v xml:space="preserve">Europeu        </v>
          </cell>
        </row>
        <row r="120">
          <cell r="AF120">
            <v>115</v>
          </cell>
          <cell r="AG120">
            <v>0.10289045095626803</v>
          </cell>
          <cell r="AZ120">
            <v>42856</v>
          </cell>
          <cell r="BA120">
            <v>42760</v>
          </cell>
          <cell r="BY120" t="str">
            <v>CSNAO34</v>
          </cell>
          <cell r="BZ120">
            <v>34</v>
          </cell>
          <cell r="CA120" t="str">
            <v>16-03-2009</v>
          </cell>
          <cell r="CB120" t="str">
            <v xml:space="preserve">CSNA        </v>
          </cell>
          <cell r="CC120" t="str">
            <v xml:space="preserve">ON        </v>
          </cell>
          <cell r="CD120" t="str">
            <v xml:space="preserve">OPCOES VENDA   </v>
          </cell>
          <cell r="CE120" t="str">
            <v xml:space="preserve">Europeu        </v>
          </cell>
        </row>
        <row r="121">
          <cell r="AF121">
            <v>116</v>
          </cell>
          <cell r="AG121">
            <v>0.10283326278126204</v>
          </cell>
          <cell r="AZ121">
            <v>42901</v>
          </cell>
          <cell r="BA121">
            <v>42793</v>
          </cell>
          <cell r="BY121" t="str">
            <v>CSNAO35</v>
          </cell>
          <cell r="BZ121">
            <v>35</v>
          </cell>
          <cell r="CA121" t="str">
            <v>16-03-2009</v>
          </cell>
          <cell r="CB121" t="str">
            <v xml:space="preserve">CSNA        </v>
          </cell>
          <cell r="CC121" t="str">
            <v xml:space="preserve">ON        </v>
          </cell>
          <cell r="CD121" t="str">
            <v xml:space="preserve">OPCOES VENDA   </v>
          </cell>
          <cell r="CE121" t="str">
            <v xml:space="preserve">Europeu        </v>
          </cell>
        </row>
        <row r="122">
          <cell r="AF122">
            <v>117</v>
          </cell>
          <cell r="AG122">
            <v>0.10277705507167401</v>
          </cell>
          <cell r="AZ122">
            <v>42925</v>
          </cell>
          <cell r="BA122">
            <v>42794</v>
          </cell>
          <cell r="BY122" t="str">
            <v>CSNAO36</v>
          </cell>
          <cell r="BZ122">
            <v>36</v>
          </cell>
          <cell r="CA122" t="str">
            <v>16-03-2009</v>
          </cell>
          <cell r="CB122" t="str">
            <v xml:space="preserve">CSNA        </v>
          </cell>
          <cell r="CC122" t="str">
            <v xml:space="preserve">ON        </v>
          </cell>
          <cell r="CD122" t="str">
            <v xml:space="preserve">OPCOES VENDA   </v>
          </cell>
          <cell r="CE122" t="str">
            <v xml:space="preserve">Europeu        </v>
          </cell>
        </row>
        <row r="123">
          <cell r="AF123">
            <v>118</v>
          </cell>
          <cell r="AG123">
            <v>0.1027218028274286</v>
          </cell>
          <cell r="AZ123">
            <v>42985</v>
          </cell>
          <cell r="BA123">
            <v>42839</v>
          </cell>
          <cell r="BY123" t="str">
            <v>CSNAO37</v>
          </cell>
          <cell r="BZ123">
            <v>37</v>
          </cell>
          <cell r="CA123" t="str">
            <v>16-03-2009</v>
          </cell>
          <cell r="CB123" t="str">
            <v xml:space="preserve">CSNA        </v>
          </cell>
          <cell r="CC123" t="str">
            <v xml:space="preserve">ON        </v>
          </cell>
          <cell r="CD123" t="str">
            <v xml:space="preserve">OPCOES VENDA   </v>
          </cell>
          <cell r="CE123" t="str">
            <v xml:space="preserve">Europeu        </v>
          </cell>
        </row>
        <row r="124">
          <cell r="AF124">
            <v>119</v>
          </cell>
          <cell r="AG124">
            <v>0.10266748189122654</v>
          </cell>
          <cell r="AZ124">
            <v>43020</v>
          </cell>
          <cell r="BA124">
            <v>42846</v>
          </cell>
          <cell r="BY124" t="str">
            <v>CSNAO38</v>
          </cell>
          <cell r="BZ124">
            <v>38</v>
          </cell>
          <cell r="CA124" t="str">
            <v>16-03-2009</v>
          </cell>
          <cell r="CB124" t="str">
            <v xml:space="preserve">CSNA        </v>
          </cell>
          <cell r="CC124" t="str">
            <v xml:space="preserve">ON        </v>
          </cell>
          <cell r="CD124" t="str">
            <v xml:space="preserve">OPCOES VENDA   </v>
          </cell>
          <cell r="CE124" t="str">
            <v xml:space="preserve">Europeu        </v>
          </cell>
        </row>
        <row r="125">
          <cell r="AF125">
            <v>120</v>
          </cell>
          <cell r="AG125">
            <v>0.10261406891332769</v>
          </cell>
          <cell r="AZ125">
            <v>43041</v>
          </cell>
          <cell r="BA125">
            <v>42856</v>
          </cell>
          <cell r="BY125" t="str">
            <v>CSNAO39</v>
          </cell>
          <cell r="BZ125">
            <v>39</v>
          </cell>
          <cell r="CA125" t="str">
            <v>16-03-2009</v>
          </cell>
          <cell r="CB125" t="str">
            <v xml:space="preserve">CSNA        </v>
          </cell>
          <cell r="CC125" t="str">
            <v xml:space="preserve">ON        </v>
          </cell>
          <cell r="CD125" t="str">
            <v xml:space="preserve">OPCOES VENDA   </v>
          </cell>
          <cell r="CE125" t="str">
            <v xml:space="preserve">Europeu        </v>
          </cell>
        </row>
        <row r="126">
          <cell r="AF126">
            <v>121</v>
          </cell>
          <cell r="AG126">
            <v>0.10256154131808715</v>
          </cell>
          <cell r="AZ126">
            <v>43054</v>
          </cell>
          <cell r="BA126">
            <v>42901</v>
          </cell>
          <cell r="BY126" t="str">
            <v>CSNAO1</v>
          </cell>
          <cell r="BZ126">
            <v>39.5</v>
          </cell>
          <cell r="CA126" t="str">
            <v>16-03-2009</v>
          </cell>
          <cell r="CB126" t="str">
            <v xml:space="preserve">CSNA        </v>
          </cell>
          <cell r="CC126" t="str">
            <v xml:space="preserve">ON        </v>
          </cell>
          <cell r="CD126" t="str">
            <v xml:space="preserve">OPCOES VENDA   </v>
          </cell>
          <cell r="CE126" t="str">
            <v xml:space="preserve">Europeu        </v>
          </cell>
        </row>
        <row r="127">
          <cell r="AF127">
            <v>122</v>
          </cell>
          <cell r="AG127">
            <v>0.10250987727213801</v>
          </cell>
          <cell r="AZ127">
            <v>43094</v>
          </cell>
          <cell r="BA127">
            <v>42925</v>
          </cell>
          <cell r="BY127" t="str">
            <v>CSNAO40</v>
          </cell>
          <cell r="BZ127">
            <v>40</v>
          </cell>
          <cell r="CA127" t="str">
            <v>16-03-2009</v>
          </cell>
          <cell r="CB127" t="str">
            <v xml:space="preserve">CSNA        </v>
          </cell>
          <cell r="CC127" t="str">
            <v xml:space="preserve">ON        </v>
          </cell>
          <cell r="CD127" t="str">
            <v xml:space="preserve">OPCOES VENDA   </v>
          </cell>
          <cell r="CE127" t="str">
            <v xml:space="preserve">Europeu        </v>
          </cell>
        </row>
        <row r="128">
          <cell r="AF128">
            <v>123</v>
          </cell>
          <cell r="AG128">
            <v>0.1024590556541356</v>
          </cell>
          <cell r="AZ128">
            <v>43101</v>
          </cell>
          <cell r="BA128">
            <v>42985</v>
          </cell>
          <cell r="BY128" t="str">
            <v>CSNAO41</v>
          </cell>
          <cell r="BZ128">
            <v>41</v>
          </cell>
          <cell r="CA128" t="str">
            <v>16-03-2009</v>
          </cell>
          <cell r="CB128" t="str">
            <v xml:space="preserve">CSNA        </v>
          </cell>
          <cell r="CC128" t="str">
            <v xml:space="preserve">ON        </v>
          </cell>
          <cell r="CD128" t="str">
            <v xml:space="preserve">OPCOES VENDA   </v>
          </cell>
          <cell r="CE128" t="str">
            <v xml:space="preserve">Europeu        </v>
          </cell>
        </row>
        <row r="129">
          <cell r="AF129">
            <v>124</v>
          </cell>
          <cell r="AG129">
            <v>0.10240905602596517</v>
          </cell>
          <cell r="AZ129">
            <v>43125</v>
          </cell>
          <cell r="BA129">
            <v>43020</v>
          </cell>
          <cell r="BY129" t="str">
            <v>CSNAO42</v>
          </cell>
          <cell r="BZ129">
            <v>42</v>
          </cell>
          <cell r="CA129" t="str">
            <v>16-03-2009</v>
          </cell>
          <cell r="CB129" t="str">
            <v xml:space="preserve">CSNA        </v>
          </cell>
          <cell r="CC129" t="str">
            <v xml:space="preserve">ON        </v>
          </cell>
          <cell r="CD129" t="str">
            <v xml:space="preserve">OPCOES VENDA   </v>
          </cell>
          <cell r="CE129" t="str">
            <v xml:space="preserve">Europeu        </v>
          </cell>
        </row>
        <row r="130">
          <cell r="AF130">
            <v>125</v>
          </cell>
          <cell r="AG130">
            <v>0.10235985860533714</v>
          </cell>
          <cell r="AZ130">
            <v>43143</v>
          </cell>
          <cell r="BA130">
            <v>43041</v>
          </cell>
          <cell r="BY130" t="str">
            <v>CSNAO2</v>
          </cell>
          <cell r="BZ130">
            <v>42.5</v>
          </cell>
          <cell r="CA130" t="str">
            <v>16-03-2009</v>
          </cell>
          <cell r="CB130" t="str">
            <v xml:space="preserve">CSNA        </v>
          </cell>
          <cell r="CC130" t="str">
            <v xml:space="preserve">ON        </v>
          </cell>
          <cell r="CD130" t="str">
            <v xml:space="preserve">OPCOES VENDA   </v>
          </cell>
          <cell r="CE130" t="str">
            <v xml:space="preserve">Europeu        </v>
          </cell>
        </row>
        <row r="131">
          <cell r="AF131">
            <v>126</v>
          </cell>
          <cell r="AG131">
            <v>0.10231144423969263</v>
          </cell>
          <cell r="BA131">
            <v>43054</v>
          </cell>
          <cell r="BY131" t="str">
            <v>CSNAO43</v>
          </cell>
          <cell r="BZ131">
            <v>43</v>
          </cell>
          <cell r="CA131" t="str">
            <v>16-03-2009</v>
          </cell>
          <cell r="CB131" t="str">
            <v xml:space="preserve">CSNA        </v>
          </cell>
          <cell r="CC131" t="str">
            <v xml:space="preserve">ON        </v>
          </cell>
          <cell r="CD131" t="str">
            <v xml:space="preserve">OPCOES VENDA   </v>
          </cell>
          <cell r="CE131" t="str">
            <v xml:space="preserve">Europeu        </v>
          </cell>
        </row>
        <row r="132">
          <cell r="AF132">
            <v>127</v>
          </cell>
          <cell r="AG132">
            <v>0.10226379438134248</v>
          </cell>
          <cell r="BA132">
            <v>43094</v>
          </cell>
          <cell r="BY132" t="str">
            <v>CSNAO6</v>
          </cell>
          <cell r="BZ132">
            <v>43.5</v>
          </cell>
          <cell r="CA132" t="str">
            <v>16-03-2009</v>
          </cell>
          <cell r="CB132" t="str">
            <v xml:space="preserve">CSNA        </v>
          </cell>
          <cell r="CC132" t="str">
            <v xml:space="preserve">ON        </v>
          </cell>
          <cell r="CD132" t="str">
            <v xml:space="preserve">OPCOES VENDA   </v>
          </cell>
          <cell r="CE132" t="str">
            <v xml:space="preserve">Europeu        </v>
          </cell>
        </row>
        <row r="133">
          <cell r="AF133">
            <v>128</v>
          </cell>
          <cell r="AG133">
            <v>0.10221689106377596</v>
          </cell>
          <cell r="BA133">
            <v>43101</v>
          </cell>
          <cell r="BY133" t="str">
            <v>CSNAO44</v>
          </cell>
          <cell r="BZ133">
            <v>44</v>
          </cell>
          <cell r="CA133" t="str">
            <v>16-03-2009</v>
          </cell>
          <cell r="CB133" t="str">
            <v xml:space="preserve">CSNA        </v>
          </cell>
          <cell r="CC133" t="str">
            <v xml:space="preserve">ON        </v>
          </cell>
          <cell r="CD133" t="str">
            <v xml:space="preserve">OPCOES VENDA   </v>
          </cell>
          <cell r="CE133" t="str">
            <v xml:space="preserve">Europeu        </v>
          </cell>
        </row>
        <row r="134">
          <cell r="AF134">
            <v>129</v>
          </cell>
          <cell r="AG134">
            <v>0.10217071687907442</v>
          </cell>
          <cell r="BA134">
            <v>43125</v>
          </cell>
          <cell r="BY134" t="str">
            <v>CSNAO5</v>
          </cell>
          <cell r="BZ134">
            <v>45.5</v>
          </cell>
          <cell r="CA134" t="str">
            <v>16-03-2009</v>
          </cell>
          <cell r="CB134" t="str">
            <v xml:space="preserve">CSNA        </v>
          </cell>
          <cell r="CC134" t="str">
            <v xml:space="preserve">ON        </v>
          </cell>
          <cell r="CD134" t="str">
            <v xml:space="preserve">OPCOES VENDA   </v>
          </cell>
          <cell r="CE134" t="str">
            <v xml:space="preserve">Europeu        </v>
          </cell>
        </row>
        <row r="135">
          <cell r="AF135">
            <v>130</v>
          </cell>
          <cell r="AG135">
            <v>0.10212525495636937</v>
          </cell>
          <cell r="BA135">
            <v>43143</v>
          </cell>
          <cell r="BY135" t="str">
            <v>CSNAP27</v>
          </cell>
          <cell r="BZ135">
            <v>27</v>
          </cell>
          <cell r="CA135" t="str">
            <v>20-04-2009</v>
          </cell>
          <cell r="CB135" t="str">
            <v xml:space="preserve">CSNA        </v>
          </cell>
          <cell r="CC135" t="str">
            <v xml:space="preserve">ON        </v>
          </cell>
          <cell r="CD135" t="str">
            <v xml:space="preserve">OPCOES VENDA   </v>
          </cell>
          <cell r="CE135" t="str">
            <v xml:space="preserve">Europeu        </v>
          </cell>
        </row>
        <row r="136">
          <cell r="AF136">
            <v>131</v>
          </cell>
          <cell r="AG136">
            <v>0.10208048894129251</v>
          </cell>
          <cell r="BA136">
            <v>43144</v>
          </cell>
          <cell r="BY136" t="str">
            <v>CSNAP1</v>
          </cell>
          <cell r="BZ136">
            <v>28.5</v>
          </cell>
          <cell r="CA136" t="str">
            <v>20-04-2009</v>
          </cell>
          <cell r="CB136" t="str">
            <v xml:space="preserve">CSNA        </v>
          </cell>
          <cell r="CC136" t="str">
            <v xml:space="preserve">ON        </v>
          </cell>
          <cell r="CD136" t="str">
            <v xml:space="preserve">OPCOES VENDA   </v>
          </cell>
          <cell r="CE136" t="str">
            <v xml:space="preserve">Europeu        </v>
          </cell>
        </row>
        <row r="137">
          <cell r="AF137">
            <v>132</v>
          </cell>
          <cell r="AG137">
            <v>0.10203640297635652</v>
          </cell>
          <cell r="BA137">
            <v>43189</v>
          </cell>
          <cell r="BY137" t="str">
            <v>CSNAP30</v>
          </cell>
          <cell r="BZ137">
            <v>30</v>
          </cell>
          <cell r="CA137" t="str">
            <v>20-04-2009</v>
          </cell>
          <cell r="CB137" t="str">
            <v xml:space="preserve">CSNA        </v>
          </cell>
          <cell r="CC137" t="str">
            <v xml:space="preserve">ON        </v>
          </cell>
          <cell r="CD137" t="str">
            <v xml:space="preserve">OPCOES VENDA   </v>
          </cell>
          <cell r="CE137" t="str">
            <v xml:space="preserve">Europeu        </v>
          </cell>
        </row>
        <row r="138">
          <cell r="AF138">
            <v>133</v>
          </cell>
          <cell r="AG138">
            <v>0.10199298168223114</v>
          </cell>
          <cell r="BA138">
            <v>43211</v>
          </cell>
          <cell r="BY138" t="str">
            <v>CSNAP31</v>
          </cell>
          <cell r="BZ138">
            <v>31</v>
          </cell>
          <cell r="CA138" t="str">
            <v>20-04-2009</v>
          </cell>
          <cell r="CB138" t="str">
            <v xml:space="preserve">CSNA        </v>
          </cell>
          <cell r="CC138" t="str">
            <v xml:space="preserve">ON        </v>
          </cell>
          <cell r="CD138" t="str">
            <v xml:space="preserve">OPCOES VENDA   </v>
          </cell>
          <cell r="CE138" t="str">
            <v xml:space="preserve">Europeu        </v>
          </cell>
        </row>
        <row r="139">
          <cell r="AF139">
            <v>134</v>
          </cell>
          <cell r="AG139">
            <v>0.10195021013985106</v>
          </cell>
          <cell r="BA139">
            <v>0</v>
          </cell>
          <cell r="BY139" t="str">
            <v>CSNAP32</v>
          </cell>
          <cell r="BZ139">
            <v>32</v>
          </cell>
          <cell r="CA139" t="str">
            <v>20-04-2009</v>
          </cell>
          <cell r="CB139" t="str">
            <v xml:space="preserve">CSNA        </v>
          </cell>
          <cell r="CC139" t="str">
            <v xml:space="preserve">ON        </v>
          </cell>
          <cell r="CD139" t="str">
            <v xml:space="preserve">OPCOES VENDA   </v>
          </cell>
          <cell r="CE139" t="str">
            <v xml:space="preserve">Europeu        </v>
          </cell>
        </row>
        <row r="140">
          <cell r="AF140">
            <v>135</v>
          </cell>
          <cell r="AG140">
            <v>0.10190807387333045</v>
          </cell>
          <cell r="BA140">
            <v>0</v>
          </cell>
          <cell r="BY140" t="str">
            <v>CSNAP33</v>
          </cell>
          <cell r="BZ140">
            <v>33</v>
          </cell>
          <cell r="CA140" t="str">
            <v>20-04-2009</v>
          </cell>
          <cell r="CB140" t="str">
            <v xml:space="preserve">CSNA        </v>
          </cell>
          <cell r="CC140" t="str">
            <v xml:space="preserve">ON        </v>
          </cell>
          <cell r="CD140" t="str">
            <v xml:space="preserve">OPCOES VENDA   </v>
          </cell>
          <cell r="CE140" t="str">
            <v xml:space="preserve">Europeu        </v>
          </cell>
        </row>
        <row r="141">
          <cell r="AF141">
            <v>136</v>
          </cell>
          <cell r="AG141">
            <v>0.10186655883362361</v>
          </cell>
          <cell r="BA141">
            <v>0</v>
          </cell>
          <cell r="BY141" t="str">
            <v>CSNAP34</v>
          </cell>
          <cell r="BZ141">
            <v>34</v>
          </cell>
          <cell r="CA141" t="str">
            <v>20-04-2009</v>
          </cell>
          <cell r="CB141" t="str">
            <v xml:space="preserve">CSNA        </v>
          </cell>
          <cell r="CC141" t="str">
            <v xml:space="preserve">ON        </v>
          </cell>
          <cell r="CD141" t="str">
            <v xml:space="preserve">OPCOES VENDA   </v>
          </cell>
          <cell r="CE141" t="str">
            <v xml:space="preserve">Europeu        </v>
          </cell>
        </row>
        <row r="142">
          <cell r="AF142">
            <v>137</v>
          </cell>
          <cell r="AG142">
            <v>0.10182565138291078</v>
          </cell>
          <cell r="BA142">
            <v>0</v>
          </cell>
          <cell r="BY142" t="str">
            <v>CSNAP35</v>
          </cell>
          <cell r="BZ142">
            <v>35</v>
          </cell>
          <cell r="CA142" t="str">
            <v>20-04-2009</v>
          </cell>
          <cell r="CB142" t="str">
            <v xml:space="preserve">CSNA        </v>
          </cell>
          <cell r="CC142" t="str">
            <v xml:space="preserve">ON        </v>
          </cell>
          <cell r="CD142" t="str">
            <v xml:space="preserve">OPCOES VENDA   </v>
          </cell>
          <cell r="CE142" t="str">
            <v xml:space="preserve">Europeu        </v>
          </cell>
        </row>
        <row r="143">
          <cell r="AF143">
            <v>138</v>
          </cell>
          <cell r="AG143">
            <v>0.1017853382796603</v>
          </cell>
          <cell r="BA143">
            <v>0</v>
          </cell>
          <cell r="BY143" t="str">
            <v>CSNAP36</v>
          </cell>
          <cell r="BZ143">
            <v>36</v>
          </cell>
          <cell r="CA143" t="str">
            <v>20-04-2009</v>
          </cell>
          <cell r="CB143" t="str">
            <v xml:space="preserve">CSNA        </v>
          </cell>
          <cell r="CC143" t="str">
            <v xml:space="preserve">ON        </v>
          </cell>
          <cell r="CD143" t="str">
            <v xml:space="preserve">OPCOES VENDA   </v>
          </cell>
          <cell r="CE143" t="str">
            <v xml:space="preserve">Europeu        </v>
          </cell>
        </row>
        <row r="144">
          <cell r="AF144">
            <v>139</v>
          </cell>
          <cell r="AG144">
            <v>0.10174560666433785</v>
          </cell>
          <cell r="BY144" t="str">
            <v>CSNAP37</v>
          </cell>
          <cell r="BZ144">
            <v>37</v>
          </cell>
          <cell r="CA144" t="str">
            <v>20-04-2009</v>
          </cell>
          <cell r="CB144" t="str">
            <v xml:space="preserve">CSNA        </v>
          </cell>
          <cell r="CC144" t="str">
            <v xml:space="preserve">ON        </v>
          </cell>
          <cell r="CD144" t="str">
            <v xml:space="preserve">OPCOES VENDA   </v>
          </cell>
          <cell r="CE144" t="str">
            <v xml:space="preserve">Europeu        </v>
          </cell>
        </row>
        <row r="145">
          <cell r="AF145">
            <v>140</v>
          </cell>
          <cell r="AG145">
            <v>0.10170644404573115</v>
          </cell>
          <cell r="BY145" t="str">
            <v>CSNAP38</v>
          </cell>
          <cell r="BZ145">
            <v>38</v>
          </cell>
          <cell r="CA145" t="str">
            <v>20-04-2009</v>
          </cell>
          <cell r="CB145" t="str">
            <v xml:space="preserve">CSNA        </v>
          </cell>
          <cell r="CC145" t="str">
            <v xml:space="preserve">ON        </v>
          </cell>
          <cell r="CD145" t="str">
            <v xml:space="preserve">OPCOES VENDA   </v>
          </cell>
          <cell r="CE145" t="str">
            <v xml:space="preserve">Europeu        </v>
          </cell>
        </row>
        <row r="146">
          <cell r="AF146">
            <v>141</v>
          </cell>
          <cell r="AG146">
            <v>0.10166783828785553</v>
          </cell>
          <cell r="BY146" t="str">
            <v>CSNAP39</v>
          </cell>
          <cell r="BZ146">
            <v>39</v>
          </cell>
          <cell r="CA146" t="str">
            <v>20-04-2009</v>
          </cell>
          <cell r="CB146" t="str">
            <v xml:space="preserve">CSNA        </v>
          </cell>
          <cell r="CC146" t="str">
            <v xml:space="preserve">ON        </v>
          </cell>
          <cell r="CD146" t="str">
            <v xml:space="preserve">OPCOES VENDA   </v>
          </cell>
          <cell r="CE146" t="str">
            <v xml:space="preserve">Europeu        </v>
          </cell>
        </row>
        <row r="147">
          <cell r="AF147">
            <v>142</v>
          </cell>
          <cell r="AG147">
            <v>0.10162977759741709</v>
          </cell>
          <cell r="BY147" t="str">
            <v>CSNAP40</v>
          </cell>
          <cell r="BZ147">
            <v>40</v>
          </cell>
          <cell r="CA147" t="str">
            <v>20-04-2009</v>
          </cell>
          <cell r="CB147" t="str">
            <v xml:space="preserve">CSNA        </v>
          </cell>
          <cell r="CC147" t="str">
            <v xml:space="preserve">ON        </v>
          </cell>
          <cell r="CD147" t="str">
            <v xml:space="preserve">OPCOES VENDA   </v>
          </cell>
          <cell r="CE147" t="str">
            <v xml:space="preserve">Europeu        </v>
          </cell>
        </row>
        <row r="148">
          <cell r="AF148">
            <v>143</v>
          </cell>
          <cell r="AG148">
            <v>0.10159225051180054</v>
          </cell>
          <cell r="BY148" t="str">
            <v>CSNAP41</v>
          </cell>
          <cell r="BZ148">
            <v>41</v>
          </cell>
          <cell r="CA148" t="str">
            <v>20-04-2009</v>
          </cell>
          <cell r="CB148" t="str">
            <v xml:space="preserve">CSNA        </v>
          </cell>
          <cell r="CC148" t="str">
            <v xml:space="preserve">ON        </v>
          </cell>
          <cell r="CD148" t="str">
            <v xml:space="preserve">OPCOES VENDA   </v>
          </cell>
          <cell r="CE148" t="str">
            <v xml:space="preserve">Europeu        </v>
          </cell>
        </row>
        <row r="149">
          <cell r="AF149">
            <v>144</v>
          </cell>
          <cell r="AG149">
            <v>0.10155524588755971</v>
          </cell>
          <cell r="BY149" t="str">
            <v>CSNAP42</v>
          </cell>
          <cell r="BZ149">
            <v>42</v>
          </cell>
          <cell r="CA149" t="str">
            <v>20-04-2009</v>
          </cell>
          <cell r="CB149" t="str">
            <v xml:space="preserve">CSNA        </v>
          </cell>
          <cell r="CC149" t="str">
            <v xml:space="preserve">ON        </v>
          </cell>
          <cell r="CD149" t="str">
            <v xml:space="preserve">OPCOES VENDA   </v>
          </cell>
          <cell r="CE149" t="str">
            <v xml:space="preserve">Europeu        </v>
          </cell>
        </row>
        <row r="150">
          <cell r="AF150">
            <v>145</v>
          </cell>
          <cell r="AG150">
            <v>0.10151875288938617</v>
          </cell>
          <cell r="BY150" t="str">
            <v>CSNAP43</v>
          </cell>
          <cell r="BZ150">
            <v>43</v>
          </cell>
          <cell r="CA150" t="str">
            <v>20-04-2009</v>
          </cell>
          <cell r="CB150" t="str">
            <v xml:space="preserve">CSNA        </v>
          </cell>
          <cell r="CC150" t="str">
            <v xml:space="preserve">ON        </v>
          </cell>
          <cell r="CD150" t="str">
            <v xml:space="preserve">OPCOES VENDA   </v>
          </cell>
          <cell r="CE150" t="str">
            <v xml:space="preserve">Europeu        </v>
          </cell>
        </row>
        <row r="151">
          <cell r="AF151">
            <v>146</v>
          </cell>
          <cell r="AG151">
            <v>0.10148276097953146</v>
          </cell>
          <cell r="BY151" t="str">
            <v>CSNAP44</v>
          </cell>
          <cell r="BZ151">
            <v>44</v>
          </cell>
          <cell r="CA151" t="str">
            <v>20-04-2009</v>
          </cell>
          <cell r="CB151" t="str">
            <v xml:space="preserve">CSNA        </v>
          </cell>
          <cell r="CC151" t="str">
            <v xml:space="preserve">ON        </v>
          </cell>
          <cell r="CD151" t="str">
            <v xml:space="preserve">OPCOES VENDA   </v>
          </cell>
          <cell r="CE151" t="str">
            <v xml:space="preserve">Europeu        </v>
          </cell>
        </row>
        <row r="152">
          <cell r="AF152">
            <v>147</v>
          </cell>
          <cell r="AG152">
            <v>0.10144725990766235</v>
          </cell>
          <cell r="BY152" t="str">
            <v>CSNAP98</v>
          </cell>
          <cell r="BZ152">
            <v>64.790000000000006</v>
          </cell>
          <cell r="CA152" t="str">
            <v>20-04-2009</v>
          </cell>
          <cell r="CB152" t="str">
            <v xml:space="preserve">CSNA        </v>
          </cell>
          <cell r="CC152" t="str">
            <v xml:space="preserve">ON        </v>
          </cell>
          <cell r="CD152" t="str">
            <v xml:space="preserve">OPCOES VENDA   </v>
          </cell>
          <cell r="CE152" t="str">
            <v xml:space="preserve">Europeu        </v>
          </cell>
        </row>
        <row r="153">
          <cell r="AF153">
            <v>148</v>
          </cell>
          <cell r="AG153">
            <v>0.10141223970112745</v>
          </cell>
          <cell r="BY153" t="str">
            <v>CSNAP99</v>
          </cell>
          <cell r="BZ153">
            <v>75</v>
          </cell>
          <cell r="CA153" t="str">
            <v>20-04-2009</v>
          </cell>
          <cell r="CB153" t="str">
            <v xml:space="preserve">CSNA        </v>
          </cell>
          <cell r="CC153" t="str">
            <v xml:space="preserve">ON        </v>
          </cell>
          <cell r="CD153" t="str">
            <v xml:space="preserve">OPCOES VENDA   </v>
          </cell>
          <cell r="CE153" t="str">
            <v xml:space="preserve">Europeu        </v>
          </cell>
        </row>
        <row r="154">
          <cell r="AF154">
            <v>149</v>
          </cell>
          <cell r="AG154">
            <v>0.10137769065561852</v>
          </cell>
          <cell r="BY154" t="str">
            <v>CSNAQ26</v>
          </cell>
          <cell r="BZ154">
            <v>26</v>
          </cell>
          <cell r="CA154" t="str">
            <v>18-05-2009</v>
          </cell>
          <cell r="CB154" t="str">
            <v xml:space="preserve">CSNA        </v>
          </cell>
          <cell r="CC154" t="str">
            <v xml:space="preserve">ON        </v>
          </cell>
          <cell r="CD154" t="str">
            <v xml:space="preserve">OPCOES VENDA   </v>
          </cell>
          <cell r="CE154" t="str">
            <v xml:space="preserve">Europeu        </v>
          </cell>
        </row>
        <row r="155">
          <cell r="AF155">
            <v>150</v>
          </cell>
          <cell r="AG155">
            <v>0.10134360332620429</v>
          </cell>
          <cell r="BY155" t="str">
            <v>CSNAQ28</v>
          </cell>
          <cell r="BZ155">
            <v>28</v>
          </cell>
          <cell r="CA155" t="str">
            <v>18-05-2009</v>
          </cell>
          <cell r="CB155" t="str">
            <v xml:space="preserve">CSNA        </v>
          </cell>
          <cell r="CC155" t="str">
            <v xml:space="preserve">ON        </v>
          </cell>
          <cell r="CD155" t="str">
            <v xml:space="preserve">OPCOES VENDA   </v>
          </cell>
          <cell r="CE155" t="str">
            <v xml:space="preserve">Europeu        </v>
          </cell>
        </row>
        <row r="156">
          <cell r="AF156">
            <v>151</v>
          </cell>
          <cell r="AG156">
            <v>0.10130996851872309</v>
          </cell>
          <cell r="BY156" t="str">
            <v>CSNAQ30</v>
          </cell>
          <cell r="BZ156">
            <v>30</v>
          </cell>
          <cell r="CA156" t="str">
            <v>18-05-2009</v>
          </cell>
          <cell r="CB156" t="str">
            <v xml:space="preserve">CSNA        </v>
          </cell>
          <cell r="CC156" t="str">
            <v xml:space="preserve">ON        </v>
          </cell>
          <cell r="CD156" t="str">
            <v xml:space="preserve">OPCOES VENDA   </v>
          </cell>
          <cell r="CE156" t="str">
            <v xml:space="preserve">Europeu        </v>
          </cell>
        </row>
        <row r="157">
          <cell r="AF157">
            <v>152</v>
          </cell>
          <cell r="AG157">
            <v>0.10127677728151308</v>
          </cell>
          <cell r="BY157" t="str">
            <v>CSNAQ32</v>
          </cell>
          <cell r="BZ157">
            <v>32</v>
          </cell>
          <cell r="CA157" t="str">
            <v>18-05-2009</v>
          </cell>
          <cell r="CB157" t="str">
            <v xml:space="preserve">CSNA        </v>
          </cell>
          <cell r="CC157" t="str">
            <v xml:space="preserve">ON        </v>
          </cell>
          <cell r="CD157" t="str">
            <v xml:space="preserve">OPCOES VENDA   </v>
          </cell>
          <cell r="CE157" t="str">
            <v xml:space="preserve">Europeu        </v>
          </cell>
        </row>
        <row r="158">
          <cell r="AF158">
            <v>153</v>
          </cell>
          <cell r="AG158">
            <v>0.10124402089747297</v>
          </cell>
          <cell r="BY158" t="str">
            <v>CSNAQ34</v>
          </cell>
          <cell r="BZ158">
            <v>34</v>
          </cell>
          <cell r="CA158" t="str">
            <v>18-05-2009</v>
          </cell>
          <cell r="CB158" t="str">
            <v xml:space="preserve">CSNA        </v>
          </cell>
          <cell r="CC158" t="str">
            <v xml:space="preserve">ON        </v>
          </cell>
          <cell r="CD158" t="str">
            <v xml:space="preserve">OPCOES VENDA   </v>
          </cell>
          <cell r="CE158" t="str">
            <v xml:space="preserve">Europeu        </v>
          </cell>
        </row>
        <row r="159">
          <cell r="AF159">
            <v>154</v>
          </cell>
          <cell r="AG159">
            <v>0.10121169087642623</v>
          </cell>
          <cell r="BY159" t="str">
            <v>CSNAQ36</v>
          </cell>
          <cell r="BZ159">
            <v>36</v>
          </cell>
          <cell r="CA159" t="str">
            <v>18-05-2009</v>
          </cell>
          <cell r="CB159" t="str">
            <v xml:space="preserve">CSNA        </v>
          </cell>
          <cell r="CC159" t="str">
            <v xml:space="preserve">ON        </v>
          </cell>
          <cell r="CD159" t="str">
            <v xml:space="preserve">OPCOES VENDA   </v>
          </cell>
          <cell r="CE159" t="str">
            <v xml:space="preserve">Europeu        </v>
          </cell>
        </row>
        <row r="160">
          <cell r="AF160">
            <v>155</v>
          </cell>
          <cell r="AG160">
            <v>0.10117977894778596</v>
          </cell>
          <cell r="BY160" t="str">
            <v>CSNAQ38</v>
          </cell>
          <cell r="BZ160">
            <v>38</v>
          </cell>
          <cell r="CA160" t="str">
            <v>18-05-2009</v>
          </cell>
          <cell r="CB160" t="str">
            <v xml:space="preserve">CSNA        </v>
          </cell>
          <cell r="CC160" t="str">
            <v xml:space="preserve">ON        </v>
          </cell>
          <cell r="CD160" t="str">
            <v xml:space="preserve">OPCOES VENDA   </v>
          </cell>
          <cell r="CE160" t="str">
            <v xml:space="preserve">Europeu        </v>
          </cell>
        </row>
        <row r="161">
          <cell r="AF161">
            <v>156</v>
          </cell>
          <cell r="AG161">
            <v>0.10114827705350105</v>
          </cell>
          <cell r="BY161" t="str">
            <v>CSNAQ40</v>
          </cell>
          <cell r="BZ161">
            <v>40</v>
          </cell>
          <cell r="CA161" t="str">
            <v>18-05-2009</v>
          </cell>
          <cell r="CB161" t="str">
            <v xml:space="preserve">CSNA        </v>
          </cell>
          <cell r="CC161" t="str">
            <v xml:space="preserve">ON        </v>
          </cell>
          <cell r="CD161" t="str">
            <v xml:space="preserve">OPCOES VENDA   </v>
          </cell>
          <cell r="CE161" t="str">
            <v xml:space="preserve">Europeu        </v>
          </cell>
        </row>
        <row r="162">
          <cell r="AF162">
            <v>157</v>
          </cell>
          <cell r="AG162">
            <v>0.10111717734127312</v>
          </cell>
          <cell r="BY162" t="str">
            <v>CSNAQ42</v>
          </cell>
          <cell r="BZ162">
            <v>42</v>
          </cell>
          <cell r="CA162" t="str">
            <v>18-05-2009</v>
          </cell>
          <cell r="CB162" t="str">
            <v xml:space="preserve">CSNA        </v>
          </cell>
          <cell r="CC162" t="str">
            <v xml:space="preserve">ON        </v>
          </cell>
          <cell r="CD162" t="str">
            <v xml:space="preserve">OPCOES VENDA   </v>
          </cell>
          <cell r="CE162" t="str">
            <v xml:space="preserve">Europeu        </v>
          </cell>
        </row>
        <row r="163">
          <cell r="AF163">
            <v>158</v>
          </cell>
          <cell r="AG163">
            <v>0.10108647215803046</v>
          </cell>
          <cell r="BY163" t="str">
            <v>CSNAR98</v>
          </cell>
          <cell r="BZ163">
            <v>64.790000000000006</v>
          </cell>
          <cell r="CA163" t="str">
            <v>15-06-2009</v>
          </cell>
          <cell r="CB163" t="str">
            <v xml:space="preserve">CSNA        </v>
          </cell>
          <cell r="CC163" t="str">
            <v xml:space="preserve">ON        </v>
          </cell>
          <cell r="CD163" t="str">
            <v xml:space="preserve">OPCOES VENDA   </v>
          </cell>
          <cell r="CE163" t="str">
            <v xml:space="preserve">Europeu        </v>
          </cell>
        </row>
        <row r="164">
          <cell r="AF164">
            <v>159</v>
          </cell>
          <cell r="AG164">
            <v>0.1010561540436492</v>
          </cell>
          <cell r="BY164" t="str">
            <v>CSNAR99</v>
          </cell>
          <cell r="BZ164">
            <v>75</v>
          </cell>
          <cell r="CA164" t="str">
            <v>15-06-2009</v>
          </cell>
          <cell r="CB164" t="str">
            <v xml:space="preserve">CSNA        </v>
          </cell>
          <cell r="CC164" t="str">
            <v xml:space="preserve">ON        </v>
          </cell>
          <cell r="CD164" t="str">
            <v xml:space="preserve">OPCOES VENDA   </v>
          </cell>
          <cell r="CE164" t="str">
            <v xml:space="preserve">Europeu        </v>
          </cell>
        </row>
        <row r="165">
          <cell r="AF165">
            <v>160</v>
          </cell>
          <cell r="AG165">
            <v>0.10102621572491133</v>
          </cell>
          <cell r="BY165" t="str">
            <v>KEPLC14</v>
          </cell>
          <cell r="BZ165">
            <v>0.14000000000000001</v>
          </cell>
          <cell r="CA165" t="str">
            <v>16-03-2009</v>
          </cell>
          <cell r="CB165" t="str">
            <v xml:space="preserve">KEPL        </v>
          </cell>
          <cell r="CC165" t="str">
            <v xml:space="preserve">ON        </v>
          </cell>
          <cell r="CD165" t="str">
            <v xml:space="preserve">OPCOES COMPRA  </v>
          </cell>
          <cell r="CE165" t="str">
            <v xml:space="preserve">Americano      </v>
          </cell>
        </row>
        <row r="166">
          <cell r="AF166">
            <v>161</v>
          </cell>
          <cell r="AG166">
            <v>0.10099665010968795</v>
          </cell>
          <cell r="BY166" t="str">
            <v>KEPLC15</v>
          </cell>
          <cell r="BZ166">
            <v>0.15</v>
          </cell>
          <cell r="CA166" t="str">
            <v>16-03-2009</v>
          </cell>
          <cell r="CB166" t="str">
            <v xml:space="preserve">KEPL        </v>
          </cell>
          <cell r="CC166" t="str">
            <v xml:space="preserve">ON        </v>
          </cell>
          <cell r="CD166" t="str">
            <v xml:space="preserve">OPCOES COMPRA  </v>
          </cell>
          <cell r="CE166" t="str">
            <v xml:space="preserve">Americano      </v>
          </cell>
        </row>
        <row r="167">
          <cell r="AF167">
            <v>162</v>
          </cell>
          <cell r="AG167">
            <v>0.10096745028133713</v>
          </cell>
          <cell r="BY167" t="str">
            <v>KEPLC16</v>
          </cell>
          <cell r="BZ167">
            <v>0.16</v>
          </cell>
          <cell r="CA167" t="str">
            <v>16-03-2009</v>
          </cell>
          <cell r="CB167" t="str">
            <v xml:space="preserve">KEPL        </v>
          </cell>
          <cell r="CC167" t="str">
            <v xml:space="preserve">ON        </v>
          </cell>
          <cell r="CD167" t="str">
            <v xml:space="preserve">OPCOES COMPRA  </v>
          </cell>
          <cell r="CE167" t="str">
            <v xml:space="preserve">Americano      </v>
          </cell>
        </row>
        <row r="168">
          <cell r="AF168">
            <v>163</v>
          </cell>
          <cell r="AG168">
            <v>0.10093860949331046</v>
          </cell>
          <cell r="BY168" t="str">
            <v>KEPLC17</v>
          </cell>
          <cell r="BZ168">
            <v>0.17</v>
          </cell>
          <cell r="CA168" t="str">
            <v>16-03-2009</v>
          </cell>
          <cell r="CB168" t="str">
            <v xml:space="preserve">KEPL        </v>
          </cell>
          <cell r="CC168" t="str">
            <v xml:space="preserve">ON        </v>
          </cell>
          <cell r="CD168" t="str">
            <v xml:space="preserve">OPCOES COMPRA  </v>
          </cell>
          <cell r="CE168" t="str">
            <v xml:space="preserve">Americano      </v>
          </cell>
        </row>
        <row r="169">
          <cell r="AF169">
            <v>164</v>
          </cell>
          <cell r="AG169">
            <v>0.10091012116395626</v>
          </cell>
          <cell r="BY169" t="str">
            <v>KEPLC18</v>
          </cell>
          <cell r="BZ169">
            <v>0.18</v>
          </cell>
          <cell r="CA169" t="str">
            <v>16-03-2009</v>
          </cell>
          <cell r="CB169" t="str">
            <v xml:space="preserve">KEPL        </v>
          </cell>
          <cell r="CC169" t="str">
            <v xml:space="preserve">ON        </v>
          </cell>
          <cell r="CD169" t="str">
            <v xml:space="preserve">OPCOES COMPRA  </v>
          </cell>
          <cell r="CE169" t="str">
            <v xml:space="preserve">Americano      </v>
          </cell>
        </row>
        <row r="170">
          <cell r="AF170">
            <v>165</v>
          </cell>
          <cell r="AG170">
            <v>0.1008819788715114</v>
          </cell>
          <cell r="BY170" t="str">
            <v>KEPLD14</v>
          </cell>
          <cell r="BZ170">
            <v>0.14000000000000001</v>
          </cell>
          <cell r="CA170" t="str">
            <v>20-04-2009</v>
          </cell>
          <cell r="CB170" t="str">
            <v xml:space="preserve">KEPL        </v>
          </cell>
          <cell r="CC170" t="str">
            <v xml:space="preserve">ON        </v>
          </cell>
          <cell r="CD170" t="str">
            <v xml:space="preserve">OPCOES COMPRA  </v>
          </cell>
          <cell r="CE170" t="str">
            <v xml:space="preserve">Americano      </v>
          </cell>
        </row>
        <row r="171">
          <cell r="AF171">
            <v>166</v>
          </cell>
          <cell r="AG171">
            <v>0.10085417634927696</v>
          </cell>
          <cell r="BY171" t="str">
            <v>KEPLD15</v>
          </cell>
          <cell r="BZ171">
            <v>0.15</v>
          </cell>
          <cell r="CA171" t="str">
            <v>20-04-2009</v>
          </cell>
          <cell r="CB171" t="str">
            <v xml:space="preserve">KEPL        </v>
          </cell>
          <cell r="CC171" t="str">
            <v xml:space="preserve">ON        </v>
          </cell>
          <cell r="CD171" t="str">
            <v xml:space="preserve">OPCOES COMPRA  </v>
          </cell>
          <cell r="CE171" t="str">
            <v xml:space="preserve">Americano      </v>
          </cell>
        </row>
        <row r="172">
          <cell r="AF172">
            <v>167</v>
          </cell>
          <cell r="AG172">
            <v>0.10082670748096412</v>
          </cell>
          <cell r="BY172" t="str">
            <v>KEPLD16</v>
          </cell>
          <cell r="BZ172">
            <v>0.16</v>
          </cell>
          <cell r="CA172" t="str">
            <v>20-04-2009</v>
          </cell>
          <cell r="CB172" t="str">
            <v xml:space="preserve">KEPL        </v>
          </cell>
          <cell r="CC172" t="str">
            <v xml:space="preserve">ON        </v>
          </cell>
          <cell r="CD172" t="str">
            <v xml:space="preserve">OPCOES COMPRA  </v>
          </cell>
          <cell r="CE172" t="str">
            <v xml:space="preserve">Americano      </v>
          </cell>
        </row>
        <row r="173">
          <cell r="AF173">
            <v>168</v>
          </cell>
          <cell r="AG173">
            <v>0.10079956629620912</v>
          </cell>
          <cell r="BY173" t="str">
            <v>KEPLF1</v>
          </cell>
          <cell r="BZ173">
            <v>1</v>
          </cell>
          <cell r="CA173" t="str">
            <v>15-06-2009</v>
          </cell>
          <cell r="CB173" t="str">
            <v xml:space="preserve">KEPL        </v>
          </cell>
          <cell r="CC173" t="str">
            <v xml:space="preserve">ON        </v>
          </cell>
          <cell r="CD173" t="str">
            <v xml:space="preserve">OPCOES COMPRA  </v>
          </cell>
          <cell r="CE173" t="str">
            <v xml:space="preserve">Americano      </v>
          </cell>
        </row>
        <row r="174">
          <cell r="AF174">
            <v>169</v>
          </cell>
          <cell r="AG174">
            <v>0.10077274696624849</v>
          </cell>
          <cell r="BY174" t="str">
            <v>KEPLO14</v>
          </cell>
          <cell r="BZ174">
            <v>0.14000000000000001</v>
          </cell>
          <cell r="CA174" t="str">
            <v>16-03-2009</v>
          </cell>
          <cell r="CB174" t="str">
            <v xml:space="preserve">KEPL        </v>
          </cell>
          <cell r="CC174" t="str">
            <v xml:space="preserve">ON        </v>
          </cell>
          <cell r="CD174" t="str">
            <v xml:space="preserve">OPCOES VENDA   </v>
          </cell>
          <cell r="CE174" t="str">
            <v xml:space="preserve">Europeu        </v>
          </cell>
        </row>
        <row r="175">
          <cell r="AF175">
            <v>170</v>
          </cell>
          <cell r="AG175">
            <v>0.10074624379974373</v>
          </cell>
          <cell r="BY175" t="str">
            <v>KEPLO15</v>
          </cell>
          <cell r="BZ175">
            <v>0.15</v>
          </cell>
          <cell r="CA175" t="str">
            <v>16-03-2009</v>
          </cell>
          <cell r="CB175" t="str">
            <v xml:space="preserve">KEPL        </v>
          </cell>
          <cell r="CC175" t="str">
            <v xml:space="preserve">ON        </v>
          </cell>
          <cell r="CD175" t="str">
            <v xml:space="preserve">OPCOES VENDA   </v>
          </cell>
          <cell r="CE175" t="str">
            <v xml:space="preserve">Europeu        </v>
          </cell>
        </row>
        <row r="176">
          <cell r="AF176">
            <v>171</v>
          </cell>
          <cell r="AG176">
            <v>0.10072005123875694</v>
          </cell>
          <cell r="BY176" t="str">
            <v>KEPLO16</v>
          </cell>
          <cell r="BZ176">
            <v>0.16</v>
          </cell>
          <cell r="CA176" t="str">
            <v>16-03-2009</v>
          </cell>
          <cell r="CB176" t="str">
            <v xml:space="preserve">KEPL        </v>
          </cell>
          <cell r="CC176" t="str">
            <v xml:space="preserve">ON        </v>
          </cell>
          <cell r="CD176" t="str">
            <v xml:space="preserve">OPCOES VENDA   </v>
          </cell>
          <cell r="CE176" t="str">
            <v xml:space="preserve">Europeu        </v>
          </cell>
        </row>
        <row r="177">
          <cell r="AF177">
            <v>172</v>
          </cell>
          <cell r="AG177">
            <v>0.10069416385486374</v>
          </cell>
          <cell r="BY177" t="str">
            <v>KEPLO17</v>
          </cell>
          <cell r="BZ177">
            <v>0.17</v>
          </cell>
          <cell r="CA177" t="str">
            <v>16-03-2009</v>
          </cell>
          <cell r="CB177" t="str">
            <v xml:space="preserve">KEPL        </v>
          </cell>
          <cell r="CC177" t="str">
            <v xml:space="preserve">ON        </v>
          </cell>
          <cell r="CD177" t="str">
            <v xml:space="preserve">OPCOES VENDA   </v>
          </cell>
          <cell r="CE177" t="str">
            <v xml:space="preserve">Europeu        </v>
          </cell>
        </row>
        <row r="178">
          <cell r="AF178">
            <v>173</v>
          </cell>
          <cell r="AG178">
            <v>0.10066857634540227</v>
          </cell>
          <cell r="BY178" t="str">
            <v>KEPLO18</v>
          </cell>
          <cell r="BZ178">
            <v>0.18</v>
          </cell>
          <cell r="CA178" t="str">
            <v>16-03-2009</v>
          </cell>
          <cell r="CB178" t="str">
            <v xml:space="preserve">KEPL        </v>
          </cell>
          <cell r="CC178" t="str">
            <v xml:space="preserve">ON        </v>
          </cell>
          <cell r="CD178" t="str">
            <v xml:space="preserve">OPCOES VENDA   </v>
          </cell>
          <cell r="CE178" t="str">
            <v xml:space="preserve">Europeu        </v>
          </cell>
        </row>
        <row r="179">
          <cell r="AF179">
            <v>174</v>
          </cell>
          <cell r="AG179">
            <v>0.10064328352985386</v>
          </cell>
          <cell r="BY179" t="str">
            <v>KEPLP14</v>
          </cell>
          <cell r="BZ179">
            <v>0.14000000000000001</v>
          </cell>
          <cell r="CA179" t="str">
            <v>20-04-2009</v>
          </cell>
          <cell r="CB179" t="str">
            <v xml:space="preserve">KEPL        </v>
          </cell>
          <cell r="CC179" t="str">
            <v xml:space="preserve">ON        </v>
          </cell>
          <cell r="CD179" t="str">
            <v xml:space="preserve">OPCOES VENDA   </v>
          </cell>
          <cell r="CE179" t="str">
            <v xml:space="preserve">Europeu        </v>
          </cell>
        </row>
        <row r="180">
          <cell r="AF180">
            <v>175</v>
          </cell>
          <cell r="AG180">
            <v>0.10061828034634535</v>
          </cell>
          <cell r="BY180" t="str">
            <v>KEPLP15</v>
          </cell>
          <cell r="BZ180">
            <v>0.15</v>
          </cell>
          <cell r="CA180" t="str">
            <v>20-04-2009</v>
          </cell>
          <cell r="CB180" t="str">
            <v xml:space="preserve">KEPL        </v>
          </cell>
          <cell r="CC180" t="str">
            <v xml:space="preserve">ON        </v>
          </cell>
          <cell r="CD180" t="str">
            <v xml:space="preserve">OPCOES VENDA   </v>
          </cell>
          <cell r="CE180" t="str">
            <v xml:space="preserve">Europeu        </v>
          </cell>
        </row>
        <row r="181">
          <cell r="AF181">
            <v>176</v>
          </cell>
          <cell r="AG181">
            <v>0.10059356184827117</v>
          </cell>
          <cell r="BY181" t="str">
            <v>KEPLP16</v>
          </cell>
          <cell r="BZ181">
            <v>0.16</v>
          </cell>
          <cell r="CA181" t="str">
            <v>20-04-2009</v>
          </cell>
          <cell r="CB181" t="str">
            <v xml:space="preserve">KEPL        </v>
          </cell>
          <cell r="CC181" t="str">
            <v xml:space="preserve">ON        </v>
          </cell>
          <cell r="CD181" t="str">
            <v xml:space="preserve">OPCOES VENDA   </v>
          </cell>
          <cell r="CE181" t="str">
            <v xml:space="preserve">Europeu        </v>
          </cell>
        </row>
        <row r="182">
          <cell r="AF182">
            <v>177</v>
          </cell>
          <cell r="AG182">
            <v>0.10056912320103284</v>
          </cell>
          <cell r="BY182" t="str">
            <v>KEPLR1</v>
          </cell>
          <cell r="BZ182">
            <v>1</v>
          </cell>
          <cell r="CA182" t="str">
            <v>15-06-2009</v>
          </cell>
          <cell r="CB182" t="str">
            <v xml:space="preserve">KEPL        </v>
          </cell>
          <cell r="CC182" t="str">
            <v xml:space="preserve">ON        </v>
          </cell>
          <cell r="CD182" t="str">
            <v xml:space="preserve">OPCOES VENDA   </v>
          </cell>
          <cell r="CE182" t="str">
            <v xml:space="preserve">Europeu        </v>
          </cell>
        </row>
        <row r="183">
          <cell r="AF183">
            <v>178</v>
          </cell>
          <cell r="AG183">
            <v>0.10054495967888433</v>
          </cell>
          <cell r="BY183" t="str">
            <v>MNPRD5</v>
          </cell>
          <cell r="BZ183">
            <v>5</v>
          </cell>
          <cell r="CA183" t="str">
            <v>20-04-2009</v>
          </cell>
          <cell r="CB183" t="str">
            <v xml:space="preserve">MNPR        </v>
          </cell>
          <cell r="CC183" t="str">
            <v xml:space="preserve">ON        </v>
          </cell>
          <cell r="CD183" t="str">
            <v xml:space="preserve">OPCOES COMPRA  </v>
          </cell>
          <cell r="CE183" t="str">
            <v xml:space="preserve">Americano      </v>
          </cell>
        </row>
        <row r="184">
          <cell r="AF184">
            <v>179</v>
          </cell>
          <cell r="AG184">
            <v>0.10052106666188654</v>
          </cell>
          <cell r="BY184" t="str">
            <v>MNPRD1</v>
          </cell>
          <cell r="BZ184">
            <v>5.5</v>
          </cell>
          <cell r="CA184" t="str">
            <v>20-04-2009</v>
          </cell>
          <cell r="CB184" t="str">
            <v xml:space="preserve">MNPR        </v>
          </cell>
          <cell r="CC184" t="str">
            <v xml:space="preserve">ON        </v>
          </cell>
          <cell r="CD184" t="str">
            <v xml:space="preserve">OPCOES COMPRA  </v>
          </cell>
          <cell r="CE184" t="str">
            <v xml:space="preserve">Europeu        </v>
          </cell>
        </row>
        <row r="185">
          <cell r="AF185">
            <v>180</v>
          </cell>
          <cell r="AG185">
            <v>0.10049743963296387</v>
          </cell>
          <cell r="BY185" t="str">
            <v>MNPRD6</v>
          </cell>
          <cell r="BZ185">
            <v>6</v>
          </cell>
          <cell r="CA185" t="str">
            <v>20-04-2009</v>
          </cell>
          <cell r="CB185" t="str">
            <v xml:space="preserve">MNPR        </v>
          </cell>
          <cell r="CC185" t="str">
            <v xml:space="preserve">ON        </v>
          </cell>
          <cell r="CD185" t="str">
            <v xml:space="preserve">OPCOES COMPRA  </v>
          </cell>
          <cell r="CE185" t="str">
            <v xml:space="preserve">Americano      </v>
          </cell>
        </row>
        <row r="186">
          <cell r="AF186">
            <v>181</v>
          </cell>
          <cell r="AG186">
            <v>0.10047407417505472</v>
          </cell>
          <cell r="BY186" t="str">
            <v>MNPRD2</v>
          </cell>
          <cell r="BZ186">
            <v>6.5</v>
          </cell>
          <cell r="CA186" t="str">
            <v>20-04-2009</v>
          </cell>
          <cell r="CB186" t="str">
            <v xml:space="preserve">MNPR        </v>
          </cell>
          <cell r="CC186" t="str">
            <v xml:space="preserve">ON        </v>
          </cell>
          <cell r="CD186" t="str">
            <v xml:space="preserve">OPCOES COMPRA  </v>
          </cell>
          <cell r="CE186" t="str">
            <v xml:space="preserve">Europeu        </v>
          </cell>
        </row>
        <row r="187">
          <cell r="AF187">
            <v>182</v>
          </cell>
          <cell r="AG187">
            <v>0.10045096596836123</v>
          </cell>
          <cell r="BY187" t="str">
            <v>MNPRP5</v>
          </cell>
          <cell r="BZ187">
            <v>5</v>
          </cell>
          <cell r="CA187" t="str">
            <v>20-04-2009</v>
          </cell>
          <cell r="CB187" t="str">
            <v xml:space="preserve">MNPR        </v>
          </cell>
          <cell r="CC187" t="str">
            <v xml:space="preserve">ON        </v>
          </cell>
          <cell r="CD187" t="str">
            <v xml:space="preserve">OPCOES VENDA   </v>
          </cell>
          <cell r="CE187" t="str">
            <v xml:space="preserve">Europeu        </v>
          </cell>
        </row>
        <row r="188">
          <cell r="AF188">
            <v>183</v>
          </cell>
          <cell r="AG188">
            <v>0.10042811078768454</v>
          </cell>
          <cell r="BY188" t="str">
            <v>MNPRP1</v>
          </cell>
          <cell r="BZ188">
            <v>5.5</v>
          </cell>
          <cell r="CA188" t="str">
            <v>20-04-2009</v>
          </cell>
          <cell r="CB188" t="str">
            <v xml:space="preserve">MNPR        </v>
          </cell>
          <cell r="CC188" t="str">
            <v xml:space="preserve">ON        </v>
          </cell>
          <cell r="CD188" t="str">
            <v xml:space="preserve">OPCOES VENDA   </v>
          </cell>
          <cell r="CE188" t="str">
            <v xml:space="preserve">Europeu        </v>
          </cell>
        </row>
        <row r="189">
          <cell r="AF189">
            <v>184</v>
          </cell>
          <cell r="AG189">
            <v>0.10040550449985108</v>
          </cell>
          <cell r="BY189" t="str">
            <v>MNPRP6</v>
          </cell>
          <cell r="BZ189">
            <v>6</v>
          </cell>
          <cell r="CA189" t="str">
            <v>20-04-2009</v>
          </cell>
          <cell r="CB189" t="str">
            <v xml:space="preserve">MNPR        </v>
          </cell>
          <cell r="CC189" t="str">
            <v xml:space="preserve">ON        </v>
          </cell>
          <cell r="CD189" t="str">
            <v xml:space="preserve">OPCOES VENDA   </v>
          </cell>
          <cell r="CE189" t="str">
            <v xml:space="preserve">Europeu        </v>
          </cell>
        </row>
        <row r="190">
          <cell r="AF190">
            <v>185</v>
          </cell>
          <cell r="AG190">
            <v>0.10038314306121987</v>
          </cell>
          <cell r="BY190" t="str">
            <v>MNPRP2</v>
          </cell>
          <cell r="BZ190">
            <v>6.5</v>
          </cell>
          <cell r="CA190" t="str">
            <v>20-04-2009</v>
          </cell>
          <cell r="CB190" t="str">
            <v xml:space="preserve">MNPR        </v>
          </cell>
          <cell r="CC190" t="str">
            <v xml:space="preserve">ON        </v>
          </cell>
          <cell r="CD190" t="str">
            <v xml:space="preserve">OPCOES VENDA   </v>
          </cell>
          <cell r="CE190" t="str">
            <v xml:space="preserve">Europeu        </v>
          </cell>
        </row>
        <row r="191">
          <cell r="AF191">
            <v>186</v>
          </cell>
          <cell r="AG191">
            <v>0.10036102251527135</v>
          </cell>
          <cell r="BY191" t="str">
            <v>PETRC2</v>
          </cell>
          <cell r="BZ191">
            <v>35.1</v>
          </cell>
          <cell r="CA191" t="str">
            <v>16-03-2009</v>
          </cell>
          <cell r="CB191" t="str">
            <v xml:space="preserve">PETR        </v>
          </cell>
          <cell r="CC191" t="str">
            <v xml:space="preserve">ON        </v>
          </cell>
          <cell r="CD191" t="str">
            <v xml:space="preserve">OPCOES COMPRA  </v>
          </cell>
          <cell r="CE191" t="str">
            <v xml:space="preserve">Europeu        </v>
          </cell>
        </row>
        <row r="192">
          <cell r="AF192">
            <v>187</v>
          </cell>
          <cell r="AG192">
            <v>0.10033913899027347</v>
          </cell>
          <cell r="BY192" t="str">
            <v>PETRO2</v>
          </cell>
          <cell r="BZ192">
            <v>35.1</v>
          </cell>
          <cell r="CA192" t="str">
            <v>16-03-2009</v>
          </cell>
          <cell r="CB192" t="str">
            <v xml:space="preserve">PETR        </v>
          </cell>
          <cell r="CC192" t="str">
            <v xml:space="preserve">ON        </v>
          </cell>
          <cell r="CD192" t="str">
            <v xml:space="preserve">OPCOES VENDA   </v>
          </cell>
          <cell r="CE192" t="str">
            <v xml:space="preserve">Europeu        </v>
          </cell>
        </row>
        <row r="193">
          <cell r="AF193">
            <v>188</v>
          </cell>
          <cell r="AG193">
            <v>0.1003174886970235</v>
          </cell>
          <cell r="BY193" t="str">
            <v>PLASC2</v>
          </cell>
          <cell r="BZ193">
            <v>2</v>
          </cell>
          <cell r="CA193" t="str">
            <v>16-03-2009</v>
          </cell>
          <cell r="CB193" t="str">
            <v xml:space="preserve">PLAS        </v>
          </cell>
          <cell r="CC193" t="str">
            <v xml:space="preserve">ON        </v>
          </cell>
          <cell r="CD193" t="str">
            <v xml:space="preserve">OPCOES COMPRA  </v>
          </cell>
          <cell r="CE193" t="str">
            <v xml:space="preserve">Americano      </v>
          </cell>
        </row>
        <row r="194">
          <cell r="AF194">
            <v>189</v>
          </cell>
          <cell r="AG194">
            <v>0.10029606792665913</v>
          </cell>
          <cell r="BY194" t="str">
            <v>PLASO2</v>
          </cell>
          <cell r="BZ194">
            <v>2</v>
          </cell>
          <cell r="CA194" t="str">
            <v>16-03-2009</v>
          </cell>
          <cell r="CB194" t="str">
            <v xml:space="preserve">PLAS        </v>
          </cell>
          <cell r="CC194" t="str">
            <v xml:space="preserve">ON        </v>
          </cell>
          <cell r="CD194" t="str">
            <v xml:space="preserve">OPCOES VENDA   </v>
          </cell>
          <cell r="CE194" t="str">
            <v xml:space="preserve">Europeu        </v>
          </cell>
        </row>
        <row r="195">
          <cell r="AF195">
            <v>190</v>
          </cell>
          <cell r="AG195">
            <v>0.10027487304854255</v>
          </cell>
          <cell r="BY195" t="str">
            <v>TCSLF1</v>
          </cell>
          <cell r="BZ195">
            <v>6</v>
          </cell>
          <cell r="CA195" t="str">
            <v>15-06-2009</v>
          </cell>
          <cell r="CB195" t="str">
            <v xml:space="preserve">TCSL        </v>
          </cell>
          <cell r="CC195" t="str">
            <v xml:space="preserve">ON        </v>
          </cell>
          <cell r="CD195" t="str">
            <v xml:space="preserve">OPCOES COMPRA  </v>
          </cell>
          <cell r="CE195" t="str">
            <v xml:space="preserve">Americano      </v>
          </cell>
        </row>
        <row r="196">
          <cell r="AF196">
            <v>191</v>
          </cell>
          <cell r="AG196">
            <v>0.10025390050820659</v>
          </cell>
          <cell r="BY196" t="str">
            <v>TCSLR1</v>
          </cell>
          <cell r="BZ196">
            <v>6</v>
          </cell>
          <cell r="CA196" t="str">
            <v>15-06-2009</v>
          </cell>
          <cell r="CB196" t="str">
            <v xml:space="preserve">TCSL        </v>
          </cell>
          <cell r="CC196" t="str">
            <v xml:space="preserve">ON        </v>
          </cell>
          <cell r="CD196" t="str">
            <v xml:space="preserve">OPCOES VENDA   </v>
          </cell>
          <cell r="CE196" t="str">
            <v xml:space="preserve">Europeu        </v>
          </cell>
        </row>
        <row r="197">
          <cell r="AF197">
            <v>192</v>
          </cell>
          <cell r="AG197">
            <v>0.10023314682536921</v>
          </cell>
          <cell r="BY197" t="str">
            <v>TNLPF1</v>
          </cell>
          <cell r="BZ197">
            <v>50</v>
          </cell>
          <cell r="CA197" t="str">
            <v>15-06-2009</v>
          </cell>
          <cell r="CB197" t="str">
            <v xml:space="preserve">TNLP        </v>
          </cell>
          <cell r="CC197" t="str">
            <v xml:space="preserve">ON        </v>
          </cell>
          <cell r="CD197" t="str">
            <v xml:space="preserve">OPCOES COMPRA  </v>
          </cell>
          <cell r="CE197" t="str">
            <v xml:space="preserve">Americano      </v>
          </cell>
        </row>
        <row r="198">
          <cell r="AF198">
            <v>193</v>
          </cell>
          <cell r="AG198">
            <v>0.10021260859200809</v>
          </cell>
          <cell r="BY198" t="str">
            <v>TNLPR1</v>
          </cell>
          <cell r="BZ198">
            <v>50</v>
          </cell>
          <cell r="CA198" t="str">
            <v>15-06-2009</v>
          </cell>
          <cell r="CB198" t="str">
            <v xml:space="preserve">TNLP        </v>
          </cell>
          <cell r="CC198" t="str">
            <v xml:space="preserve">ON        </v>
          </cell>
          <cell r="CD198" t="str">
            <v xml:space="preserve">OPCOES VENDA   </v>
          </cell>
          <cell r="CE198" t="str">
            <v xml:space="preserve">Europeu        </v>
          </cell>
        </row>
        <row r="199">
          <cell r="AF199">
            <v>194</v>
          </cell>
          <cell r="AG199">
            <v>0.1001922824704935</v>
          </cell>
          <cell r="BY199" t="str">
            <v>BBDCD10</v>
          </cell>
          <cell r="BZ199">
            <v>20.99</v>
          </cell>
          <cell r="CA199" t="str">
            <v>20-04-2009</v>
          </cell>
          <cell r="CB199" t="str">
            <v xml:space="preserve">BBDC    /ED </v>
          </cell>
          <cell r="CC199" t="str">
            <v>ON      N1</v>
          </cell>
          <cell r="CD199" t="str">
            <v xml:space="preserve">OPCOES COMPRA  </v>
          </cell>
          <cell r="CE199" t="str">
            <v xml:space="preserve">Europeu        </v>
          </cell>
        </row>
        <row r="200">
          <cell r="AF200">
            <v>195</v>
          </cell>
          <cell r="AG200">
            <v>0.1001721651917824</v>
          </cell>
          <cell r="BY200" t="str">
            <v>BBDCP10</v>
          </cell>
          <cell r="BZ200">
            <v>21</v>
          </cell>
          <cell r="CA200" t="str">
            <v>20-04-2009</v>
          </cell>
          <cell r="CB200" t="str">
            <v xml:space="preserve">BBDC    /ED </v>
          </cell>
          <cell r="CC200" t="str">
            <v>ON      N1</v>
          </cell>
          <cell r="CD200" t="str">
            <v xml:space="preserve">OPCOES VENDA   </v>
          </cell>
          <cell r="CE200" t="str">
            <v xml:space="preserve">Europeu        </v>
          </cell>
        </row>
        <row r="201">
          <cell r="AF201">
            <v>196</v>
          </cell>
          <cell r="AG201">
            <v>0.10015225355366297</v>
          </cell>
          <cell r="BY201" t="str">
            <v>BRTPF1</v>
          </cell>
          <cell r="BZ201">
            <v>52</v>
          </cell>
          <cell r="CA201" t="str">
            <v>15-06-2009</v>
          </cell>
          <cell r="CB201" t="str">
            <v xml:space="preserve">BRTP        </v>
          </cell>
          <cell r="CC201" t="str">
            <v>ON      N1</v>
          </cell>
          <cell r="CD201" t="str">
            <v xml:space="preserve">OPCOES COMPRA  </v>
          </cell>
          <cell r="CE201" t="str">
            <v xml:space="preserve">Americano      </v>
          </cell>
        </row>
        <row r="202">
          <cell r="AF202">
            <v>197</v>
          </cell>
          <cell r="AG202">
            <v>0.10013254441905906</v>
          </cell>
          <cell r="BY202" t="str">
            <v>BRTPR1</v>
          </cell>
          <cell r="BZ202">
            <v>52</v>
          </cell>
          <cell r="CA202" t="str">
            <v>15-06-2009</v>
          </cell>
          <cell r="CB202" t="str">
            <v xml:space="preserve">BRTP        </v>
          </cell>
          <cell r="CC202" t="str">
            <v>ON      N1</v>
          </cell>
          <cell r="CD202" t="str">
            <v xml:space="preserve">OPCOES VENDA   </v>
          </cell>
          <cell r="CE202" t="str">
            <v xml:space="preserve">Europeu        </v>
          </cell>
        </row>
        <row r="203">
          <cell r="AF203">
            <v>198</v>
          </cell>
          <cell r="AG203">
            <v>0.10011303471437816</v>
          </cell>
          <cell r="BY203" t="str">
            <v>ELETC21</v>
          </cell>
          <cell r="BZ203">
            <v>21</v>
          </cell>
          <cell r="CA203" t="str">
            <v>16-03-2009</v>
          </cell>
          <cell r="CB203" t="str">
            <v xml:space="preserve">ELET        </v>
          </cell>
          <cell r="CC203" t="str">
            <v>ON      N1</v>
          </cell>
          <cell r="CD203" t="str">
            <v xml:space="preserve">OPCOES COMPRA  </v>
          </cell>
          <cell r="CE203" t="str">
            <v xml:space="preserve">Europeu        </v>
          </cell>
        </row>
        <row r="204">
          <cell r="AF204">
            <v>199</v>
          </cell>
          <cell r="AG204">
            <v>0.10009372142791739</v>
          </cell>
          <cell r="BY204" t="str">
            <v>ELETC22</v>
          </cell>
          <cell r="BZ204">
            <v>22</v>
          </cell>
          <cell r="CA204" t="str">
            <v>16-03-2009</v>
          </cell>
          <cell r="CB204" t="str">
            <v xml:space="preserve">ELET        </v>
          </cell>
          <cell r="CC204" t="str">
            <v>ON      N1</v>
          </cell>
          <cell r="CD204" t="str">
            <v xml:space="preserve">OPCOES COMPRA  </v>
          </cell>
          <cell r="CE204" t="str">
            <v xml:space="preserve">Americano      </v>
          </cell>
        </row>
        <row r="205">
          <cell r="AF205">
            <v>200</v>
          </cell>
          <cell r="AG205">
            <v>0.10007460160831116</v>
          </cell>
          <cell r="BY205" t="str">
            <v>ELETC26</v>
          </cell>
          <cell r="BZ205">
            <v>26</v>
          </cell>
          <cell r="CA205" t="str">
            <v>16-03-2009</v>
          </cell>
          <cell r="CB205" t="str">
            <v xml:space="preserve">ELET        </v>
          </cell>
          <cell r="CC205" t="str">
            <v>ON      N1</v>
          </cell>
          <cell r="CD205" t="str">
            <v xml:space="preserve">OPCOES COMPRA  </v>
          </cell>
          <cell r="CE205" t="str">
            <v xml:space="preserve">Americano      </v>
          </cell>
        </row>
        <row r="206">
          <cell r="AF206">
            <v>201</v>
          </cell>
          <cell r="AG206">
            <v>0.10005567236302881</v>
          </cell>
          <cell r="BY206" t="str">
            <v>ELETC27</v>
          </cell>
          <cell r="BZ206">
            <v>27</v>
          </cell>
          <cell r="CA206" t="str">
            <v>16-03-2009</v>
          </cell>
          <cell r="CB206" t="str">
            <v xml:space="preserve">ELET        </v>
          </cell>
          <cell r="CC206" t="str">
            <v>ON      N1</v>
          </cell>
          <cell r="CD206" t="str">
            <v xml:space="preserve">OPCOES COMPRA  </v>
          </cell>
          <cell r="CE206" t="str">
            <v xml:space="preserve">Europeu        </v>
          </cell>
        </row>
        <row r="207">
          <cell r="AF207">
            <v>202</v>
          </cell>
          <cell r="AG207">
            <v>0.10003693085691467</v>
          </cell>
          <cell r="BY207" t="str">
            <v>ELETC28</v>
          </cell>
          <cell r="BZ207">
            <v>28</v>
          </cell>
          <cell r="CA207" t="str">
            <v>16-03-2009</v>
          </cell>
          <cell r="CB207" t="str">
            <v xml:space="preserve">ELET        </v>
          </cell>
          <cell r="CC207" t="str">
            <v>ON      N1</v>
          </cell>
          <cell r="CD207" t="str">
            <v xml:space="preserve">OPCOES COMPRA  </v>
          </cell>
          <cell r="CE207" t="str">
            <v xml:space="preserve">Americano      </v>
          </cell>
        </row>
        <row r="208">
          <cell r="AF208">
            <v>203</v>
          </cell>
          <cell r="AG208">
            <v>0.10001837431077476</v>
          </cell>
          <cell r="BY208" t="str">
            <v>ELETC30</v>
          </cell>
          <cell r="BZ208">
            <v>30</v>
          </cell>
          <cell r="CA208" t="str">
            <v>16-03-2009</v>
          </cell>
          <cell r="CB208" t="str">
            <v xml:space="preserve">ELET        </v>
          </cell>
          <cell r="CC208" t="str">
            <v>ON      N1</v>
          </cell>
          <cell r="CD208" t="str">
            <v xml:space="preserve">OPCOES COMPRA  </v>
          </cell>
          <cell r="CE208" t="str">
            <v xml:space="preserve">Americano      </v>
          </cell>
        </row>
        <row r="209">
          <cell r="AF209">
            <v>204</v>
          </cell>
          <cell r="AG209">
            <v>0.10000000000000009</v>
          </cell>
          <cell r="BY209" t="str">
            <v>ELETC31</v>
          </cell>
          <cell r="BZ209">
            <v>31</v>
          </cell>
          <cell r="CA209" t="str">
            <v>16-03-2009</v>
          </cell>
          <cell r="CB209" t="str">
            <v xml:space="preserve">ELET        </v>
          </cell>
          <cell r="CC209" t="str">
            <v>ON      N1</v>
          </cell>
          <cell r="CD209" t="str">
            <v xml:space="preserve">OPCOES COMPRA  </v>
          </cell>
          <cell r="CE209" t="str">
            <v xml:space="preserve">Europeu        </v>
          </cell>
        </row>
        <row r="210">
          <cell r="AF210">
            <v>205</v>
          </cell>
          <cell r="AG210">
            <v>0.10000260672333838</v>
          </cell>
          <cell r="BY210" t="str">
            <v>ELETD23</v>
          </cell>
          <cell r="BZ210">
            <v>23</v>
          </cell>
          <cell r="CA210" t="str">
            <v>20-04-2009</v>
          </cell>
          <cell r="CB210" t="str">
            <v xml:space="preserve">ELET        </v>
          </cell>
          <cell r="CC210" t="str">
            <v>ON      N1</v>
          </cell>
          <cell r="CD210" t="str">
            <v xml:space="preserve">OPCOES COMPRA  </v>
          </cell>
          <cell r="CE210" t="str">
            <v xml:space="preserve">Europeu        </v>
          </cell>
        </row>
        <row r="211">
          <cell r="AF211">
            <v>206</v>
          </cell>
          <cell r="AG211">
            <v>0.10000518814477077</v>
          </cell>
          <cell r="BY211" t="str">
            <v>ELETD24</v>
          </cell>
          <cell r="BZ211">
            <v>24</v>
          </cell>
          <cell r="CA211" t="str">
            <v>20-04-2009</v>
          </cell>
          <cell r="CB211" t="str">
            <v xml:space="preserve">ELET        </v>
          </cell>
          <cell r="CC211" t="str">
            <v>ON      N1</v>
          </cell>
          <cell r="CD211" t="str">
            <v xml:space="preserve">OPCOES COMPRA  </v>
          </cell>
          <cell r="CE211" t="str">
            <v xml:space="preserve">Americano      </v>
          </cell>
        </row>
        <row r="212">
          <cell r="AF212">
            <v>207</v>
          </cell>
          <cell r="AG212">
            <v>0.10000774463090378</v>
          </cell>
          <cell r="BY212" t="str">
            <v>ELETD26</v>
          </cell>
          <cell r="BZ212">
            <v>26</v>
          </cell>
          <cell r="CA212" t="str">
            <v>20-04-2009</v>
          </cell>
          <cell r="CB212" t="str">
            <v xml:space="preserve">ELET        </v>
          </cell>
          <cell r="CC212" t="str">
            <v>ON      N1</v>
          </cell>
          <cell r="CD212" t="str">
            <v xml:space="preserve">OPCOES COMPRA  </v>
          </cell>
          <cell r="CE212" t="str">
            <v xml:space="preserve">Americano      </v>
          </cell>
        </row>
        <row r="213">
          <cell r="AF213">
            <v>208</v>
          </cell>
          <cell r="AG213">
            <v>0.10001027654129535</v>
          </cell>
          <cell r="BY213" t="str">
            <v>ELETD27</v>
          </cell>
          <cell r="BZ213">
            <v>27</v>
          </cell>
          <cell r="CA213" t="str">
            <v>20-04-2009</v>
          </cell>
          <cell r="CB213" t="str">
            <v xml:space="preserve">ELET        </v>
          </cell>
          <cell r="CC213" t="str">
            <v>ON      N1</v>
          </cell>
          <cell r="CD213" t="str">
            <v xml:space="preserve">OPCOES COMPRA  </v>
          </cell>
          <cell r="CE213" t="str">
            <v xml:space="preserve">Europeu        </v>
          </cell>
        </row>
        <row r="214">
          <cell r="AF214">
            <v>209</v>
          </cell>
          <cell r="AG214">
            <v>0.10001278422862381</v>
          </cell>
          <cell r="BY214" t="str">
            <v>ELETD28</v>
          </cell>
          <cell r="BZ214">
            <v>28</v>
          </cell>
          <cell r="CA214" t="str">
            <v>20-04-2009</v>
          </cell>
          <cell r="CB214" t="str">
            <v xml:space="preserve">ELET        </v>
          </cell>
          <cell r="CC214" t="str">
            <v>ON      N1</v>
          </cell>
          <cell r="CD214" t="str">
            <v xml:space="preserve">OPCOES COMPRA  </v>
          </cell>
          <cell r="CE214" t="str">
            <v xml:space="preserve">Americano      </v>
          </cell>
        </row>
        <row r="215">
          <cell r="AF215">
            <v>210</v>
          </cell>
          <cell r="AG215">
            <v>0.10001526803885086</v>
          </cell>
          <cell r="BY215" t="str">
            <v>ELETD30</v>
          </cell>
          <cell r="BZ215">
            <v>30</v>
          </cell>
          <cell r="CA215" t="str">
            <v>20-04-2009</v>
          </cell>
          <cell r="CB215" t="str">
            <v xml:space="preserve">ELET        </v>
          </cell>
          <cell r="CC215" t="str">
            <v>ON      N1</v>
          </cell>
          <cell r="CD215" t="str">
            <v xml:space="preserve">OPCOES COMPRA  </v>
          </cell>
          <cell r="CE215" t="str">
            <v xml:space="preserve">Americano      </v>
          </cell>
        </row>
        <row r="216">
          <cell r="AF216">
            <v>211</v>
          </cell>
          <cell r="AG216">
            <v>0.10001772831138189</v>
          </cell>
          <cell r="BY216" t="str">
            <v>ELETD31</v>
          </cell>
          <cell r="BZ216">
            <v>31</v>
          </cell>
          <cell r="CA216" t="str">
            <v>20-04-2009</v>
          </cell>
          <cell r="CB216" t="str">
            <v xml:space="preserve">ELET        </v>
          </cell>
          <cell r="CC216" t="str">
            <v>ON      N1</v>
          </cell>
          <cell r="CD216" t="str">
            <v xml:space="preserve">OPCOES COMPRA  </v>
          </cell>
          <cell r="CE216" t="str">
            <v xml:space="preserve">Europeu        </v>
          </cell>
        </row>
        <row r="217">
          <cell r="AF217">
            <v>212</v>
          </cell>
          <cell r="AG217">
            <v>0.10002016537922009</v>
          </cell>
          <cell r="BY217" t="str">
            <v>ELETD32</v>
          </cell>
          <cell r="BZ217">
            <v>32</v>
          </cell>
          <cell r="CA217" t="str">
            <v>20-04-2009</v>
          </cell>
          <cell r="CB217" t="str">
            <v xml:space="preserve">ELET        </v>
          </cell>
          <cell r="CC217" t="str">
            <v>ON      N1</v>
          </cell>
          <cell r="CD217" t="str">
            <v xml:space="preserve">OPCOES COMPRA  </v>
          </cell>
          <cell r="CE217" t="str">
            <v xml:space="preserve">Americano      </v>
          </cell>
        </row>
        <row r="218">
          <cell r="AF218">
            <v>213</v>
          </cell>
          <cell r="AG218">
            <v>0.1000225795691152</v>
          </cell>
          <cell r="BY218" t="str">
            <v>ELETO21</v>
          </cell>
          <cell r="BZ218">
            <v>21</v>
          </cell>
          <cell r="CA218" t="str">
            <v>16-03-2009</v>
          </cell>
          <cell r="CB218" t="str">
            <v xml:space="preserve">ELET        </v>
          </cell>
          <cell r="CC218" t="str">
            <v>ON      N1</v>
          </cell>
          <cell r="CD218" t="str">
            <v xml:space="preserve">OPCOES VENDA   </v>
          </cell>
          <cell r="CE218" t="str">
            <v xml:space="preserve">Europeu        </v>
          </cell>
        </row>
        <row r="219">
          <cell r="AF219">
            <v>214</v>
          </cell>
          <cell r="AG219">
            <v>0.1000249712017125</v>
          </cell>
          <cell r="BY219" t="str">
            <v>ELETO22</v>
          </cell>
          <cell r="BZ219">
            <v>22</v>
          </cell>
          <cell r="CA219" t="str">
            <v>16-03-2009</v>
          </cell>
          <cell r="CB219" t="str">
            <v xml:space="preserve">ELET        </v>
          </cell>
          <cell r="CC219" t="str">
            <v>ON      N1</v>
          </cell>
          <cell r="CD219" t="str">
            <v xml:space="preserve">OPCOES VENDA   </v>
          </cell>
          <cell r="CE219" t="str">
            <v xml:space="preserve">Europeu        </v>
          </cell>
        </row>
        <row r="220">
          <cell r="AF220">
            <v>215</v>
          </cell>
          <cell r="AG220">
            <v>0.10002734059169227</v>
          </cell>
          <cell r="BY220" t="str">
            <v>ELETO26</v>
          </cell>
          <cell r="BZ220">
            <v>26</v>
          </cell>
          <cell r="CA220" t="str">
            <v>16-03-2009</v>
          </cell>
          <cell r="CB220" t="str">
            <v xml:space="preserve">ELET        </v>
          </cell>
          <cell r="CC220" t="str">
            <v>ON      N1</v>
          </cell>
          <cell r="CD220" t="str">
            <v xml:space="preserve">OPCOES VENDA   </v>
          </cell>
          <cell r="CE220" t="str">
            <v xml:space="preserve">Europeu        </v>
          </cell>
        </row>
        <row r="221">
          <cell r="AF221">
            <v>216</v>
          </cell>
          <cell r="AG221">
            <v>0.10002968804790879</v>
          </cell>
          <cell r="BY221" t="str">
            <v>ELETO27</v>
          </cell>
          <cell r="BZ221">
            <v>27</v>
          </cell>
          <cell r="CA221" t="str">
            <v>16-03-2009</v>
          </cell>
          <cell r="CB221" t="str">
            <v xml:space="preserve">ELET        </v>
          </cell>
          <cell r="CC221" t="str">
            <v>ON      N1</v>
          </cell>
          <cell r="CD221" t="str">
            <v xml:space="preserve">OPCOES VENDA   </v>
          </cell>
          <cell r="CE221" t="str">
            <v xml:space="preserve">Europeu        </v>
          </cell>
        </row>
        <row r="222">
          <cell r="AF222">
            <v>217</v>
          </cell>
          <cell r="AG222">
            <v>0.10003201387352445</v>
          </cell>
          <cell r="BY222" t="str">
            <v>ELETO28</v>
          </cell>
          <cell r="BZ222">
            <v>28</v>
          </cell>
          <cell r="CA222" t="str">
            <v>16-03-2009</v>
          </cell>
          <cell r="CB222" t="str">
            <v xml:space="preserve">ELET        </v>
          </cell>
          <cell r="CC222" t="str">
            <v>ON      N1</v>
          </cell>
          <cell r="CD222" t="str">
            <v xml:space="preserve">OPCOES VENDA   </v>
          </cell>
          <cell r="CE222" t="str">
            <v xml:space="preserve">Europeu        </v>
          </cell>
        </row>
        <row r="223">
          <cell r="AF223">
            <v>218</v>
          </cell>
          <cell r="AG223">
            <v>0.10003431836614052</v>
          </cell>
          <cell r="BY223" t="str">
            <v>ELETO30</v>
          </cell>
          <cell r="BZ223">
            <v>30</v>
          </cell>
          <cell r="CA223" t="str">
            <v>16-03-2009</v>
          </cell>
          <cell r="CB223" t="str">
            <v xml:space="preserve">ELET        </v>
          </cell>
          <cell r="CC223" t="str">
            <v>ON      N1</v>
          </cell>
          <cell r="CD223" t="str">
            <v xml:space="preserve">OPCOES VENDA   </v>
          </cell>
          <cell r="CE223" t="str">
            <v xml:space="preserve">Europeu        </v>
          </cell>
        </row>
        <row r="224">
          <cell r="AF224">
            <v>219</v>
          </cell>
          <cell r="AG224">
            <v>0.10003660181792373</v>
          </cell>
          <cell r="BY224" t="str">
            <v>ELETO31</v>
          </cell>
          <cell r="BZ224">
            <v>31</v>
          </cell>
          <cell r="CA224" t="str">
            <v>16-03-2009</v>
          </cell>
          <cell r="CB224" t="str">
            <v xml:space="preserve">ELET        </v>
          </cell>
          <cell r="CC224" t="str">
            <v>ON      N1</v>
          </cell>
          <cell r="CD224" t="str">
            <v xml:space="preserve">OPCOES VENDA   </v>
          </cell>
          <cell r="CE224" t="str">
            <v xml:space="preserve">Europeu        </v>
          </cell>
        </row>
        <row r="225">
          <cell r="AF225">
            <v>220</v>
          </cell>
          <cell r="AG225">
            <v>0.10003886451572996</v>
          </cell>
          <cell r="BY225" t="str">
            <v>ELETP23</v>
          </cell>
          <cell r="BZ225">
            <v>23</v>
          </cell>
          <cell r="CA225" t="str">
            <v>20-04-2009</v>
          </cell>
          <cell r="CB225" t="str">
            <v xml:space="preserve">ELET        </v>
          </cell>
          <cell r="CC225" t="str">
            <v>ON      N1</v>
          </cell>
          <cell r="CD225" t="str">
            <v xml:space="preserve">OPCOES VENDA   </v>
          </cell>
          <cell r="CE225" t="str">
            <v xml:space="preserve">Europeu        </v>
          </cell>
        </row>
        <row r="226">
          <cell r="AF226">
            <v>221</v>
          </cell>
          <cell r="AG226">
            <v>0.10004110674122435</v>
          </cell>
          <cell r="BY226" t="str">
            <v>ELETP24</v>
          </cell>
          <cell r="BZ226">
            <v>24</v>
          </cell>
          <cell r="CA226" t="str">
            <v>20-04-2009</v>
          </cell>
          <cell r="CB226" t="str">
            <v xml:space="preserve">ELET        </v>
          </cell>
          <cell r="CC226" t="str">
            <v>ON      N1</v>
          </cell>
          <cell r="CD226" t="str">
            <v xml:space="preserve">OPCOES VENDA   </v>
          </cell>
          <cell r="CE226" t="str">
            <v xml:space="preserve">Europeu        </v>
          </cell>
        </row>
        <row r="227">
          <cell r="AF227">
            <v>222</v>
          </cell>
          <cell r="AG227">
            <v>0.10004332877099764</v>
          </cell>
          <cell r="BY227" t="str">
            <v>ELETP26</v>
          </cell>
          <cell r="BZ227">
            <v>26</v>
          </cell>
          <cell r="CA227" t="str">
            <v>20-04-2009</v>
          </cell>
          <cell r="CB227" t="str">
            <v xml:space="preserve">ELET        </v>
          </cell>
          <cell r="CC227" t="str">
            <v>ON      N1</v>
          </cell>
          <cell r="CD227" t="str">
            <v xml:space="preserve">OPCOES VENDA   </v>
          </cell>
          <cell r="CE227" t="str">
            <v xml:space="preserve">Europeu        </v>
          </cell>
        </row>
        <row r="228">
          <cell r="AF228">
            <v>223</v>
          </cell>
          <cell r="AG228">
            <v>0.10004553087668122</v>
          </cell>
          <cell r="BY228" t="str">
            <v>ELETP27</v>
          </cell>
          <cell r="BZ228">
            <v>27</v>
          </cell>
          <cell r="CA228" t="str">
            <v>20-04-2009</v>
          </cell>
          <cell r="CB228" t="str">
            <v xml:space="preserve">ELET        </v>
          </cell>
          <cell r="CC228" t="str">
            <v>ON      N1</v>
          </cell>
          <cell r="CD228" t="str">
            <v xml:space="preserve">OPCOES VENDA   </v>
          </cell>
          <cell r="CE228" t="str">
            <v xml:space="preserve">Europeu        </v>
          </cell>
        </row>
        <row r="229">
          <cell r="AF229">
            <v>224</v>
          </cell>
          <cell r="AG229">
            <v>0.10004771332505569</v>
          </cell>
          <cell r="BY229" t="str">
            <v>ELETP28</v>
          </cell>
          <cell r="BZ229">
            <v>28</v>
          </cell>
          <cell r="CA229" t="str">
            <v>20-04-2009</v>
          </cell>
          <cell r="CB229" t="str">
            <v xml:space="preserve">ELET        </v>
          </cell>
          <cell r="CC229" t="str">
            <v>ON      N1</v>
          </cell>
          <cell r="CD229" t="str">
            <v xml:space="preserve">OPCOES VENDA   </v>
          </cell>
          <cell r="CE229" t="str">
            <v xml:space="preserve">Europeu        </v>
          </cell>
        </row>
        <row r="230">
          <cell r="AF230">
            <v>225</v>
          </cell>
          <cell r="AG230">
            <v>0.10004987637816209</v>
          </cell>
          <cell r="BY230" t="str">
            <v>ELETP30</v>
          </cell>
          <cell r="BZ230">
            <v>30</v>
          </cell>
          <cell r="CA230" t="str">
            <v>20-04-2009</v>
          </cell>
          <cell r="CB230" t="str">
            <v xml:space="preserve">ELET        </v>
          </cell>
          <cell r="CC230" t="str">
            <v>ON      N1</v>
          </cell>
          <cell r="CD230" t="str">
            <v xml:space="preserve">OPCOES VENDA   </v>
          </cell>
          <cell r="CE230" t="str">
            <v xml:space="preserve">Europeu        </v>
          </cell>
        </row>
        <row r="231">
          <cell r="AF231">
            <v>226</v>
          </cell>
          <cell r="AG231">
            <v>0.1000520202934021</v>
          </cell>
          <cell r="BY231" t="str">
            <v>ELETP31</v>
          </cell>
          <cell r="BZ231">
            <v>31</v>
          </cell>
          <cell r="CA231" t="str">
            <v>20-04-2009</v>
          </cell>
          <cell r="CB231" t="str">
            <v xml:space="preserve">ELET        </v>
          </cell>
          <cell r="CC231" t="str">
            <v>ON      N1</v>
          </cell>
          <cell r="CD231" t="str">
            <v xml:space="preserve">OPCOES VENDA   </v>
          </cell>
          <cell r="CE231" t="str">
            <v xml:space="preserve">Europeu        </v>
          </cell>
        </row>
        <row r="232">
          <cell r="AF232">
            <v>227</v>
          </cell>
          <cell r="AG232">
            <v>0.10005414532364454</v>
          </cell>
          <cell r="BY232" t="str">
            <v>ELETP32</v>
          </cell>
          <cell r="BZ232">
            <v>32</v>
          </cell>
          <cell r="CA232" t="str">
            <v>20-04-2009</v>
          </cell>
          <cell r="CB232" t="str">
            <v xml:space="preserve">ELET        </v>
          </cell>
          <cell r="CC232" t="str">
            <v>ON      N1</v>
          </cell>
          <cell r="CD232" t="str">
            <v xml:space="preserve">OPCOES VENDA   </v>
          </cell>
          <cell r="CE232" t="str">
            <v xml:space="preserve">Europeu        </v>
          </cell>
        </row>
        <row r="233">
          <cell r="AF233">
            <v>228</v>
          </cell>
          <cell r="AG233">
            <v>0.10005625171732202</v>
          </cell>
          <cell r="BY233" t="str">
            <v>GGBRC7</v>
          </cell>
          <cell r="BZ233">
            <v>14.46</v>
          </cell>
          <cell r="CA233" t="str">
            <v>16-03-2009</v>
          </cell>
          <cell r="CB233" t="str">
            <v xml:space="preserve">GGBR    /ED </v>
          </cell>
          <cell r="CC233" t="str">
            <v>ON      N1</v>
          </cell>
          <cell r="CD233" t="str">
            <v xml:space="preserve">OPCOES COMPRA  </v>
          </cell>
          <cell r="CE233" t="str">
            <v xml:space="preserve">Europeu        </v>
          </cell>
        </row>
        <row r="234">
          <cell r="AF234">
            <v>229</v>
          </cell>
          <cell r="AG234">
            <v>0.10005833971852862</v>
          </cell>
          <cell r="BY234" t="str">
            <v>GGBRF1</v>
          </cell>
          <cell r="BZ234">
            <v>30</v>
          </cell>
          <cell r="CA234" t="str">
            <v>15-06-2009</v>
          </cell>
          <cell r="CB234" t="str">
            <v xml:space="preserve">GGBR    /ED </v>
          </cell>
          <cell r="CC234" t="str">
            <v>ON      N1</v>
          </cell>
          <cell r="CD234" t="str">
            <v xml:space="preserve">OPCOES COMPRA  </v>
          </cell>
          <cell r="CE234" t="str">
            <v xml:space="preserve">Americano      </v>
          </cell>
        </row>
        <row r="235">
          <cell r="AF235">
            <v>230</v>
          </cell>
          <cell r="AG235">
            <v>0.10006040956711493</v>
          </cell>
          <cell r="BY235" t="str">
            <v>GGBRO7</v>
          </cell>
          <cell r="BZ235">
            <v>14.5</v>
          </cell>
          <cell r="CA235" t="str">
            <v>16-03-2009</v>
          </cell>
          <cell r="CB235" t="str">
            <v xml:space="preserve">GGBR    /ED </v>
          </cell>
          <cell r="CC235" t="str">
            <v>ON      N1</v>
          </cell>
          <cell r="CD235" t="str">
            <v xml:space="preserve">OPCOES VENDA   </v>
          </cell>
          <cell r="CE235" t="str">
            <v xml:space="preserve">Europeu        </v>
          </cell>
        </row>
        <row r="236">
          <cell r="AF236">
            <v>231</v>
          </cell>
          <cell r="AG236">
            <v>0.1000624614987784</v>
          </cell>
          <cell r="BY236" t="str">
            <v>GGBRR1</v>
          </cell>
          <cell r="BZ236">
            <v>30</v>
          </cell>
          <cell r="CA236" t="str">
            <v>15-06-2009</v>
          </cell>
          <cell r="CB236" t="str">
            <v xml:space="preserve">GGBR    /ED </v>
          </cell>
          <cell r="CC236" t="str">
            <v>ON      N1</v>
          </cell>
          <cell r="CD236" t="str">
            <v xml:space="preserve">OPCOES VENDA   </v>
          </cell>
          <cell r="CE236" t="str">
            <v xml:space="preserve">Europeu        </v>
          </cell>
        </row>
        <row r="237">
          <cell r="AF237">
            <v>232</v>
          </cell>
          <cell r="AG237">
            <v>0.10006449574515375</v>
          </cell>
          <cell r="BY237" t="str">
            <v>GOAUD9</v>
          </cell>
          <cell r="BZ237">
            <v>15.5</v>
          </cell>
          <cell r="CA237" t="str">
            <v>20-04-2009</v>
          </cell>
          <cell r="CB237" t="str">
            <v xml:space="preserve">GOAU    /ED </v>
          </cell>
          <cell r="CC237" t="str">
            <v>ON      N1</v>
          </cell>
          <cell r="CD237" t="str">
            <v xml:space="preserve">OPCOES COMPRA  </v>
          </cell>
          <cell r="CE237" t="str">
            <v xml:space="preserve">Europeu        </v>
          </cell>
        </row>
        <row r="238">
          <cell r="AF238">
            <v>233</v>
          </cell>
          <cell r="AG238">
            <v>0.1000665125339002</v>
          </cell>
          <cell r="BY238" t="str">
            <v>GOAUP9</v>
          </cell>
          <cell r="BZ238">
            <v>15.5</v>
          </cell>
          <cell r="CA238" t="str">
            <v>20-04-2009</v>
          </cell>
          <cell r="CB238" t="str">
            <v xml:space="preserve">GOAU    /ED </v>
          </cell>
          <cell r="CC238" t="str">
            <v>ON      N1</v>
          </cell>
          <cell r="CD238" t="str">
            <v xml:space="preserve">OPCOES VENDA   </v>
          </cell>
          <cell r="CE238" t="str">
            <v xml:space="preserve">Europeu        </v>
          </cell>
        </row>
        <row r="239">
          <cell r="AF239">
            <v>234</v>
          </cell>
          <cell r="AG239">
            <v>0.10006851208878653</v>
          </cell>
          <cell r="BY239" t="str">
            <v>USIMF1</v>
          </cell>
          <cell r="BZ239">
            <v>74</v>
          </cell>
          <cell r="CA239" t="str">
            <v>15-06-2009</v>
          </cell>
          <cell r="CB239" t="str">
            <v xml:space="preserve">USIM    /ED </v>
          </cell>
          <cell r="CC239" t="str">
            <v>ON      N1</v>
          </cell>
          <cell r="CD239" t="str">
            <v xml:space="preserve">OPCOES COMPRA  </v>
          </cell>
          <cell r="CE239" t="str">
            <v xml:space="preserve">Americano      </v>
          </cell>
        </row>
        <row r="240">
          <cell r="AF240">
            <v>235</v>
          </cell>
          <cell r="AG240">
            <v>0.10007049462977236</v>
          </cell>
          <cell r="BY240" t="str">
            <v>USIMR1</v>
          </cell>
          <cell r="BZ240">
            <v>74</v>
          </cell>
          <cell r="CA240" t="str">
            <v>15-06-2009</v>
          </cell>
          <cell r="CB240" t="str">
            <v xml:space="preserve">USIM    /ED </v>
          </cell>
          <cell r="CC240" t="str">
            <v>ON      N1</v>
          </cell>
          <cell r="CD240" t="str">
            <v xml:space="preserve">OPCOES VENDA   </v>
          </cell>
          <cell r="CE240" t="str">
            <v xml:space="preserve">Europeu        </v>
          </cell>
        </row>
        <row r="241">
          <cell r="AF241">
            <v>236</v>
          </cell>
          <cell r="AG241">
            <v>0.10007246037309114</v>
          </cell>
          <cell r="BY241" t="str">
            <v>VALEC8</v>
          </cell>
          <cell r="BZ241">
            <v>42</v>
          </cell>
          <cell r="CA241" t="str">
            <v>16-03-2009</v>
          </cell>
          <cell r="CB241" t="str">
            <v xml:space="preserve">VALE        </v>
          </cell>
          <cell r="CC241" t="str">
            <v>ON      N1</v>
          </cell>
          <cell r="CD241" t="str">
            <v xml:space="preserve">OPCOES COMPRA  </v>
          </cell>
          <cell r="CE241" t="str">
            <v xml:space="preserve">Americano      </v>
          </cell>
        </row>
        <row r="242">
          <cell r="AF242">
            <v>237</v>
          </cell>
          <cell r="AG242">
            <v>0.10007440953132707</v>
          </cell>
          <cell r="BY242" t="str">
            <v>VALEF1</v>
          </cell>
          <cell r="BZ242">
            <v>58</v>
          </cell>
          <cell r="CA242" t="str">
            <v>15-06-2009</v>
          </cell>
          <cell r="CB242" t="str">
            <v xml:space="preserve">VALE        </v>
          </cell>
          <cell r="CC242" t="str">
            <v>ON      N1</v>
          </cell>
          <cell r="CD242" t="str">
            <v xml:space="preserve">OPCOES COMPRA  </v>
          </cell>
          <cell r="CE242" t="str">
            <v xml:space="preserve">Americano      </v>
          </cell>
        </row>
        <row r="243">
          <cell r="AF243">
            <v>238</v>
          </cell>
          <cell r="AG243">
            <v>0.10007634231349227</v>
          </cell>
          <cell r="BY243" t="str">
            <v>VALEO8</v>
          </cell>
          <cell r="BZ243">
            <v>42</v>
          </cell>
          <cell r="CA243" t="str">
            <v>16-03-2009</v>
          </cell>
          <cell r="CB243" t="str">
            <v xml:space="preserve">VALE        </v>
          </cell>
          <cell r="CC243" t="str">
            <v>ON      N1</v>
          </cell>
          <cell r="CD243" t="str">
            <v xml:space="preserve">OPCOES VENDA   </v>
          </cell>
          <cell r="CE243" t="str">
            <v xml:space="preserve">Europeu        </v>
          </cell>
        </row>
        <row r="244">
          <cell r="AF244">
            <v>239</v>
          </cell>
          <cell r="AG244">
            <v>0.10007825892510125</v>
          </cell>
          <cell r="BY244" t="str">
            <v>VALER1</v>
          </cell>
          <cell r="BZ244">
            <v>58</v>
          </cell>
          <cell r="CA244" t="str">
            <v>15-06-2009</v>
          </cell>
          <cell r="CB244" t="str">
            <v xml:space="preserve">VALE        </v>
          </cell>
          <cell r="CC244" t="str">
            <v>ON      N1</v>
          </cell>
          <cell r="CD244" t="str">
            <v xml:space="preserve">OPCOES VENDA   </v>
          </cell>
          <cell r="CE244" t="str">
            <v xml:space="preserve">Europeu        </v>
          </cell>
        </row>
        <row r="245">
          <cell r="AF245">
            <v>240</v>
          </cell>
          <cell r="AG245">
            <v>0.10008015956824456</v>
          </cell>
          <cell r="BY245" t="str">
            <v>BBASC11</v>
          </cell>
          <cell r="BZ245">
            <v>11</v>
          </cell>
          <cell r="CA245" t="str">
            <v>16-03-2009</v>
          </cell>
          <cell r="CB245" t="str">
            <v xml:space="preserve">BBAS        </v>
          </cell>
          <cell r="CC245" t="str">
            <v>ON      NM</v>
          </cell>
          <cell r="CD245" t="str">
            <v xml:space="preserve">OPCOES COMPRA  </v>
          </cell>
          <cell r="CE245" t="str">
            <v xml:space="preserve">Americano      </v>
          </cell>
        </row>
        <row r="246">
          <cell r="AF246">
            <v>241</v>
          </cell>
          <cell r="AG246">
            <v>0.1000820444416588</v>
          </cell>
          <cell r="BY246" t="str">
            <v>BBASC12</v>
          </cell>
          <cell r="BZ246">
            <v>12</v>
          </cell>
          <cell r="CA246" t="str">
            <v>16-03-2009</v>
          </cell>
          <cell r="CB246" t="str">
            <v xml:space="preserve">BBAS        </v>
          </cell>
          <cell r="CC246" t="str">
            <v>ON      NM</v>
          </cell>
          <cell r="CD246" t="str">
            <v xml:space="preserve">OPCOES COMPRA  </v>
          </cell>
          <cell r="CE246" t="str">
            <v xml:space="preserve">Americano      </v>
          </cell>
        </row>
        <row r="247">
          <cell r="AF247">
            <v>242</v>
          </cell>
          <cell r="AG247">
            <v>0.1000839137407965</v>
          </cell>
          <cell r="BY247" t="str">
            <v>BBASC13</v>
          </cell>
          <cell r="BZ247">
            <v>13</v>
          </cell>
          <cell r="CA247" t="str">
            <v>16-03-2009</v>
          </cell>
          <cell r="CB247" t="str">
            <v xml:space="preserve">BBAS        </v>
          </cell>
          <cell r="CC247" t="str">
            <v>ON      NM</v>
          </cell>
          <cell r="CD247" t="str">
            <v xml:space="preserve">OPCOES COMPRA  </v>
          </cell>
          <cell r="CE247" t="str">
            <v xml:space="preserve">Americano      </v>
          </cell>
        </row>
        <row r="248">
          <cell r="AF248">
            <v>243</v>
          </cell>
          <cell r="AG248">
            <v>0.10008576765789323</v>
          </cell>
          <cell r="BY248" t="str">
            <v>BBASC14</v>
          </cell>
          <cell r="BZ248">
            <v>13.56</v>
          </cell>
          <cell r="CA248" t="str">
            <v>16-03-2009</v>
          </cell>
          <cell r="CB248" t="str">
            <v xml:space="preserve">BBAS        </v>
          </cell>
          <cell r="CC248" t="str">
            <v>ON      NM</v>
          </cell>
          <cell r="CD248" t="str">
            <v xml:space="preserve">OPCOES COMPRA  </v>
          </cell>
          <cell r="CE248" t="str">
            <v xml:space="preserve">Americano      </v>
          </cell>
        </row>
        <row r="249">
          <cell r="AF249">
            <v>244</v>
          </cell>
          <cell r="AG249">
            <v>0.10008760638203418</v>
          </cell>
          <cell r="BY249" t="str">
            <v>BBASC15</v>
          </cell>
          <cell r="BZ249">
            <v>14.7</v>
          </cell>
          <cell r="CA249" t="str">
            <v>16-03-2009</v>
          </cell>
          <cell r="CB249" t="str">
            <v xml:space="preserve">BBAS        </v>
          </cell>
          <cell r="CC249" t="str">
            <v>ON      NM</v>
          </cell>
          <cell r="CD249" t="str">
            <v xml:space="preserve">OPCOES COMPRA  </v>
          </cell>
          <cell r="CE249" t="str">
            <v xml:space="preserve">Americano      </v>
          </cell>
        </row>
        <row r="250">
          <cell r="AF250">
            <v>245</v>
          </cell>
          <cell r="AG250">
            <v>0.10008943009921789</v>
          </cell>
          <cell r="BY250" t="str">
            <v>BBASC1</v>
          </cell>
          <cell r="BZ250">
            <v>15.2</v>
          </cell>
          <cell r="CA250" t="str">
            <v>16-03-2009</v>
          </cell>
          <cell r="CB250" t="str">
            <v xml:space="preserve">BBAS        </v>
          </cell>
          <cell r="CC250" t="str">
            <v>ON      NM</v>
          </cell>
          <cell r="CD250" t="str">
            <v xml:space="preserve">OPCOES COMPRA  </v>
          </cell>
          <cell r="CE250" t="str">
            <v xml:space="preserve">Europeu        </v>
          </cell>
        </row>
        <row r="251">
          <cell r="AF251">
            <v>246</v>
          </cell>
          <cell r="AG251">
            <v>0.10009123899241934</v>
          </cell>
          <cell r="BY251" t="str">
            <v>BBASC16</v>
          </cell>
          <cell r="BZ251">
            <v>15.7</v>
          </cell>
          <cell r="CA251" t="str">
            <v>16-03-2009</v>
          </cell>
          <cell r="CB251" t="str">
            <v xml:space="preserve">BBAS        </v>
          </cell>
          <cell r="CC251" t="str">
            <v>ON      NM</v>
          </cell>
          <cell r="CD251" t="str">
            <v xml:space="preserve">OPCOES COMPRA  </v>
          </cell>
          <cell r="CE251" t="str">
            <v xml:space="preserve">Americano      </v>
          </cell>
        </row>
        <row r="252">
          <cell r="AF252">
            <v>247</v>
          </cell>
          <cell r="AG252">
            <v>0.10009303324165053</v>
          </cell>
          <cell r="BY252" t="str">
            <v>BBASC17</v>
          </cell>
          <cell r="BZ252">
            <v>16.7</v>
          </cell>
          <cell r="CA252" t="str">
            <v>16-03-2009</v>
          </cell>
          <cell r="CB252" t="str">
            <v xml:space="preserve">BBAS        </v>
          </cell>
          <cell r="CC252" t="str">
            <v>ON      NM</v>
          </cell>
          <cell r="CD252" t="str">
            <v xml:space="preserve">OPCOES COMPRA  </v>
          </cell>
          <cell r="CE252" t="str">
            <v xml:space="preserve">Americano      </v>
          </cell>
        </row>
        <row r="253">
          <cell r="AF253">
            <v>248</v>
          </cell>
          <cell r="AG253">
            <v>0.10009481302402112</v>
          </cell>
          <cell r="BY253" t="str">
            <v>BBASC18</v>
          </cell>
          <cell r="BZ253">
            <v>18</v>
          </cell>
          <cell r="CA253" t="str">
            <v>16-03-2009</v>
          </cell>
          <cell r="CB253" t="str">
            <v xml:space="preserve">BBAS        </v>
          </cell>
          <cell r="CC253" t="str">
            <v>ON      NM</v>
          </cell>
          <cell r="CD253" t="str">
            <v xml:space="preserve">OPCOES COMPRA  </v>
          </cell>
          <cell r="CE253" t="str">
            <v xml:space="preserve">Americano      </v>
          </cell>
        </row>
        <row r="254">
          <cell r="AF254">
            <v>249</v>
          </cell>
          <cell r="AG254">
            <v>0.1000965785137955</v>
          </cell>
          <cell r="BY254" t="str">
            <v>BBASD11</v>
          </cell>
          <cell r="BZ254">
            <v>11</v>
          </cell>
          <cell r="CA254" t="str">
            <v>20-04-2009</v>
          </cell>
          <cell r="CB254" t="str">
            <v xml:space="preserve">BBAS        </v>
          </cell>
          <cell r="CC254" t="str">
            <v>ON      NM</v>
          </cell>
          <cell r="CD254" t="str">
            <v xml:space="preserve">OPCOES COMPRA  </v>
          </cell>
          <cell r="CE254" t="str">
            <v xml:space="preserve">Americano      </v>
          </cell>
        </row>
        <row r="255">
          <cell r="AF255">
            <v>250</v>
          </cell>
          <cell r="AG255">
            <v>0.10009832988245115</v>
          </cell>
          <cell r="BY255" t="str">
            <v>BBASD12</v>
          </cell>
          <cell r="BZ255">
            <v>11.7</v>
          </cell>
          <cell r="CA255" t="str">
            <v>20-04-2009</v>
          </cell>
          <cell r="CB255" t="str">
            <v xml:space="preserve">BBAS        </v>
          </cell>
          <cell r="CC255" t="str">
            <v>ON      NM</v>
          </cell>
          <cell r="CD255" t="str">
            <v xml:space="preserve">OPCOES COMPRA  </v>
          </cell>
          <cell r="CE255" t="str">
            <v xml:space="preserve">Americano      </v>
          </cell>
        </row>
        <row r="256">
          <cell r="AF256">
            <v>251</v>
          </cell>
          <cell r="AG256">
            <v>0.10010006729873333</v>
          </cell>
          <cell r="BY256" t="str">
            <v>BBASD13</v>
          </cell>
          <cell r="BZ256">
            <v>13</v>
          </cell>
          <cell r="CA256" t="str">
            <v>20-04-2009</v>
          </cell>
          <cell r="CB256" t="str">
            <v xml:space="preserve">BBAS        </v>
          </cell>
          <cell r="CC256" t="str">
            <v>ON      NM</v>
          </cell>
          <cell r="CD256" t="str">
            <v xml:space="preserve">OPCOES COMPRA  </v>
          </cell>
          <cell r="CE256" t="str">
            <v xml:space="preserve">Americano      </v>
          </cell>
        </row>
        <row r="257">
          <cell r="AF257">
            <v>252</v>
          </cell>
          <cell r="AG257">
            <v>0.10010179092870852</v>
          </cell>
          <cell r="BY257" t="str">
            <v>BBASD14</v>
          </cell>
          <cell r="BZ257">
            <v>14</v>
          </cell>
          <cell r="CA257" t="str">
            <v>20-04-2009</v>
          </cell>
          <cell r="CB257" t="str">
            <v xml:space="preserve">BBAS        </v>
          </cell>
          <cell r="CC257" t="str">
            <v>ON      NM</v>
          </cell>
          <cell r="CD257" t="str">
            <v xml:space="preserve">OPCOES COMPRA  </v>
          </cell>
          <cell r="CE257" t="str">
            <v xml:space="preserve">Americano      </v>
          </cell>
        </row>
        <row r="258">
          <cell r="AF258">
            <v>253</v>
          </cell>
          <cell r="AG258">
            <v>0.1001035009358191</v>
          </cell>
          <cell r="BY258" t="str">
            <v>BBASD15</v>
          </cell>
          <cell r="BZ258">
            <v>15</v>
          </cell>
          <cell r="CA258" t="str">
            <v>20-04-2009</v>
          </cell>
          <cell r="CB258" t="str">
            <v xml:space="preserve">BBAS        </v>
          </cell>
          <cell r="CC258" t="str">
            <v>ON      NM</v>
          </cell>
          <cell r="CD258" t="str">
            <v xml:space="preserve">OPCOES COMPRA  </v>
          </cell>
          <cell r="CE258" t="str">
            <v xml:space="preserve">Americano      </v>
          </cell>
        </row>
        <row r="259">
          <cell r="AF259">
            <v>254</v>
          </cell>
          <cell r="AG259">
            <v>0.10010519748093349</v>
          </cell>
          <cell r="BY259" t="str">
            <v>BBASD16</v>
          </cell>
          <cell r="BZ259">
            <v>15.7</v>
          </cell>
          <cell r="CA259" t="str">
            <v>20-04-2009</v>
          </cell>
          <cell r="CB259" t="str">
            <v xml:space="preserve">BBAS        </v>
          </cell>
          <cell r="CC259" t="str">
            <v>ON      NM</v>
          </cell>
          <cell r="CD259" t="str">
            <v xml:space="preserve">OPCOES COMPRA  </v>
          </cell>
          <cell r="CE259" t="str">
            <v xml:space="preserve">Americano      </v>
          </cell>
        </row>
        <row r="260">
          <cell r="AF260">
            <v>255</v>
          </cell>
          <cell r="AG260">
            <v>0.10010688072239748</v>
          </cell>
          <cell r="BY260" t="str">
            <v>BBASD17</v>
          </cell>
          <cell r="BZ260">
            <v>17</v>
          </cell>
          <cell r="CA260" t="str">
            <v>20-04-2009</v>
          </cell>
          <cell r="CB260" t="str">
            <v xml:space="preserve">BBAS        </v>
          </cell>
          <cell r="CC260" t="str">
            <v>ON      NM</v>
          </cell>
          <cell r="CD260" t="str">
            <v xml:space="preserve">OPCOES COMPRA  </v>
          </cell>
          <cell r="CE260" t="str">
            <v xml:space="preserve">Americano      </v>
          </cell>
        </row>
        <row r="261">
          <cell r="AF261">
            <v>256</v>
          </cell>
          <cell r="AG261">
            <v>0.10010855081608261</v>
          </cell>
          <cell r="BY261" t="str">
            <v>BBASD18</v>
          </cell>
          <cell r="BZ261">
            <v>18</v>
          </cell>
          <cell r="CA261" t="str">
            <v>20-04-2009</v>
          </cell>
          <cell r="CB261" t="str">
            <v xml:space="preserve">BBAS        </v>
          </cell>
          <cell r="CC261" t="str">
            <v>ON      NM</v>
          </cell>
          <cell r="CD261" t="str">
            <v xml:space="preserve">OPCOES COMPRA  </v>
          </cell>
          <cell r="CE261" t="str">
            <v xml:space="preserve">Americano      </v>
          </cell>
        </row>
        <row r="262">
          <cell r="AF262">
            <v>257</v>
          </cell>
          <cell r="AG262">
            <v>0.10011020791543568</v>
          </cell>
          <cell r="BY262" t="str">
            <v>BBASE10</v>
          </cell>
          <cell r="BZ262">
            <v>10</v>
          </cell>
          <cell r="CA262" t="str">
            <v>18-05-2009</v>
          </cell>
          <cell r="CB262" t="str">
            <v xml:space="preserve">BBAS        </v>
          </cell>
          <cell r="CC262" t="str">
            <v>ON      NM</v>
          </cell>
          <cell r="CD262" t="str">
            <v xml:space="preserve">OPCOES COMPRA  </v>
          </cell>
          <cell r="CE262" t="str">
            <v xml:space="preserve">Americano      </v>
          </cell>
        </row>
        <row r="263">
          <cell r="AF263">
            <v>258</v>
          </cell>
          <cell r="AG263">
            <v>0.10011185217152452</v>
          </cell>
          <cell r="BY263" t="str">
            <v>BBASE11</v>
          </cell>
          <cell r="BZ263">
            <v>11</v>
          </cell>
          <cell r="CA263" t="str">
            <v>18-05-2009</v>
          </cell>
          <cell r="CB263" t="str">
            <v xml:space="preserve">BBAS        </v>
          </cell>
          <cell r="CC263" t="str">
            <v>ON      NM</v>
          </cell>
          <cell r="CD263" t="str">
            <v xml:space="preserve">OPCOES COMPRA  </v>
          </cell>
          <cell r="CE263" t="str">
            <v xml:space="preserve">Americano      </v>
          </cell>
        </row>
        <row r="264">
          <cell r="AF264">
            <v>259</v>
          </cell>
          <cell r="AG264">
            <v>0.10011348373308437</v>
          </cell>
          <cell r="BY264" t="str">
            <v>BBASE12</v>
          </cell>
          <cell r="BZ264">
            <v>12</v>
          </cell>
          <cell r="CA264" t="str">
            <v>18-05-2009</v>
          </cell>
          <cell r="CB264" t="str">
            <v xml:space="preserve">BBAS        </v>
          </cell>
          <cell r="CC264" t="str">
            <v>ON      NM</v>
          </cell>
          <cell r="CD264" t="str">
            <v xml:space="preserve">OPCOES COMPRA  </v>
          </cell>
          <cell r="CE264" t="str">
            <v xml:space="preserve">Americano      </v>
          </cell>
        </row>
        <row r="265">
          <cell r="AF265">
            <v>260</v>
          </cell>
          <cell r="AG265">
            <v>0.10011510274656255</v>
          </cell>
          <cell r="BY265" t="str">
            <v>BBASE13</v>
          </cell>
          <cell r="BZ265">
            <v>13</v>
          </cell>
          <cell r="CA265" t="str">
            <v>18-05-2009</v>
          </cell>
          <cell r="CB265" t="str">
            <v xml:space="preserve">BBAS        </v>
          </cell>
          <cell r="CC265" t="str">
            <v>ON      NM</v>
          </cell>
          <cell r="CD265" t="str">
            <v xml:space="preserve">OPCOES COMPRA  </v>
          </cell>
          <cell r="CE265" t="str">
            <v xml:space="preserve">Americano      </v>
          </cell>
        </row>
        <row r="266">
          <cell r="AF266">
            <v>261</v>
          </cell>
          <cell r="AG266">
            <v>0.10011670935616257</v>
          </cell>
          <cell r="BY266" t="str">
            <v>BBASE14</v>
          </cell>
          <cell r="BZ266">
            <v>14</v>
          </cell>
          <cell r="CA266" t="str">
            <v>18-05-2009</v>
          </cell>
          <cell r="CB266" t="str">
            <v xml:space="preserve">BBAS        </v>
          </cell>
          <cell r="CC266" t="str">
            <v>ON      NM</v>
          </cell>
          <cell r="CD266" t="str">
            <v xml:space="preserve">OPCOES COMPRA  </v>
          </cell>
          <cell r="CE266" t="str">
            <v xml:space="preserve">Americano      </v>
          </cell>
        </row>
        <row r="267">
          <cell r="AF267">
            <v>262</v>
          </cell>
          <cell r="AG267">
            <v>0.10011830370388664</v>
          </cell>
          <cell r="BY267" t="str">
            <v>BBASE15</v>
          </cell>
          <cell r="BZ267">
            <v>15</v>
          </cell>
          <cell r="CA267" t="str">
            <v>18-05-2009</v>
          </cell>
          <cell r="CB267" t="str">
            <v xml:space="preserve">BBAS        </v>
          </cell>
          <cell r="CC267" t="str">
            <v>ON      NM</v>
          </cell>
          <cell r="CD267" t="str">
            <v xml:space="preserve">OPCOES COMPRA  </v>
          </cell>
          <cell r="CE267" t="str">
            <v xml:space="preserve">Americano      </v>
          </cell>
        </row>
        <row r="268">
          <cell r="AF268">
            <v>263</v>
          </cell>
          <cell r="AG268">
            <v>0.10011988592957755</v>
          </cell>
          <cell r="BY268" t="str">
            <v>BBASE16</v>
          </cell>
          <cell r="BZ268">
            <v>16</v>
          </cell>
          <cell r="CA268" t="str">
            <v>18-05-2009</v>
          </cell>
          <cell r="CB268" t="str">
            <v xml:space="preserve">BBAS        </v>
          </cell>
          <cell r="CC268" t="str">
            <v>ON      NM</v>
          </cell>
          <cell r="CD268" t="str">
            <v xml:space="preserve">OPCOES COMPRA  </v>
          </cell>
          <cell r="CE268" t="str">
            <v xml:space="preserve">Americano      </v>
          </cell>
        </row>
        <row r="269">
          <cell r="AF269">
            <v>264</v>
          </cell>
          <cell r="AG269">
            <v>0.10012145617096047</v>
          </cell>
          <cell r="BY269" t="str">
            <v>BBASE17</v>
          </cell>
          <cell r="BZ269">
            <v>17</v>
          </cell>
          <cell r="CA269" t="str">
            <v>18-05-2009</v>
          </cell>
          <cell r="CB269" t="str">
            <v xml:space="preserve">BBAS        </v>
          </cell>
          <cell r="CC269" t="str">
            <v>ON      NM</v>
          </cell>
          <cell r="CD269" t="str">
            <v xml:space="preserve">OPCOES COMPRA  </v>
          </cell>
          <cell r="CE269" t="str">
            <v xml:space="preserve">Americano      </v>
          </cell>
        </row>
        <row r="270">
          <cell r="AF270">
            <v>265</v>
          </cell>
          <cell r="AG270">
            <v>0.10012301456368045</v>
          </cell>
          <cell r="BY270" t="str">
            <v>BBASE18</v>
          </cell>
          <cell r="BZ270">
            <v>18</v>
          </cell>
          <cell r="CA270" t="str">
            <v>18-05-2009</v>
          </cell>
          <cell r="CB270" t="str">
            <v xml:space="preserve">BBAS        </v>
          </cell>
          <cell r="CC270" t="str">
            <v>ON      NM</v>
          </cell>
          <cell r="CD270" t="str">
            <v xml:space="preserve">OPCOES COMPRA  </v>
          </cell>
          <cell r="CE270" t="str">
            <v xml:space="preserve">Americano      </v>
          </cell>
        </row>
        <row r="271">
          <cell r="AF271">
            <v>266</v>
          </cell>
          <cell r="AG271">
            <v>0.10012456124134506</v>
          </cell>
          <cell r="BY271" t="str">
            <v>BBASO11</v>
          </cell>
          <cell r="BZ271">
            <v>11</v>
          </cell>
          <cell r="CA271" t="str">
            <v>16-03-2009</v>
          </cell>
          <cell r="CB271" t="str">
            <v xml:space="preserve">BBAS        </v>
          </cell>
          <cell r="CC271" t="str">
            <v>ON      NM</v>
          </cell>
          <cell r="CD271" t="str">
            <v xml:space="preserve">OPCOES VENDA   </v>
          </cell>
          <cell r="CE271" t="str">
            <v xml:space="preserve">Europeu        </v>
          </cell>
        </row>
        <row r="272">
          <cell r="AF272">
            <v>267</v>
          </cell>
          <cell r="AG272">
            <v>0.10012609633555902</v>
          </cell>
          <cell r="BY272" t="str">
            <v>BBASO12</v>
          </cell>
          <cell r="BZ272">
            <v>12</v>
          </cell>
          <cell r="CA272" t="str">
            <v>16-03-2009</v>
          </cell>
          <cell r="CB272" t="str">
            <v xml:space="preserve">BBAS        </v>
          </cell>
          <cell r="CC272" t="str">
            <v>ON      NM</v>
          </cell>
          <cell r="CD272" t="str">
            <v xml:space="preserve">OPCOES VENDA   </v>
          </cell>
          <cell r="CE272" t="str">
            <v xml:space="preserve">Europeu        </v>
          </cell>
        </row>
        <row r="273">
          <cell r="AF273">
            <v>268</v>
          </cell>
          <cell r="AG273">
            <v>0.10012761997596442</v>
          </cell>
          <cell r="BY273" t="str">
            <v>BBASO13</v>
          </cell>
          <cell r="BZ273">
            <v>13</v>
          </cell>
          <cell r="CA273" t="str">
            <v>16-03-2009</v>
          </cell>
          <cell r="CB273" t="str">
            <v xml:space="preserve">BBAS        </v>
          </cell>
          <cell r="CC273" t="str">
            <v>ON      NM</v>
          </cell>
          <cell r="CD273" t="str">
            <v xml:space="preserve">OPCOES VENDA   </v>
          </cell>
          <cell r="CE273" t="str">
            <v xml:space="preserve">Europeu        </v>
          </cell>
        </row>
        <row r="274">
          <cell r="AF274">
            <v>269</v>
          </cell>
          <cell r="AG274">
            <v>0.10012913229027487</v>
          </cell>
          <cell r="BY274" t="str">
            <v>BBASO14</v>
          </cell>
          <cell r="BZ274">
            <v>13.56</v>
          </cell>
          <cell r="CA274" t="str">
            <v>16-03-2009</v>
          </cell>
          <cell r="CB274" t="str">
            <v xml:space="preserve">BBAS        </v>
          </cell>
          <cell r="CC274" t="str">
            <v>ON      NM</v>
          </cell>
          <cell r="CD274" t="str">
            <v xml:space="preserve">OPCOES VENDA   </v>
          </cell>
          <cell r="CE274" t="str">
            <v xml:space="preserve">Europeu        </v>
          </cell>
        </row>
        <row r="275">
          <cell r="AF275">
            <v>270</v>
          </cell>
          <cell r="AG275">
            <v>0.10013063340431283</v>
          </cell>
          <cell r="BY275" t="str">
            <v>BBASO15</v>
          </cell>
          <cell r="BZ275">
            <v>15</v>
          </cell>
          <cell r="CA275" t="str">
            <v>16-03-2009</v>
          </cell>
          <cell r="CB275" t="str">
            <v xml:space="preserve">BBAS        </v>
          </cell>
          <cell r="CC275" t="str">
            <v>ON      NM</v>
          </cell>
          <cell r="CD275" t="str">
            <v xml:space="preserve">OPCOES VENDA   </v>
          </cell>
          <cell r="CE275" t="str">
            <v xml:space="preserve">Europeu        </v>
          </cell>
        </row>
        <row r="276">
          <cell r="AF276">
            <v>271</v>
          </cell>
          <cell r="AG276">
            <v>0.10013212344204447</v>
          </cell>
          <cell r="BY276" t="str">
            <v>BBASO1</v>
          </cell>
          <cell r="BZ276">
            <v>15.5</v>
          </cell>
          <cell r="CA276" t="str">
            <v>16-03-2009</v>
          </cell>
          <cell r="CB276" t="str">
            <v xml:space="preserve">BBAS        </v>
          </cell>
          <cell r="CC276" t="str">
            <v>ON      NM</v>
          </cell>
          <cell r="CD276" t="str">
            <v xml:space="preserve">OPCOES VENDA   </v>
          </cell>
          <cell r="CE276" t="str">
            <v xml:space="preserve">Europeu        </v>
          </cell>
        </row>
        <row r="277">
          <cell r="AF277">
            <v>272</v>
          </cell>
          <cell r="AG277">
            <v>0.10013360252561188</v>
          </cell>
          <cell r="BY277" t="str">
            <v>BBASO16</v>
          </cell>
          <cell r="BZ277">
            <v>16</v>
          </cell>
          <cell r="CA277" t="str">
            <v>16-03-2009</v>
          </cell>
          <cell r="CB277" t="str">
            <v xml:space="preserve">BBAS        </v>
          </cell>
          <cell r="CC277" t="str">
            <v>ON      NM</v>
          </cell>
          <cell r="CD277" t="str">
            <v xml:space="preserve">OPCOES VENDA   </v>
          </cell>
          <cell r="CE277" t="str">
            <v xml:space="preserve">Europeu        </v>
          </cell>
        </row>
        <row r="278">
          <cell r="AF278">
            <v>273</v>
          </cell>
          <cell r="AG278">
            <v>0.10013507077536921</v>
          </cell>
          <cell r="BY278" t="str">
            <v>BBASO17</v>
          </cell>
          <cell r="BZ278">
            <v>17</v>
          </cell>
          <cell r="CA278" t="str">
            <v>16-03-2009</v>
          </cell>
          <cell r="CB278" t="str">
            <v xml:space="preserve">BBAS        </v>
          </cell>
          <cell r="CC278" t="str">
            <v>ON      NM</v>
          </cell>
          <cell r="CD278" t="str">
            <v xml:space="preserve">OPCOES VENDA   </v>
          </cell>
          <cell r="CE278" t="str">
            <v xml:space="preserve">Europeu        </v>
          </cell>
        </row>
        <row r="279">
          <cell r="AF279">
            <v>274</v>
          </cell>
          <cell r="AG279">
            <v>0.10013652830991315</v>
          </cell>
          <cell r="BY279" t="str">
            <v>BBASO18</v>
          </cell>
          <cell r="BZ279">
            <v>18</v>
          </cell>
          <cell r="CA279" t="str">
            <v>16-03-2009</v>
          </cell>
          <cell r="CB279" t="str">
            <v xml:space="preserve">BBAS        </v>
          </cell>
          <cell r="CC279" t="str">
            <v>ON      NM</v>
          </cell>
          <cell r="CD279" t="str">
            <v xml:space="preserve">OPCOES VENDA   </v>
          </cell>
          <cell r="CE279" t="str">
            <v xml:space="preserve">Europeu        </v>
          </cell>
        </row>
        <row r="280">
          <cell r="AF280">
            <v>275</v>
          </cell>
          <cell r="AG280">
            <v>0.10013797524611578</v>
          </cell>
          <cell r="BY280" t="str">
            <v>BBASP11</v>
          </cell>
          <cell r="BZ280">
            <v>11</v>
          </cell>
          <cell r="CA280" t="str">
            <v>20-04-2009</v>
          </cell>
          <cell r="CB280" t="str">
            <v xml:space="preserve">BBAS        </v>
          </cell>
          <cell r="CC280" t="str">
            <v>ON      NM</v>
          </cell>
          <cell r="CD280" t="str">
            <v xml:space="preserve">OPCOES VENDA   </v>
          </cell>
          <cell r="CE280" t="str">
            <v xml:space="preserve">Europeu        </v>
          </cell>
        </row>
        <row r="281">
          <cell r="AF281">
            <v>276</v>
          </cell>
          <cell r="AG281">
            <v>0.10013941169915608</v>
          </cell>
          <cell r="BY281" t="str">
            <v>BBASP12</v>
          </cell>
          <cell r="BZ281">
            <v>11.7</v>
          </cell>
          <cell r="CA281" t="str">
            <v>20-04-2009</v>
          </cell>
          <cell r="CB281" t="str">
            <v xml:space="preserve">BBAS        </v>
          </cell>
          <cell r="CC281" t="str">
            <v>ON      NM</v>
          </cell>
          <cell r="CD281" t="str">
            <v xml:space="preserve">OPCOES VENDA   </v>
          </cell>
          <cell r="CE281" t="str">
            <v xml:space="preserve">Europeu        </v>
          </cell>
        </row>
        <row r="282">
          <cell r="AF282">
            <v>277</v>
          </cell>
          <cell r="AG282">
            <v>0.10014083778254945</v>
          </cell>
          <cell r="BY282" t="str">
            <v>BBASP13</v>
          </cell>
          <cell r="BZ282">
            <v>13</v>
          </cell>
          <cell r="CA282" t="str">
            <v>20-04-2009</v>
          </cell>
          <cell r="CB282" t="str">
            <v xml:space="preserve">BBAS        </v>
          </cell>
          <cell r="CC282" t="str">
            <v>ON      NM</v>
          </cell>
          <cell r="CD282" t="str">
            <v xml:space="preserve">OPCOES VENDA   </v>
          </cell>
          <cell r="CE282" t="str">
            <v xml:space="preserve">Europeu        </v>
          </cell>
        </row>
        <row r="283">
          <cell r="AF283">
            <v>278</v>
          </cell>
          <cell r="AG283">
            <v>0.10014225360817863</v>
          </cell>
          <cell r="BY283" t="str">
            <v>BBASP14</v>
          </cell>
          <cell r="BZ283">
            <v>14</v>
          </cell>
          <cell r="CA283" t="str">
            <v>20-04-2009</v>
          </cell>
          <cell r="CB283" t="str">
            <v xml:space="preserve">BBAS        </v>
          </cell>
          <cell r="CC283" t="str">
            <v>ON      NM</v>
          </cell>
          <cell r="CD283" t="str">
            <v xml:space="preserve">OPCOES VENDA   </v>
          </cell>
          <cell r="CE283" t="str">
            <v xml:space="preserve">Europeu        </v>
          </cell>
        </row>
        <row r="284">
          <cell r="AF284">
            <v>279</v>
          </cell>
          <cell r="AG284">
            <v>0.10014365928632296</v>
          </cell>
          <cell r="BY284" t="str">
            <v>BBASP15</v>
          </cell>
          <cell r="BZ284">
            <v>15</v>
          </cell>
          <cell r="CA284" t="str">
            <v>20-04-2009</v>
          </cell>
          <cell r="CB284" t="str">
            <v xml:space="preserve">BBAS        </v>
          </cell>
          <cell r="CC284" t="str">
            <v>ON      NM</v>
          </cell>
          <cell r="CD284" t="str">
            <v xml:space="preserve">OPCOES VENDA   </v>
          </cell>
          <cell r="CE284" t="str">
            <v xml:space="preserve">Europeu        </v>
          </cell>
        </row>
        <row r="285">
          <cell r="AF285">
            <v>280</v>
          </cell>
          <cell r="AG285">
            <v>0.10014505492568571</v>
          </cell>
          <cell r="BY285" t="str">
            <v>BBASP16</v>
          </cell>
          <cell r="BZ285">
            <v>16</v>
          </cell>
          <cell r="CA285" t="str">
            <v>20-04-2009</v>
          </cell>
          <cell r="CB285" t="str">
            <v xml:space="preserve">BBAS        </v>
          </cell>
          <cell r="CC285" t="str">
            <v>ON      NM</v>
          </cell>
          <cell r="CD285" t="str">
            <v xml:space="preserve">OPCOES VENDA   </v>
          </cell>
          <cell r="CE285" t="str">
            <v xml:space="preserve">Europeu        </v>
          </cell>
        </row>
        <row r="286">
          <cell r="AF286">
            <v>281</v>
          </cell>
          <cell r="AG286">
            <v>0.10014644063342426</v>
          </cell>
          <cell r="BY286" t="str">
            <v>BBASP17</v>
          </cell>
          <cell r="BZ286">
            <v>17</v>
          </cell>
          <cell r="CA286" t="str">
            <v>20-04-2009</v>
          </cell>
          <cell r="CB286" t="str">
            <v xml:space="preserve">BBAS        </v>
          </cell>
          <cell r="CC286" t="str">
            <v>ON      NM</v>
          </cell>
          <cell r="CD286" t="str">
            <v xml:space="preserve">OPCOES VENDA   </v>
          </cell>
          <cell r="CE286" t="str">
            <v xml:space="preserve">Europeu        </v>
          </cell>
        </row>
        <row r="287">
          <cell r="AF287">
            <v>282</v>
          </cell>
          <cell r="AG287">
            <v>0.10014781651517501</v>
          </cell>
          <cell r="BY287" t="str">
            <v>BBASP18</v>
          </cell>
          <cell r="BZ287">
            <v>18</v>
          </cell>
          <cell r="CA287" t="str">
            <v>20-04-2009</v>
          </cell>
          <cell r="CB287" t="str">
            <v xml:space="preserve">BBAS        </v>
          </cell>
          <cell r="CC287" t="str">
            <v>ON      NM</v>
          </cell>
          <cell r="CD287" t="str">
            <v xml:space="preserve">OPCOES VENDA   </v>
          </cell>
          <cell r="CE287" t="str">
            <v xml:space="preserve">Europeu        </v>
          </cell>
        </row>
        <row r="288">
          <cell r="AF288">
            <v>283</v>
          </cell>
          <cell r="AG288">
            <v>0.10014918267508222</v>
          </cell>
          <cell r="BY288" t="str">
            <v>BBASQ10</v>
          </cell>
          <cell r="BZ288">
            <v>10</v>
          </cell>
          <cell r="CA288" t="str">
            <v>18-05-2009</v>
          </cell>
          <cell r="CB288" t="str">
            <v xml:space="preserve">BBAS        </v>
          </cell>
          <cell r="CC288" t="str">
            <v>ON      NM</v>
          </cell>
          <cell r="CD288" t="str">
            <v xml:space="preserve">OPCOES VENDA   </v>
          </cell>
          <cell r="CE288" t="str">
            <v xml:space="preserve">Europeu        </v>
          </cell>
        </row>
        <row r="289">
          <cell r="AF289">
            <v>284</v>
          </cell>
          <cell r="AG289">
            <v>0.10015053921582373</v>
          </cell>
          <cell r="BY289" t="str">
            <v>BBASQ11</v>
          </cell>
          <cell r="BZ289">
            <v>11</v>
          </cell>
          <cell r="CA289" t="str">
            <v>18-05-2009</v>
          </cell>
          <cell r="CB289" t="str">
            <v xml:space="preserve">BBAS        </v>
          </cell>
          <cell r="CC289" t="str">
            <v>ON      NM</v>
          </cell>
          <cell r="CD289" t="str">
            <v xml:space="preserve">OPCOES VENDA   </v>
          </cell>
          <cell r="CE289" t="str">
            <v xml:space="preserve">Europeu        </v>
          </cell>
        </row>
        <row r="290">
          <cell r="AF290">
            <v>285</v>
          </cell>
          <cell r="AG290">
            <v>0.10015188623863636</v>
          </cell>
          <cell r="BY290" t="str">
            <v>BBASQ12</v>
          </cell>
          <cell r="BZ290">
            <v>12</v>
          </cell>
          <cell r="CA290" t="str">
            <v>18-05-2009</v>
          </cell>
          <cell r="CB290" t="str">
            <v xml:space="preserve">BBAS        </v>
          </cell>
          <cell r="CC290" t="str">
            <v>ON      NM</v>
          </cell>
          <cell r="CD290" t="str">
            <v xml:space="preserve">OPCOES VENDA   </v>
          </cell>
          <cell r="CE290" t="str">
            <v xml:space="preserve">Europeu        </v>
          </cell>
        </row>
        <row r="291">
          <cell r="AF291">
            <v>286</v>
          </cell>
          <cell r="AG291">
            <v>0.10015322384334069</v>
          </cell>
          <cell r="BY291" t="str">
            <v>BBASQ13</v>
          </cell>
          <cell r="BZ291">
            <v>13</v>
          </cell>
          <cell r="CA291" t="str">
            <v>18-05-2009</v>
          </cell>
          <cell r="CB291" t="str">
            <v xml:space="preserve">BBAS        </v>
          </cell>
          <cell r="CC291" t="str">
            <v>ON      NM</v>
          </cell>
          <cell r="CD291" t="str">
            <v xml:space="preserve">OPCOES VENDA   </v>
          </cell>
          <cell r="CE291" t="str">
            <v xml:space="preserve">Europeu        </v>
          </cell>
        </row>
        <row r="292">
          <cell r="AF292">
            <v>287</v>
          </cell>
          <cell r="AG292">
            <v>0.10015455212836777</v>
          </cell>
          <cell r="BY292" t="str">
            <v>BBASQ14</v>
          </cell>
          <cell r="BZ292">
            <v>14</v>
          </cell>
          <cell r="CA292" t="str">
            <v>18-05-2009</v>
          </cell>
          <cell r="CB292" t="str">
            <v xml:space="preserve">BBAS        </v>
          </cell>
          <cell r="CC292" t="str">
            <v>ON      NM</v>
          </cell>
          <cell r="CD292" t="str">
            <v xml:space="preserve">OPCOES VENDA   </v>
          </cell>
          <cell r="CE292" t="str">
            <v xml:space="preserve">Europeu        </v>
          </cell>
        </row>
        <row r="293">
          <cell r="AF293">
            <v>288</v>
          </cell>
          <cell r="AG293">
            <v>0.10015587119077973</v>
          </cell>
          <cell r="BY293" t="str">
            <v>BBASQ15</v>
          </cell>
          <cell r="BZ293">
            <v>15</v>
          </cell>
          <cell r="CA293" t="str">
            <v>18-05-2009</v>
          </cell>
          <cell r="CB293" t="str">
            <v xml:space="preserve">BBAS        </v>
          </cell>
          <cell r="CC293" t="str">
            <v>ON      NM</v>
          </cell>
          <cell r="CD293" t="str">
            <v xml:space="preserve">OPCOES VENDA   </v>
          </cell>
          <cell r="CE293" t="str">
            <v xml:space="preserve">Europeu        </v>
          </cell>
        </row>
        <row r="294">
          <cell r="AF294">
            <v>289</v>
          </cell>
          <cell r="AG294">
            <v>0.10015718112629779</v>
          </cell>
          <cell r="BY294" t="str">
            <v>BBASQ16</v>
          </cell>
          <cell r="BZ294">
            <v>16</v>
          </cell>
          <cell r="CA294" t="str">
            <v>18-05-2009</v>
          </cell>
          <cell r="CB294" t="str">
            <v xml:space="preserve">BBAS        </v>
          </cell>
          <cell r="CC294" t="str">
            <v>ON      NM</v>
          </cell>
          <cell r="CD294" t="str">
            <v xml:space="preserve">OPCOES VENDA   </v>
          </cell>
          <cell r="CE294" t="str">
            <v xml:space="preserve">Europeu        </v>
          </cell>
        </row>
        <row r="295">
          <cell r="AF295">
            <v>290</v>
          </cell>
          <cell r="AG295">
            <v>0.10015848202932109</v>
          </cell>
          <cell r="BY295" t="str">
            <v>BBASQ17</v>
          </cell>
          <cell r="BZ295">
            <v>17</v>
          </cell>
          <cell r="CA295" t="str">
            <v>18-05-2009</v>
          </cell>
          <cell r="CB295" t="str">
            <v xml:space="preserve">BBAS        </v>
          </cell>
          <cell r="CC295" t="str">
            <v>ON      NM</v>
          </cell>
          <cell r="CD295" t="str">
            <v xml:space="preserve">OPCOES VENDA   </v>
          </cell>
          <cell r="CE295" t="str">
            <v xml:space="preserve">Europeu        </v>
          </cell>
        </row>
        <row r="296">
          <cell r="AF296">
            <v>291</v>
          </cell>
          <cell r="AG296">
            <v>0.10015977399295273</v>
          </cell>
          <cell r="BY296" t="str">
            <v>BBASQ18</v>
          </cell>
          <cell r="BZ296">
            <v>18</v>
          </cell>
          <cell r="CA296" t="str">
            <v>18-05-2009</v>
          </cell>
          <cell r="CB296" t="str">
            <v xml:space="preserve">BBAS        </v>
          </cell>
          <cell r="CC296" t="str">
            <v>ON      NM</v>
          </cell>
          <cell r="CD296" t="str">
            <v xml:space="preserve">OPCOES VENDA   </v>
          </cell>
          <cell r="CE296" t="str">
            <v xml:space="preserve">Europeu        </v>
          </cell>
        </row>
        <row r="297">
          <cell r="AF297">
            <v>292</v>
          </cell>
          <cell r="AG297">
            <v>0.10016105710902012</v>
          </cell>
          <cell r="BY297" t="str">
            <v>BRMLF1</v>
          </cell>
          <cell r="BZ297">
            <v>18</v>
          </cell>
          <cell r="CA297" t="str">
            <v>15-06-2009</v>
          </cell>
          <cell r="CB297" t="str">
            <v xml:space="preserve">BRML        </v>
          </cell>
          <cell r="CC297" t="str">
            <v>ON      NM</v>
          </cell>
          <cell r="CD297" t="str">
            <v xml:space="preserve">OPCOES COMPRA  </v>
          </cell>
          <cell r="CE297" t="str">
            <v xml:space="preserve">Americano      </v>
          </cell>
        </row>
        <row r="298">
          <cell r="AF298">
            <v>293</v>
          </cell>
          <cell r="AG298">
            <v>0.10016233146809705</v>
          </cell>
          <cell r="BY298" t="str">
            <v>BRMLR1</v>
          </cell>
          <cell r="BZ298">
            <v>18</v>
          </cell>
          <cell r="CA298" t="str">
            <v>15-06-2009</v>
          </cell>
          <cell r="CB298" t="str">
            <v xml:space="preserve">BRML        </v>
          </cell>
          <cell r="CC298" t="str">
            <v>ON      NM</v>
          </cell>
          <cell r="CD298" t="str">
            <v xml:space="preserve">OPCOES VENDA   </v>
          </cell>
          <cell r="CE298" t="str">
            <v xml:space="preserve">Europeu        </v>
          </cell>
        </row>
        <row r="299">
          <cell r="AF299">
            <v>294</v>
          </cell>
          <cell r="AG299">
            <v>0.10016359715952583</v>
          </cell>
          <cell r="BY299" t="str">
            <v>BVMFC3</v>
          </cell>
          <cell r="BZ299">
            <v>5.5</v>
          </cell>
          <cell r="CA299" t="str">
            <v>16-03-2009</v>
          </cell>
          <cell r="CB299" t="str">
            <v xml:space="preserve">BVMF        </v>
          </cell>
          <cell r="CC299" t="str">
            <v>ON      NM</v>
          </cell>
          <cell r="CD299" t="str">
            <v xml:space="preserve">OPCOES COMPRA  </v>
          </cell>
          <cell r="CE299" t="str">
            <v xml:space="preserve">Europeu        </v>
          </cell>
        </row>
        <row r="300">
          <cell r="AF300">
            <v>295</v>
          </cell>
          <cell r="AG300">
            <v>0.10016485427143706</v>
          </cell>
          <cell r="BY300" t="str">
            <v>BVMFC6</v>
          </cell>
          <cell r="BZ300">
            <v>6</v>
          </cell>
          <cell r="CA300" t="str">
            <v>16-03-2009</v>
          </cell>
          <cell r="CB300" t="str">
            <v xml:space="preserve">BVMF        </v>
          </cell>
          <cell r="CC300" t="str">
            <v>ON      NM</v>
          </cell>
          <cell r="CD300" t="str">
            <v xml:space="preserve">OPCOES COMPRA  </v>
          </cell>
          <cell r="CE300" t="str">
            <v xml:space="preserve">Americano      </v>
          </cell>
        </row>
        <row r="301">
          <cell r="AF301">
            <v>296</v>
          </cell>
          <cell r="AG301">
            <v>0.10016610289077077</v>
          </cell>
          <cell r="BY301" t="str">
            <v>BVMFC1</v>
          </cell>
          <cell r="BZ301">
            <v>6.3</v>
          </cell>
          <cell r="CA301" t="str">
            <v>16-03-2009</v>
          </cell>
          <cell r="CB301" t="str">
            <v xml:space="preserve">BVMF        </v>
          </cell>
          <cell r="CC301" t="str">
            <v>ON      NM</v>
          </cell>
          <cell r="CD301" t="str">
            <v xml:space="preserve">OPCOES COMPRA  </v>
          </cell>
          <cell r="CE301" t="str">
            <v xml:space="preserve">Europeu        </v>
          </cell>
        </row>
        <row r="302">
          <cell r="AF302">
            <v>297</v>
          </cell>
          <cell r="AG302">
            <v>0.10016734310329656</v>
          </cell>
          <cell r="BY302" t="str">
            <v>BVMFC4</v>
          </cell>
          <cell r="BZ302">
            <v>6.5</v>
          </cell>
          <cell r="CA302" t="str">
            <v>16-03-2009</v>
          </cell>
          <cell r="CB302" t="str">
            <v xml:space="preserve">BVMF        </v>
          </cell>
          <cell r="CC302" t="str">
            <v>ON      NM</v>
          </cell>
          <cell r="CD302" t="str">
            <v xml:space="preserve">OPCOES COMPRA  </v>
          </cell>
          <cell r="CE302" t="str">
            <v xml:space="preserve">Europeu        </v>
          </cell>
        </row>
        <row r="303">
          <cell r="AF303">
            <v>298</v>
          </cell>
          <cell r="AG303">
            <v>0.10016857499363208</v>
          </cell>
          <cell r="BY303" t="str">
            <v>BVMFC7</v>
          </cell>
          <cell r="BZ303">
            <v>7</v>
          </cell>
          <cell r="CA303" t="str">
            <v>16-03-2009</v>
          </cell>
          <cell r="CB303" t="str">
            <v xml:space="preserve">BVMF        </v>
          </cell>
          <cell r="CC303" t="str">
            <v>ON      NM</v>
          </cell>
          <cell r="CD303" t="str">
            <v xml:space="preserve">OPCOES COMPRA  </v>
          </cell>
          <cell r="CE303" t="str">
            <v xml:space="preserve">Americano      </v>
          </cell>
        </row>
        <row r="304">
          <cell r="AF304">
            <v>299</v>
          </cell>
          <cell r="AG304">
            <v>0.10016979864526432</v>
          </cell>
          <cell r="BY304" t="str">
            <v>BVMFC2</v>
          </cell>
          <cell r="BZ304">
            <v>7.5</v>
          </cell>
          <cell r="CA304" t="str">
            <v>16-03-2009</v>
          </cell>
          <cell r="CB304" t="str">
            <v xml:space="preserve">BVMF        </v>
          </cell>
          <cell r="CC304" t="str">
            <v>ON      NM</v>
          </cell>
          <cell r="CD304" t="str">
            <v xml:space="preserve">OPCOES COMPRA  </v>
          </cell>
          <cell r="CE304" t="str">
            <v xml:space="preserve">Europeu        </v>
          </cell>
        </row>
        <row r="305">
          <cell r="AF305">
            <v>300</v>
          </cell>
          <cell r="AG305">
            <v>0.10017101414056628</v>
          </cell>
          <cell r="BY305" t="str">
            <v>BVMFC8</v>
          </cell>
          <cell r="BZ305">
            <v>8</v>
          </cell>
          <cell r="CA305" t="str">
            <v>16-03-2009</v>
          </cell>
          <cell r="CB305" t="str">
            <v xml:space="preserve">BVMF        </v>
          </cell>
          <cell r="CC305" t="str">
            <v>ON      NM</v>
          </cell>
          <cell r="CD305" t="str">
            <v xml:space="preserve">OPCOES COMPRA  </v>
          </cell>
          <cell r="CE305" t="str">
            <v xml:space="preserve">Americano      </v>
          </cell>
        </row>
        <row r="306">
          <cell r="AF306">
            <v>301</v>
          </cell>
          <cell r="AG306">
            <v>0.10017222156081718</v>
          </cell>
          <cell r="BY306" t="str">
            <v>BVMFD5</v>
          </cell>
          <cell r="BZ306">
            <v>5</v>
          </cell>
          <cell r="CA306" t="str">
            <v>20-04-2009</v>
          </cell>
          <cell r="CB306" t="str">
            <v xml:space="preserve">BVMF        </v>
          </cell>
          <cell r="CC306" t="str">
            <v>ON      NM</v>
          </cell>
          <cell r="CD306" t="str">
            <v xml:space="preserve">OPCOES COMPRA  </v>
          </cell>
          <cell r="CE306" t="str">
            <v xml:space="preserve">Americano      </v>
          </cell>
        </row>
        <row r="307">
          <cell r="AF307">
            <v>302</v>
          </cell>
          <cell r="AG307">
            <v>0.10017342098621929</v>
          </cell>
          <cell r="BY307" t="str">
            <v>BVMFD1</v>
          </cell>
          <cell r="BZ307">
            <v>5.5</v>
          </cell>
          <cell r="CA307" t="str">
            <v>20-04-2009</v>
          </cell>
          <cell r="CB307" t="str">
            <v xml:space="preserve">BVMF        </v>
          </cell>
          <cell r="CC307" t="str">
            <v>ON      NM</v>
          </cell>
          <cell r="CD307" t="str">
            <v xml:space="preserve">OPCOES COMPRA  </v>
          </cell>
          <cell r="CE307" t="str">
            <v xml:space="preserve">Europeu        </v>
          </cell>
        </row>
        <row r="308">
          <cell r="AF308">
            <v>303</v>
          </cell>
          <cell r="AG308">
            <v>0.10017461249591686</v>
          </cell>
          <cell r="BY308" t="str">
            <v>BVMFD6</v>
          </cell>
          <cell r="BZ308">
            <v>6</v>
          </cell>
          <cell r="CA308" t="str">
            <v>20-04-2009</v>
          </cell>
          <cell r="CB308" t="str">
            <v xml:space="preserve">BVMF        </v>
          </cell>
          <cell r="CC308" t="str">
            <v>ON      NM</v>
          </cell>
          <cell r="CD308" t="str">
            <v xml:space="preserve">OPCOES COMPRA  </v>
          </cell>
          <cell r="CE308" t="str">
            <v xml:space="preserve">Americano      </v>
          </cell>
        </row>
        <row r="309">
          <cell r="AF309">
            <v>304</v>
          </cell>
          <cell r="AG309">
            <v>0.10017579616801275</v>
          </cell>
          <cell r="BY309" t="str">
            <v>BVMFD2</v>
          </cell>
          <cell r="BZ309">
            <v>6.5</v>
          </cell>
          <cell r="CA309" t="str">
            <v>20-04-2009</v>
          </cell>
          <cell r="CB309" t="str">
            <v xml:space="preserve">BVMF        </v>
          </cell>
          <cell r="CC309" t="str">
            <v>ON      NM</v>
          </cell>
          <cell r="CD309" t="str">
            <v xml:space="preserve">OPCOES COMPRA  </v>
          </cell>
          <cell r="CE309" t="str">
            <v xml:space="preserve">Europeu        </v>
          </cell>
        </row>
        <row r="310">
          <cell r="AF310">
            <v>305</v>
          </cell>
          <cell r="AG310">
            <v>0.10017697207958487</v>
          </cell>
          <cell r="BY310" t="str">
            <v>BVMFD7</v>
          </cell>
          <cell r="BZ310">
            <v>7</v>
          </cell>
          <cell r="CA310" t="str">
            <v>20-04-2009</v>
          </cell>
          <cell r="CB310" t="str">
            <v xml:space="preserve">BVMF        </v>
          </cell>
          <cell r="CC310" t="str">
            <v>ON      NM</v>
          </cell>
          <cell r="CD310" t="str">
            <v xml:space="preserve">OPCOES COMPRA  </v>
          </cell>
          <cell r="CE310" t="str">
            <v xml:space="preserve">Americano      </v>
          </cell>
        </row>
        <row r="311">
          <cell r="AF311">
            <v>306</v>
          </cell>
          <cell r="AG311">
            <v>0.10017814030670524</v>
          </cell>
          <cell r="BY311" t="str">
            <v>BVMFD3</v>
          </cell>
          <cell r="BZ311">
            <v>7.5</v>
          </cell>
          <cell r="CA311" t="str">
            <v>20-04-2009</v>
          </cell>
          <cell r="CB311" t="str">
            <v xml:space="preserve">BVMF        </v>
          </cell>
          <cell r="CC311" t="str">
            <v>ON      NM</v>
          </cell>
          <cell r="CD311" t="str">
            <v xml:space="preserve">OPCOES COMPRA  </v>
          </cell>
          <cell r="CE311" t="str">
            <v xml:space="preserve">Europeu        </v>
          </cell>
        </row>
        <row r="312">
          <cell r="AF312">
            <v>307</v>
          </cell>
          <cell r="AG312">
            <v>0.10017930092445404</v>
          </cell>
          <cell r="BY312" t="str">
            <v>BVMFD8</v>
          </cell>
          <cell r="BZ312">
            <v>8</v>
          </cell>
          <cell r="CA312" t="str">
            <v>20-04-2009</v>
          </cell>
          <cell r="CB312" t="str">
            <v xml:space="preserve">BVMF        </v>
          </cell>
          <cell r="CC312" t="str">
            <v>ON      NM</v>
          </cell>
          <cell r="CD312" t="str">
            <v xml:space="preserve">OPCOES COMPRA  </v>
          </cell>
          <cell r="CE312" t="str">
            <v xml:space="preserve">Americano      </v>
          </cell>
        </row>
        <row r="313">
          <cell r="AF313">
            <v>308</v>
          </cell>
          <cell r="AG313">
            <v>0.10018045400693643</v>
          </cell>
          <cell r="BY313" t="str">
            <v>BVMFD9</v>
          </cell>
          <cell r="BZ313">
            <v>9</v>
          </cell>
          <cell r="CA313" t="str">
            <v>20-04-2009</v>
          </cell>
          <cell r="CB313" t="str">
            <v xml:space="preserve">BVMF        </v>
          </cell>
          <cell r="CC313" t="str">
            <v>ON      NM</v>
          </cell>
          <cell r="CD313" t="str">
            <v xml:space="preserve">OPCOES COMPRA  </v>
          </cell>
          <cell r="CE313" t="str">
            <v xml:space="preserve">Americano      </v>
          </cell>
        </row>
        <row r="314">
          <cell r="AF314">
            <v>309</v>
          </cell>
          <cell r="AG314">
            <v>0.10018159962729856</v>
          </cell>
          <cell r="BY314" t="str">
            <v>BVMFE1</v>
          </cell>
          <cell r="BZ314">
            <v>6.5</v>
          </cell>
          <cell r="CA314" t="str">
            <v>18-05-2009</v>
          </cell>
          <cell r="CB314" t="str">
            <v xml:space="preserve">BVMF        </v>
          </cell>
          <cell r="CC314" t="str">
            <v>ON      NM</v>
          </cell>
          <cell r="CD314" t="str">
            <v xml:space="preserve">OPCOES COMPRA  </v>
          </cell>
          <cell r="CE314" t="str">
            <v xml:space="preserve">Europeu        </v>
          </cell>
        </row>
        <row r="315">
          <cell r="AF315">
            <v>310</v>
          </cell>
          <cell r="AG315">
            <v>0.1001827378577429</v>
          </cell>
          <cell r="BY315" t="str">
            <v>BVMFE7</v>
          </cell>
          <cell r="BZ315">
            <v>7</v>
          </cell>
          <cell r="CA315" t="str">
            <v>18-05-2009</v>
          </cell>
          <cell r="CB315" t="str">
            <v xml:space="preserve">BVMF        </v>
          </cell>
          <cell r="CC315" t="str">
            <v>ON      NM</v>
          </cell>
          <cell r="CD315" t="str">
            <v xml:space="preserve">OPCOES COMPRA  </v>
          </cell>
          <cell r="CE315" t="str">
            <v xml:space="preserve">Americano      </v>
          </cell>
        </row>
        <row r="316">
          <cell r="AF316">
            <v>311</v>
          </cell>
          <cell r="AG316">
            <v>0.10018386876954377</v>
          </cell>
          <cell r="BY316" t="str">
            <v>BVMFE2</v>
          </cell>
          <cell r="BZ316">
            <v>7.5</v>
          </cell>
          <cell r="CA316" t="str">
            <v>18-05-2009</v>
          </cell>
          <cell r="CB316" t="str">
            <v xml:space="preserve">BVMF        </v>
          </cell>
          <cell r="CC316" t="str">
            <v>ON      NM</v>
          </cell>
          <cell r="CD316" t="str">
            <v xml:space="preserve">OPCOES COMPRA  </v>
          </cell>
          <cell r="CE316" t="str">
            <v xml:space="preserve">Europeu        </v>
          </cell>
        </row>
        <row r="317">
          <cell r="AF317">
            <v>312</v>
          </cell>
          <cell r="AG317">
            <v>0.10018499243306112</v>
          </cell>
          <cell r="BY317" t="str">
            <v>BVMFE8</v>
          </cell>
          <cell r="BZ317">
            <v>8</v>
          </cell>
          <cell r="CA317" t="str">
            <v>18-05-2009</v>
          </cell>
          <cell r="CB317" t="str">
            <v xml:space="preserve">BVMF        </v>
          </cell>
          <cell r="CC317" t="str">
            <v>ON      NM</v>
          </cell>
          <cell r="CD317" t="str">
            <v xml:space="preserve">OPCOES COMPRA  </v>
          </cell>
          <cell r="CE317" t="str">
            <v xml:space="preserve">Americano      </v>
          </cell>
        </row>
        <row r="318">
          <cell r="AF318">
            <v>313</v>
          </cell>
          <cell r="AG318">
            <v>0.1001861089177567</v>
          </cell>
          <cell r="BY318" t="str">
            <v>BVMFG4</v>
          </cell>
          <cell r="BZ318">
            <v>4</v>
          </cell>
          <cell r="CA318" t="str">
            <v>20-07-2009</v>
          </cell>
          <cell r="CB318" t="str">
            <v xml:space="preserve">BVMF        </v>
          </cell>
          <cell r="CC318" t="str">
            <v>ON      NM</v>
          </cell>
          <cell r="CD318" t="str">
            <v xml:space="preserve">OPCOES COMPRA  </v>
          </cell>
          <cell r="CE318" t="str">
            <v xml:space="preserve">Americano      </v>
          </cell>
        </row>
        <row r="319">
          <cell r="AF319">
            <v>314</v>
          </cell>
          <cell r="AG319">
            <v>0.100187218292207</v>
          </cell>
          <cell r="BY319" t="str">
            <v>BVMFG5</v>
          </cell>
          <cell r="BZ319">
            <v>5</v>
          </cell>
          <cell r="CA319" t="str">
            <v>20-07-2009</v>
          </cell>
          <cell r="CB319" t="str">
            <v xml:space="preserve">BVMF        </v>
          </cell>
          <cell r="CC319" t="str">
            <v>ON      NM</v>
          </cell>
          <cell r="CD319" t="str">
            <v xml:space="preserve">OPCOES COMPRA  </v>
          </cell>
          <cell r="CE319" t="str">
            <v xml:space="preserve">Americano      </v>
          </cell>
        </row>
        <row r="320">
          <cell r="AF320">
            <v>315</v>
          </cell>
          <cell r="AG320">
            <v>0.10018832062411787</v>
          </cell>
          <cell r="BY320" t="str">
            <v>BVMFG1</v>
          </cell>
          <cell r="BZ320">
            <v>6.5</v>
          </cell>
          <cell r="CA320" t="str">
            <v>20-07-2009</v>
          </cell>
          <cell r="CB320" t="str">
            <v xml:space="preserve">BVMF        </v>
          </cell>
          <cell r="CC320" t="str">
            <v>ON      NM</v>
          </cell>
          <cell r="CD320" t="str">
            <v xml:space="preserve">OPCOES COMPRA  </v>
          </cell>
          <cell r="CE320" t="str">
            <v xml:space="preserve">Europeu        </v>
          </cell>
        </row>
        <row r="321">
          <cell r="AF321">
            <v>316</v>
          </cell>
          <cell r="AG321">
            <v>0.10018941598033893</v>
          </cell>
          <cell r="BY321" t="str">
            <v>BVMFO3</v>
          </cell>
          <cell r="BZ321">
            <v>5.5</v>
          </cell>
          <cell r="CA321" t="str">
            <v>16-03-2009</v>
          </cell>
          <cell r="CB321" t="str">
            <v xml:space="preserve">BVMF        </v>
          </cell>
          <cell r="CC321" t="str">
            <v>ON      NM</v>
          </cell>
          <cell r="CD321" t="str">
            <v xml:space="preserve">OPCOES VENDA   </v>
          </cell>
          <cell r="CE321" t="str">
            <v xml:space="preserve">Europeu        </v>
          </cell>
        </row>
        <row r="322">
          <cell r="AF322">
            <v>317</v>
          </cell>
          <cell r="AG322">
            <v>0.10019050442687494</v>
          </cell>
          <cell r="BY322" t="str">
            <v>BVMFO6</v>
          </cell>
          <cell r="BZ322">
            <v>6</v>
          </cell>
          <cell r="CA322" t="str">
            <v>16-03-2009</v>
          </cell>
          <cell r="CB322" t="str">
            <v xml:space="preserve">BVMF        </v>
          </cell>
          <cell r="CC322" t="str">
            <v>ON      NM</v>
          </cell>
          <cell r="CD322" t="str">
            <v xml:space="preserve">OPCOES VENDA   </v>
          </cell>
          <cell r="CE322" t="str">
            <v xml:space="preserve">Europeu        </v>
          </cell>
        </row>
        <row r="323">
          <cell r="AF323">
            <v>318</v>
          </cell>
          <cell r="AG323">
            <v>0.10019158602890199</v>
          </cell>
          <cell r="BY323" t="str">
            <v>BVMFO1</v>
          </cell>
          <cell r="BZ323">
            <v>6.3</v>
          </cell>
          <cell r="CA323" t="str">
            <v>16-03-2009</v>
          </cell>
          <cell r="CB323" t="str">
            <v xml:space="preserve">BVMF        </v>
          </cell>
          <cell r="CC323" t="str">
            <v>ON      NM</v>
          </cell>
          <cell r="CD323" t="str">
            <v xml:space="preserve">OPCOES VENDA   </v>
          </cell>
          <cell r="CE323" t="str">
            <v xml:space="preserve">Europeu        </v>
          </cell>
        </row>
        <row r="324">
          <cell r="AF324">
            <v>319</v>
          </cell>
          <cell r="AG324">
            <v>0.10019266085077883</v>
          </cell>
          <cell r="BY324" t="str">
            <v>BVMFO4</v>
          </cell>
          <cell r="BZ324">
            <v>6.5</v>
          </cell>
          <cell r="CA324" t="str">
            <v>16-03-2009</v>
          </cell>
          <cell r="CB324" t="str">
            <v xml:space="preserve">BVMF        </v>
          </cell>
          <cell r="CC324" t="str">
            <v>ON      NM</v>
          </cell>
          <cell r="CD324" t="str">
            <v xml:space="preserve">OPCOES VENDA   </v>
          </cell>
          <cell r="CE324" t="str">
            <v xml:space="preserve">Europeu        </v>
          </cell>
        </row>
        <row r="325">
          <cell r="AF325">
            <v>320</v>
          </cell>
          <cell r="AG325">
            <v>0.10019372895605905</v>
          </cell>
          <cell r="BY325" t="str">
            <v>BVMFO7</v>
          </cell>
          <cell r="BZ325">
            <v>7</v>
          </cell>
          <cell r="CA325" t="str">
            <v>16-03-2009</v>
          </cell>
          <cell r="CB325" t="str">
            <v xml:space="preserve">BVMF        </v>
          </cell>
          <cell r="CC325" t="str">
            <v>ON      NM</v>
          </cell>
          <cell r="CD325" t="str">
            <v xml:space="preserve">OPCOES VENDA   </v>
          </cell>
          <cell r="CE325" t="str">
            <v xml:space="preserve">Europeu        </v>
          </cell>
        </row>
        <row r="326">
          <cell r="AF326">
            <v>321</v>
          </cell>
          <cell r="AG326">
            <v>0.10019479040750467</v>
          </cell>
          <cell r="BY326" t="str">
            <v>BVMFO2</v>
          </cell>
          <cell r="BZ326">
            <v>7.5</v>
          </cell>
          <cell r="CA326" t="str">
            <v>16-03-2009</v>
          </cell>
          <cell r="CB326" t="str">
            <v xml:space="preserve">BVMF        </v>
          </cell>
          <cell r="CC326" t="str">
            <v>ON      NM</v>
          </cell>
          <cell r="CD326" t="str">
            <v xml:space="preserve">OPCOES VENDA   </v>
          </cell>
          <cell r="CE326" t="str">
            <v xml:space="preserve">Europeu        </v>
          </cell>
        </row>
        <row r="327">
          <cell r="AF327">
            <v>322</v>
          </cell>
          <cell r="AG327">
            <v>0.10019584526709879</v>
          </cell>
          <cell r="BY327" t="str">
            <v>BVMFO8</v>
          </cell>
          <cell r="BZ327">
            <v>8</v>
          </cell>
          <cell r="CA327" t="str">
            <v>16-03-2009</v>
          </cell>
          <cell r="CB327" t="str">
            <v xml:space="preserve">BVMF        </v>
          </cell>
          <cell r="CC327" t="str">
            <v>ON      NM</v>
          </cell>
          <cell r="CD327" t="str">
            <v xml:space="preserve">OPCOES VENDA   </v>
          </cell>
          <cell r="CE327" t="str">
            <v xml:space="preserve">Europeu        </v>
          </cell>
        </row>
        <row r="328">
          <cell r="AF328">
            <v>323</v>
          </cell>
          <cell r="AG328">
            <v>0.10019689359605688</v>
          </cell>
          <cell r="BY328" t="str">
            <v>BVMFP5</v>
          </cell>
          <cell r="BZ328">
            <v>5</v>
          </cell>
          <cell r="CA328" t="str">
            <v>20-04-2009</v>
          </cell>
          <cell r="CB328" t="str">
            <v xml:space="preserve">BVMF        </v>
          </cell>
          <cell r="CC328" t="str">
            <v>ON      NM</v>
          </cell>
          <cell r="CD328" t="str">
            <v xml:space="preserve">OPCOES VENDA   </v>
          </cell>
          <cell r="CE328" t="str">
            <v xml:space="preserve">Europeu        </v>
          </cell>
        </row>
        <row r="329">
          <cell r="AF329">
            <v>324</v>
          </cell>
          <cell r="AG329">
            <v>0.10019793545483813</v>
          </cell>
          <cell r="BY329" t="str">
            <v>BVMFP1</v>
          </cell>
          <cell r="BZ329">
            <v>5.5</v>
          </cell>
          <cell r="CA329" t="str">
            <v>20-04-2009</v>
          </cell>
          <cell r="CB329" t="str">
            <v xml:space="preserve">BVMF        </v>
          </cell>
          <cell r="CC329" t="str">
            <v>ON      NM</v>
          </cell>
          <cell r="CD329" t="str">
            <v xml:space="preserve">OPCOES VENDA   </v>
          </cell>
          <cell r="CE329" t="str">
            <v xml:space="preserve">Europeu        </v>
          </cell>
        </row>
        <row r="330">
          <cell r="AF330">
            <v>325</v>
          </cell>
          <cell r="AG330">
            <v>0.10019897090315788</v>
          </cell>
          <cell r="BY330" t="str">
            <v>BVMFP6</v>
          </cell>
          <cell r="BZ330">
            <v>6</v>
          </cell>
          <cell r="CA330" t="str">
            <v>20-04-2009</v>
          </cell>
          <cell r="CB330" t="str">
            <v xml:space="preserve">BVMF        </v>
          </cell>
          <cell r="CC330" t="str">
            <v>ON      NM</v>
          </cell>
          <cell r="CD330" t="str">
            <v xml:space="preserve">OPCOES VENDA   </v>
          </cell>
          <cell r="CE330" t="str">
            <v xml:space="preserve">Europeu        </v>
          </cell>
        </row>
        <row r="331">
          <cell r="AF331">
            <v>326</v>
          </cell>
          <cell r="AG331">
            <v>0.10020000000000007</v>
          </cell>
          <cell r="BY331" t="str">
            <v>BVMFP2</v>
          </cell>
          <cell r="BZ331">
            <v>6.5</v>
          </cell>
          <cell r="CA331" t="str">
            <v>20-04-2009</v>
          </cell>
          <cell r="CB331" t="str">
            <v xml:space="preserve">BVMF        </v>
          </cell>
          <cell r="CC331" t="str">
            <v>ON      NM</v>
          </cell>
          <cell r="CD331" t="str">
            <v xml:space="preserve">OPCOES VENDA   </v>
          </cell>
          <cell r="CE331" t="str">
            <v xml:space="preserve">Europeu        </v>
          </cell>
        </row>
        <row r="332">
          <cell r="AF332">
            <v>327</v>
          </cell>
          <cell r="AG332">
            <v>0.10022179649103924</v>
          </cell>
          <cell r="BY332" t="str">
            <v>BVMFP7</v>
          </cell>
          <cell r="BZ332">
            <v>7</v>
          </cell>
          <cell r="CA332" t="str">
            <v>20-04-2009</v>
          </cell>
          <cell r="CB332" t="str">
            <v xml:space="preserve">BVMF        </v>
          </cell>
          <cell r="CC332" t="str">
            <v>ON      NM</v>
          </cell>
          <cell r="CD332" t="str">
            <v xml:space="preserve">OPCOES VENDA   </v>
          </cell>
          <cell r="CE332" t="str">
            <v xml:space="preserve">Europeu        </v>
          </cell>
        </row>
        <row r="333">
          <cell r="AF333">
            <v>328</v>
          </cell>
          <cell r="AG333">
            <v>0.10024346050452282</v>
          </cell>
          <cell r="BY333" t="str">
            <v>BVMFP3</v>
          </cell>
          <cell r="BZ333">
            <v>7.5</v>
          </cell>
          <cell r="CA333" t="str">
            <v>20-04-2009</v>
          </cell>
          <cell r="CB333" t="str">
            <v xml:space="preserve">BVMF        </v>
          </cell>
          <cell r="CC333" t="str">
            <v>ON      NM</v>
          </cell>
          <cell r="CD333" t="str">
            <v xml:space="preserve">OPCOES VENDA   </v>
          </cell>
          <cell r="CE333" t="str">
            <v xml:space="preserve">Europeu        </v>
          </cell>
        </row>
        <row r="334">
          <cell r="AF334">
            <v>329</v>
          </cell>
          <cell r="AG334">
            <v>0.1002649932445705</v>
          </cell>
          <cell r="BY334" t="str">
            <v>BVMFP8</v>
          </cell>
          <cell r="BZ334">
            <v>8</v>
          </cell>
          <cell r="CA334" t="str">
            <v>20-04-2009</v>
          </cell>
          <cell r="CB334" t="str">
            <v xml:space="preserve">BVMF        </v>
          </cell>
          <cell r="CC334" t="str">
            <v>ON      NM</v>
          </cell>
          <cell r="CD334" t="str">
            <v xml:space="preserve">OPCOES VENDA   </v>
          </cell>
          <cell r="CE334" t="str">
            <v xml:space="preserve">Europeu        </v>
          </cell>
        </row>
        <row r="335">
          <cell r="AF335">
            <v>330</v>
          </cell>
          <cell r="AG335">
            <v>0.10028639590075517</v>
          </cell>
          <cell r="BY335" t="str">
            <v>BVMFP9</v>
          </cell>
          <cell r="BZ335">
            <v>9</v>
          </cell>
          <cell r="CA335" t="str">
            <v>20-04-2009</v>
          </cell>
          <cell r="CB335" t="str">
            <v xml:space="preserve">BVMF        </v>
          </cell>
          <cell r="CC335" t="str">
            <v>ON      NM</v>
          </cell>
          <cell r="CD335" t="str">
            <v xml:space="preserve">OPCOES VENDA   </v>
          </cell>
          <cell r="CE335" t="str">
            <v xml:space="preserve">Europeu        </v>
          </cell>
        </row>
        <row r="336">
          <cell r="AF336">
            <v>331</v>
          </cell>
          <cell r="AG336">
            <v>0.10030766964831894</v>
          </cell>
          <cell r="BY336" t="str">
            <v>BVMFQ1</v>
          </cell>
          <cell r="BZ336">
            <v>6.5</v>
          </cell>
          <cell r="CA336" t="str">
            <v>18-05-2009</v>
          </cell>
          <cell r="CB336" t="str">
            <v xml:space="preserve">BVMF        </v>
          </cell>
          <cell r="CC336" t="str">
            <v>ON      NM</v>
          </cell>
          <cell r="CD336" t="str">
            <v xml:space="preserve">OPCOES VENDA   </v>
          </cell>
          <cell r="CE336" t="str">
            <v xml:space="preserve">Europeu        </v>
          </cell>
        </row>
        <row r="337">
          <cell r="AF337">
            <v>332</v>
          </cell>
          <cell r="AG337">
            <v>0.10032881564838991</v>
          </cell>
          <cell r="BY337" t="str">
            <v>BVMFQ7</v>
          </cell>
          <cell r="BZ337">
            <v>7</v>
          </cell>
          <cell r="CA337" t="str">
            <v>18-05-2009</v>
          </cell>
          <cell r="CB337" t="str">
            <v xml:space="preserve">BVMF        </v>
          </cell>
          <cell r="CC337" t="str">
            <v>ON      NM</v>
          </cell>
          <cell r="CD337" t="str">
            <v xml:space="preserve">OPCOES VENDA   </v>
          </cell>
          <cell r="CE337" t="str">
            <v xml:space="preserve">Europeu        </v>
          </cell>
        </row>
        <row r="338">
          <cell r="AF338">
            <v>333</v>
          </cell>
          <cell r="AG338">
            <v>0.10034983504819284</v>
          </cell>
          <cell r="BY338" t="str">
            <v>BVMFQ2</v>
          </cell>
          <cell r="BZ338">
            <v>7.5</v>
          </cell>
          <cell r="CA338" t="str">
            <v>18-05-2009</v>
          </cell>
          <cell r="CB338" t="str">
            <v xml:space="preserve">BVMF        </v>
          </cell>
          <cell r="CC338" t="str">
            <v>ON      NM</v>
          </cell>
          <cell r="CD338" t="str">
            <v xml:space="preserve">OPCOES VENDA   </v>
          </cell>
          <cell r="CE338" t="str">
            <v xml:space="preserve">Europeu        </v>
          </cell>
        </row>
        <row r="339">
          <cell r="AF339">
            <v>334</v>
          </cell>
          <cell r="AG339">
            <v>0.10037072898125743</v>
          </cell>
          <cell r="BY339" t="str">
            <v>BVMFQ8</v>
          </cell>
          <cell r="BZ339">
            <v>8</v>
          </cell>
          <cell r="CA339" t="str">
            <v>18-05-2009</v>
          </cell>
          <cell r="CB339" t="str">
            <v xml:space="preserve">BVMF        </v>
          </cell>
          <cell r="CC339" t="str">
            <v>ON      NM</v>
          </cell>
          <cell r="CD339" t="str">
            <v xml:space="preserve">OPCOES VENDA   </v>
          </cell>
          <cell r="CE339" t="str">
            <v xml:space="preserve">Europeu        </v>
          </cell>
        </row>
        <row r="340">
          <cell r="AF340">
            <v>335</v>
          </cell>
          <cell r="AG340">
            <v>0.1003914985676202</v>
          </cell>
          <cell r="BY340" t="str">
            <v>BVMFS4</v>
          </cell>
          <cell r="BZ340">
            <v>4</v>
          </cell>
          <cell r="CA340" t="str">
            <v>20-07-2009</v>
          </cell>
          <cell r="CB340" t="str">
            <v xml:space="preserve">BVMF        </v>
          </cell>
          <cell r="CC340" t="str">
            <v>ON      NM</v>
          </cell>
          <cell r="CD340" t="str">
            <v xml:space="preserve">OPCOES VENDA   </v>
          </cell>
          <cell r="CE340" t="str">
            <v xml:space="preserve">Europeu        </v>
          </cell>
        </row>
        <row r="341">
          <cell r="AF341">
            <v>336</v>
          </cell>
          <cell r="AG341">
            <v>0.10041214491402695</v>
          </cell>
          <cell r="BY341" t="str">
            <v>BVMFS5</v>
          </cell>
          <cell r="BZ341">
            <v>5</v>
          </cell>
          <cell r="CA341" t="str">
            <v>20-07-2009</v>
          </cell>
          <cell r="CB341" t="str">
            <v xml:space="preserve">BVMF        </v>
          </cell>
          <cell r="CC341" t="str">
            <v>ON      NM</v>
          </cell>
          <cell r="CD341" t="str">
            <v xml:space="preserve">OPCOES VENDA   </v>
          </cell>
          <cell r="CE341" t="str">
            <v xml:space="preserve">Europeu        </v>
          </cell>
        </row>
        <row r="342">
          <cell r="AF342">
            <v>337</v>
          </cell>
          <cell r="AG342">
            <v>0.10043266911412818</v>
          </cell>
          <cell r="BY342" t="str">
            <v>BVMFS1</v>
          </cell>
          <cell r="BZ342">
            <v>6.5</v>
          </cell>
          <cell r="CA342" t="str">
            <v>20-07-2009</v>
          </cell>
          <cell r="CB342" t="str">
            <v xml:space="preserve">BVMF        </v>
          </cell>
          <cell r="CC342" t="str">
            <v>ON      NM</v>
          </cell>
          <cell r="CD342" t="str">
            <v xml:space="preserve">OPCOES VENDA   </v>
          </cell>
          <cell r="CE342" t="str">
            <v xml:space="preserve">Europeu        </v>
          </cell>
        </row>
        <row r="343">
          <cell r="AF343">
            <v>338</v>
          </cell>
          <cell r="AG343">
            <v>0.10045307224867206</v>
          </cell>
          <cell r="BY343" t="str">
            <v>CCIMF1</v>
          </cell>
          <cell r="BZ343">
            <v>10</v>
          </cell>
          <cell r="CA343" t="str">
            <v>15-06-2009</v>
          </cell>
          <cell r="CB343" t="str">
            <v xml:space="preserve">CCIM        </v>
          </cell>
          <cell r="CC343" t="str">
            <v>ON      NM</v>
          </cell>
          <cell r="CD343" t="str">
            <v xml:space="preserve">OPCOES COMPRA  </v>
          </cell>
          <cell r="CE343" t="str">
            <v xml:space="preserve">Americano      </v>
          </cell>
        </row>
        <row r="344">
          <cell r="AF344">
            <v>339</v>
          </cell>
          <cell r="AG344">
            <v>0.10047335538569402</v>
          </cell>
          <cell r="BY344" t="str">
            <v>CCIMR1</v>
          </cell>
          <cell r="BZ344">
            <v>10</v>
          </cell>
          <cell r="CA344" t="str">
            <v>15-06-2009</v>
          </cell>
          <cell r="CB344" t="str">
            <v xml:space="preserve">CCIM        </v>
          </cell>
          <cell r="CC344" t="str">
            <v>ON      NM</v>
          </cell>
          <cell r="CD344" t="str">
            <v xml:space="preserve">OPCOES VENDA   </v>
          </cell>
          <cell r="CE344" t="str">
            <v xml:space="preserve">Europeu        </v>
          </cell>
        </row>
        <row r="345">
          <cell r="AF345">
            <v>340</v>
          </cell>
          <cell r="AG345">
            <v>0.10049351958070463</v>
          </cell>
          <cell r="BY345" t="str">
            <v>CCPRF1</v>
          </cell>
          <cell r="BZ345">
            <v>12</v>
          </cell>
          <cell r="CA345" t="str">
            <v>15-06-2009</v>
          </cell>
          <cell r="CB345" t="str">
            <v xml:space="preserve">CCPR        </v>
          </cell>
          <cell r="CC345" t="str">
            <v>ON      NM</v>
          </cell>
          <cell r="CD345" t="str">
            <v xml:space="preserve">OPCOES COMPRA  </v>
          </cell>
          <cell r="CE345" t="str">
            <v xml:space="preserve">Americano      </v>
          </cell>
        </row>
        <row r="346">
          <cell r="AF346">
            <v>341</v>
          </cell>
          <cell r="AG346">
            <v>0.10051356587686988</v>
          </cell>
          <cell r="BY346" t="str">
            <v>CCPRR1</v>
          </cell>
          <cell r="BZ346">
            <v>12</v>
          </cell>
          <cell r="CA346" t="str">
            <v>15-06-2009</v>
          </cell>
          <cell r="CB346" t="str">
            <v xml:space="preserve">CCPR        </v>
          </cell>
          <cell r="CC346" t="str">
            <v>ON      NM</v>
          </cell>
          <cell r="CD346" t="str">
            <v xml:space="preserve">OPCOES VENDA   </v>
          </cell>
          <cell r="CE346" t="str">
            <v xml:space="preserve">Europeu        </v>
          </cell>
        </row>
        <row r="347">
          <cell r="AF347">
            <v>342</v>
          </cell>
          <cell r="AG347">
            <v>0.1005334953051944</v>
          </cell>
          <cell r="BY347" t="str">
            <v>CPFEC29</v>
          </cell>
          <cell r="BZ347">
            <v>29</v>
          </cell>
          <cell r="CA347" t="str">
            <v>16-03-2009</v>
          </cell>
          <cell r="CB347" t="str">
            <v xml:space="preserve">CPFE    /ED </v>
          </cell>
          <cell r="CC347" t="str">
            <v>ON      NM</v>
          </cell>
          <cell r="CD347" t="str">
            <v xml:space="preserve">OPCOES COMPRA  </v>
          </cell>
          <cell r="CE347" t="str">
            <v xml:space="preserve">Europeu        </v>
          </cell>
        </row>
        <row r="348">
          <cell r="AF348">
            <v>343</v>
          </cell>
          <cell r="AG348">
            <v>0.10055330888469527</v>
          </cell>
          <cell r="BY348" t="str">
            <v>CPFEC30</v>
          </cell>
          <cell r="BZ348">
            <v>30</v>
          </cell>
          <cell r="CA348" t="str">
            <v>16-03-2009</v>
          </cell>
          <cell r="CB348" t="str">
            <v xml:space="preserve">CPFE    /ED </v>
          </cell>
          <cell r="CC348" t="str">
            <v>ON      NM</v>
          </cell>
          <cell r="CD348" t="str">
            <v xml:space="preserve">OPCOES COMPRA  </v>
          </cell>
          <cell r="CE348" t="str">
            <v xml:space="preserve">Americano      </v>
          </cell>
        </row>
        <row r="349">
          <cell r="AF349">
            <v>344</v>
          </cell>
          <cell r="AG349">
            <v>0.10057300762257793</v>
          </cell>
          <cell r="BY349" t="str">
            <v>CPFEC31</v>
          </cell>
          <cell r="BZ349">
            <v>31</v>
          </cell>
          <cell r="CA349" t="str">
            <v>16-03-2009</v>
          </cell>
          <cell r="CB349" t="str">
            <v xml:space="preserve">CPFE    /ED </v>
          </cell>
          <cell r="CC349" t="str">
            <v>ON      NM</v>
          </cell>
          <cell r="CD349" t="str">
            <v xml:space="preserve">OPCOES COMPRA  </v>
          </cell>
          <cell r="CE349" t="str">
            <v xml:space="preserve">Europeu        </v>
          </cell>
        </row>
        <row r="350">
          <cell r="AF350">
            <v>345</v>
          </cell>
          <cell r="AG350">
            <v>0.10059259251440489</v>
          </cell>
          <cell r="BY350" t="str">
            <v>CPFEC32</v>
          </cell>
          <cell r="BZ350">
            <v>32</v>
          </cell>
          <cell r="CA350" t="str">
            <v>16-03-2009</v>
          </cell>
          <cell r="CB350" t="str">
            <v xml:space="preserve">CPFE    /ED </v>
          </cell>
          <cell r="CC350" t="str">
            <v>ON      NM</v>
          </cell>
          <cell r="CD350" t="str">
            <v xml:space="preserve">OPCOES COMPRA  </v>
          </cell>
          <cell r="CE350" t="str">
            <v xml:space="preserve">Americano      </v>
          </cell>
        </row>
        <row r="351">
          <cell r="AF351">
            <v>346</v>
          </cell>
          <cell r="AG351">
            <v>0.10061206454426497</v>
          </cell>
          <cell r="BY351" t="str">
            <v>CPFED29</v>
          </cell>
          <cell r="BZ351">
            <v>29</v>
          </cell>
          <cell r="CA351" t="str">
            <v>20-04-2009</v>
          </cell>
          <cell r="CB351" t="str">
            <v xml:space="preserve">CPFE    /ED </v>
          </cell>
          <cell r="CC351" t="str">
            <v>ON      NM</v>
          </cell>
          <cell r="CD351" t="str">
            <v xml:space="preserve">OPCOES COMPRA  </v>
          </cell>
          <cell r="CE351" t="str">
            <v xml:space="preserve">Europeu        </v>
          </cell>
        </row>
        <row r="352">
          <cell r="AF352">
            <v>347</v>
          </cell>
          <cell r="AG352">
            <v>0.10063142468493846</v>
          </cell>
          <cell r="BY352" t="str">
            <v>CPFED30</v>
          </cell>
          <cell r="BZ352">
            <v>30</v>
          </cell>
          <cell r="CA352" t="str">
            <v>20-04-2009</v>
          </cell>
          <cell r="CB352" t="str">
            <v xml:space="preserve">CPFE    /ED </v>
          </cell>
          <cell r="CC352" t="str">
            <v>ON      NM</v>
          </cell>
          <cell r="CD352" t="str">
            <v xml:space="preserve">OPCOES COMPRA  </v>
          </cell>
          <cell r="CE352" t="str">
            <v xml:space="preserve">Americano      </v>
          </cell>
        </row>
        <row r="353">
          <cell r="AF353">
            <v>348</v>
          </cell>
          <cell r="AG353">
            <v>0.10065067389805638</v>
          </cell>
          <cell r="BY353" t="str">
            <v>CPFED31</v>
          </cell>
          <cell r="BZ353">
            <v>31</v>
          </cell>
          <cell r="CA353" t="str">
            <v>20-04-2009</v>
          </cell>
          <cell r="CB353" t="str">
            <v xml:space="preserve">CPFE    /ED </v>
          </cell>
          <cell r="CC353" t="str">
            <v>ON      NM</v>
          </cell>
          <cell r="CD353" t="str">
            <v xml:space="preserve">OPCOES COMPRA  </v>
          </cell>
          <cell r="CE353" t="str">
            <v xml:space="preserve">Europeu        </v>
          </cell>
        </row>
        <row r="354">
          <cell r="AF354">
            <v>349</v>
          </cell>
          <cell r="AG354">
            <v>0.1006698131342636</v>
          </cell>
          <cell r="BY354" t="str">
            <v>CPFED32</v>
          </cell>
          <cell r="BZ354">
            <v>32</v>
          </cell>
          <cell r="CA354" t="str">
            <v>20-04-2009</v>
          </cell>
          <cell r="CB354" t="str">
            <v xml:space="preserve">CPFE    /ED </v>
          </cell>
          <cell r="CC354" t="str">
            <v>ON      NM</v>
          </cell>
          <cell r="CD354" t="str">
            <v xml:space="preserve">OPCOES COMPRA  </v>
          </cell>
          <cell r="CE354" t="str">
            <v xml:space="preserve">Americano      </v>
          </cell>
        </row>
        <row r="355">
          <cell r="AF355">
            <v>350</v>
          </cell>
          <cell r="AG355">
            <v>0.10068884333337236</v>
          </cell>
          <cell r="BY355" t="str">
            <v>CPFEE28</v>
          </cell>
          <cell r="BZ355">
            <v>28</v>
          </cell>
          <cell r="CA355" t="str">
            <v>18-05-2009</v>
          </cell>
          <cell r="CB355" t="str">
            <v xml:space="preserve">CPFE    /ED </v>
          </cell>
          <cell r="CC355" t="str">
            <v>ON      NM</v>
          </cell>
          <cell r="CD355" t="str">
            <v xml:space="preserve">OPCOES COMPRA  </v>
          </cell>
          <cell r="CE355" t="str">
            <v xml:space="preserve">Americano      </v>
          </cell>
        </row>
        <row r="356">
          <cell r="AF356">
            <v>351</v>
          </cell>
          <cell r="AG356">
            <v>0.10070776542451632</v>
          </cell>
          <cell r="BY356" t="str">
            <v>CPFEE30</v>
          </cell>
          <cell r="BZ356">
            <v>30</v>
          </cell>
          <cell r="CA356" t="str">
            <v>18-05-2009</v>
          </cell>
          <cell r="CB356" t="str">
            <v xml:space="preserve">CPFE    /ED </v>
          </cell>
          <cell r="CC356" t="str">
            <v>ON      NM</v>
          </cell>
          <cell r="CD356" t="str">
            <v xml:space="preserve">OPCOES COMPRA  </v>
          </cell>
          <cell r="CE356" t="str">
            <v xml:space="preserve">Americano      </v>
          </cell>
        </row>
        <row r="357">
          <cell r="AF357">
            <v>352</v>
          </cell>
          <cell r="AG357">
            <v>0.10072658032630422</v>
          </cell>
          <cell r="BY357" t="str">
            <v>CPFEE32</v>
          </cell>
          <cell r="BZ357">
            <v>32</v>
          </cell>
          <cell r="CA357" t="str">
            <v>18-05-2009</v>
          </cell>
          <cell r="CB357" t="str">
            <v xml:space="preserve">CPFE    /ED </v>
          </cell>
          <cell r="CC357" t="str">
            <v>ON      NM</v>
          </cell>
          <cell r="CD357" t="str">
            <v xml:space="preserve">OPCOES COMPRA  </v>
          </cell>
          <cell r="CE357" t="str">
            <v xml:space="preserve">Americano      </v>
          </cell>
        </row>
        <row r="358">
          <cell r="AF358">
            <v>353</v>
          </cell>
          <cell r="AG358">
            <v>0.10074528894696533</v>
          </cell>
          <cell r="BY358" t="str">
            <v>CPFEE34</v>
          </cell>
          <cell r="BZ358">
            <v>34</v>
          </cell>
          <cell r="CA358" t="str">
            <v>18-05-2009</v>
          </cell>
          <cell r="CB358" t="str">
            <v xml:space="preserve">CPFE    /ED </v>
          </cell>
          <cell r="CC358" t="str">
            <v>ON      NM</v>
          </cell>
          <cell r="CD358" t="str">
            <v xml:space="preserve">OPCOES COMPRA  </v>
          </cell>
          <cell r="CE358" t="str">
            <v xml:space="preserve">Americano      </v>
          </cell>
        </row>
        <row r="359">
          <cell r="AF359">
            <v>354</v>
          </cell>
          <cell r="AG359">
            <v>0.10076389218449822</v>
          </cell>
          <cell r="BY359" t="str">
            <v>CPFEO29</v>
          </cell>
          <cell r="BZ359">
            <v>29</v>
          </cell>
          <cell r="CA359" t="str">
            <v>16-03-2009</v>
          </cell>
          <cell r="CB359" t="str">
            <v xml:space="preserve">CPFE    /ED </v>
          </cell>
          <cell r="CC359" t="str">
            <v>ON      NM</v>
          </cell>
          <cell r="CD359" t="str">
            <v xml:space="preserve">OPCOES VENDA   </v>
          </cell>
          <cell r="CE359" t="str">
            <v xml:space="preserve">Europeu        </v>
          </cell>
        </row>
        <row r="360">
          <cell r="AF360">
            <v>355</v>
          </cell>
          <cell r="AG360">
            <v>0.10078239092681285</v>
          </cell>
          <cell r="BY360" t="str">
            <v>CPFEO30</v>
          </cell>
          <cell r="BZ360">
            <v>30</v>
          </cell>
          <cell r="CA360" t="str">
            <v>16-03-2009</v>
          </cell>
          <cell r="CB360" t="str">
            <v xml:space="preserve">CPFE    /ED </v>
          </cell>
          <cell r="CC360" t="str">
            <v>ON      NM</v>
          </cell>
          <cell r="CD360" t="str">
            <v xml:space="preserve">OPCOES VENDA   </v>
          </cell>
          <cell r="CE360" t="str">
            <v xml:space="preserve">Europeu        </v>
          </cell>
        </row>
        <row r="361">
          <cell r="AF361">
            <v>356</v>
          </cell>
          <cell r="AG361">
            <v>0.10080078605187204</v>
          </cell>
          <cell r="BY361" t="str">
            <v>CPFEO31</v>
          </cell>
          <cell r="BZ361">
            <v>31</v>
          </cell>
          <cell r="CA361" t="str">
            <v>16-03-2009</v>
          </cell>
          <cell r="CB361" t="str">
            <v xml:space="preserve">CPFE    /ED </v>
          </cell>
          <cell r="CC361" t="str">
            <v>ON      NM</v>
          </cell>
          <cell r="CD361" t="str">
            <v xml:space="preserve">OPCOES VENDA   </v>
          </cell>
          <cell r="CE361" t="str">
            <v xml:space="preserve">Europeu        </v>
          </cell>
        </row>
        <row r="362">
          <cell r="AF362">
            <v>357</v>
          </cell>
          <cell r="AG362">
            <v>0.10081907842783111</v>
          </cell>
          <cell r="BY362" t="str">
            <v>CPFEO32</v>
          </cell>
          <cell r="BZ362">
            <v>32</v>
          </cell>
          <cell r="CA362" t="str">
            <v>16-03-2009</v>
          </cell>
          <cell r="CB362" t="str">
            <v xml:space="preserve">CPFE    /ED </v>
          </cell>
          <cell r="CC362" t="str">
            <v>ON      NM</v>
          </cell>
          <cell r="CD362" t="str">
            <v xml:space="preserve">OPCOES VENDA   </v>
          </cell>
          <cell r="CE362" t="str">
            <v xml:space="preserve">Europeu        </v>
          </cell>
        </row>
        <row r="363">
          <cell r="AF363">
            <v>358</v>
          </cell>
          <cell r="AG363">
            <v>0.10083726891317379</v>
          </cell>
          <cell r="BY363" t="str">
            <v>CPFEP29</v>
          </cell>
          <cell r="BZ363">
            <v>29</v>
          </cell>
          <cell r="CA363" t="str">
            <v>20-04-2009</v>
          </cell>
          <cell r="CB363" t="str">
            <v xml:space="preserve">CPFE    /ED </v>
          </cell>
          <cell r="CC363" t="str">
            <v>ON      NM</v>
          </cell>
          <cell r="CD363" t="str">
            <v xml:space="preserve">OPCOES VENDA   </v>
          </cell>
          <cell r="CE363" t="str">
            <v xml:space="preserve">Europeu        </v>
          </cell>
        </row>
        <row r="364">
          <cell r="AF364">
            <v>359</v>
          </cell>
          <cell r="AG364">
            <v>0.10085535835684656</v>
          </cell>
          <cell r="BY364" t="str">
            <v>CPFEP30</v>
          </cell>
          <cell r="BZ364">
            <v>30</v>
          </cell>
          <cell r="CA364" t="str">
            <v>20-04-2009</v>
          </cell>
          <cell r="CB364" t="str">
            <v xml:space="preserve">CPFE    /ED </v>
          </cell>
          <cell r="CC364" t="str">
            <v>ON      NM</v>
          </cell>
          <cell r="CD364" t="str">
            <v xml:space="preserve">OPCOES VENDA   </v>
          </cell>
          <cell r="CE364" t="str">
            <v xml:space="preserve">Europeu        </v>
          </cell>
        </row>
        <row r="365">
          <cell r="AF365">
            <v>360</v>
          </cell>
          <cell r="AG365">
            <v>0.10087334759839117</v>
          </cell>
          <cell r="BY365" t="str">
            <v>CPFEP31</v>
          </cell>
          <cell r="BZ365">
            <v>31</v>
          </cell>
          <cell r="CA365" t="str">
            <v>20-04-2009</v>
          </cell>
          <cell r="CB365" t="str">
            <v xml:space="preserve">CPFE    /ED </v>
          </cell>
          <cell r="CC365" t="str">
            <v>ON      NM</v>
          </cell>
          <cell r="CD365" t="str">
            <v xml:space="preserve">OPCOES VENDA   </v>
          </cell>
          <cell r="CE365" t="str">
            <v xml:space="preserve">Europeu        </v>
          </cell>
        </row>
        <row r="366">
          <cell r="AF366">
            <v>361</v>
          </cell>
          <cell r="AG366">
            <v>0.10089123746807416</v>
          </cell>
          <cell r="BY366" t="str">
            <v>CPFEP32</v>
          </cell>
          <cell r="BZ366">
            <v>32</v>
          </cell>
          <cell r="CA366" t="str">
            <v>20-04-2009</v>
          </cell>
          <cell r="CB366" t="str">
            <v xml:space="preserve">CPFE    /ED </v>
          </cell>
          <cell r="CC366" t="str">
            <v>ON      NM</v>
          </cell>
          <cell r="CD366" t="str">
            <v xml:space="preserve">OPCOES VENDA   </v>
          </cell>
          <cell r="CE366" t="str">
            <v xml:space="preserve">Europeu        </v>
          </cell>
        </row>
        <row r="367">
          <cell r="AF367">
            <v>362</v>
          </cell>
          <cell r="AG367">
            <v>0.10090902878701491</v>
          </cell>
          <cell r="BY367" t="str">
            <v>CPFEQ28</v>
          </cell>
          <cell r="BZ367">
            <v>28</v>
          </cell>
          <cell r="CA367" t="str">
            <v>18-05-2009</v>
          </cell>
          <cell r="CB367" t="str">
            <v xml:space="preserve">CPFE    /ED </v>
          </cell>
          <cell r="CC367" t="str">
            <v>ON      NM</v>
          </cell>
          <cell r="CD367" t="str">
            <v xml:space="preserve">OPCOES VENDA   </v>
          </cell>
          <cell r="CE367" t="str">
            <v xml:space="preserve">Europeu        </v>
          </cell>
        </row>
        <row r="368">
          <cell r="AF368">
            <v>363</v>
          </cell>
          <cell r="AG368">
            <v>0.10092672236731026</v>
          </cell>
          <cell r="BY368" t="str">
            <v>CPFEQ30</v>
          </cell>
          <cell r="BZ368">
            <v>30</v>
          </cell>
          <cell r="CA368" t="str">
            <v>18-05-2009</v>
          </cell>
          <cell r="CB368" t="str">
            <v xml:space="preserve">CPFE    /ED </v>
          </cell>
          <cell r="CC368" t="str">
            <v>ON      NM</v>
          </cell>
          <cell r="CD368" t="str">
            <v xml:space="preserve">OPCOES VENDA   </v>
          </cell>
          <cell r="CE368" t="str">
            <v xml:space="preserve">Europeu        </v>
          </cell>
        </row>
        <row r="369">
          <cell r="AF369">
            <v>364</v>
          </cell>
          <cell r="AG369">
            <v>0.10094431901215972</v>
          </cell>
          <cell r="BY369" t="str">
            <v>CPFEQ32</v>
          </cell>
          <cell r="BZ369">
            <v>32</v>
          </cell>
          <cell r="CA369" t="str">
            <v>18-05-2009</v>
          </cell>
          <cell r="CB369" t="str">
            <v xml:space="preserve">CPFE    /ED </v>
          </cell>
          <cell r="CC369" t="str">
            <v>ON      NM</v>
          </cell>
          <cell r="CD369" t="str">
            <v xml:space="preserve">OPCOES VENDA   </v>
          </cell>
          <cell r="CE369" t="str">
            <v xml:space="preserve">Europeu        </v>
          </cell>
        </row>
        <row r="370">
          <cell r="AF370">
            <v>365</v>
          </cell>
          <cell r="AG370">
            <v>0.10096181951598582</v>
          </cell>
          <cell r="BY370" t="str">
            <v>CPFEQ34</v>
          </cell>
          <cell r="BZ370">
            <v>34</v>
          </cell>
          <cell r="CA370" t="str">
            <v>18-05-2009</v>
          </cell>
          <cell r="CB370" t="str">
            <v xml:space="preserve">CPFE    /ED </v>
          </cell>
          <cell r="CC370" t="str">
            <v>ON      NM</v>
          </cell>
          <cell r="CD370" t="str">
            <v xml:space="preserve">OPCOES VENDA   </v>
          </cell>
          <cell r="CE370" t="str">
            <v xml:space="preserve">Europeu        </v>
          </cell>
        </row>
        <row r="371">
          <cell r="AF371">
            <v>366</v>
          </cell>
          <cell r="AG371">
            <v>0.10097922466455334</v>
          </cell>
          <cell r="BY371" t="str">
            <v>CSAND9</v>
          </cell>
          <cell r="BZ371">
            <v>9</v>
          </cell>
          <cell r="CA371" t="str">
            <v>20-04-2009</v>
          </cell>
          <cell r="CB371" t="str">
            <v xml:space="preserve">CSAN        </v>
          </cell>
          <cell r="CC371" t="str">
            <v>ON      NM</v>
          </cell>
          <cell r="CD371" t="str">
            <v xml:space="preserve">OPCOES COMPRA  </v>
          </cell>
          <cell r="CE371" t="str">
            <v xml:space="preserve">Americano      </v>
          </cell>
        </row>
        <row r="372">
          <cell r="AF372">
            <v>367</v>
          </cell>
          <cell r="AG372">
            <v>0.10099653523508856</v>
          </cell>
          <cell r="BY372" t="str">
            <v>CSAND1</v>
          </cell>
          <cell r="BZ372">
            <v>9.5</v>
          </cell>
          <cell r="CA372" t="str">
            <v>20-04-2009</v>
          </cell>
          <cell r="CB372" t="str">
            <v xml:space="preserve">CSAN        </v>
          </cell>
          <cell r="CC372" t="str">
            <v>ON      NM</v>
          </cell>
          <cell r="CD372" t="str">
            <v xml:space="preserve">OPCOES COMPRA  </v>
          </cell>
          <cell r="CE372" t="str">
            <v xml:space="preserve">Europeu        </v>
          </cell>
        </row>
        <row r="373">
          <cell r="AF373">
            <v>368</v>
          </cell>
          <cell r="AG373">
            <v>0.10101375199639384</v>
          </cell>
          <cell r="BY373" t="str">
            <v>CSAND10</v>
          </cell>
          <cell r="BZ373">
            <v>10</v>
          </cell>
          <cell r="CA373" t="str">
            <v>20-04-2009</v>
          </cell>
          <cell r="CB373" t="str">
            <v xml:space="preserve">CSAN        </v>
          </cell>
          <cell r="CC373" t="str">
            <v>ON      NM</v>
          </cell>
          <cell r="CD373" t="str">
            <v xml:space="preserve">OPCOES COMPRA  </v>
          </cell>
          <cell r="CE373" t="str">
            <v xml:space="preserve">Americano      </v>
          </cell>
        </row>
        <row r="374">
          <cell r="AF374">
            <v>369</v>
          </cell>
          <cell r="AG374">
            <v>0.10103087570896041</v>
          </cell>
          <cell r="BY374" t="str">
            <v>CSAND2</v>
          </cell>
          <cell r="BZ374">
            <v>10.5</v>
          </cell>
          <cell r="CA374" t="str">
            <v>20-04-2009</v>
          </cell>
          <cell r="CB374" t="str">
            <v xml:space="preserve">CSAN        </v>
          </cell>
          <cell r="CC374" t="str">
            <v>ON      NM</v>
          </cell>
          <cell r="CD374" t="str">
            <v xml:space="preserve">OPCOES COMPRA  </v>
          </cell>
          <cell r="CE374" t="str">
            <v xml:space="preserve">Europeu        </v>
          </cell>
        </row>
        <row r="375">
          <cell r="AF375">
            <v>370</v>
          </cell>
          <cell r="AG375">
            <v>0.10104790712508271</v>
          </cell>
          <cell r="BY375" t="str">
            <v>CSANP9</v>
          </cell>
          <cell r="BZ375">
            <v>9</v>
          </cell>
          <cell r="CA375" t="str">
            <v>20-04-2009</v>
          </cell>
          <cell r="CB375" t="str">
            <v xml:space="preserve">CSAN        </v>
          </cell>
          <cell r="CC375" t="str">
            <v>ON      NM</v>
          </cell>
          <cell r="CD375" t="str">
            <v xml:space="preserve">OPCOES VENDA   </v>
          </cell>
          <cell r="CE375" t="str">
            <v xml:space="preserve">Europeu        </v>
          </cell>
        </row>
        <row r="376">
          <cell r="AF376">
            <v>371</v>
          </cell>
          <cell r="AG376">
            <v>0.10106484698896656</v>
          </cell>
          <cell r="BY376" t="str">
            <v>CSANP1</v>
          </cell>
          <cell r="BZ376">
            <v>9.5</v>
          </cell>
          <cell r="CA376" t="str">
            <v>20-04-2009</v>
          </cell>
          <cell r="CB376" t="str">
            <v xml:space="preserve">CSAN        </v>
          </cell>
          <cell r="CC376" t="str">
            <v>ON      NM</v>
          </cell>
          <cell r="CD376" t="str">
            <v xml:space="preserve">OPCOES VENDA   </v>
          </cell>
          <cell r="CE376" t="str">
            <v xml:space="preserve">Europeu        </v>
          </cell>
        </row>
        <row r="377">
          <cell r="AF377">
            <v>372</v>
          </cell>
          <cell r="AG377">
            <v>0.10108169603683925</v>
          </cell>
          <cell r="BY377" t="str">
            <v>CSANP10</v>
          </cell>
          <cell r="BZ377">
            <v>10</v>
          </cell>
          <cell r="CA377" t="str">
            <v>20-04-2009</v>
          </cell>
          <cell r="CB377" t="str">
            <v xml:space="preserve">CSAN        </v>
          </cell>
          <cell r="CC377" t="str">
            <v>ON      NM</v>
          </cell>
          <cell r="CD377" t="str">
            <v xml:space="preserve">OPCOES VENDA   </v>
          </cell>
          <cell r="CE377" t="str">
            <v xml:space="preserve">Europeu        </v>
          </cell>
        </row>
        <row r="378">
          <cell r="AF378">
            <v>373</v>
          </cell>
          <cell r="AG378">
            <v>0.10109845499705394</v>
          </cell>
          <cell r="BY378" t="str">
            <v>CSANP2</v>
          </cell>
          <cell r="BZ378">
            <v>10.5</v>
          </cell>
          <cell r="CA378" t="str">
            <v>20-04-2009</v>
          </cell>
          <cell r="CB378" t="str">
            <v xml:space="preserve">CSAN        </v>
          </cell>
          <cell r="CC378" t="str">
            <v>ON      NM</v>
          </cell>
          <cell r="CD378" t="str">
            <v xml:space="preserve">OPCOES VENDA   </v>
          </cell>
          <cell r="CE378" t="str">
            <v xml:space="preserve">Europeu        </v>
          </cell>
        </row>
        <row r="379">
          <cell r="AF379">
            <v>374</v>
          </cell>
          <cell r="AG379">
            <v>0.10111512459019734</v>
          </cell>
          <cell r="BY379" t="str">
            <v>CYREF1</v>
          </cell>
          <cell r="BZ379">
            <v>22</v>
          </cell>
          <cell r="CA379" t="str">
            <v>15-06-2009</v>
          </cell>
          <cell r="CB379" t="str">
            <v xml:space="preserve">CYRE        </v>
          </cell>
          <cell r="CC379" t="str">
            <v>ON      NM</v>
          </cell>
          <cell r="CD379" t="str">
            <v xml:space="preserve">OPCOES COMPRA  </v>
          </cell>
          <cell r="CE379" t="str">
            <v xml:space="preserve">Americano      </v>
          </cell>
        </row>
        <row r="380">
          <cell r="AF380">
            <v>375</v>
          </cell>
          <cell r="AG380">
            <v>0.10113170552919049</v>
          </cell>
          <cell r="BY380" t="str">
            <v>CYRER1</v>
          </cell>
          <cell r="BZ380">
            <v>22</v>
          </cell>
          <cell r="CA380" t="str">
            <v>15-06-2009</v>
          </cell>
          <cell r="CB380" t="str">
            <v xml:space="preserve">CYRE        </v>
          </cell>
          <cell r="CC380" t="str">
            <v>ON      NM</v>
          </cell>
          <cell r="CD380" t="str">
            <v xml:space="preserve">OPCOES VENDA   </v>
          </cell>
          <cell r="CE380" t="str">
            <v xml:space="preserve">Europeu        </v>
          </cell>
        </row>
        <row r="381">
          <cell r="AF381">
            <v>376</v>
          </cell>
          <cell r="AG381">
            <v>0.10114819851939205</v>
          </cell>
          <cell r="BY381" t="str">
            <v>ECODF1</v>
          </cell>
          <cell r="BZ381">
            <v>4</v>
          </cell>
          <cell r="CA381" t="str">
            <v>15-06-2009</v>
          </cell>
          <cell r="CB381" t="str">
            <v xml:space="preserve">ECOD        </v>
          </cell>
          <cell r="CC381" t="str">
            <v>ON      NM</v>
          </cell>
          <cell r="CD381" t="str">
            <v xml:space="preserve">OPCOES COMPRA  </v>
          </cell>
          <cell r="CE381" t="str">
            <v xml:space="preserve">Americano      </v>
          </cell>
        </row>
        <row r="382">
          <cell r="AF382">
            <v>377</v>
          </cell>
          <cell r="AG382">
            <v>0.10116460425869755</v>
          </cell>
          <cell r="BY382" t="str">
            <v>ECODR1</v>
          </cell>
          <cell r="BZ382">
            <v>4</v>
          </cell>
          <cell r="CA382" t="str">
            <v>15-06-2009</v>
          </cell>
          <cell r="CB382" t="str">
            <v xml:space="preserve">ECOD        </v>
          </cell>
          <cell r="CC382" t="str">
            <v>ON      NM</v>
          </cell>
          <cell r="CD382" t="str">
            <v xml:space="preserve">OPCOES VENDA   </v>
          </cell>
          <cell r="CE382" t="str">
            <v xml:space="preserve">Europeu        </v>
          </cell>
        </row>
        <row r="383">
          <cell r="AF383">
            <v>378</v>
          </cell>
          <cell r="AG383">
            <v>0.10118092343763818</v>
          </cell>
          <cell r="BY383" t="str">
            <v>EMBRC9</v>
          </cell>
          <cell r="BZ383">
            <v>9</v>
          </cell>
          <cell r="CA383" t="str">
            <v>16-03-2009</v>
          </cell>
          <cell r="CB383" t="str">
            <v xml:space="preserve">EMBR        </v>
          </cell>
          <cell r="CC383" t="str">
            <v>ON      NM</v>
          </cell>
          <cell r="CD383" t="str">
            <v xml:space="preserve">OPCOES COMPRA  </v>
          </cell>
          <cell r="CE383" t="str">
            <v xml:space="preserve">Americano      </v>
          </cell>
        </row>
        <row r="384">
          <cell r="AF384">
            <v>379</v>
          </cell>
          <cell r="AG384">
            <v>0.10119715673947782</v>
          </cell>
          <cell r="BY384" t="str">
            <v>EMBRC10</v>
          </cell>
          <cell r="BZ384">
            <v>10</v>
          </cell>
          <cell r="CA384" t="str">
            <v>16-03-2009</v>
          </cell>
          <cell r="CB384" t="str">
            <v xml:space="preserve">EMBR        </v>
          </cell>
          <cell r="CC384" t="str">
            <v>ON      NM</v>
          </cell>
          <cell r="CD384" t="str">
            <v xml:space="preserve">OPCOES COMPRA  </v>
          </cell>
          <cell r="CE384" t="str">
            <v xml:space="preserve">Americano      </v>
          </cell>
        </row>
        <row r="385">
          <cell r="AF385">
            <v>380</v>
          </cell>
          <cell r="AG385">
            <v>0.10121330484030766</v>
          </cell>
          <cell r="BY385" t="str">
            <v>EMBRC11</v>
          </cell>
          <cell r="BZ385">
            <v>11</v>
          </cell>
          <cell r="CA385" t="str">
            <v>16-03-2009</v>
          </cell>
          <cell r="CB385" t="str">
            <v xml:space="preserve">EMBR        </v>
          </cell>
          <cell r="CC385" t="str">
            <v>ON      NM</v>
          </cell>
          <cell r="CD385" t="str">
            <v xml:space="preserve">OPCOES COMPRA  </v>
          </cell>
          <cell r="CE385" t="str">
            <v xml:space="preserve">Americano      </v>
          </cell>
        </row>
        <row r="386">
          <cell r="AF386">
            <v>381</v>
          </cell>
          <cell r="AG386">
            <v>0.10122936840914032</v>
          </cell>
          <cell r="BY386" t="str">
            <v>EMBRO9</v>
          </cell>
          <cell r="BZ386">
            <v>9</v>
          </cell>
          <cell r="CA386" t="str">
            <v>16-03-2009</v>
          </cell>
          <cell r="CB386" t="str">
            <v xml:space="preserve">EMBR        </v>
          </cell>
          <cell r="CC386" t="str">
            <v>ON      NM</v>
          </cell>
          <cell r="CD386" t="str">
            <v xml:space="preserve">OPCOES VENDA   </v>
          </cell>
          <cell r="CE386" t="str">
            <v xml:space="preserve">Europeu        </v>
          </cell>
        </row>
        <row r="387">
          <cell r="AF387">
            <v>382</v>
          </cell>
          <cell r="AG387">
            <v>0.1012453481080029</v>
          </cell>
          <cell r="BY387" t="str">
            <v>EMBRO10</v>
          </cell>
          <cell r="BZ387">
            <v>10</v>
          </cell>
          <cell r="CA387" t="str">
            <v>16-03-2009</v>
          </cell>
          <cell r="CB387" t="str">
            <v xml:space="preserve">EMBR        </v>
          </cell>
          <cell r="CC387" t="str">
            <v>ON      NM</v>
          </cell>
          <cell r="CD387" t="str">
            <v xml:space="preserve">OPCOES VENDA   </v>
          </cell>
          <cell r="CE387" t="str">
            <v xml:space="preserve">Europeu        </v>
          </cell>
        </row>
        <row r="388">
          <cell r="AF388">
            <v>383</v>
          </cell>
          <cell r="AG388">
            <v>0.10126124459202801</v>
          </cell>
          <cell r="BY388" t="str">
            <v>EMBRO11</v>
          </cell>
          <cell r="BZ388">
            <v>11</v>
          </cell>
          <cell r="CA388" t="str">
            <v>16-03-2009</v>
          </cell>
          <cell r="CB388" t="str">
            <v xml:space="preserve">EMBR        </v>
          </cell>
          <cell r="CC388" t="str">
            <v>ON      NM</v>
          </cell>
          <cell r="CD388" t="str">
            <v xml:space="preserve">OPCOES VENDA   </v>
          </cell>
          <cell r="CE388" t="str">
            <v xml:space="preserve">Europeu        </v>
          </cell>
        </row>
        <row r="389">
          <cell r="AF389">
            <v>384</v>
          </cell>
          <cell r="AG389">
            <v>0.10127705850954172</v>
          </cell>
          <cell r="BY389" t="str">
            <v>ENBRF1</v>
          </cell>
          <cell r="BZ389">
            <v>32</v>
          </cell>
          <cell r="CA389" t="str">
            <v>15-06-2009</v>
          </cell>
          <cell r="CB389" t="str">
            <v xml:space="preserve">ENBR        </v>
          </cell>
          <cell r="CC389" t="str">
            <v>ON      NM</v>
          </cell>
          <cell r="CD389" t="str">
            <v xml:space="preserve">OPCOES COMPRA  </v>
          </cell>
          <cell r="CE389" t="str">
            <v xml:space="preserve">Americano      </v>
          </cell>
        </row>
        <row r="390">
          <cell r="AF390">
            <v>385</v>
          </cell>
          <cell r="AG390">
            <v>0.10129279050215301</v>
          </cell>
          <cell r="BY390" t="str">
            <v>ENBRR1</v>
          </cell>
          <cell r="BZ390">
            <v>32</v>
          </cell>
          <cell r="CA390" t="str">
            <v>15-06-2009</v>
          </cell>
          <cell r="CB390" t="str">
            <v xml:space="preserve">ENBR        </v>
          </cell>
          <cell r="CC390" t="str">
            <v>ON      NM</v>
          </cell>
          <cell r="CD390" t="str">
            <v xml:space="preserve">OPCOES VENDA   </v>
          </cell>
          <cell r="CE390" t="str">
            <v xml:space="preserve">Europeu        </v>
          </cell>
        </row>
        <row r="391">
          <cell r="AF391">
            <v>386</v>
          </cell>
          <cell r="AG391">
            <v>0.10130844120484084</v>
          </cell>
          <cell r="BY391" t="str">
            <v>EQTLF1</v>
          </cell>
          <cell r="BZ391">
            <v>16</v>
          </cell>
          <cell r="CA391" t="str">
            <v>15-06-2009</v>
          </cell>
          <cell r="CB391" t="str">
            <v xml:space="preserve">EQTL        </v>
          </cell>
          <cell r="CC391" t="str">
            <v>ON      NM</v>
          </cell>
          <cell r="CD391" t="str">
            <v xml:space="preserve">OPCOES COMPRA  </v>
          </cell>
          <cell r="CE391" t="str">
            <v xml:space="preserve">Americano      </v>
          </cell>
        </row>
        <row r="392">
          <cell r="AF392">
            <v>387</v>
          </cell>
          <cell r="AG392">
            <v>0.10132401124603829</v>
          </cell>
          <cell r="BY392" t="str">
            <v>EQTLR1</v>
          </cell>
          <cell r="BZ392">
            <v>16</v>
          </cell>
          <cell r="CA392" t="str">
            <v>15-06-2009</v>
          </cell>
          <cell r="CB392" t="str">
            <v xml:space="preserve">EQTL        </v>
          </cell>
          <cell r="CC392" t="str">
            <v>ON      NM</v>
          </cell>
          <cell r="CD392" t="str">
            <v xml:space="preserve">OPCOES VENDA   </v>
          </cell>
          <cell r="CE392" t="str">
            <v xml:space="preserve">Europeu        </v>
          </cell>
        </row>
        <row r="393">
          <cell r="AF393">
            <v>388</v>
          </cell>
          <cell r="AG393">
            <v>0.10133950124771807</v>
          </cell>
          <cell r="BY393" t="str">
            <v>ETERF1</v>
          </cell>
          <cell r="BZ393">
            <v>5.96</v>
          </cell>
          <cell r="CA393" t="str">
            <v>15-06-2009</v>
          </cell>
          <cell r="CB393" t="str">
            <v xml:space="preserve">ETER    /ED </v>
          </cell>
          <cell r="CC393" t="str">
            <v>ON      NM</v>
          </cell>
          <cell r="CD393" t="str">
            <v xml:space="preserve">OPCOES COMPRA  </v>
          </cell>
          <cell r="CE393" t="str">
            <v xml:space="preserve">Americano      </v>
          </cell>
        </row>
        <row r="394">
          <cell r="AF394">
            <v>389</v>
          </cell>
          <cell r="AG394">
            <v>0.10135491182547418</v>
          </cell>
          <cell r="BY394" t="str">
            <v>ETERR1</v>
          </cell>
          <cell r="BZ394">
            <v>5.96</v>
          </cell>
          <cell r="CA394" t="str">
            <v>15-06-2009</v>
          </cell>
          <cell r="CB394" t="str">
            <v xml:space="preserve">ETER    /ED </v>
          </cell>
          <cell r="CC394" t="str">
            <v>ON      NM</v>
          </cell>
          <cell r="CD394" t="str">
            <v xml:space="preserve">OPCOES VENDA   </v>
          </cell>
          <cell r="CE394" t="str">
            <v xml:space="preserve">Europeu        </v>
          </cell>
        </row>
        <row r="395">
          <cell r="AF395">
            <v>390</v>
          </cell>
          <cell r="AG395">
            <v>0.10137024358860436</v>
          </cell>
          <cell r="BY395" t="str">
            <v>FHERF1</v>
          </cell>
          <cell r="BZ395">
            <v>24</v>
          </cell>
          <cell r="CA395" t="str">
            <v>15-06-2009</v>
          </cell>
          <cell r="CB395" t="str">
            <v xml:space="preserve">FHER        </v>
          </cell>
          <cell r="CC395" t="str">
            <v>ON      NM</v>
          </cell>
          <cell r="CD395" t="str">
            <v xml:space="preserve">OPCOES COMPRA  </v>
          </cell>
          <cell r="CE395" t="str">
            <v xml:space="preserve">Americano      </v>
          </cell>
        </row>
        <row r="396">
          <cell r="AF396">
            <v>391</v>
          </cell>
          <cell r="AG396">
            <v>0.10138549714018952</v>
          </cell>
          <cell r="BY396" t="str">
            <v>FHERR1</v>
          </cell>
          <cell r="BZ396">
            <v>24</v>
          </cell>
          <cell r="CA396" t="str">
            <v>15-06-2009</v>
          </cell>
          <cell r="CB396" t="str">
            <v xml:space="preserve">FHER        </v>
          </cell>
          <cell r="CC396" t="str">
            <v>ON      NM</v>
          </cell>
          <cell r="CD396" t="str">
            <v xml:space="preserve">OPCOES VENDA   </v>
          </cell>
          <cell r="CE396" t="str">
            <v xml:space="preserve">Europeu        </v>
          </cell>
        </row>
        <row r="397">
          <cell r="AF397">
            <v>392</v>
          </cell>
          <cell r="AG397">
            <v>0.10140067307717371</v>
          </cell>
          <cell r="BY397" t="str">
            <v>GFSAF1</v>
          </cell>
          <cell r="BZ397">
            <v>30</v>
          </cell>
          <cell r="CA397" t="str">
            <v>15-06-2009</v>
          </cell>
          <cell r="CB397" t="str">
            <v xml:space="preserve">GFSA        </v>
          </cell>
          <cell r="CC397" t="str">
            <v>ON      NM</v>
          </cell>
          <cell r="CD397" t="str">
            <v xml:space="preserve">OPCOES COMPRA  </v>
          </cell>
          <cell r="CE397" t="str">
            <v xml:space="preserve">Americano      </v>
          </cell>
        </row>
        <row r="398">
          <cell r="AF398">
            <v>393</v>
          </cell>
          <cell r="AG398">
            <v>0.10141577199044138</v>
          </cell>
          <cell r="BY398" t="str">
            <v>GFSAR1</v>
          </cell>
          <cell r="BZ398">
            <v>30</v>
          </cell>
          <cell r="CA398" t="str">
            <v>15-06-2009</v>
          </cell>
          <cell r="CB398" t="str">
            <v xml:space="preserve">GFSA        </v>
          </cell>
          <cell r="CC398" t="str">
            <v>ON      NM</v>
          </cell>
          <cell r="CD398" t="str">
            <v xml:space="preserve">OPCOES VENDA   </v>
          </cell>
          <cell r="CE398" t="str">
            <v xml:space="preserve">Europeu        </v>
          </cell>
        </row>
        <row r="399">
          <cell r="AF399">
            <v>394</v>
          </cell>
          <cell r="AG399">
            <v>0.10143079446489423</v>
          </cell>
          <cell r="BY399" t="str">
            <v>GVTTF1</v>
          </cell>
          <cell r="BZ399">
            <v>36</v>
          </cell>
          <cell r="CA399" t="str">
            <v>15-06-2009</v>
          </cell>
          <cell r="CB399" t="str">
            <v xml:space="preserve">GVTT        </v>
          </cell>
          <cell r="CC399" t="str">
            <v>ON      NM</v>
          </cell>
          <cell r="CD399" t="str">
            <v xml:space="preserve">OPCOES COMPRA  </v>
          </cell>
          <cell r="CE399" t="str">
            <v xml:space="preserve">Americano      </v>
          </cell>
        </row>
        <row r="400">
          <cell r="AF400">
            <v>395</v>
          </cell>
          <cell r="AG400">
            <v>0.10144574107952709</v>
          </cell>
          <cell r="BY400" t="str">
            <v>GVTTR1</v>
          </cell>
          <cell r="BZ400">
            <v>36</v>
          </cell>
          <cell r="CA400" t="str">
            <v>15-06-2009</v>
          </cell>
          <cell r="CB400" t="str">
            <v xml:space="preserve">GVTT        </v>
          </cell>
          <cell r="CC400" t="str">
            <v>ON      NM</v>
          </cell>
          <cell r="CD400" t="str">
            <v xml:space="preserve">OPCOES VENDA   </v>
          </cell>
          <cell r="CE400" t="str">
            <v xml:space="preserve">Europeu        </v>
          </cell>
        </row>
        <row r="401">
          <cell r="AF401">
            <v>396</v>
          </cell>
          <cell r="AG401">
            <v>0.10146061240750104</v>
          </cell>
          <cell r="BY401" t="str">
            <v>INPRF1</v>
          </cell>
          <cell r="BZ401">
            <v>8</v>
          </cell>
          <cell r="CA401" t="str">
            <v>15-06-2009</v>
          </cell>
          <cell r="CB401" t="str">
            <v xml:space="preserve">INPR        </v>
          </cell>
          <cell r="CC401" t="str">
            <v>ON      NM</v>
          </cell>
          <cell r="CD401" t="str">
            <v xml:space="preserve">OPCOES COMPRA  </v>
          </cell>
          <cell r="CE401" t="str">
            <v xml:space="preserve">Americano      </v>
          </cell>
        </row>
        <row r="402">
          <cell r="AF402">
            <v>397</v>
          </cell>
          <cell r="AG402">
            <v>0.10147540901621932</v>
          </cell>
          <cell r="BY402" t="str">
            <v>INPRR1</v>
          </cell>
          <cell r="BZ402">
            <v>8</v>
          </cell>
          <cell r="CA402" t="str">
            <v>15-06-2009</v>
          </cell>
          <cell r="CB402" t="str">
            <v xml:space="preserve">INPR        </v>
          </cell>
          <cell r="CC402" t="str">
            <v>ON      NM</v>
          </cell>
          <cell r="CD402" t="str">
            <v xml:space="preserve">OPCOES VENDA   </v>
          </cell>
          <cell r="CE402" t="str">
            <v xml:space="preserve">Europeu        </v>
          </cell>
        </row>
        <row r="403">
          <cell r="AF403">
            <v>398</v>
          </cell>
          <cell r="AG403">
            <v>0.10149013146739594</v>
          </cell>
          <cell r="BY403" t="str">
            <v>JBSSF1</v>
          </cell>
          <cell r="BZ403">
            <v>8</v>
          </cell>
          <cell r="CA403" t="str">
            <v>15-06-2009</v>
          </cell>
          <cell r="CB403" t="str">
            <v xml:space="preserve">JBSS        </v>
          </cell>
          <cell r="CC403" t="str">
            <v>ON      NM</v>
          </cell>
          <cell r="CD403" t="str">
            <v xml:space="preserve">OPCOES COMPRA  </v>
          </cell>
          <cell r="CE403" t="str">
            <v xml:space="preserve">Americano      </v>
          </cell>
        </row>
        <row r="404">
          <cell r="AF404">
            <v>399</v>
          </cell>
          <cell r="AG404">
            <v>0.10150478031712984</v>
          </cell>
          <cell r="BY404" t="str">
            <v>JBSSR1</v>
          </cell>
          <cell r="BZ404">
            <v>8</v>
          </cell>
          <cell r="CA404" t="str">
            <v>15-06-2009</v>
          </cell>
          <cell r="CB404" t="str">
            <v xml:space="preserve">JBSS        </v>
          </cell>
          <cell r="CC404" t="str">
            <v>ON      NM</v>
          </cell>
          <cell r="CD404" t="str">
            <v xml:space="preserve">OPCOES VENDA   </v>
          </cell>
          <cell r="CE404" t="str">
            <v xml:space="preserve">Europeu        </v>
          </cell>
        </row>
        <row r="405">
          <cell r="AF405">
            <v>400</v>
          </cell>
          <cell r="AG405">
            <v>0.10151935611597307</v>
          </cell>
          <cell r="BY405" t="str">
            <v>LIGTC22</v>
          </cell>
          <cell r="BZ405">
            <v>22</v>
          </cell>
          <cell r="CA405" t="str">
            <v>16-03-2009</v>
          </cell>
          <cell r="CB405" t="str">
            <v xml:space="preserve">LIGT        </v>
          </cell>
          <cell r="CC405" t="str">
            <v>ON      NM</v>
          </cell>
          <cell r="CD405" t="str">
            <v xml:space="preserve">OPCOES COMPRA  </v>
          </cell>
          <cell r="CE405" t="str">
            <v xml:space="preserve">Americano      </v>
          </cell>
        </row>
        <row r="406">
          <cell r="AF406">
            <v>401</v>
          </cell>
          <cell r="AG406">
            <v>0.10153385940900073</v>
          </cell>
          <cell r="BY406" t="str">
            <v>LIGTC25</v>
          </cell>
          <cell r="BZ406">
            <v>25</v>
          </cell>
          <cell r="CA406" t="str">
            <v>16-03-2009</v>
          </cell>
          <cell r="CB406" t="str">
            <v xml:space="preserve">LIGT        </v>
          </cell>
          <cell r="CC406" t="str">
            <v>ON      NM</v>
          </cell>
          <cell r="CD406" t="str">
            <v xml:space="preserve">OPCOES COMPRA  </v>
          </cell>
          <cell r="CE406" t="str">
            <v xml:space="preserve">Europeu        </v>
          </cell>
        </row>
        <row r="407">
          <cell r="AF407">
            <v>402</v>
          </cell>
          <cell r="AG407">
            <v>0.10154829073587845</v>
          </cell>
          <cell r="BY407" t="str">
            <v>LIGTO22</v>
          </cell>
          <cell r="BZ407">
            <v>22</v>
          </cell>
          <cell r="CA407" t="str">
            <v>16-03-2009</v>
          </cell>
          <cell r="CB407" t="str">
            <v xml:space="preserve">LIGT        </v>
          </cell>
          <cell r="CC407" t="str">
            <v>ON      NM</v>
          </cell>
          <cell r="CD407" t="str">
            <v xml:space="preserve">OPCOES VENDA   </v>
          </cell>
          <cell r="CE407" t="str">
            <v xml:space="preserve">Europeu        </v>
          </cell>
        </row>
        <row r="408">
          <cell r="AF408">
            <v>403</v>
          </cell>
          <cell r="AG408">
            <v>0.10156265063092951</v>
          </cell>
          <cell r="BY408" t="str">
            <v>LIGTO25</v>
          </cell>
          <cell r="BZ408">
            <v>25</v>
          </cell>
          <cell r="CA408" t="str">
            <v>16-03-2009</v>
          </cell>
          <cell r="CB408" t="str">
            <v xml:space="preserve">LIGT        </v>
          </cell>
          <cell r="CC408" t="str">
            <v>ON      NM</v>
          </cell>
          <cell r="CD408" t="str">
            <v xml:space="preserve">OPCOES VENDA   </v>
          </cell>
          <cell r="CE408" t="str">
            <v xml:space="preserve">Europeu        </v>
          </cell>
        </row>
        <row r="409">
          <cell r="AF409">
            <v>404</v>
          </cell>
          <cell r="AG409">
            <v>0.10157693962320047</v>
          </cell>
          <cell r="BY409" t="str">
            <v>LLXLF4</v>
          </cell>
          <cell r="BZ409">
            <v>4</v>
          </cell>
          <cell r="CA409" t="str">
            <v>15-06-2009</v>
          </cell>
          <cell r="CB409" t="str">
            <v xml:space="preserve">LLXL        </v>
          </cell>
          <cell r="CC409" t="str">
            <v>ON      NM</v>
          </cell>
          <cell r="CD409" t="str">
            <v xml:space="preserve">OPCOES COMPRA  </v>
          </cell>
          <cell r="CE409" t="str">
            <v xml:space="preserve">Americano      </v>
          </cell>
        </row>
        <row r="410">
          <cell r="AF410">
            <v>405</v>
          </cell>
          <cell r="AG410">
            <v>0.10159115823652631</v>
          </cell>
          <cell r="BY410" t="str">
            <v>LLXLR4</v>
          </cell>
          <cell r="BZ410">
            <v>4</v>
          </cell>
          <cell r="CA410" t="str">
            <v>15-06-2009</v>
          </cell>
          <cell r="CB410" t="str">
            <v xml:space="preserve">LLXL        </v>
          </cell>
          <cell r="CC410" t="str">
            <v>ON      NM</v>
          </cell>
          <cell r="CD410" t="str">
            <v xml:space="preserve">OPCOES VENDA   </v>
          </cell>
          <cell r="CE410" t="str">
            <v xml:space="preserve">Europeu        </v>
          </cell>
        </row>
        <row r="411">
          <cell r="AF411">
            <v>406</v>
          </cell>
          <cell r="AG411">
            <v>0.10160530698959502</v>
          </cell>
          <cell r="BY411" t="str">
            <v>LOGNF1</v>
          </cell>
          <cell r="BZ411">
            <v>12</v>
          </cell>
          <cell r="CA411" t="str">
            <v>15-06-2009</v>
          </cell>
          <cell r="CB411" t="str">
            <v xml:space="preserve">LOGN        </v>
          </cell>
          <cell r="CC411" t="str">
            <v>ON      NM</v>
          </cell>
          <cell r="CD411" t="str">
            <v xml:space="preserve">OPCOES COMPRA  </v>
          </cell>
          <cell r="CE411" t="str">
            <v xml:space="preserve">Americano      </v>
          </cell>
        </row>
        <row r="412">
          <cell r="AF412">
            <v>407</v>
          </cell>
          <cell r="AG412">
            <v>0.10161938639600998</v>
          </cell>
          <cell r="BY412" t="str">
            <v>LOGNR1</v>
          </cell>
          <cell r="BZ412">
            <v>12</v>
          </cell>
          <cell r="CA412" t="str">
            <v>15-06-2009</v>
          </cell>
          <cell r="CB412" t="str">
            <v xml:space="preserve">LOGN        </v>
          </cell>
          <cell r="CC412" t="str">
            <v>ON      NM</v>
          </cell>
          <cell r="CD412" t="str">
            <v xml:space="preserve">OPCOES VENDA   </v>
          </cell>
          <cell r="CE412" t="str">
            <v xml:space="preserve">Europeu        </v>
          </cell>
        </row>
        <row r="413">
          <cell r="AF413">
            <v>408</v>
          </cell>
          <cell r="AG413">
            <v>0.10163339696435192</v>
          </cell>
          <cell r="BY413" t="str">
            <v>LRENF1</v>
          </cell>
          <cell r="BZ413">
            <v>31.75</v>
          </cell>
          <cell r="CA413" t="str">
            <v>15-06-2009</v>
          </cell>
          <cell r="CB413" t="str">
            <v xml:space="preserve">LREN        </v>
          </cell>
          <cell r="CC413" t="str">
            <v>ON      NM</v>
          </cell>
          <cell r="CD413" t="str">
            <v xml:space="preserve">OPCOES COMPRA  </v>
          </cell>
          <cell r="CE413" t="str">
            <v xml:space="preserve">Americano      </v>
          </cell>
        </row>
        <row r="414">
          <cell r="AF414">
            <v>409</v>
          </cell>
          <cell r="AG414">
            <v>0.10164733919824109</v>
          </cell>
          <cell r="BY414" t="str">
            <v>LRENR1</v>
          </cell>
          <cell r="BZ414">
            <v>31.75</v>
          </cell>
          <cell r="CA414" t="str">
            <v>15-06-2009</v>
          </cell>
          <cell r="CB414" t="str">
            <v xml:space="preserve">LREN        </v>
          </cell>
          <cell r="CC414" t="str">
            <v>ON      NM</v>
          </cell>
          <cell r="CD414" t="str">
            <v xml:space="preserve">OPCOES VENDA   </v>
          </cell>
          <cell r="CE414" t="str">
            <v xml:space="preserve">Europeu        </v>
          </cell>
        </row>
        <row r="415">
          <cell r="AF415">
            <v>410</v>
          </cell>
          <cell r="AG415">
            <v>0.10166121359639635</v>
          </cell>
          <cell r="BY415" t="str">
            <v>LUPAF1</v>
          </cell>
          <cell r="BZ415">
            <v>60</v>
          </cell>
          <cell r="CA415" t="str">
            <v>15-06-2009</v>
          </cell>
          <cell r="CB415" t="str">
            <v xml:space="preserve">LUPA        </v>
          </cell>
          <cell r="CC415" t="str">
            <v>ON      NM</v>
          </cell>
          <cell r="CD415" t="str">
            <v xml:space="preserve">OPCOES COMPRA  </v>
          </cell>
          <cell r="CE415" t="str">
            <v xml:space="preserve">Americano      </v>
          </cell>
        </row>
        <row r="416">
          <cell r="AF416">
            <v>411</v>
          </cell>
          <cell r="AG416">
            <v>0.10167502065269618</v>
          </cell>
          <cell r="BY416" t="str">
            <v>LUPAR1</v>
          </cell>
          <cell r="BZ416">
            <v>60</v>
          </cell>
          <cell r="CA416" t="str">
            <v>15-06-2009</v>
          </cell>
          <cell r="CB416" t="str">
            <v xml:space="preserve">LUPA        </v>
          </cell>
          <cell r="CC416" t="str">
            <v>ON      NM</v>
          </cell>
          <cell r="CD416" t="str">
            <v xml:space="preserve">OPCOES VENDA   </v>
          </cell>
          <cell r="CE416" t="str">
            <v xml:space="preserve">Europeu        </v>
          </cell>
        </row>
        <row r="417">
          <cell r="AF417">
            <v>412</v>
          </cell>
          <cell r="AG417">
            <v>0.10168876085623602</v>
          </cell>
          <cell r="BY417" t="str">
            <v>MMXMF18</v>
          </cell>
          <cell r="BZ417">
            <v>18</v>
          </cell>
          <cell r="CA417" t="str">
            <v>15-06-2009</v>
          </cell>
          <cell r="CB417" t="str">
            <v xml:space="preserve">MMXM        </v>
          </cell>
          <cell r="CC417" t="str">
            <v>ON      NM</v>
          </cell>
          <cell r="CD417" t="str">
            <v xml:space="preserve">OPCOES COMPRA  </v>
          </cell>
          <cell r="CE417" t="str">
            <v xml:space="preserve">Americano      </v>
          </cell>
        </row>
        <row r="418">
          <cell r="AF418">
            <v>413</v>
          </cell>
          <cell r="AG418">
            <v>0.1017024346913864</v>
          </cell>
          <cell r="BY418" t="str">
            <v>MMXMR18</v>
          </cell>
          <cell r="BZ418">
            <v>18</v>
          </cell>
          <cell r="CA418" t="str">
            <v>15-06-2009</v>
          </cell>
          <cell r="CB418" t="str">
            <v xml:space="preserve">MMXM        </v>
          </cell>
          <cell r="CC418" t="str">
            <v>ON      NM</v>
          </cell>
          <cell r="CD418" t="str">
            <v xml:space="preserve">OPCOES VENDA   </v>
          </cell>
          <cell r="CE418" t="str">
            <v xml:space="preserve">Europeu        </v>
          </cell>
        </row>
        <row r="419">
          <cell r="AF419">
            <v>414</v>
          </cell>
          <cell r="AG419">
            <v>0.10171604263784984</v>
          </cell>
          <cell r="BY419" t="str">
            <v>MRVEF1</v>
          </cell>
          <cell r="BZ419">
            <v>36</v>
          </cell>
          <cell r="CA419" t="str">
            <v>15-06-2009</v>
          </cell>
          <cell r="CB419" t="str">
            <v xml:space="preserve">MRVE        </v>
          </cell>
          <cell r="CC419" t="str">
            <v>ON      NM</v>
          </cell>
          <cell r="CD419" t="str">
            <v xml:space="preserve">OPCOES COMPRA  </v>
          </cell>
          <cell r="CE419" t="str">
            <v xml:space="preserve">Americano      </v>
          </cell>
        </row>
        <row r="420">
          <cell r="AF420">
            <v>415</v>
          </cell>
          <cell r="AG420">
            <v>0.10172958517071717</v>
          </cell>
          <cell r="BY420" t="str">
            <v>MRVER1</v>
          </cell>
          <cell r="BZ420">
            <v>36</v>
          </cell>
          <cell r="CA420" t="str">
            <v>15-06-2009</v>
          </cell>
          <cell r="CB420" t="str">
            <v xml:space="preserve">MRVE        </v>
          </cell>
          <cell r="CC420" t="str">
            <v>ON      NM</v>
          </cell>
          <cell r="CD420" t="str">
            <v xml:space="preserve">OPCOES VENDA   </v>
          </cell>
          <cell r="CE420" t="str">
            <v xml:space="preserve">Europeu        </v>
          </cell>
        </row>
        <row r="421">
          <cell r="AF421">
            <v>416</v>
          </cell>
          <cell r="AG421">
            <v>0.10174306276052247</v>
          </cell>
          <cell r="BY421" t="str">
            <v>NATUC20</v>
          </cell>
          <cell r="BZ421">
            <v>20</v>
          </cell>
          <cell r="CA421" t="str">
            <v>16-03-2009</v>
          </cell>
          <cell r="CB421" t="str">
            <v>NATU    /EDJ</v>
          </cell>
          <cell r="CC421" t="str">
            <v>ON      NM</v>
          </cell>
          <cell r="CD421" t="str">
            <v xml:space="preserve">OPCOES COMPRA  </v>
          </cell>
          <cell r="CE421" t="str">
            <v xml:space="preserve">Americano      </v>
          </cell>
        </row>
        <row r="422">
          <cell r="AF422">
            <v>417</v>
          </cell>
          <cell r="AG422">
            <v>0.10175647587329806</v>
          </cell>
          <cell r="BY422" t="str">
            <v>NATUC22</v>
          </cell>
          <cell r="BZ422">
            <v>21.29</v>
          </cell>
          <cell r="CA422" t="str">
            <v>16-03-2009</v>
          </cell>
          <cell r="CB422" t="str">
            <v>NATU    /EDJ</v>
          </cell>
          <cell r="CC422" t="str">
            <v>ON      NM</v>
          </cell>
          <cell r="CD422" t="str">
            <v xml:space="preserve">OPCOES COMPRA  </v>
          </cell>
          <cell r="CE422" t="str">
            <v xml:space="preserve">Americano      </v>
          </cell>
        </row>
        <row r="423">
          <cell r="AF423">
            <v>418</v>
          </cell>
          <cell r="AG423">
            <v>0.10176982497062759</v>
          </cell>
          <cell r="BY423" t="str">
            <v>NATUC24</v>
          </cell>
          <cell r="BZ423">
            <v>24</v>
          </cell>
          <cell r="CA423" t="str">
            <v>16-03-2009</v>
          </cell>
          <cell r="CB423" t="str">
            <v>NATU    /EDJ</v>
          </cell>
          <cell r="CC423" t="str">
            <v>ON      NM</v>
          </cell>
          <cell r="CD423" t="str">
            <v xml:space="preserve">OPCOES COMPRA  </v>
          </cell>
          <cell r="CE423" t="str">
            <v xml:space="preserve">Americano      </v>
          </cell>
        </row>
        <row r="424">
          <cell r="AF424">
            <v>419</v>
          </cell>
          <cell r="AG424">
            <v>0.10178311050969979</v>
          </cell>
          <cell r="BY424" t="str">
            <v>NATUC26</v>
          </cell>
          <cell r="BZ424">
            <v>26</v>
          </cell>
          <cell r="CA424" t="str">
            <v>16-03-2009</v>
          </cell>
          <cell r="CB424" t="str">
            <v>NATU    /EDJ</v>
          </cell>
          <cell r="CC424" t="str">
            <v>ON      NM</v>
          </cell>
          <cell r="CD424" t="str">
            <v xml:space="preserve">OPCOES COMPRA  </v>
          </cell>
          <cell r="CE424" t="str">
            <v xml:space="preserve">Americano      </v>
          </cell>
        </row>
        <row r="425">
          <cell r="AF425">
            <v>420</v>
          </cell>
          <cell r="AG425">
            <v>0.1017963329433591</v>
          </cell>
          <cell r="BY425" t="str">
            <v>NATUD20</v>
          </cell>
          <cell r="BZ425">
            <v>20</v>
          </cell>
          <cell r="CA425" t="str">
            <v>20-04-2009</v>
          </cell>
          <cell r="CB425" t="str">
            <v>NATU    /EDJ</v>
          </cell>
          <cell r="CC425" t="str">
            <v>ON      NM</v>
          </cell>
          <cell r="CD425" t="str">
            <v xml:space="preserve">OPCOES COMPRA  </v>
          </cell>
          <cell r="CE425" t="str">
            <v xml:space="preserve">Americano      </v>
          </cell>
        </row>
        <row r="426">
          <cell r="AF426">
            <v>421</v>
          </cell>
          <cell r="AG426">
            <v>0.1018094927201596</v>
          </cell>
          <cell r="BY426" t="str">
            <v>NATUD22</v>
          </cell>
          <cell r="BZ426">
            <v>22</v>
          </cell>
          <cell r="CA426" t="str">
            <v>20-04-2009</v>
          </cell>
          <cell r="CB426" t="str">
            <v>NATU    /EDJ</v>
          </cell>
          <cell r="CC426" t="str">
            <v>ON      NM</v>
          </cell>
          <cell r="CD426" t="str">
            <v xml:space="preserve">OPCOES COMPRA  </v>
          </cell>
          <cell r="CE426" t="str">
            <v xml:space="preserve">Americano      </v>
          </cell>
        </row>
        <row r="427">
          <cell r="AF427">
            <v>422</v>
          </cell>
          <cell r="AG427">
            <v>0.10182259028441387</v>
          </cell>
          <cell r="BY427" t="str">
            <v>NATUD24</v>
          </cell>
          <cell r="BZ427">
            <v>24</v>
          </cell>
          <cell r="CA427" t="str">
            <v>20-04-2009</v>
          </cell>
          <cell r="CB427" t="str">
            <v>NATU    /EDJ</v>
          </cell>
          <cell r="CC427" t="str">
            <v>ON      NM</v>
          </cell>
          <cell r="CD427" t="str">
            <v xml:space="preserve">OPCOES COMPRA  </v>
          </cell>
          <cell r="CE427" t="str">
            <v xml:space="preserve">Americano      </v>
          </cell>
        </row>
        <row r="428">
          <cell r="AF428">
            <v>423</v>
          </cell>
          <cell r="AG428">
            <v>0.10183562607624252</v>
          </cell>
          <cell r="BY428" t="str">
            <v>NATUD26</v>
          </cell>
          <cell r="BZ428">
            <v>26</v>
          </cell>
          <cell r="CA428" t="str">
            <v>20-04-2009</v>
          </cell>
          <cell r="CB428" t="str">
            <v>NATU    /EDJ</v>
          </cell>
          <cell r="CC428" t="str">
            <v>ON      NM</v>
          </cell>
          <cell r="CD428" t="str">
            <v xml:space="preserve">OPCOES COMPRA  </v>
          </cell>
          <cell r="CE428" t="str">
            <v xml:space="preserve">Americano      </v>
          </cell>
        </row>
        <row r="429">
          <cell r="AF429">
            <v>424</v>
          </cell>
          <cell r="AG429">
            <v>0.1018486005316257</v>
          </cell>
          <cell r="BY429" t="str">
            <v>NATUO20</v>
          </cell>
          <cell r="BZ429">
            <v>20</v>
          </cell>
          <cell r="CA429" t="str">
            <v>16-03-2009</v>
          </cell>
          <cell r="CB429" t="str">
            <v>NATU    /EDJ</v>
          </cell>
          <cell r="CC429" t="str">
            <v>ON      NM</v>
          </cell>
          <cell r="CD429" t="str">
            <v xml:space="preserve">OPCOES VENDA   </v>
          </cell>
          <cell r="CE429" t="str">
            <v xml:space="preserve">Europeu        </v>
          </cell>
        </row>
        <row r="430">
          <cell r="AF430">
            <v>425</v>
          </cell>
          <cell r="AG430">
            <v>0.10186151408244948</v>
          </cell>
          <cell r="BY430" t="str">
            <v>NATUO22</v>
          </cell>
          <cell r="BZ430">
            <v>22</v>
          </cell>
          <cell r="CA430" t="str">
            <v>16-03-2009</v>
          </cell>
          <cell r="CB430" t="str">
            <v>NATU    /EDJ</v>
          </cell>
          <cell r="CC430" t="str">
            <v>ON      NM</v>
          </cell>
          <cell r="CD430" t="str">
            <v xml:space="preserve">OPCOES VENDA   </v>
          </cell>
          <cell r="CE430" t="str">
            <v xml:space="preserve">Europeu        </v>
          </cell>
        </row>
        <row r="431">
          <cell r="AF431">
            <v>426</v>
          </cell>
          <cell r="AG431">
            <v>0.10187436715655585</v>
          </cell>
          <cell r="BY431" t="str">
            <v>NATUO24</v>
          </cell>
          <cell r="BZ431">
            <v>24</v>
          </cell>
          <cell r="CA431" t="str">
            <v>16-03-2009</v>
          </cell>
          <cell r="CB431" t="str">
            <v>NATU    /EDJ</v>
          </cell>
          <cell r="CC431" t="str">
            <v>ON      NM</v>
          </cell>
          <cell r="CD431" t="str">
            <v xml:space="preserve">OPCOES VENDA   </v>
          </cell>
          <cell r="CE431" t="str">
            <v xml:space="preserve">Europeu        </v>
          </cell>
        </row>
        <row r="432">
          <cell r="AF432">
            <v>427</v>
          </cell>
          <cell r="AG432">
            <v>0.10188716017778709</v>
          </cell>
          <cell r="BY432" t="str">
            <v>NATUO26</v>
          </cell>
          <cell r="BZ432">
            <v>26</v>
          </cell>
          <cell r="CA432" t="str">
            <v>16-03-2009</v>
          </cell>
          <cell r="CB432" t="str">
            <v>NATU    /EDJ</v>
          </cell>
          <cell r="CC432" t="str">
            <v>ON      NM</v>
          </cell>
          <cell r="CD432" t="str">
            <v xml:space="preserve">OPCOES VENDA   </v>
          </cell>
          <cell r="CE432" t="str">
            <v xml:space="preserve">Europeu        </v>
          </cell>
        </row>
        <row r="433">
          <cell r="AF433">
            <v>428</v>
          </cell>
          <cell r="AG433">
            <v>0.10189989356603646</v>
          </cell>
          <cell r="BY433" t="str">
            <v>NATUP20</v>
          </cell>
          <cell r="BZ433">
            <v>20</v>
          </cell>
          <cell r="CA433" t="str">
            <v>20-04-2009</v>
          </cell>
          <cell r="CB433" t="str">
            <v>NATU    /EDJ</v>
          </cell>
          <cell r="CC433" t="str">
            <v>ON      NM</v>
          </cell>
          <cell r="CD433" t="str">
            <v xml:space="preserve">OPCOES VENDA   </v>
          </cell>
          <cell r="CE433" t="str">
            <v xml:space="preserve">Europeu        </v>
          </cell>
        </row>
        <row r="434">
          <cell r="AF434">
            <v>429</v>
          </cell>
          <cell r="AG434">
            <v>0.10191256773728918</v>
          </cell>
          <cell r="BY434" t="str">
            <v>NATUP22</v>
          </cell>
          <cell r="BZ434">
            <v>22</v>
          </cell>
          <cell r="CA434" t="str">
            <v>20-04-2009</v>
          </cell>
          <cell r="CB434" t="str">
            <v>NATU    /EDJ</v>
          </cell>
          <cell r="CC434" t="str">
            <v>ON      NM</v>
          </cell>
          <cell r="CD434" t="str">
            <v xml:space="preserve">OPCOES VENDA   </v>
          </cell>
          <cell r="CE434" t="str">
            <v xml:space="preserve">Europeu        </v>
          </cell>
        </row>
        <row r="435">
          <cell r="AF435">
            <v>430</v>
          </cell>
          <cell r="AG435">
            <v>0.10192518310367293</v>
          </cell>
          <cell r="BY435" t="str">
            <v>NATUP24</v>
          </cell>
          <cell r="BZ435">
            <v>24</v>
          </cell>
          <cell r="CA435" t="str">
            <v>20-04-2009</v>
          </cell>
          <cell r="CB435" t="str">
            <v>NATU    /EDJ</v>
          </cell>
          <cell r="CC435" t="str">
            <v>ON      NM</v>
          </cell>
          <cell r="CD435" t="str">
            <v xml:space="preserve">OPCOES VENDA   </v>
          </cell>
          <cell r="CE435" t="str">
            <v xml:space="preserve">Europeu        </v>
          </cell>
        </row>
        <row r="436">
          <cell r="AF436">
            <v>431</v>
          </cell>
          <cell r="AG436">
            <v>0.10193774007349776</v>
          </cell>
          <cell r="BY436" t="str">
            <v>NATUP26</v>
          </cell>
          <cell r="BZ436">
            <v>26</v>
          </cell>
          <cell r="CA436" t="str">
            <v>20-04-2009</v>
          </cell>
          <cell r="CB436" t="str">
            <v>NATU    /EDJ</v>
          </cell>
          <cell r="CC436" t="str">
            <v>ON      NM</v>
          </cell>
          <cell r="CD436" t="str">
            <v xml:space="preserve">OPCOES VENDA   </v>
          </cell>
          <cell r="CE436" t="str">
            <v xml:space="preserve">Europeu        </v>
          </cell>
        </row>
        <row r="437">
          <cell r="AF437">
            <v>432</v>
          </cell>
          <cell r="AG437">
            <v>0.10195023905130363</v>
          </cell>
          <cell r="BY437" t="str">
            <v>OGXPF1</v>
          </cell>
          <cell r="BZ437">
            <v>550</v>
          </cell>
          <cell r="CA437" t="str">
            <v>15-06-2009</v>
          </cell>
          <cell r="CB437" t="str">
            <v xml:space="preserve">OGXP        </v>
          </cell>
          <cell r="CC437" t="str">
            <v>ON      NM</v>
          </cell>
          <cell r="CD437" t="str">
            <v xml:space="preserve">OPCOES COMPRA  </v>
          </cell>
          <cell r="CE437" t="str">
            <v xml:space="preserve">Americano      </v>
          </cell>
        </row>
        <row r="438">
          <cell r="AF438">
            <v>433</v>
          </cell>
          <cell r="AG438">
            <v>0.10196268043790258</v>
          </cell>
          <cell r="BY438" t="str">
            <v>OGXPL1</v>
          </cell>
          <cell r="BZ438">
            <v>500</v>
          </cell>
          <cell r="CA438" t="str">
            <v>21-12-2009</v>
          </cell>
          <cell r="CB438" t="str">
            <v xml:space="preserve">OGXP        </v>
          </cell>
          <cell r="CC438" t="str">
            <v>ON      NM</v>
          </cell>
          <cell r="CD438" t="str">
            <v xml:space="preserve">OPCOES COMPRA  </v>
          </cell>
          <cell r="CE438" t="str">
            <v xml:space="preserve">Americano      </v>
          </cell>
        </row>
        <row r="439">
          <cell r="AF439">
            <v>434</v>
          </cell>
          <cell r="AG439">
            <v>0.10197506463042005</v>
          </cell>
          <cell r="BY439" t="str">
            <v>OGXPL2</v>
          </cell>
          <cell r="BZ439">
            <v>600</v>
          </cell>
          <cell r="CA439" t="str">
            <v>21-12-2009</v>
          </cell>
          <cell r="CB439" t="str">
            <v xml:space="preserve">OGXP        </v>
          </cell>
          <cell r="CC439" t="str">
            <v>ON      NM</v>
          </cell>
          <cell r="CD439" t="str">
            <v xml:space="preserve">OPCOES COMPRA  </v>
          </cell>
          <cell r="CE439" t="str">
            <v xml:space="preserve">Americano      </v>
          </cell>
        </row>
        <row r="440">
          <cell r="AF440">
            <v>435</v>
          </cell>
          <cell r="AG440">
            <v>0.10198739202234064</v>
          </cell>
          <cell r="BY440" t="str">
            <v>OGXPL3</v>
          </cell>
          <cell r="BZ440">
            <v>820</v>
          </cell>
          <cell r="CA440" t="str">
            <v>21-12-2009</v>
          </cell>
          <cell r="CB440" t="str">
            <v xml:space="preserve">OGXP        </v>
          </cell>
          <cell r="CC440" t="str">
            <v>ON      NM</v>
          </cell>
          <cell r="CD440" t="str">
            <v xml:space="preserve">OPCOES COMPRA  </v>
          </cell>
          <cell r="CE440" t="str">
            <v xml:space="preserve">Americano      </v>
          </cell>
        </row>
        <row r="441">
          <cell r="AF441">
            <v>436</v>
          </cell>
          <cell r="AG441">
            <v>0.10199966300354624</v>
          </cell>
          <cell r="BY441" t="str">
            <v>OGXPA4</v>
          </cell>
          <cell r="BZ441">
            <v>300</v>
          </cell>
          <cell r="CA441" t="str">
            <v>18-01-2010</v>
          </cell>
          <cell r="CB441" t="str">
            <v xml:space="preserve">OGXP        </v>
          </cell>
          <cell r="CC441" t="str">
            <v>ON      NM</v>
          </cell>
          <cell r="CD441" t="str">
            <v xml:space="preserve">OPCOES COMPRA  </v>
          </cell>
          <cell r="CE441" t="str">
            <v xml:space="preserve">Americano      </v>
          </cell>
        </row>
        <row r="442">
          <cell r="AF442">
            <v>437</v>
          </cell>
          <cell r="AG442">
            <v>0.10201187796035982</v>
          </cell>
          <cell r="BY442" t="str">
            <v>OGXPA7</v>
          </cell>
          <cell r="BZ442">
            <v>350</v>
          </cell>
          <cell r="CA442" t="str">
            <v>18-01-2010</v>
          </cell>
          <cell r="CB442" t="str">
            <v xml:space="preserve">OGXP        </v>
          </cell>
          <cell r="CC442" t="str">
            <v>ON      NM</v>
          </cell>
          <cell r="CD442" t="str">
            <v xml:space="preserve">OPCOES COMPRA  </v>
          </cell>
          <cell r="CE442" t="str">
            <v xml:space="preserve">Americano      </v>
          </cell>
        </row>
        <row r="443">
          <cell r="AF443">
            <v>438</v>
          </cell>
          <cell r="AG443">
            <v>0.1020240372755834</v>
          </cell>
          <cell r="BY443" t="str">
            <v>OGXPA5</v>
          </cell>
          <cell r="BZ443">
            <v>450</v>
          </cell>
          <cell r="CA443" t="str">
            <v>18-01-2010</v>
          </cell>
          <cell r="CB443" t="str">
            <v xml:space="preserve">OGXP        </v>
          </cell>
          <cell r="CC443" t="str">
            <v>ON      NM</v>
          </cell>
          <cell r="CD443" t="str">
            <v xml:space="preserve">OPCOES COMPRA  </v>
          </cell>
          <cell r="CE443" t="str">
            <v xml:space="preserve">Americano      </v>
          </cell>
        </row>
        <row r="444">
          <cell r="AF444">
            <v>439</v>
          </cell>
          <cell r="AG444">
            <v>0.10203614132854111</v>
          </cell>
          <cell r="BY444" t="str">
            <v>OGXPA1</v>
          </cell>
          <cell r="BZ444">
            <v>500</v>
          </cell>
          <cell r="CA444" t="str">
            <v>18-01-2010</v>
          </cell>
          <cell r="CB444" t="str">
            <v xml:space="preserve">OGXP        </v>
          </cell>
          <cell r="CC444" t="str">
            <v>ON      NM</v>
          </cell>
          <cell r="CD444" t="str">
            <v xml:space="preserve">OPCOES COMPRA  </v>
          </cell>
          <cell r="CE444" t="str">
            <v xml:space="preserve">Americano      </v>
          </cell>
        </row>
        <row r="445">
          <cell r="AF445">
            <v>440</v>
          </cell>
          <cell r="AG445">
            <v>0.1020481904951156</v>
          </cell>
          <cell r="BY445" t="str">
            <v>OGXPA2</v>
          </cell>
          <cell r="BZ445">
            <v>700</v>
          </cell>
          <cell r="CA445" t="str">
            <v>18-01-2010</v>
          </cell>
          <cell r="CB445" t="str">
            <v xml:space="preserve">OGXP        </v>
          </cell>
          <cell r="CC445" t="str">
            <v>ON      NM</v>
          </cell>
          <cell r="CD445" t="str">
            <v xml:space="preserve">OPCOES COMPRA  </v>
          </cell>
          <cell r="CE445" t="str">
            <v xml:space="preserve">Americano      </v>
          </cell>
        </row>
        <row r="446">
          <cell r="AF446">
            <v>441</v>
          </cell>
          <cell r="AG446">
            <v>0.10206018514778936</v>
          </cell>
          <cell r="BY446" t="str">
            <v>OGXPA6</v>
          </cell>
          <cell r="BZ446">
            <v>800</v>
          </cell>
          <cell r="CA446" t="str">
            <v>18-01-2010</v>
          </cell>
          <cell r="CB446" t="str">
            <v xml:space="preserve">OGXP        </v>
          </cell>
          <cell r="CC446" t="str">
            <v>ON      NM</v>
          </cell>
          <cell r="CD446" t="str">
            <v xml:space="preserve">OPCOES COMPRA  </v>
          </cell>
          <cell r="CE446" t="str">
            <v xml:space="preserve">Americano      </v>
          </cell>
        </row>
        <row r="447">
          <cell r="AF447">
            <v>442</v>
          </cell>
          <cell r="AG447">
            <v>0.10207212565568091</v>
          </cell>
          <cell r="BY447" t="str">
            <v>OGXPA8</v>
          </cell>
          <cell r="BZ447">
            <v>850</v>
          </cell>
          <cell r="CA447" t="str">
            <v>18-01-2010</v>
          </cell>
          <cell r="CB447" t="str">
            <v xml:space="preserve">OGXP        </v>
          </cell>
          <cell r="CC447" t="str">
            <v>ON      NM</v>
          </cell>
          <cell r="CD447" t="str">
            <v xml:space="preserve">OPCOES COMPRA  </v>
          </cell>
          <cell r="CE447" t="str">
            <v xml:space="preserve">Americano      </v>
          </cell>
        </row>
        <row r="448">
          <cell r="AF448">
            <v>443</v>
          </cell>
          <cell r="AG448">
            <v>0.10208401238458498</v>
          </cell>
          <cell r="BY448" t="str">
            <v>OGXPA3</v>
          </cell>
          <cell r="BZ448">
            <v>1200</v>
          </cell>
          <cell r="CA448" t="str">
            <v>18-01-2010</v>
          </cell>
          <cell r="CB448" t="str">
            <v xml:space="preserve">OGXP        </v>
          </cell>
          <cell r="CC448" t="str">
            <v>ON      NM</v>
          </cell>
          <cell r="CD448" t="str">
            <v xml:space="preserve">OPCOES COMPRA  </v>
          </cell>
          <cell r="CE448" t="str">
            <v xml:space="preserve">Americano      </v>
          </cell>
        </row>
        <row r="449">
          <cell r="AF449">
            <v>444</v>
          </cell>
          <cell r="AG449">
            <v>0.10209584569700803</v>
          </cell>
          <cell r="BY449" t="str">
            <v>OGXPR1</v>
          </cell>
          <cell r="BZ449">
            <v>550</v>
          </cell>
          <cell r="CA449" t="str">
            <v>15-06-2009</v>
          </cell>
          <cell r="CB449" t="str">
            <v xml:space="preserve">OGXP        </v>
          </cell>
          <cell r="CC449" t="str">
            <v>ON      NM</v>
          </cell>
          <cell r="CD449" t="str">
            <v xml:space="preserve">OPCOES VENDA   </v>
          </cell>
          <cell r="CE449" t="str">
            <v xml:space="preserve">Europeu        </v>
          </cell>
        </row>
        <row r="450">
          <cell r="AF450">
            <v>445</v>
          </cell>
          <cell r="AG450">
            <v>0.10210762595220557</v>
          </cell>
          <cell r="BY450" t="str">
            <v>OGXPX1</v>
          </cell>
          <cell r="BZ450">
            <v>500</v>
          </cell>
          <cell r="CA450" t="str">
            <v>21-12-2009</v>
          </cell>
          <cell r="CB450" t="str">
            <v xml:space="preserve">OGXP        </v>
          </cell>
          <cell r="CC450" t="str">
            <v>ON      NM</v>
          </cell>
          <cell r="CD450" t="str">
            <v xml:space="preserve">OPCOES VENDA   </v>
          </cell>
          <cell r="CE450" t="str">
            <v xml:space="preserve">Europeu        </v>
          </cell>
        </row>
        <row r="451">
          <cell r="AF451">
            <v>446</v>
          </cell>
          <cell r="AG451">
            <v>0.10211935350622015</v>
          </cell>
          <cell r="BY451" t="str">
            <v>OGXPX2</v>
          </cell>
          <cell r="BZ451">
            <v>600</v>
          </cell>
          <cell r="CA451" t="str">
            <v>21-12-2009</v>
          </cell>
          <cell r="CB451" t="str">
            <v xml:space="preserve">OGXP        </v>
          </cell>
          <cell r="CC451" t="str">
            <v>ON      NM</v>
          </cell>
          <cell r="CD451" t="str">
            <v xml:space="preserve">OPCOES VENDA   </v>
          </cell>
          <cell r="CE451" t="str">
            <v xml:space="preserve">Europeu        </v>
          </cell>
        </row>
        <row r="452">
          <cell r="AF452">
            <v>447</v>
          </cell>
          <cell r="AG452">
            <v>0.10213102871191393</v>
          </cell>
          <cell r="BY452" t="str">
            <v>OGXPX3</v>
          </cell>
          <cell r="BZ452">
            <v>820</v>
          </cell>
          <cell r="CA452" t="str">
            <v>21-12-2009</v>
          </cell>
          <cell r="CB452" t="str">
            <v xml:space="preserve">OGXP        </v>
          </cell>
          <cell r="CC452" t="str">
            <v>ON      NM</v>
          </cell>
          <cell r="CD452" t="str">
            <v xml:space="preserve">OPCOES VENDA   </v>
          </cell>
          <cell r="CE452" t="str">
            <v xml:space="preserve">Europeu        </v>
          </cell>
        </row>
        <row r="453">
          <cell r="AF453">
            <v>448</v>
          </cell>
          <cell r="AG453">
            <v>0.10214265191900695</v>
          </cell>
          <cell r="BY453" t="str">
            <v>OGXPM4</v>
          </cell>
          <cell r="BZ453">
            <v>300</v>
          </cell>
          <cell r="CA453" t="str">
            <v>18-01-2010</v>
          </cell>
          <cell r="CB453" t="str">
            <v xml:space="preserve">OGXP        </v>
          </cell>
          <cell r="CC453" t="str">
            <v>ON      NM</v>
          </cell>
          <cell r="CD453" t="str">
            <v xml:space="preserve">OPCOES VENDA   </v>
          </cell>
          <cell r="CE453" t="str">
            <v xml:space="preserve">Europeu        </v>
          </cell>
        </row>
        <row r="454">
          <cell r="AF454">
            <v>449</v>
          </cell>
          <cell r="AG454">
            <v>0.10215422347411107</v>
          </cell>
          <cell r="BY454" t="str">
            <v>OGXPM7</v>
          </cell>
          <cell r="BZ454">
            <v>350</v>
          </cell>
          <cell r="CA454" t="str">
            <v>18-01-2010</v>
          </cell>
          <cell r="CB454" t="str">
            <v xml:space="preserve">OGXP        </v>
          </cell>
          <cell r="CC454" t="str">
            <v>ON      NM</v>
          </cell>
          <cell r="CD454" t="str">
            <v xml:space="preserve">OPCOES VENDA   </v>
          </cell>
          <cell r="CE454" t="str">
            <v xml:space="preserve">Europeu        </v>
          </cell>
        </row>
        <row r="455">
          <cell r="AF455">
            <v>450</v>
          </cell>
          <cell r="AG455">
            <v>0.10216574372076415</v>
          </cell>
          <cell r="BY455" t="str">
            <v>OGXPM5</v>
          </cell>
          <cell r="BZ455">
            <v>450</v>
          </cell>
          <cell r="CA455" t="str">
            <v>18-01-2010</v>
          </cell>
          <cell r="CB455" t="str">
            <v xml:space="preserve">OGXP        </v>
          </cell>
          <cell r="CC455" t="str">
            <v>ON      NM</v>
          </cell>
          <cell r="CD455" t="str">
            <v xml:space="preserve">OPCOES VENDA   </v>
          </cell>
          <cell r="CE455" t="str">
            <v xml:space="preserve">Europeu        </v>
          </cell>
        </row>
        <row r="456">
          <cell r="AF456">
            <v>451</v>
          </cell>
          <cell r="AG456">
            <v>0.10217721299946403</v>
          </cell>
          <cell r="BY456" t="str">
            <v>OGXPM1</v>
          </cell>
          <cell r="BZ456">
            <v>500</v>
          </cell>
          <cell r="CA456" t="str">
            <v>18-01-2010</v>
          </cell>
          <cell r="CB456" t="str">
            <v xml:space="preserve">OGXP        </v>
          </cell>
          <cell r="CC456" t="str">
            <v>ON      NM</v>
          </cell>
          <cell r="CD456" t="str">
            <v xml:space="preserve">OPCOES VENDA   </v>
          </cell>
          <cell r="CE456" t="str">
            <v xml:space="preserve">Europeu        </v>
          </cell>
        </row>
        <row r="457">
          <cell r="AF457">
            <v>452</v>
          </cell>
          <cell r="AG457">
            <v>0.1021886316477032</v>
          </cell>
          <cell r="BY457" t="str">
            <v>OGXPM2</v>
          </cell>
          <cell r="BZ457">
            <v>700</v>
          </cell>
          <cell r="CA457" t="str">
            <v>18-01-2010</v>
          </cell>
          <cell r="CB457" t="str">
            <v xml:space="preserve">OGXP        </v>
          </cell>
          <cell r="CC457" t="str">
            <v>ON      NM</v>
          </cell>
          <cell r="CD457" t="str">
            <v xml:space="preserve">OPCOES VENDA   </v>
          </cell>
          <cell r="CE457" t="str">
            <v xml:space="preserve">Europeu        </v>
          </cell>
        </row>
        <row r="458">
          <cell r="AF458">
            <v>453</v>
          </cell>
          <cell r="AG458">
            <v>0.10220000000000007</v>
          </cell>
          <cell r="BY458" t="str">
            <v>OGXPM6</v>
          </cell>
          <cell r="BZ458">
            <v>800</v>
          </cell>
          <cell r="CA458" t="str">
            <v>18-01-2010</v>
          </cell>
          <cell r="CB458" t="str">
            <v xml:space="preserve">OGXP        </v>
          </cell>
          <cell r="CC458" t="str">
            <v>ON      NM</v>
          </cell>
          <cell r="CD458" t="str">
            <v xml:space="preserve">OPCOES VENDA   </v>
          </cell>
          <cell r="CE458" t="str">
            <v xml:space="preserve">Europeu        </v>
          </cell>
        </row>
        <row r="459">
          <cell r="AF459">
            <v>454</v>
          </cell>
          <cell r="AG459">
            <v>0.10223398856454846</v>
          </cell>
          <cell r="BY459" t="str">
            <v>OGXPM8</v>
          </cell>
          <cell r="BZ459">
            <v>850</v>
          </cell>
          <cell r="CA459" t="str">
            <v>18-01-2010</v>
          </cell>
          <cell r="CB459" t="str">
            <v xml:space="preserve">OGXP        </v>
          </cell>
          <cell r="CC459" t="str">
            <v>ON      NM</v>
          </cell>
          <cell r="CD459" t="str">
            <v xml:space="preserve">OPCOES VENDA   </v>
          </cell>
          <cell r="CE459" t="str">
            <v xml:space="preserve">Europeu        </v>
          </cell>
        </row>
        <row r="460">
          <cell r="AF460">
            <v>455</v>
          </cell>
          <cell r="AG460">
            <v>0.10226782877001894</v>
          </cell>
          <cell r="BY460" t="str">
            <v>OGXPM3</v>
          </cell>
          <cell r="BZ460">
            <v>1200</v>
          </cell>
          <cell r="CA460" t="str">
            <v>18-01-2010</v>
          </cell>
          <cell r="CB460" t="str">
            <v xml:space="preserve">OGXP        </v>
          </cell>
          <cell r="CC460" t="str">
            <v>ON      NM</v>
          </cell>
          <cell r="CD460" t="str">
            <v xml:space="preserve">OPCOES VENDA   </v>
          </cell>
          <cell r="CE460" t="str">
            <v xml:space="preserve">Europeu        </v>
          </cell>
        </row>
        <row r="461">
          <cell r="AF461">
            <v>456</v>
          </cell>
          <cell r="AG461">
            <v>0.10230152158565464</v>
          </cell>
          <cell r="BY461" t="str">
            <v>OHLBF1</v>
          </cell>
          <cell r="BZ461">
            <v>26</v>
          </cell>
          <cell r="CA461" t="str">
            <v>15-06-2009</v>
          </cell>
          <cell r="CB461" t="str">
            <v xml:space="preserve">OHLB        </v>
          </cell>
          <cell r="CC461" t="str">
            <v>ON      NM</v>
          </cell>
          <cell r="CD461" t="str">
            <v xml:space="preserve">OPCOES COMPRA  </v>
          </cell>
          <cell r="CE461" t="str">
            <v xml:space="preserve">Americano      </v>
          </cell>
        </row>
        <row r="462">
          <cell r="AF462">
            <v>457</v>
          </cell>
          <cell r="AG462">
            <v>0.10233506797227387</v>
          </cell>
          <cell r="BY462" t="str">
            <v>OHLBR1</v>
          </cell>
          <cell r="BZ462">
            <v>26</v>
          </cell>
          <cell r="CA462" t="str">
            <v>15-06-2009</v>
          </cell>
          <cell r="CB462" t="str">
            <v xml:space="preserve">OHLB        </v>
          </cell>
          <cell r="CC462" t="str">
            <v>ON      NM</v>
          </cell>
          <cell r="CD462" t="str">
            <v xml:space="preserve">OPCOES VENDA   </v>
          </cell>
          <cell r="CE462" t="str">
            <v xml:space="preserve">Europeu        </v>
          </cell>
        </row>
        <row r="463">
          <cell r="AF463">
            <v>458</v>
          </cell>
          <cell r="AG463">
            <v>0.10236846888236317</v>
          </cell>
          <cell r="BY463" t="str">
            <v>POSIC8</v>
          </cell>
          <cell r="BZ463">
            <v>8</v>
          </cell>
          <cell r="CA463" t="str">
            <v>16-03-2009</v>
          </cell>
          <cell r="CB463" t="str">
            <v xml:space="preserve">POSI        </v>
          </cell>
          <cell r="CC463" t="str">
            <v>ON      NM</v>
          </cell>
          <cell r="CD463" t="str">
            <v xml:space="preserve">OPCOES COMPRA  </v>
          </cell>
          <cell r="CE463" t="str">
            <v xml:space="preserve">Americano      </v>
          </cell>
        </row>
        <row r="464">
          <cell r="AF464">
            <v>459</v>
          </cell>
          <cell r="AG464">
            <v>0.10240172526016478</v>
          </cell>
          <cell r="BY464" t="str">
            <v>POSIC10</v>
          </cell>
          <cell r="BZ464">
            <v>10</v>
          </cell>
          <cell r="CA464" t="str">
            <v>16-03-2009</v>
          </cell>
          <cell r="CB464" t="str">
            <v xml:space="preserve">POSI        </v>
          </cell>
          <cell r="CC464" t="str">
            <v>ON      NM</v>
          </cell>
          <cell r="CD464" t="str">
            <v xml:space="preserve">OPCOES COMPRA  </v>
          </cell>
          <cell r="CE464" t="str">
            <v xml:space="preserve">Americano      </v>
          </cell>
        </row>
        <row r="465">
          <cell r="AF465">
            <v>460</v>
          </cell>
          <cell r="AG465">
            <v>0.10243483804176834</v>
          </cell>
          <cell r="BY465" t="str">
            <v>POSIO8</v>
          </cell>
          <cell r="BZ465">
            <v>8</v>
          </cell>
          <cell r="CA465" t="str">
            <v>16-03-2009</v>
          </cell>
          <cell r="CB465" t="str">
            <v xml:space="preserve">POSI        </v>
          </cell>
          <cell r="CC465" t="str">
            <v>ON      NM</v>
          </cell>
          <cell r="CD465" t="str">
            <v xml:space="preserve">OPCOES VENDA   </v>
          </cell>
          <cell r="CE465" t="str">
            <v xml:space="preserve">Europeu        </v>
          </cell>
        </row>
        <row r="466">
          <cell r="AF466">
            <v>461</v>
          </cell>
          <cell r="AG466">
            <v>0.10246780815519574</v>
          </cell>
          <cell r="BY466" t="str">
            <v>POSIO10</v>
          </cell>
          <cell r="BZ466">
            <v>10</v>
          </cell>
          <cell r="CA466" t="str">
            <v>16-03-2009</v>
          </cell>
          <cell r="CB466" t="str">
            <v xml:space="preserve">POSI        </v>
          </cell>
          <cell r="CC466" t="str">
            <v>ON      NM</v>
          </cell>
          <cell r="CD466" t="str">
            <v xml:space="preserve">OPCOES VENDA   </v>
          </cell>
          <cell r="CE466" t="str">
            <v xml:space="preserve">Europeu        </v>
          </cell>
        </row>
        <row r="467">
          <cell r="AF467">
            <v>462</v>
          </cell>
          <cell r="AG467">
            <v>0.10250063652049102</v>
          </cell>
          <cell r="BY467" t="str">
            <v>PRGAC32</v>
          </cell>
          <cell r="BZ467">
            <v>32</v>
          </cell>
          <cell r="CA467" t="str">
            <v>16-03-2009</v>
          </cell>
          <cell r="CB467" t="str">
            <v xml:space="preserve">PRGA        </v>
          </cell>
          <cell r="CC467" t="str">
            <v>ON      NM</v>
          </cell>
          <cell r="CD467" t="str">
            <v xml:space="preserve">OPCOES COMPRA  </v>
          </cell>
          <cell r="CE467" t="str">
            <v xml:space="preserve">Americano      </v>
          </cell>
        </row>
        <row r="468">
          <cell r="AF468">
            <v>463</v>
          </cell>
          <cell r="AG468">
            <v>0.10253332404980364</v>
          </cell>
          <cell r="BY468" t="str">
            <v>PRGAO32</v>
          </cell>
          <cell r="BZ468">
            <v>32</v>
          </cell>
          <cell r="CA468" t="str">
            <v>16-03-2009</v>
          </cell>
          <cell r="CB468" t="str">
            <v xml:space="preserve">PRGA        </v>
          </cell>
          <cell r="CC468" t="str">
            <v>ON      NM</v>
          </cell>
          <cell r="CD468" t="str">
            <v xml:space="preserve">OPCOES VENDA   </v>
          </cell>
          <cell r="CE468" t="str">
            <v xml:space="preserve">Europeu        </v>
          </cell>
        </row>
        <row r="469">
          <cell r="AF469">
            <v>464</v>
          </cell>
          <cell r="AG469">
            <v>0.10256587164747377</v>
          </cell>
          <cell r="BY469" t="str">
            <v>PSSAC1</v>
          </cell>
          <cell r="BZ469">
            <v>12.5</v>
          </cell>
          <cell r="CA469" t="str">
            <v>16-03-2009</v>
          </cell>
          <cell r="CB469" t="str">
            <v xml:space="preserve">PSSA        </v>
          </cell>
          <cell r="CC469" t="str">
            <v>ON      NM</v>
          </cell>
          <cell r="CD469" t="str">
            <v xml:space="preserve">OPCOES COMPRA  </v>
          </cell>
          <cell r="CE469" t="str">
            <v xml:space="preserve">Europeu        </v>
          </cell>
        </row>
        <row r="470">
          <cell r="AF470">
            <v>465</v>
          </cell>
          <cell r="AG470">
            <v>0.10259828021011552</v>
          </cell>
          <cell r="BY470" t="str">
            <v>PSSAC14</v>
          </cell>
          <cell r="BZ470">
            <v>14</v>
          </cell>
          <cell r="CA470" t="str">
            <v>16-03-2009</v>
          </cell>
          <cell r="CB470" t="str">
            <v xml:space="preserve">PSSA        </v>
          </cell>
          <cell r="CC470" t="str">
            <v>ON      NM</v>
          </cell>
          <cell r="CD470" t="str">
            <v xml:space="preserve">OPCOES COMPRA  </v>
          </cell>
          <cell r="CE470" t="str">
            <v xml:space="preserve">Americano      </v>
          </cell>
        </row>
        <row r="471">
          <cell r="AF471">
            <v>466</v>
          </cell>
          <cell r="AG471">
            <v>0.10263055062669957</v>
          </cell>
          <cell r="BY471" t="str">
            <v>PSSAF1</v>
          </cell>
          <cell r="BZ471">
            <v>18</v>
          </cell>
          <cell r="CA471" t="str">
            <v>15-06-2009</v>
          </cell>
          <cell r="CB471" t="str">
            <v xml:space="preserve">PSSA        </v>
          </cell>
          <cell r="CC471" t="str">
            <v>ON      NM</v>
          </cell>
          <cell r="CD471" t="str">
            <v xml:space="preserve">OPCOES COMPRA  </v>
          </cell>
          <cell r="CE471" t="str">
            <v xml:space="preserve">Americano      </v>
          </cell>
        </row>
        <row r="472">
          <cell r="AF472">
            <v>467</v>
          </cell>
          <cell r="AG472">
            <v>0.10266268377863419</v>
          </cell>
          <cell r="BY472" t="str">
            <v>PSSAO1</v>
          </cell>
          <cell r="BZ472">
            <v>12.5</v>
          </cell>
          <cell r="CA472" t="str">
            <v>16-03-2009</v>
          </cell>
          <cell r="CB472" t="str">
            <v xml:space="preserve">PSSA        </v>
          </cell>
          <cell r="CC472" t="str">
            <v>ON      NM</v>
          </cell>
          <cell r="CD472" t="str">
            <v xml:space="preserve">OPCOES VENDA   </v>
          </cell>
          <cell r="CE472" t="str">
            <v xml:space="preserve">Europeu        </v>
          </cell>
        </row>
        <row r="473">
          <cell r="AF473">
            <v>468</v>
          </cell>
          <cell r="AG473">
            <v>0.10269468053984498</v>
          </cell>
          <cell r="BY473" t="str">
            <v>PSSAO14</v>
          </cell>
          <cell r="BZ473">
            <v>14</v>
          </cell>
          <cell r="CA473" t="str">
            <v>16-03-2009</v>
          </cell>
          <cell r="CB473" t="str">
            <v xml:space="preserve">PSSA        </v>
          </cell>
          <cell r="CC473" t="str">
            <v>ON      NM</v>
          </cell>
          <cell r="CD473" t="str">
            <v xml:space="preserve">OPCOES VENDA   </v>
          </cell>
          <cell r="CE473" t="str">
            <v xml:space="preserve">Europeu        </v>
          </cell>
        </row>
        <row r="474">
          <cell r="AF474">
            <v>469</v>
          </cell>
          <cell r="AG474">
            <v>0.10272654177685547</v>
          </cell>
          <cell r="BY474" t="str">
            <v>PSSAR1</v>
          </cell>
          <cell r="BZ474">
            <v>18</v>
          </cell>
          <cell r="CA474" t="str">
            <v>15-06-2009</v>
          </cell>
          <cell r="CB474" t="str">
            <v xml:space="preserve">PSSA        </v>
          </cell>
          <cell r="CC474" t="str">
            <v>ON      NM</v>
          </cell>
          <cell r="CD474" t="str">
            <v xml:space="preserve">OPCOES VENDA   </v>
          </cell>
          <cell r="CE474" t="str">
            <v xml:space="preserve">Europeu        </v>
          </cell>
        </row>
        <row r="475">
          <cell r="AF475">
            <v>470</v>
          </cell>
          <cell r="AG475">
            <v>0.10275826834886392</v>
          </cell>
          <cell r="BY475" t="str">
            <v>RDCDC26</v>
          </cell>
          <cell r="BZ475">
            <v>26</v>
          </cell>
          <cell r="CA475" t="str">
            <v>16-03-2009</v>
          </cell>
          <cell r="CB475" t="str">
            <v xml:space="preserve">RDCD        </v>
          </cell>
          <cell r="CC475" t="str">
            <v>ON      NM</v>
          </cell>
          <cell r="CD475" t="str">
            <v xml:space="preserve">OPCOES COMPRA  </v>
          </cell>
          <cell r="CE475" t="str">
            <v xml:space="preserve">Americano      </v>
          </cell>
        </row>
        <row r="476">
          <cell r="AF476">
            <v>471</v>
          </cell>
          <cell r="AG476">
            <v>0.10278986110782151</v>
          </cell>
          <cell r="BY476" t="str">
            <v>RDCDD20</v>
          </cell>
          <cell r="BZ476">
            <v>20</v>
          </cell>
          <cell r="CA476" t="str">
            <v>20-04-2009</v>
          </cell>
          <cell r="CB476" t="str">
            <v xml:space="preserve">RDCD        </v>
          </cell>
          <cell r="CC476" t="str">
            <v>ON      NM</v>
          </cell>
          <cell r="CD476" t="str">
            <v xml:space="preserve">OPCOES COMPRA  </v>
          </cell>
          <cell r="CE476" t="str">
            <v xml:space="preserve">Americano      </v>
          </cell>
        </row>
        <row r="477">
          <cell r="AF477">
            <v>472</v>
          </cell>
          <cell r="AG477">
            <v>0.10282132089850826</v>
          </cell>
          <cell r="BY477" t="str">
            <v>RDCDD21</v>
          </cell>
          <cell r="BZ477">
            <v>21</v>
          </cell>
          <cell r="CA477" t="str">
            <v>20-04-2009</v>
          </cell>
          <cell r="CB477" t="str">
            <v xml:space="preserve">RDCD        </v>
          </cell>
          <cell r="CC477" t="str">
            <v>ON      NM</v>
          </cell>
          <cell r="CD477" t="str">
            <v xml:space="preserve">OPCOES COMPRA  </v>
          </cell>
          <cell r="CE477" t="str">
            <v xml:space="preserve">Europeu        </v>
          </cell>
        </row>
        <row r="478">
          <cell r="AF478">
            <v>473</v>
          </cell>
          <cell r="AG478">
            <v>0.10285264855860765</v>
          </cell>
          <cell r="BY478" t="str">
            <v>RDCDD22</v>
          </cell>
          <cell r="BZ478">
            <v>22</v>
          </cell>
          <cell r="CA478" t="str">
            <v>20-04-2009</v>
          </cell>
          <cell r="CB478" t="str">
            <v xml:space="preserve">RDCD        </v>
          </cell>
          <cell r="CC478" t="str">
            <v>ON      NM</v>
          </cell>
          <cell r="CD478" t="str">
            <v xml:space="preserve">OPCOES COMPRA  </v>
          </cell>
          <cell r="CE478" t="str">
            <v xml:space="preserve">Americano      </v>
          </cell>
        </row>
        <row r="479">
          <cell r="AF479">
            <v>474</v>
          </cell>
          <cell r="AG479">
            <v>0.10288384491878233</v>
          </cell>
          <cell r="BY479" t="str">
            <v>RDCDD23</v>
          </cell>
          <cell r="BZ479">
            <v>23</v>
          </cell>
          <cell r="CA479" t="str">
            <v>20-04-2009</v>
          </cell>
          <cell r="CB479" t="str">
            <v xml:space="preserve">RDCD        </v>
          </cell>
          <cell r="CC479" t="str">
            <v>ON      NM</v>
          </cell>
          <cell r="CD479" t="str">
            <v xml:space="preserve">OPCOES COMPRA  </v>
          </cell>
          <cell r="CE479" t="str">
            <v xml:space="preserve">Europeu        </v>
          </cell>
        </row>
        <row r="480">
          <cell r="AF480">
            <v>475</v>
          </cell>
          <cell r="AG480">
            <v>0.10291491080274673</v>
          </cell>
          <cell r="BY480" t="str">
            <v>RDCDD24</v>
          </cell>
          <cell r="BZ480">
            <v>24</v>
          </cell>
          <cell r="CA480" t="str">
            <v>20-04-2009</v>
          </cell>
          <cell r="CB480" t="str">
            <v xml:space="preserve">RDCD        </v>
          </cell>
          <cell r="CC480" t="str">
            <v>ON      NM</v>
          </cell>
          <cell r="CD480" t="str">
            <v xml:space="preserve">OPCOES COMPRA  </v>
          </cell>
          <cell r="CE480" t="str">
            <v xml:space="preserve">Americano      </v>
          </cell>
        </row>
        <row r="481">
          <cell r="AF481">
            <v>476</v>
          </cell>
          <cell r="AG481">
            <v>0.102945847027339</v>
          </cell>
          <cell r="BY481" t="str">
            <v>RDCDD25</v>
          </cell>
          <cell r="BZ481">
            <v>25</v>
          </cell>
          <cell r="CA481" t="str">
            <v>20-04-2009</v>
          </cell>
          <cell r="CB481" t="str">
            <v xml:space="preserve">RDCD        </v>
          </cell>
          <cell r="CC481" t="str">
            <v>ON      NM</v>
          </cell>
          <cell r="CD481" t="str">
            <v xml:space="preserve">OPCOES COMPRA  </v>
          </cell>
          <cell r="CE481" t="str">
            <v xml:space="preserve">Europeu        </v>
          </cell>
        </row>
        <row r="482">
          <cell r="AF482">
            <v>477</v>
          </cell>
          <cell r="AG482">
            <v>0.10297665440259363</v>
          </cell>
          <cell r="BY482" t="str">
            <v>RDCDD26</v>
          </cell>
          <cell r="BZ482">
            <v>26</v>
          </cell>
          <cell r="CA482" t="str">
            <v>20-04-2009</v>
          </cell>
          <cell r="CB482" t="str">
            <v xml:space="preserve">RDCD        </v>
          </cell>
          <cell r="CC482" t="str">
            <v>ON      NM</v>
          </cell>
          <cell r="CD482" t="str">
            <v xml:space="preserve">OPCOES COMPRA  </v>
          </cell>
          <cell r="CE482" t="str">
            <v xml:space="preserve">Americano      </v>
          </cell>
        </row>
        <row r="483">
          <cell r="AF483">
            <v>478</v>
          </cell>
          <cell r="AG483">
            <v>0.10300733373181203</v>
          </cell>
          <cell r="BY483" t="str">
            <v>RDCDD29</v>
          </cell>
          <cell r="BZ483">
            <v>29</v>
          </cell>
          <cell r="CA483" t="str">
            <v>20-04-2009</v>
          </cell>
          <cell r="CB483" t="str">
            <v xml:space="preserve">RDCD        </v>
          </cell>
          <cell r="CC483" t="str">
            <v>ON      NM</v>
          </cell>
          <cell r="CD483" t="str">
            <v xml:space="preserve">OPCOES COMPRA  </v>
          </cell>
          <cell r="CE483" t="str">
            <v xml:space="preserve">Europeu        </v>
          </cell>
        </row>
        <row r="484">
          <cell r="AF484">
            <v>479</v>
          </cell>
          <cell r="AG484">
            <v>0.10303788581163187</v>
          </cell>
          <cell r="BY484" t="str">
            <v>RDCDD30</v>
          </cell>
          <cell r="BZ484">
            <v>30</v>
          </cell>
          <cell r="CA484" t="str">
            <v>20-04-2009</v>
          </cell>
          <cell r="CB484" t="str">
            <v xml:space="preserve">RDCD        </v>
          </cell>
          <cell r="CC484" t="str">
            <v>ON      NM</v>
          </cell>
          <cell r="CD484" t="str">
            <v xml:space="preserve">OPCOES COMPRA  </v>
          </cell>
          <cell r="CE484" t="str">
            <v xml:space="preserve">Americano      </v>
          </cell>
        </row>
        <row r="485">
          <cell r="AF485">
            <v>480</v>
          </cell>
          <cell r="AG485">
            <v>0.10306831143209605</v>
          </cell>
          <cell r="BY485" t="str">
            <v>RDCDE21</v>
          </cell>
          <cell r="BZ485">
            <v>21</v>
          </cell>
          <cell r="CA485" t="str">
            <v>18-05-2009</v>
          </cell>
          <cell r="CB485" t="str">
            <v xml:space="preserve">RDCD        </v>
          </cell>
          <cell r="CC485" t="str">
            <v>ON      NM</v>
          </cell>
          <cell r="CD485" t="str">
            <v xml:space="preserve">OPCOES COMPRA  </v>
          </cell>
          <cell r="CE485" t="str">
            <v xml:space="preserve">Europeu        </v>
          </cell>
        </row>
        <row r="486">
          <cell r="AF486">
            <v>481</v>
          </cell>
          <cell r="AG486">
            <v>0.10309861137672116</v>
          </cell>
          <cell r="BY486" t="str">
            <v>RDCDE22</v>
          </cell>
          <cell r="BZ486">
            <v>22</v>
          </cell>
          <cell r="CA486" t="str">
            <v>18-05-2009</v>
          </cell>
          <cell r="CB486" t="str">
            <v xml:space="preserve">RDCD        </v>
          </cell>
          <cell r="CC486" t="str">
            <v>ON      NM</v>
          </cell>
          <cell r="CD486" t="str">
            <v xml:space="preserve">OPCOES COMPRA  </v>
          </cell>
          <cell r="CE486" t="str">
            <v xml:space="preserve">Americano      </v>
          </cell>
        </row>
        <row r="487">
          <cell r="AF487">
            <v>482</v>
          </cell>
          <cell r="AG487">
            <v>0.10312878642256407</v>
          </cell>
          <cell r="BY487" t="str">
            <v>RDCDE23</v>
          </cell>
          <cell r="BZ487">
            <v>23</v>
          </cell>
          <cell r="CA487" t="str">
            <v>18-05-2009</v>
          </cell>
          <cell r="CB487" t="str">
            <v xml:space="preserve">RDCD        </v>
          </cell>
          <cell r="CC487" t="str">
            <v>ON      NM</v>
          </cell>
          <cell r="CD487" t="str">
            <v xml:space="preserve">OPCOES COMPRA  </v>
          </cell>
          <cell r="CE487" t="str">
            <v xml:space="preserve">Europeu        </v>
          </cell>
        </row>
        <row r="488">
          <cell r="AF488">
            <v>483</v>
          </cell>
          <cell r="AG488">
            <v>0.10315883734029008</v>
          </cell>
          <cell r="BY488" t="str">
            <v>RDCDE24</v>
          </cell>
          <cell r="BZ488">
            <v>24</v>
          </cell>
          <cell r="CA488" t="str">
            <v>18-05-2009</v>
          </cell>
          <cell r="CB488" t="str">
            <v xml:space="preserve">RDCD        </v>
          </cell>
          <cell r="CC488" t="str">
            <v>ON      NM</v>
          </cell>
          <cell r="CD488" t="str">
            <v xml:space="preserve">OPCOES COMPRA  </v>
          </cell>
          <cell r="CE488" t="str">
            <v xml:space="preserve">Americano      </v>
          </cell>
        </row>
        <row r="489">
          <cell r="AF489">
            <v>484</v>
          </cell>
          <cell r="AG489">
            <v>0.10318876489423556</v>
          </cell>
          <cell r="BY489" t="str">
            <v>RDCDE25</v>
          </cell>
          <cell r="BZ489">
            <v>25</v>
          </cell>
          <cell r="CA489" t="str">
            <v>18-05-2009</v>
          </cell>
          <cell r="CB489" t="str">
            <v xml:space="preserve">RDCD        </v>
          </cell>
          <cell r="CC489" t="str">
            <v>ON      NM</v>
          </cell>
          <cell r="CD489" t="str">
            <v xml:space="preserve">OPCOES COMPRA  </v>
          </cell>
          <cell r="CE489" t="str">
            <v xml:space="preserve">Europeu        </v>
          </cell>
        </row>
        <row r="490">
          <cell r="AF490">
            <v>485</v>
          </cell>
          <cell r="AG490">
            <v>0.1032185698424759</v>
          </cell>
          <cell r="BY490" t="str">
            <v>RDCDF1</v>
          </cell>
          <cell r="BZ490">
            <v>30</v>
          </cell>
          <cell r="CA490" t="str">
            <v>15-06-2009</v>
          </cell>
          <cell r="CB490" t="str">
            <v xml:space="preserve">RDCD        </v>
          </cell>
          <cell r="CC490" t="str">
            <v>ON      NM</v>
          </cell>
          <cell r="CD490" t="str">
            <v xml:space="preserve">OPCOES COMPRA  </v>
          </cell>
          <cell r="CE490" t="str">
            <v xml:space="preserve">Americano      </v>
          </cell>
        </row>
        <row r="491">
          <cell r="AF491">
            <v>486</v>
          </cell>
          <cell r="AG491">
            <v>0.10324825293688722</v>
          </cell>
          <cell r="BY491" t="str">
            <v>RDCDO26</v>
          </cell>
          <cell r="BZ491">
            <v>26</v>
          </cell>
          <cell r="CA491" t="str">
            <v>16-03-2009</v>
          </cell>
          <cell r="CB491" t="str">
            <v xml:space="preserve">RDCD        </v>
          </cell>
          <cell r="CC491" t="str">
            <v>ON      NM</v>
          </cell>
          <cell r="CD491" t="str">
            <v xml:space="preserve">OPCOES VENDA   </v>
          </cell>
          <cell r="CE491" t="str">
            <v xml:space="preserve">Europeu        </v>
          </cell>
        </row>
        <row r="492">
          <cell r="AF492">
            <v>487</v>
          </cell>
          <cell r="AG492">
            <v>0.10327781492321098</v>
          </cell>
          <cell r="BY492" t="str">
            <v>RDCDP20</v>
          </cell>
          <cell r="BZ492">
            <v>20</v>
          </cell>
          <cell r="CA492" t="str">
            <v>20-04-2009</v>
          </cell>
          <cell r="CB492" t="str">
            <v xml:space="preserve">RDCD        </v>
          </cell>
          <cell r="CC492" t="str">
            <v>ON      NM</v>
          </cell>
          <cell r="CD492" t="str">
            <v xml:space="preserve">OPCOES VENDA   </v>
          </cell>
          <cell r="CE492" t="str">
            <v xml:space="preserve">Europeu        </v>
          </cell>
        </row>
        <row r="493">
          <cell r="AF493">
            <v>488</v>
          </cell>
          <cell r="AG493">
            <v>0.1033072565411155</v>
          </cell>
          <cell r="BY493" t="str">
            <v>RDCDP21</v>
          </cell>
          <cell r="BZ493">
            <v>21</v>
          </cell>
          <cell r="CA493" t="str">
            <v>20-04-2009</v>
          </cell>
          <cell r="CB493" t="str">
            <v xml:space="preserve">RDCD        </v>
          </cell>
          <cell r="CC493" t="str">
            <v>ON      NM</v>
          </cell>
          <cell r="CD493" t="str">
            <v xml:space="preserve">OPCOES VENDA   </v>
          </cell>
          <cell r="CE493" t="str">
            <v xml:space="preserve">Europeu        </v>
          </cell>
        </row>
        <row r="494">
          <cell r="AF494">
            <v>489</v>
          </cell>
          <cell r="AG494">
            <v>0.10333657852425815</v>
          </cell>
          <cell r="BY494" t="str">
            <v>RDCDP22</v>
          </cell>
          <cell r="BZ494">
            <v>22</v>
          </cell>
          <cell r="CA494" t="str">
            <v>20-04-2009</v>
          </cell>
          <cell r="CB494" t="str">
            <v xml:space="preserve">RDCD        </v>
          </cell>
          <cell r="CC494" t="str">
            <v>ON      NM</v>
          </cell>
          <cell r="CD494" t="str">
            <v xml:space="preserve">OPCOES VENDA   </v>
          </cell>
          <cell r="CE494" t="str">
            <v xml:space="preserve">Europeu        </v>
          </cell>
        </row>
        <row r="495">
          <cell r="AF495">
            <v>490</v>
          </cell>
          <cell r="AG495">
            <v>0.1033657816003466</v>
          </cell>
          <cell r="BY495" t="str">
            <v>RDCDP23</v>
          </cell>
          <cell r="BZ495">
            <v>23</v>
          </cell>
          <cell r="CA495" t="str">
            <v>20-04-2009</v>
          </cell>
          <cell r="CB495" t="str">
            <v xml:space="preserve">RDCD        </v>
          </cell>
          <cell r="CC495" t="str">
            <v>ON      NM</v>
          </cell>
          <cell r="CD495" t="str">
            <v xml:space="preserve">OPCOES VENDA   </v>
          </cell>
          <cell r="CE495" t="str">
            <v xml:space="preserve">Europeu        </v>
          </cell>
        </row>
        <row r="496">
          <cell r="AF496">
            <v>491</v>
          </cell>
          <cell r="AG496">
            <v>0.10339486649119767</v>
          </cell>
          <cell r="BY496" t="str">
            <v>RDCDP24</v>
          </cell>
          <cell r="BZ496">
            <v>24</v>
          </cell>
          <cell r="CA496" t="str">
            <v>20-04-2009</v>
          </cell>
          <cell r="CB496" t="str">
            <v xml:space="preserve">RDCD        </v>
          </cell>
          <cell r="CC496" t="str">
            <v>ON      NM</v>
          </cell>
          <cell r="CD496" t="str">
            <v xml:space="preserve">OPCOES VENDA   </v>
          </cell>
          <cell r="CE496" t="str">
            <v xml:space="preserve">Europeu        </v>
          </cell>
        </row>
        <row r="497">
          <cell r="AF497">
            <v>492</v>
          </cell>
          <cell r="AG497">
            <v>0.10342383391279908</v>
          </cell>
          <cell r="BY497" t="str">
            <v>RDCDP25</v>
          </cell>
          <cell r="BZ497">
            <v>25</v>
          </cell>
          <cell r="CA497" t="str">
            <v>20-04-2009</v>
          </cell>
          <cell r="CB497" t="str">
            <v xml:space="preserve">RDCD        </v>
          </cell>
          <cell r="CC497" t="str">
            <v>ON      NM</v>
          </cell>
          <cell r="CD497" t="str">
            <v xml:space="preserve">OPCOES VENDA   </v>
          </cell>
          <cell r="CE497" t="str">
            <v xml:space="preserve">Europeu        </v>
          </cell>
        </row>
        <row r="498">
          <cell r="AF498">
            <v>493</v>
          </cell>
          <cell r="AG498">
            <v>0.10345268457536538</v>
          </cell>
          <cell r="BY498" t="str">
            <v>RDCDP26</v>
          </cell>
          <cell r="BZ498">
            <v>26</v>
          </cell>
          <cell r="CA498" t="str">
            <v>20-04-2009</v>
          </cell>
          <cell r="CB498" t="str">
            <v xml:space="preserve">RDCD        </v>
          </cell>
          <cell r="CC498" t="str">
            <v>ON      NM</v>
          </cell>
          <cell r="CD498" t="str">
            <v xml:space="preserve">OPCOES VENDA   </v>
          </cell>
          <cell r="CE498" t="str">
            <v xml:space="preserve">Europeu        </v>
          </cell>
        </row>
        <row r="499">
          <cell r="AF499">
            <v>494</v>
          </cell>
          <cell r="AG499">
            <v>0.10348141918339882</v>
          </cell>
          <cell r="BY499" t="str">
            <v>RDCDP29</v>
          </cell>
          <cell r="BZ499">
            <v>29</v>
          </cell>
          <cell r="CA499" t="str">
            <v>20-04-2009</v>
          </cell>
          <cell r="CB499" t="str">
            <v xml:space="preserve">RDCD        </v>
          </cell>
          <cell r="CC499" t="str">
            <v>ON      NM</v>
          </cell>
          <cell r="CD499" t="str">
            <v xml:space="preserve">OPCOES VENDA   </v>
          </cell>
          <cell r="CE499" t="str">
            <v xml:space="preserve">Europeu        </v>
          </cell>
        </row>
        <row r="500">
          <cell r="AF500">
            <v>495</v>
          </cell>
          <cell r="AG500">
            <v>0.10351003843574436</v>
          </cell>
          <cell r="BY500" t="str">
            <v>RDCDP30</v>
          </cell>
          <cell r="BZ500">
            <v>30</v>
          </cell>
          <cell r="CA500" t="str">
            <v>20-04-2009</v>
          </cell>
          <cell r="CB500" t="str">
            <v xml:space="preserve">RDCD        </v>
          </cell>
          <cell r="CC500" t="str">
            <v>ON      NM</v>
          </cell>
          <cell r="CD500" t="str">
            <v xml:space="preserve">OPCOES VENDA   </v>
          </cell>
          <cell r="CE500" t="str">
            <v xml:space="preserve">Europeu        </v>
          </cell>
        </row>
        <row r="501">
          <cell r="AF501">
            <v>496</v>
          </cell>
          <cell r="AG501">
            <v>0.10353854302564769</v>
          </cell>
          <cell r="BY501" t="str">
            <v>RDCDQ21</v>
          </cell>
          <cell r="BZ501">
            <v>21</v>
          </cell>
          <cell r="CA501" t="str">
            <v>18-05-2009</v>
          </cell>
          <cell r="CB501" t="str">
            <v xml:space="preserve">RDCD        </v>
          </cell>
          <cell r="CC501" t="str">
            <v>ON      NM</v>
          </cell>
          <cell r="CD501" t="str">
            <v xml:space="preserve">OPCOES VENDA   </v>
          </cell>
          <cell r="CE501" t="str">
            <v xml:space="preserve">Europeu        </v>
          </cell>
        </row>
        <row r="502">
          <cell r="AF502">
            <v>497</v>
          </cell>
          <cell r="AG502">
            <v>0.10356693364081093</v>
          </cell>
          <cell r="BY502" t="str">
            <v>RDCDQ22</v>
          </cell>
          <cell r="BZ502">
            <v>22</v>
          </cell>
          <cell r="CA502" t="str">
            <v>18-05-2009</v>
          </cell>
          <cell r="CB502" t="str">
            <v xml:space="preserve">RDCD        </v>
          </cell>
          <cell r="CC502" t="str">
            <v>ON      NM</v>
          </cell>
          <cell r="CD502" t="str">
            <v xml:space="preserve">OPCOES VENDA   </v>
          </cell>
          <cell r="CE502" t="str">
            <v xml:space="preserve">Europeu        </v>
          </cell>
        </row>
        <row r="503">
          <cell r="AF503">
            <v>498</v>
          </cell>
          <cell r="AG503">
            <v>0.10359521096344704</v>
          </cell>
          <cell r="BY503" t="str">
            <v>RDCDQ23</v>
          </cell>
          <cell r="BZ503">
            <v>23</v>
          </cell>
          <cell r="CA503" t="str">
            <v>18-05-2009</v>
          </cell>
          <cell r="CB503" t="str">
            <v xml:space="preserve">RDCD        </v>
          </cell>
          <cell r="CC503" t="str">
            <v>ON      NM</v>
          </cell>
          <cell r="CD503" t="str">
            <v xml:space="preserve">OPCOES VENDA   </v>
          </cell>
          <cell r="CE503" t="str">
            <v xml:space="preserve">Europeu        </v>
          </cell>
        </row>
        <row r="504">
          <cell r="AF504">
            <v>499</v>
          </cell>
          <cell r="AG504">
            <v>0.10362337567033664</v>
          </cell>
          <cell r="BY504" t="str">
            <v>RDCDQ24</v>
          </cell>
          <cell r="BZ504">
            <v>24</v>
          </cell>
          <cell r="CA504" t="str">
            <v>18-05-2009</v>
          </cell>
          <cell r="CB504" t="str">
            <v xml:space="preserve">RDCD        </v>
          </cell>
          <cell r="CC504" t="str">
            <v>ON      NM</v>
          </cell>
          <cell r="CD504" t="str">
            <v xml:space="preserve">OPCOES VENDA   </v>
          </cell>
          <cell r="CE504" t="str">
            <v xml:space="preserve">Europeu        </v>
          </cell>
        </row>
        <row r="505">
          <cell r="AF505">
            <v>500</v>
          </cell>
          <cell r="AG505">
            <v>0.10365142843287933</v>
          </cell>
          <cell r="BY505" t="str">
            <v>RDCDQ25</v>
          </cell>
          <cell r="BZ505">
            <v>25</v>
          </cell>
          <cell r="CA505" t="str">
            <v>18-05-2009</v>
          </cell>
          <cell r="CB505" t="str">
            <v xml:space="preserve">RDCD        </v>
          </cell>
          <cell r="CC505" t="str">
            <v>ON      NM</v>
          </cell>
          <cell r="CD505" t="str">
            <v xml:space="preserve">OPCOES VENDA   </v>
          </cell>
          <cell r="CE505" t="str">
            <v xml:space="preserve">Europeu        </v>
          </cell>
        </row>
        <row r="506">
          <cell r="AF506">
            <v>501</v>
          </cell>
          <cell r="AG506">
            <v>0.10367936991714877</v>
          </cell>
          <cell r="BY506" t="str">
            <v>RDCDR1</v>
          </cell>
          <cell r="BZ506">
            <v>30</v>
          </cell>
          <cell r="CA506" t="str">
            <v>15-06-2009</v>
          </cell>
          <cell r="CB506" t="str">
            <v xml:space="preserve">RDCD        </v>
          </cell>
          <cell r="CC506" t="str">
            <v>ON      NM</v>
          </cell>
          <cell r="CD506" t="str">
            <v xml:space="preserve">OPCOES VENDA   </v>
          </cell>
          <cell r="CE506" t="str">
            <v xml:space="preserve">Europeu        </v>
          </cell>
        </row>
        <row r="507">
          <cell r="AF507">
            <v>502</v>
          </cell>
          <cell r="AG507">
            <v>0.10370720078394502</v>
          </cell>
          <cell r="BY507" t="str">
            <v>SBSPF1</v>
          </cell>
          <cell r="BZ507">
            <v>39.64</v>
          </cell>
          <cell r="CA507" t="str">
            <v>15-06-2009</v>
          </cell>
          <cell r="CB507" t="str">
            <v xml:space="preserve">SBSP        </v>
          </cell>
          <cell r="CC507" t="str">
            <v>ON      NM</v>
          </cell>
          <cell r="CD507" t="str">
            <v xml:space="preserve">OPCOES COMPRA  </v>
          </cell>
          <cell r="CE507" t="str">
            <v xml:space="preserve">Americano      </v>
          </cell>
        </row>
        <row r="508">
          <cell r="AF508">
            <v>503</v>
          </cell>
          <cell r="AG508">
            <v>0.10373492168884679</v>
          </cell>
          <cell r="BY508" t="str">
            <v>SBSPR1</v>
          </cell>
          <cell r="BZ508">
            <v>39.64</v>
          </cell>
          <cell r="CA508" t="str">
            <v>15-06-2009</v>
          </cell>
          <cell r="CB508" t="str">
            <v xml:space="preserve">SBSP        </v>
          </cell>
          <cell r="CC508" t="str">
            <v>ON      NM</v>
          </cell>
          <cell r="CD508" t="str">
            <v xml:space="preserve">OPCOES VENDA   </v>
          </cell>
          <cell r="CE508" t="str">
            <v xml:space="preserve">Europeu        </v>
          </cell>
        </row>
        <row r="509">
          <cell r="AF509">
            <v>504</v>
          </cell>
          <cell r="AG509">
            <v>0.10376253328226182</v>
          </cell>
          <cell r="BY509" t="str">
            <v>SMTOF1</v>
          </cell>
          <cell r="BZ509">
            <v>26</v>
          </cell>
          <cell r="CA509" t="str">
            <v>15-06-2009</v>
          </cell>
          <cell r="CB509" t="str">
            <v xml:space="preserve">SMTO        </v>
          </cell>
          <cell r="CC509" t="str">
            <v>ON      NM</v>
          </cell>
          <cell r="CD509" t="str">
            <v xml:space="preserve">OPCOES COMPRA  </v>
          </cell>
          <cell r="CE509" t="str">
            <v xml:space="preserve">Americano      </v>
          </cell>
        </row>
        <row r="510">
          <cell r="AF510">
            <v>505</v>
          </cell>
          <cell r="AG510">
            <v>0.1037900362094788</v>
          </cell>
          <cell r="BY510" t="str">
            <v>SMTOR1</v>
          </cell>
          <cell r="BZ510">
            <v>26</v>
          </cell>
          <cell r="CA510" t="str">
            <v>15-06-2009</v>
          </cell>
          <cell r="CB510" t="str">
            <v xml:space="preserve">SMTO        </v>
          </cell>
          <cell r="CC510" t="str">
            <v>ON      NM</v>
          </cell>
          <cell r="CD510" t="str">
            <v xml:space="preserve">OPCOES VENDA   </v>
          </cell>
          <cell r="CE510" t="str">
            <v xml:space="preserve">Europeu        </v>
          </cell>
        </row>
        <row r="511">
          <cell r="AF511">
            <v>506</v>
          </cell>
          <cell r="AG511">
            <v>0.10381743111071851</v>
          </cell>
          <cell r="BY511" t="str">
            <v>TBLEC20</v>
          </cell>
          <cell r="BZ511">
            <v>20</v>
          </cell>
          <cell r="CA511" t="str">
            <v>16-03-2009</v>
          </cell>
          <cell r="CB511" t="str">
            <v xml:space="preserve">TBLE        </v>
          </cell>
          <cell r="CC511" t="str">
            <v>ON      NM</v>
          </cell>
          <cell r="CD511" t="str">
            <v xml:space="preserve">OPCOES COMPRA  </v>
          </cell>
          <cell r="CE511" t="str">
            <v xml:space="preserve">Americano      </v>
          </cell>
        </row>
        <row r="512">
          <cell r="AF512">
            <v>507</v>
          </cell>
          <cell r="AG512">
            <v>0.10384471862118128</v>
          </cell>
          <cell r="BY512" t="str">
            <v>TBLED17</v>
          </cell>
          <cell r="BZ512">
            <v>17</v>
          </cell>
          <cell r="CA512" t="str">
            <v>20-04-2009</v>
          </cell>
          <cell r="CB512" t="str">
            <v xml:space="preserve">TBLE        </v>
          </cell>
          <cell r="CC512" t="str">
            <v>ON      NM</v>
          </cell>
          <cell r="CD512" t="str">
            <v xml:space="preserve">OPCOES COMPRA  </v>
          </cell>
          <cell r="CE512" t="str">
            <v xml:space="preserve">Americano      </v>
          </cell>
        </row>
        <row r="513">
          <cell r="AF513">
            <v>508</v>
          </cell>
          <cell r="AG513">
            <v>0.10387189937109742</v>
          </cell>
          <cell r="BY513" t="str">
            <v>TBLED19</v>
          </cell>
          <cell r="BZ513">
            <v>19</v>
          </cell>
          <cell r="CA513" t="str">
            <v>20-04-2009</v>
          </cell>
          <cell r="CB513" t="str">
            <v xml:space="preserve">TBLE        </v>
          </cell>
          <cell r="CC513" t="str">
            <v>ON      NM</v>
          </cell>
          <cell r="CD513" t="str">
            <v xml:space="preserve">OPCOES COMPRA  </v>
          </cell>
          <cell r="CE513" t="str">
            <v xml:space="preserve">Americano      </v>
          </cell>
        </row>
        <row r="514">
          <cell r="AF514">
            <v>509</v>
          </cell>
          <cell r="AG514">
            <v>0.10389897398577586</v>
          </cell>
          <cell r="BY514" t="str">
            <v>TBLEF1</v>
          </cell>
          <cell r="BZ514">
            <v>22</v>
          </cell>
          <cell r="CA514" t="str">
            <v>15-06-2009</v>
          </cell>
          <cell r="CB514" t="str">
            <v xml:space="preserve">TBLE        </v>
          </cell>
          <cell r="CC514" t="str">
            <v>ON      NM</v>
          </cell>
          <cell r="CD514" t="str">
            <v xml:space="preserve">OPCOES COMPRA  </v>
          </cell>
          <cell r="CE514" t="str">
            <v xml:space="preserve">Americano      </v>
          </cell>
        </row>
        <row r="515">
          <cell r="AF515">
            <v>510</v>
          </cell>
          <cell r="AG515">
            <v>0.1039259430856514</v>
          </cell>
          <cell r="BY515" t="str">
            <v>TBLEO20</v>
          </cell>
          <cell r="BZ515">
            <v>20</v>
          </cell>
          <cell r="CA515" t="str">
            <v>16-03-2009</v>
          </cell>
          <cell r="CB515" t="str">
            <v xml:space="preserve">TBLE        </v>
          </cell>
          <cell r="CC515" t="str">
            <v>ON      NM</v>
          </cell>
          <cell r="CD515" t="str">
            <v xml:space="preserve">OPCOES VENDA   </v>
          </cell>
          <cell r="CE515" t="str">
            <v xml:space="preserve">Europeu        </v>
          </cell>
        </row>
        <row r="516">
          <cell r="AF516">
            <v>511</v>
          </cell>
          <cell r="AG516">
            <v>0.10395280728633249</v>
          </cell>
          <cell r="BY516" t="str">
            <v>TBLEP17</v>
          </cell>
          <cell r="BZ516">
            <v>17</v>
          </cell>
          <cell r="CA516" t="str">
            <v>20-04-2009</v>
          </cell>
          <cell r="CB516" t="str">
            <v xml:space="preserve">TBLE        </v>
          </cell>
          <cell r="CC516" t="str">
            <v>ON      NM</v>
          </cell>
          <cell r="CD516" t="str">
            <v xml:space="preserve">OPCOES VENDA   </v>
          </cell>
          <cell r="CE516" t="str">
            <v xml:space="preserve">Europeu        </v>
          </cell>
        </row>
        <row r="517">
          <cell r="AF517">
            <v>512</v>
          </cell>
          <cell r="AG517">
            <v>0.10397956719864876</v>
          </cell>
          <cell r="BY517" t="str">
            <v>TBLEP19</v>
          </cell>
          <cell r="BZ517">
            <v>19</v>
          </cell>
          <cell r="CA517" t="str">
            <v>20-04-2009</v>
          </cell>
          <cell r="CB517" t="str">
            <v xml:space="preserve">TBLE        </v>
          </cell>
          <cell r="CC517" t="str">
            <v>ON      NM</v>
          </cell>
          <cell r="CD517" t="str">
            <v xml:space="preserve">OPCOES VENDA   </v>
          </cell>
          <cell r="CE517" t="str">
            <v xml:space="preserve">Europeu        </v>
          </cell>
        </row>
        <row r="518">
          <cell r="AF518">
            <v>513</v>
          </cell>
          <cell r="AG518">
            <v>0.10400622342869559</v>
          </cell>
          <cell r="BY518" t="str">
            <v>TBLER1</v>
          </cell>
          <cell r="BZ518">
            <v>22</v>
          </cell>
          <cell r="CA518" t="str">
            <v>15-06-2009</v>
          </cell>
          <cell r="CB518" t="str">
            <v xml:space="preserve">TBLE        </v>
          </cell>
          <cell r="CC518" t="str">
            <v>ON      NM</v>
          </cell>
          <cell r="CD518" t="str">
            <v xml:space="preserve">OPCOES VENDA   </v>
          </cell>
          <cell r="CE518" t="str">
            <v xml:space="preserve">Europeu        </v>
          </cell>
        </row>
        <row r="519">
          <cell r="AF519">
            <v>514</v>
          </cell>
          <cell r="AG519">
            <v>0.10403277657788124</v>
          </cell>
          <cell r="BY519" t="str">
            <v>TCSAF1</v>
          </cell>
          <cell r="BZ519">
            <v>8</v>
          </cell>
          <cell r="CA519" t="str">
            <v>15-06-2009</v>
          </cell>
          <cell r="CB519" t="str">
            <v xml:space="preserve">TCSA        </v>
          </cell>
          <cell r="CC519" t="str">
            <v>ON      NM</v>
          </cell>
          <cell r="CD519" t="str">
            <v xml:space="preserve">OPCOES COMPRA  </v>
          </cell>
          <cell r="CE519" t="str">
            <v xml:space="preserve">Americano      </v>
          </cell>
        </row>
        <row r="520">
          <cell r="AF520">
            <v>515</v>
          </cell>
          <cell r="AG520">
            <v>0.10405922724297212</v>
          </cell>
          <cell r="BY520" t="str">
            <v>TCSAR1</v>
          </cell>
          <cell r="BZ520">
            <v>8</v>
          </cell>
          <cell r="CA520" t="str">
            <v>15-06-2009</v>
          </cell>
          <cell r="CB520" t="str">
            <v xml:space="preserve">TCSA        </v>
          </cell>
          <cell r="CC520" t="str">
            <v>ON      NM</v>
          </cell>
          <cell r="CD520" t="str">
            <v xml:space="preserve">OPCOES VENDA   </v>
          </cell>
          <cell r="CE520" t="str">
            <v xml:space="preserve">Europeu        </v>
          </cell>
        </row>
        <row r="521">
          <cell r="AF521">
            <v>516</v>
          </cell>
          <cell r="AG521">
            <v>0.10408557601613655</v>
          </cell>
          <cell r="BY521" t="str">
            <v>WEGEC13</v>
          </cell>
          <cell r="BZ521">
            <v>12.86</v>
          </cell>
          <cell r="CA521" t="str">
            <v>16-03-2009</v>
          </cell>
          <cell r="CB521" t="str">
            <v xml:space="preserve">WEGE        </v>
          </cell>
          <cell r="CC521" t="str">
            <v>ON      NM</v>
          </cell>
          <cell r="CD521" t="str">
            <v xml:space="preserve">OPCOES COMPRA  </v>
          </cell>
          <cell r="CE521" t="str">
            <v xml:space="preserve">Americano      </v>
          </cell>
        </row>
        <row r="522">
          <cell r="AF522">
            <v>517</v>
          </cell>
          <cell r="AG522">
            <v>0.10411182348498982</v>
          </cell>
          <cell r="BY522" t="str">
            <v>WEGEC1</v>
          </cell>
          <cell r="BZ522">
            <v>13.36</v>
          </cell>
          <cell r="CA522" t="str">
            <v>16-03-2009</v>
          </cell>
          <cell r="CB522" t="str">
            <v xml:space="preserve">WEGE        </v>
          </cell>
          <cell r="CC522" t="str">
            <v>ON      NM</v>
          </cell>
          <cell r="CD522" t="str">
            <v xml:space="preserve">OPCOES COMPRA  </v>
          </cell>
          <cell r="CE522" t="str">
            <v xml:space="preserve">Europeu        </v>
          </cell>
        </row>
        <row r="523">
          <cell r="AF523">
            <v>518</v>
          </cell>
          <cell r="AG523">
            <v>0.10413797023263749</v>
          </cell>
          <cell r="BY523" t="str">
            <v>WEGEC14</v>
          </cell>
          <cell r="BZ523">
            <v>13.86</v>
          </cell>
          <cell r="CA523" t="str">
            <v>16-03-2009</v>
          </cell>
          <cell r="CB523" t="str">
            <v xml:space="preserve">WEGE        </v>
          </cell>
          <cell r="CC523" t="str">
            <v>ON      NM</v>
          </cell>
          <cell r="CD523" t="str">
            <v xml:space="preserve">OPCOES COMPRA  </v>
          </cell>
          <cell r="CE523" t="str">
            <v xml:space="preserve">Americano      </v>
          </cell>
        </row>
        <row r="524">
          <cell r="AF524">
            <v>519</v>
          </cell>
          <cell r="AG524">
            <v>0.10416401683771825</v>
          </cell>
          <cell r="BY524" t="str">
            <v>WEGEC2</v>
          </cell>
          <cell r="BZ524">
            <v>14.36</v>
          </cell>
          <cell r="CA524" t="str">
            <v>16-03-2009</v>
          </cell>
          <cell r="CB524" t="str">
            <v xml:space="preserve">WEGE        </v>
          </cell>
          <cell r="CC524" t="str">
            <v>ON      NM</v>
          </cell>
          <cell r="CD524" t="str">
            <v xml:space="preserve">OPCOES COMPRA  </v>
          </cell>
          <cell r="CE524" t="str">
            <v xml:space="preserve">Europeu        </v>
          </cell>
        </row>
        <row r="525">
          <cell r="AF525">
            <v>520</v>
          </cell>
          <cell r="AG525">
            <v>0.10418996387444768</v>
          </cell>
          <cell r="BY525" t="str">
            <v>WEGED1</v>
          </cell>
          <cell r="BZ525">
            <v>9.5</v>
          </cell>
          <cell r="CA525" t="str">
            <v>20-04-2009</v>
          </cell>
          <cell r="CB525" t="str">
            <v xml:space="preserve">WEGE        </v>
          </cell>
          <cell r="CC525" t="str">
            <v>ON      NM</v>
          </cell>
          <cell r="CD525" t="str">
            <v xml:space="preserve">OPCOES COMPRA  </v>
          </cell>
          <cell r="CE525" t="str">
            <v xml:space="preserve">Europeu        </v>
          </cell>
        </row>
        <row r="526">
          <cell r="AF526">
            <v>521</v>
          </cell>
          <cell r="AG526">
            <v>0.10421581191265927</v>
          </cell>
          <cell r="BY526" t="str">
            <v>WEGED10</v>
          </cell>
          <cell r="BZ526">
            <v>10</v>
          </cell>
          <cell r="CA526" t="str">
            <v>20-04-2009</v>
          </cell>
          <cell r="CB526" t="str">
            <v xml:space="preserve">WEGE        </v>
          </cell>
          <cell r="CC526" t="str">
            <v>ON      NM</v>
          </cell>
          <cell r="CD526" t="str">
            <v xml:space="preserve">OPCOES COMPRA  </v>
          </cell>
          <cell r="CE526" t="str">
            <v xml:space="preserve">Americano      </v>
          </cell>
        </row>
        <row r="527">
          <cell r="AF527">
            <v>522</v>
          </cell>
          <cell r="AG527">
            <v>0.10424156151784691</v>
          </cell>
          <cell r="BY527" t="str">
            <v>WEGED2</v>
          </cell>
          <cell r="BZ527">
            <v>10.5</v>
          </cell>
          <cell r="CA527" t="str">
            <v>20-04-2009</v>
          </cell>
          <cell r="CB527" t="str">
            <v xml:space="preserve">WEGE        </v>
          </cell>
          <cell r="CC527" t="str">
            <v>ON      NM</v>
          </cell>
          <cell r="CD527" t="str">
            <v xml:space="preserve">OPCOES COMPRA  </v>
          </cell>
          <cell r="CE527" t="str">
            <v xml:space="preserve">Europeu        </v>
          </cell>
        </row>
        <row r="528">
          <cell r="AF528">
            <v>523</v>
          </cell>
          <cell r="AG528">
            <v>0.10426721325120525</v>
          </cell>
          <cell r="BY528" t="str">
            <v>WEGED11</v>
          </cell>
          <cell r="BZ528">
            <v>11</v>
          </cell>
          <cell r="CA528" t="str">
            <v>20-04-2009</v>
          </cell>
          <cell r="CB528" t="str">
            <v xml:space="preserve">WEGE        </v>
          </cell>
          <cell r="CC528" t="str">
            <v>ON      NM</v>
          </cell>
          <cell r="CD528" t="str">
            <v xml:space="preserve">OPCOES COMPRA  </v>
          </cell>
          <cell r="CE528" t="str">
            <v xml:space="preserve">Americano      </v>
          </cell>
        </row>
        <row r="529">
          <cell r="AF529">
            <v>524</v>
          </cell>
          <cell r="AG529">
            <v>0.10429276766967122</v>
          </cell>
          <cell r="BY529" t="str">
            <v>WEGED3</v>
          </cell>
          <cell r="BZ529">
            <v>11.5</v>
          </cell>
          <cell r="CA529" t="str">
            <v>20-04-2009</v>
          </cell>
          <cell r="CB529" t="str">
            <v xml:space="preserve">WEGE        </v>
          </cell>
          <cell r="CC529" t="str">
            <v>ON      NM</v>
          </cell>
          <cell r="CD529" t="str">
            <v xml:space="preserve">OPCOES COMPRA  </v>
          </cell>
          <cell r="CE529" t="str">
            <v xml:space="preserve">Europeu        </v>
          </cell>
        </row>
        <row r="530">
          <cell r="AF530">
            <v>525</v>
          </cell>
          <cell r="AG530">
            <v>0.10431822532596513</v>
          </cell>
          <cell r="BY530" t="str">
            <v>WEGED12</v>
          </cell>
          <cell r="BZ530">
            <v>12</v>
          </cell>
          <cell r="CA530" t="str">
            <v>20-04-2009</v>
          </cell>
          <cell r="CB530" t="str">
            <v xml:space="preserve">WEGE        </v>
          </cell>
          <cell r="CC530" t="str">
            <v>ON      NM</v>
          </cell>
          <cell r="CD530" t="str">
            <v xml:space="preserve">OPCOES COMPRA  </v>
          </cell>
          <cell r="CE530" t="str">
            <v xml:space="preserve">Americano      </v>
          </cell>
        </row>
        <row r="531">
          <cell r="AF531">
            <v>526</v>
          </cell>
          <cell r="AG531">
            <v>0.10434358676862798</v>
          </cell>
          <cell r="BY531" t="str">
            <v>WEGED4</v>
          </cell>
          <cell r="BZ531">
            <v>12.5</v>
          </cell>
          <cell r="CA531" t="str">
            <v>20-04-2009</v>
          </cell>
          <cell r="CB531" t="str">
            <v xml:space="preserve">WEGE        </v>
          </cell>
          <cell r="CC531" t="str">
            <v>ON      NM</v>
          </cell>
          <cell r="CD531" t="str">
            <v xml:space="preserve">OPCOES COMPRA  </v>
          </cell>
          <cell r="CE531" t="str">
            <v xml:space="preserve">Europeu        </v>
          </cell>
        </row>
        <row r="532">
          <cell r="AF532">
            <v>527</v>
          </cell>
          <cell r="AG532">
            <v>0.10436885254206363</v>
          </cell>
          <cell r="BY532" t="str">
            <v>WEGEE1</v>
          </cell>
          <cell r="BZ532">
            <v>9.5</v>
          </cell>
          <cell r="CA532" t="str">
            <v>18-05-2009</v>
          </cell>
          <cell r="CB532" t="str">
            <v xml:space="preserve">WEGE        </v>
          </cell>
          <cell r="CC532" t="str">
            <v>ON      NM</v>
          </cell>
          <cell r="CD532" t="str">
            <v xml:space="preserve">OPCOES COMPRA  </v>
          </cell>
          <cell r="CE532" t="str">
            <v xml:space="preserve">Europeu        </v>
          </cell>
        </row>
        <row r="533">
          <cell r="AF533">
            <v>528</v>
          </cell>
          <cell r="AG533">
            <v>0.10439402318657587</v>
          </cell>
          <cell r="BY533" t="str">
            <v>WEGEE10</v>
          </cell>
          <cell r="BZ533">
            <v>10</v>
          </cell>
          <cell r="CA533" t="str">
            <v>18-05-2009</v>
          </cell>
          <cell r="CB533" t="str">
            <v xml:space="preserve">WEGE        </v>
          </cell>
          <cell r="CC533" t="str">
            <v>ON      NM</v>
          </cell>
          <cell r="CD533" t="str">
            <v xml:space="preserve">OPCOES COMPRA  </v>
          </cell>
          <cell r="CE533" t="str">
            <v xml:space="preserve">Americano      </v>
          </cell>
        </row>
        <row r="534">
          <cell r="AF534">
            <v>529</v>
          </cell>
          <cell r="AG534">
            <v>0.10441909923840775</v>
          </cell>
          <cell r="BY534" t="str">
            <v>WEGEE2</v>
          </cell>
          <cell r="BZ534">
            <v>10.5</v>
          </cell>
          <cell r="CA534" t="str">
            <v>18-05-2009</v>
          </cell>
          <cell r="CB534" t="str">
            <v xml:space="preserve">WEGE        </v>
          </cell>
          <cell r="CC534" t="str">
            <v>ON      NM</v>
          </cell>
          <cell r="CD534" t="str">
            <v xml:space="preserve">OPCOES COMPRA  </v>
          </cell>
          <cell r="CE534" t="str">
            <v xml:space="preserve">Europeu        </v>
          </cell>
        </row>
        <row r="535">
          <cell r="AF535">
            <v>530</v>
          </cell>
          <cell r="AG535">
            <v>0.10444408122977977</v>
          </cell>
          <cell r="BY535" t="str">
            <v>WEGEE11</v>
          </cell>
          <cell r="BZ535">
            <v>11</v>
          </cell>
          <cell r="CA535" t="str">
            <v>18-05-2009</v>
          </cell>
          <cell r="CB535" t="str">
            <v xml:space="preserve">WEGE        </v>
          </cell>
          <cell r="CC535" t="str">
            <v>ON      NM</v>
          </cell>
          <cell r="CD535" t="str">
            <v xml:space="preserve">OPCOES COMPRA  </v>
          </cell>
          <cell r="CE535" t="str">
            <v xml:space="preserve">Americano      </v>
          </cell>
        </row>
        <row r="536">
          <cell r="AF536">
            <v>531</v>
          </cell>
          <cell r="AG536">
            <v>0.10446896968892716</v>
          </cell>
          <cell r="BY536" t="str">
            <v>WEGEE3</v>
          </cell>
          <cell r="BZ536">
            <v>11.5</v>
          </cell>
          <cell r="CA536" t="str">
            <v>18-05-2009</v>
          </cell>
          <cell r="CB536" t="str">
            <v xml:space="preserve">WEGE        </v>
          </cell>
          <cell r="CC536" t="str">
            <v>ON      NM</v>
          </cell>
          <cell r="CD536" t="str">
            <v xml:space="preserve">OPCOES COMPRA  </v>
          </cell>
          <cell r="CE536" t="str">
            <v xml:space="preserve">Europeu        </v>
          </cell>
        </row>
        <row r="537">
          <cell r="AF537">
            <v>532</v>
          </cell>
          <cell r="AG537">
            <v>0.10449376514013697</v>
          </cell>
          <cell r="BY537" t="str">
            <v>WEGEE12</v>
          </cell>
          <cell r="BZ537">
            <v>12</v>
          </cell>
          <cell r="CA537" t="str">
            <v>18-05-2009</v>
          </cell>
          <cell r="CB537" t="str">
            <v xml:space="preserve">WEGE        </v>
          </cell>
          <cell r="CC537" t="str">
            <v>ON      NM</v>
          </cell>
          <cell r="CD537" t="str">
            <v xml:space="preserve">OPCOES COMPRA  </v>
          </cell>
          <cell r="CE537" t="str">
            <v xml:space="preserve">Americano      </v>
          </cell>
        </row>
        <row r="538">
          <cell r="AF538">
            <v>533</v>
          </cell>
          <cell r="AG538">
            <v>0.10451846810378518</v>
          </cell>
          <cell r="BY538" t="str">
            <v>WEGEE4</v>
          </cell>
          <cell r="BZ538">
            <v>12.5</v>
          </cell>
          <cell r="CA538" t="str">
            <v>18-05-2009</v>
          </cell>
          <cell r="CB538" t="str">
            <v xml:space="preserve">WEGE        </v>
          </cell>
          <cell r="CC538" t="str">
            <v>ON      NM</v>
          </cell>
          <cell r="CD538" t="str">
            <v xml:space="preserve">OPCOES COMPRA  </v>
          </cell>
          <cell r="CE538" t="str">
            <v xml:space="preserve">Europeu        </v>
          </cell>
        </row>
        <row r="539">
          <cell r="AF539">
            <v>534</v>
          </cell>
          <cell r="AG539">
            <v>0.10454307909637395</v>
          </cell>
          <cell r="BY539" t="str">
            <v>WEGEE13</v>
          </cell>
          <cell r="BZ539">
            <v>13</v>
          </cell>
          <cell r="CA539" t="str">
            <v>18-05-2009</v>
          </cell>
          <cell r="CB539" t="str">
            <v xml:space="preserve">WEGE        </v>
          </cell>
          <cell r="CC539" t="str">
            <v>ON      NM</v>
          </cell>
          <cell r="CD539" t="str">
            <v xml:space="preserve">OPCOES COMPRA  </v>
          </cell>
          <cell r="CE539" t="str">
            <v xml:space="preserve">Americano      </v>
          </cell>
        </row>
        <row r="540">
          <cell r="AF540">
            <v>535</v>
          </cell>
          <cell r="AG540">
            <v>0.10456759863056519</v>
          </cell>
          <cell r="BY540" t="str">
            <v>WEGEF1</v>
          </cell>
          <cell r="BZ540">
            <v>19.82</v>
          </cell>
          <cell r="CA540" t="str">
            <v>15-06-2009</v>
          </cell>
          <cell r="CB540" t="str">
            <v xml:space="preserve">WEGE        </v>
          </cell>
          <cell r="CC540" t="str">
            <v>ON      NM</v>
          </cell>
          <cell r="CD540" t="str">
            <v xml:space="preserve">OPCOES COMPRA  </v>
          </cell>
          <cell r="CE540" t="str">
            <v xml:space="preserve">Americano      </v>
          </cell>
        </row>
        <row r="541">
          <cell r="AF541">
            <v>536</v>
          </cell>
          <cell r="AG541">
            <v>0.10459202721521899</v>
          </cell>
          <cell r="BY541" t="str">
            <v>WEGEO13</v>
          </cell>
          <cell r="BZ541">
            <v>12.86</v>
          </cell>
          <cell r="CA541" t="str">
            <v>16-03-2009</v>
          </cell>
          <cell r="CB541" t="str">
            <v xml:space="preserve">WEGE        </v>
          </cell>
          <cell r="CC541" t="str">
            <v>ON      NM</v>
          </cell>
          <cell r="CD541" t="str">
            <v xml:space="preserve">OPCOES VENDA   </v>
          </cell>
          <cell r="CE541" t="str">
            <v xml:space="preserve">Europeu        </v>
          </cell>
        </row>
        <row r="542">
          <cell r="AF542">
            <v>537</v>
          </cell>
          <cell r="AG542">
            <v>0.10461636535542684</v>
          </cell>
          <cell r="BY542" t="str">
            <v>WEGEO1</v>
          </cell>
          <cell r="BZ542">
            <v>13.36</v>
          </cell>
          <cell r="CA542" t="str">
            <v>16-03-2009</v>
          </cell>
          <cell r="CB542" t="str">
            <v xml:space="preserve">WEGE        </v>
          </cell>
          <cell r="CC542" t="str">
            <v>ON      NM</v>
          </cell>
          <cell r="CD542" t="str">
            <v xml:space="preserve">OPCOES VENDA   </v>
          </cell>
          <cell r="CE542" t="str">
            <v xml:space="preserve">Europeu        </v>
          </cell>
        </row>
        <row r="543">
          <cell r="AF543">
            <v>538</v>
          </cell>
          <cell r="AG543">
            <v>0.10464061355254706</v>
          </cell>
          <cell r="BY543" t="str">
            <v>WEGEO14</v>
          </cell>
          <cell r="BZ543">
            <v>13.86</v>
          </cell>
          <cell r="CA543" t="str">
            <v>16-03-2009</v>
          </cell>
          <cell r="CB543" t="str">
            <v xml:space="preserve">WEGE        </v>
          </cell>
          <cell r="CC543" t="str">
            <v>ON      NM</v>
          </cell>
          <cell r="CD543" t="str">
            <v xml:space="preserve">OPCOES VENDA   </v>
          </cell>
          <cell r="CE543" t="str">
            <v xml:space="preserve">Europeu        </v>
          </cell>
        </row>
        <row r="544">
          <cell r="AF544">
            <v>539</v>
          </cell>
          <cell r="AG544">
            <v>0.10466477230423998</v>
          </cell>
          <cell r="BY544" t="str">
            <v>WEGEO2</v>
          </cell>
          <cell r="BZ544">
            <v>14.36</v>
          </cell>
          <cell r="CA544" t="str">
            <v>16-03-2009</v>
          </cell>
          <cell r="CB544" t="str">
            <v xml:space="preserve">WEGE        </v>
          </cell>
          <cell r="CC544" t="str">
            <v>ON      NM</v>
          </cell>
          <cell r="CD544" t="str">
            <v xml:space="preserve">OPCOES VENDA   </v>
          </cell>
          <cell r="CE544" t="str">
            <v xml:space="preserve">Europeu        </v>
          </cell>
        </row>
        <row r="545">
          <cell r="AF545">
            <v>540</v>
          </cell>
          <cell r="AG545">
            <v>0.10468884210450091</v>
          </cell>
          <cell r="BY545" t="str">
            <v>WEGEP1</v>
          </cell>
          <cell r="BZ545">
            <v>9.5</v>
          </cell>
          <cell r="CA545" t="str">
            <v>20-04-2009</v>
          </cell>
          <cell r="CB545" t="str">
            <v xml:space="preserve">WEGE        </v>
          </cell>
          <cell r="CC545" t="str">
            <v>ON      NM</v>
          </cell>
          <cell r="CD545" t="str">
            <v xml:space="preserve">OPCOES VENDA   </v>
          </cell>
          <cell r="CE545" t="str">
            <v xml:space="preserve">Europeu        </v>
          </cell>
        </row>
        <row r="546">
          <cell r="AF546">
            <v>541</v>
          </cell>
          <cell r="AG546">
            <v>0.10471282344369359</v>
          </cell>
          <cell r="BY546" t="str">
            <v>WEGEP10</v>
          </cell>
          <cell r="BZ546">
            <v>10</v>
          </cell>
          <cell r="CA546" t="str">
            <v>20-04-2009</v>
          </cell>
          <cell r="CB546" t="str">
            <v xml:space="preserve">WEGE        </v>
          </cell>
          <cell r="CC546" t="str">
            <v>ON      NM</v>
          </cell>
          <cell r="CD546" t="str">
            <v xml:space="preserve">OPCOES VENDA   </v>
          </cell>
          <cell r="CE546" t="str">
            <v xml:space="preserve">Europeu        </v>
          </cell>
        </row>
        <row r="547">
          <cell r="AF547">
            <v>542</v>
          </cell>
          <cell r="AG547">
            <v>0.10473671680858532</v>
          </cell>
          <cell r="BY547" t="str">
            <v>WEGEP2</v>
          </cell>
          <cell r="BZ547">
            <v>10.5</v>
          </cell>
          <cell r="CA547" t="str">
            <v>20-04-2009</v>
          </cell>
          <cell r="CB547" t="str">
            <v xml:space="preserve">WEGE        </v>
          </cell>
          <cell r="CC547" t="str">
            <v>ON      NM</v>
          </cell>
          <cell r="CD547" t="str">
            <v xml:space="preserve">OPCOES VENDA   </v>
          </cell>
          <cell r="CE547" t="str">
            <v xml:space="preserve">Europeu        </v>
          </cell>
        </row>
        <row r="548">
          <cell r="AF548">
            <v>543</v>
          </cell>
          <cell r="AG548">
            <v>0.10476052268237734</v>
          </cell>
          <cell r="BY548" t="str">
            <v>WEGEP11</v>
          </cell>
          <cell r="BZ548">
            <v>11</v>
          </cell>
          <cell r="CA548" t="str">
            <v>20-04-2009</v>
          </cell>
          <cell r="CB548" t="str">
            <v xml:space="preserve">WEGE        </v>
          </cell>
          <cell r="CC548" t="str">
            <v>ON      NM</v>
          </cell>
          <cell r="CD548" t="str">
            <v xml:space="preserve">OPCOES VENDA   </v>
          </cell>
          <cell r="CE548" t="str">
            <v xml:space="preserve">Europeu        </v>
          </cell>
        </row>
        <row r="549">
          <cell r="AF549">
            <v>544</v>
          </cell>
          <cell r="AG549">
            <v>0.10478424154473953</v>
          </cell>
          <cell r="BY549" t="str">
            <v>WEGEP3</v>
          </cell>
          <cell r="BZ549">
            <v>11.5</v>
          </cell>
          <cell r="CA549" t="str">
            <v>20-04-2009</v>
          </cell>
          <cell r="CB549" t="str">
            <v xml:space="preserve">WEGE        </v>
          </cell>
          <cell r="CC549" t="str">
            <v>ON      NM</v>
          </cell>
          <cell r="CD549" t="str">
            <v xml:space="preserve">OPCOES VENDA   </v>
          </cell>
          <cell r="CE549" t="str">
            <v xml:space="preserve">Europeu        </v>
          </cell>
        </row>
        <row r="550">
          <cell r="AF550">
            <v>545</v>
          </cell>
          <cell r="AG550">
            <v>0.10480787387184187</v>
          </cell>
          <cell r="BY550" t="str">
            <v>WEGEP12</v>
          </cell>
          <cell r="BZ550">
            <v>12</v>
          </cell>
          <cell r="CA550" t="str">
            <v>20-04-2009</v>
          </cell>
          <cell r="CB550" t="str">
            <v xml:space="preserve">WEGE        </v>
          </cell>
          <cell r="CC550" t="str">
            <v>ON      NM</v>
          </cell>
          <cell r="CD550" t="str">
            <v xml:space="preserve">OPCOES VENDA   </v>
          </cell>
          <cell r="CE550" t="str">
            <v xml:space="preserve">Europeu        </v>
          </cell>
        </row>
        <row r="551">
          <cell r="AF551">
            <v>546</v>
          </cell>
          <cell r="AG551">
            <v>0.10483142013638624</v>
          </cell>
          <cell r="BY551" t="str">
            <v>WEGEP4</v>
          </cell>
          <cell r="BZ551">
            <v>12.5</v>
          </cell>
          <cell r="CA551" t="str">
            <v>20-04-2009</v>
          </cell>
          <cell r="CB551" t="str">
            <v xml:space="preserve">WEGE        </v>
          </cell>
          <cell r="CC551" t="str">
            <v>ON      NM</v>
          </cell>
          <cell r="CD551" t="str">
            <v xml:space="preserve">OPCOES VENDA   </v>
          </cell>
          <cell r="CE551" t="str">
            <v xml:space="preserve">Europeu        </v>
          </cell>
        </row>
        <row r="552">
          <cell r="AF552">
            <v>547</v>
          </cell>
          <cell r="AG552">
            <v>0.1048548808076375</v>
          </cell>
          <cell r="BY552" t="str">
            <v>WEGEQ1</v>
          </cell>
          <cell r="BZ552">
            <v>9.5</v>
          </cell>
          <cell r="CA552" t="str">
            <v>18-05-2009</v>
          </cell>
          <cell r="CB552" t="str">
            <v xml:space="preserve">WEGE        </v>
          </cell>
          <cell r="CC552" t="str">
            <v>ON      NM</v>
          </cell>
          <cell r="CD552" t="str">
            <v xml:space="preserve">OPCOES VENDA   </v>
          </cell>
          <cell r="CE552" t="str">
            <v xml:space="preserve">Europeu        </v>
          </cell>
        </row>
        <row r="553">
          <cell r="AF553">
            <v>548</v>
          </cell>
          <cell r="AG553">
            <v>0.1048782563514552</v>
          </cell>
          <cell r="BY553" t="str">
            <v>WEGEQ10</v>
          </cell>
          <cell r="BZ553">
            <v>10</v>
          </cell>
          <cell r="CA553" t="str">
            <v>18-05-2009</v>
          </cell>
          <cell r="CB553" t="str">
            <v xml:space="preserve">WEGE        </v>
          </cell>
          <cell r="CC553" t="str">
            <v>ON      NM</v>
          </cell>
          <cell r="CD553" t="str">
            <v xml:space="preserve">OPCOES VENDA   </v>
          </cell>
          <cell r="CE553" t="str">
            <v xml:space="preserve">Europeu        </v>
          </cell>
        </row>
        <row r="554">
          <cell r="AF554">
            <v>549</v>
          </cell>
          <cell r="AG554">
            <v>0.10490154723032452</v>
          </cell>
          <cell r="BY554" t="str">
            <v>WEGEQ2</v>
          </cell>
          <cell r="BZ554">
            <v>10.5</v>
          </cell>
          <cell r="CA554" t="str">
            <v>18-05-2009</v>
          </cell>
          <cell r="CB554" t="str">
            <v xml:space="preserve">WEGE        </v>
          </cell>
          <cell r="CC554" t="str">
            <v>ON      NM</v>
          </cell>
          <cell r="CD554" t="str">
            <v xml:space="preserve">OPCOES VENDA   </v>
          </cell>
          <cell r="CE554" t="str">
            <v xml:space="preserve">Europeu        </v>
          </cell>
        </row>
        <row r="555">
          <cell r="AF555">
            <v>550</v>
          </cell>
          <cell r="AG555">
            <v>0.10492475390338729</v>
          </cell>
          <cell r="BY555" t="str">
            <v>WEGEQ11</v>
          </cell>
          <cell r="BZ555">
            <v>11</v>
          </cell>
          <cell r="CA555" t="str">
            <v>18-05-2009</v>
          </cell>
          <cell r="CB555" t="str">
            <v xml:space="preserve">WEGE        </v>
          </cell>
          <cell r="CC555" t="str">
            <v>ON      NM</v>
          </cell>
          <cell r="CD555" t="str">
            <v xml:space="preserve">OPCOES VENDA   </v>
          </cell>
          <cell r="CE555" t="str">
            <v xml:space="preserve">Europeu        </v>
          </cell>
        </row>
        <row r="556">
          <cell r="AF556">
            <v>551</v>
          </cell>
          <cell r="AG556">
            <v>0.10494787682647</v>
          </cell>
          <cell r="BY556" t="str">
            <v>WEGEQ3</v>
          </cell>
          <cell r="BZ556">
            <v>11.5</v>
          </cell>
          <cell r="CA556" t="str">
            <v>18-05-2009</v>
          </cell>
          <cell r="CB556" t="str">
            <v xml:space="preserve">WEGE        </v>
          </cell>
          <cell r="CC556" t="str">
            <v>ON      NM</v>
          </cell>
          <cell r="CD556" t="str">
            <v xml:space="preserve">OPCOES VENDA   </v>
          </cell>
          <cell r="CE556" t="str">
            <v xml:space="preserve">Europeu        </v>
          </cell>
        </row>
        <row r="557">
          <cell r="AF557">
            <v>552</v>
          </cell>
          <cell r="AG557">
            <v>0.10497091645211576</v>
          </cell>
          <cell r="BY557" t="str">
            <v>WEGEQ12</v>
          </cell>
          <cell r="BZ557">
            <v>12</v>
          </cell>
          <cell r="CA557" t="str">
            <v>18-05-2009</v>
          </cell>
          <cell r="CB557" t="str">
            <v xml:space="preserve">WEGE        </v>
          </cell>
          <cell r="CC557" t="str">
            <v>ON      NM</v>
          </cell>
          <cell r="CD557" t="str">
            <v xml:space="preserve">OPCOES VENDA   </v>
          </cell>
          <cell r="CE557" t="str">
            <v xml:space="preserve">Europeu        </v>
          </cell>
        </row>
        <row r="558">
          <cell r="AF558">
            <v>553</v>
          </cell>
          <cell r="AG558">
            <v>0.1049938732296134</v>
          </cell>
          <cell r="BY558" t="str">
            <v>WEGEQ4</v>
          </cell>
          <cell r="BZ558">
            <v>12.5</v>
          </cell>
          <cell r="CA558" t="str">
            <v>18-05-2009</v>
          </cell>
          <cell r="CB558" t="str">
            <v xml:space="preserve">WEGE        </v>
          </cell>
          <cell r="CC558" t="str">
            <v>ON      NM</v>
          </cell>
          <cell r="CD558" t="str">
            <v xml:space="preserve">OPCOES VENDA   </v>
          </cell>
          <cell r="CE558" t="str">
            <v xml:space="preserve">Europeu        </v>
          </cell>
        </row>
        <row r="559">
          <cell r="AF559">
            <v>554</v>
          </cell>
          <cell r="AG559">
            <v>0.10501674760502655</v>
          </cell>
          <cell r="BY559" t="str">
            <v>WEGEQ13</v>
          </cell>
          <cell r="BZ559">
            <v>13</v>
          </cell>
          <cell r="CA559" t="str">
            <v>18-05-2009</v>
          </cell>
          <cell r="CB559" t="str">
            <v xml:space="preserve">WEGE        </v>
          </cell>
          <cell r="CC559" t="str">
            <v>ON      NM</v>
          </cell>
          <cell r="CD559" t="str">
            <v xml:space="preserve">OPCOES VENDA   </v>
          </cell>
          <cell r="CE559" t="str">
            <v xml:space="preserve">Europeu        </v>
          </cell>
        </row>
        <row r="560">
          <cell r="AF560">
            <v>555</v>
          </cell>
          <cell r="AG560">
            <v>0.10503954002122162</v>
          </cell>
          <cell r="BY560" t="str">
            <v>WEGER1</v>
          </cell>
          <cell r="BZ560">
            <v>19.82</v>
          </cell>
          <cell r="CA560" t="str">
            <v>15-06-2009</v>
          </cell>
          <cell r="CB560" t="str">
            <v xml:space="preserve">WEGE        </v>
          </cell>
          <cell r="CC560" t="str">
            <v>ON      NM</v>
          </cell>
          <cell r="CD560" t="str">
            <v xml:space="preserve">OPCOES VENDA   </v>
          </cell>
          <cell r="CE560" t="str">
            <v xml:space="preserve">Europeu        </v>
          </cell>
        </row>
        <row r="561">
          <cell r="AF561">
            <v>556</v>
          </cell>
          <cell r="AG561">
            <v>0.10506225091789823</v>
          </cell>
          <cell r="BY561" t="str">
            <v>AMBVC90</v>
          </cell>
          <cell r="BZ561">
            <v>90</v>
          </cell>
          <cell r="CA561" t="str">
            <v>16-03-2009</v>
          </cell>
          <cell r="CB561" t="str">
            <v xml:space="preserve">AMBV        </v>
          </cell>
          <cell r="CC561" t="str">
            <v xml:space="preserve">PN        </v>
          </cell>
          <cell r="CD561" t="str">
            <v xml:space="preserve">OPCOES COMPRA  </v>
          </cell>
          <cell r="CE561" t="str">
            <v xml:space="preserve">Americano      </v>
          </cell>
        </row>
        <row r="562">
          <cell r="AF562">
            <v>557</v>
          </cell>
          <cell r="AG562">
            <v>0.10508488073161515</v>
          </cell>
          <cell r="BY562" t="str">
            <v>AMBVC92</v>
          </cell>
          <cell r="BZ562">
            <v>92</v>
          </cell>
          <cell r="CA562" t="str">
            <v>16-03-2009</v>
          </cell>
          <cell r="CB562" t="str">
            <v xml:space="preserve">AMBV        </v>
          </cell>
          <cell r="CC562" t="str">
            <v xml:space="preserve">PN        </v>
          </cell>
          <cell r="CD562" t="str">
            <v xml:space="preserve">OPCOES COMPRA  </v>
          </cell>
          <cell r="CE562" t="str">
            <v xml:space="preserve">Americano      </v>
          </cell>
        </row>
        <row r="563">
          <cell r="AF563">
            <v>558</v>
          </cell>
          <cell r="AG563">
            <v>0.10510742989582056</v>
          </cell>
          <cell r="BY563" t="str">
            <v>AMBVC94</v>
          </cell>
          <cell r="BZ563">
            <v>94</v>
          </cell>
          <cell r="CA563" t="str">
            <v>16-03-2009</v>
          </cell>
          <cell r="CB563" t="str">
            <v xml:space="preserve">AMBV        </v>
          </cell>
          <cell r="CC563" t="str">
            <v xml:space="preserve">PN        </v>
          </cell>
          <cell r="CD563" t="str">
            <v xml:space="preserve">OPCOES COMPRA  </v>
          </cell>
          <cell r="CE563" t="str">
            <v xml:space="preserve">Americano      </v>
          </cell>
        </row>
        <row r="564">
          <cell r="AF564">
            <v>559</v>
          </cell>
          <cell r="AG564">
            <v>0.10512989884087842</v>
          </cell>
          <cell r="BY564" t="str">
            <v>AMBVC96</v>
          </cell>
          <cell r="BZ564">
            <v>96</v>
          </cell>
          <cell r="CA564" t="str">
            <v>16-03-2009</v>
          </cell>
          <cell r="CB564" t="str">
            <v xml:space="preserve">AMBV        </v>
          </cell>
          <cell r="CC564" t="str">
            <v xml:space="preserve">PN        </v>
          </cell>
          <cell r="CD564" t="str">
            <v xml:space="preserve">OPCOES COMPRA  </v>
          </cell>
          <cell r="CE564" t="str">
            <v xml:space="preserve">Americano      </v>
          </cell>
        </row>
        <row r="565">
          <cell r="AF565">
            <v>560</v>
          </cell>
          <cell r="AG565">
            <v>0.10515228799409626</v>
          </cell>
          <cell r="BY565" t="str">
            <v>AMBVC98</v>
          </cell>
          <cell r="BZ565">
            <v>98</v>
          </cell>
          <cell r="CA565" t="str">
            <v>16-03-2009</v>
          </cell>
          <cell r="CB565" t="str">
            <v xml:space="preserve">AMBV        </v>
          </cell>
          <cell r="CC565" t="str">
            <v xml:space="preserve">PN        </v>
          </cell>
          <cell r="CD565" t="str">
            <v xml:space="preserve">OPCOES COMPRA  </v>
          </cell>
          <cell r="CE565" t="str">
            <v xml:space="preserve">Americano      </v>
          </cell>
        </row>
        <row r="566">
          <cell r="AF566">
            <v>561</v>
          </cell>
          <cell r="AG566">
            <v>0.1051745977797518</v>
          </cell>
          <cell r="BY566" t="str">
            <v>AMBVC50</v>
          </cell>
          <cell r="BZ566">
            <v>100</v>
          </cell>
          <cell r="CA566" t="str">
            <v>16-03-2009</v>
          </cell>
          <cell r="CB566" t="str">
            <v xml:space="preserve">AMBV        </v>
          </cell>
          <cell r="CC566" t="str">
            <v xml:space="preserve">PN        </v>
          </cell>
          <cell r="CD566" t="str">
            <v xml:space="preserve">OPCOES COMPRA  </v>
          </cell>
          <cell r="CE566" t="str">
            <v xml:space="preserve">Americano      </v>
          </cell>
        </row>
        <row r="567">
          <cell r="AF567">
            <v>562</v>
          </cell>
          <cell r="AG567">
            <v>0.10519682861912005</v>
          </cell>
          <cell r="BY567" t="str">
            <v>AMBVC2</v>
          </cell>
          <cell r="BZ567">
            <v>102</v>
          </cell>
          <cell r="CA567" t="str">
            <v>16-03-2009</v>
          </cell>
          <cell r="CB567" t="str">
            <v xml:space="preserve">AMBV        </v>
          </cell>
          <cell r="CC567" t="str">
            <v xml:space="preserve">PN        </v>
          </cell>
          <cell r="CD567" t="str">
            <v xml:space="preserve">OPCOES COMPRA  </v>
          </cell>
          <cell r="CE567" t="str">
            <v xml:space="preserve">Americano      </v>
          </cell>
        </row>
        <row r="568">
          <cell r="AF568">
            <v>563</v>
          </cell>
          <cell r="AG568">
            <v>0.10521898093050019</v>
          </cell>
          <cell r="BY568" t="str">
            <v>AMBVC4</v>
          </cell>
          <cell r="BZ568">
            <v>104</v>
          </cell>
          <cell r="CA568" t="str">
            <v>16-03-2009</v>
          </cell>
          <cell r="CB568" t="str">
            <v xml:space="preserve">AMBV        </v>
          </cell>
          <cell r="CC568" t="str">
            <v xml:space="preserve">PN        </v>
          </cell>
          <cell r="CD568" t="str">
            <v xml:space="preserve">OPCOES COMPRA  </v>
          </cell>
          <cell r="CE568" t="str">
            <v xml:space="preserve">Americano      </v>
          </cell>
        </row>
        <row r="569">
          <cell r="AF569">
            <v>564</v>
          </cell>
          <cell r="AG569">
            <v>0.10524105512924176</v>
          </cell>
          <cell r="BY569" t="str">
            <v>AMBVC6</v>
          </cell>
          <cell r="BZ569">
            <v>106</v>
          </cell>
          <cell r="CA569" t="str">
            <v>16-03-2009</v>
          </cell>
          <cell r="CB569" t="str">
            <v xml:space="preserve">AMBV        </v>
          </cell>
          <cell r="CC569" t="str">
            <v xml:space="preserve">PN        </v>
          </cell>
          <cell r="CD569" t="str">
            <v xml:space="preserve">OPCOES COMPRA  </v>
          </cell>
          <cell r="CE569" t="str">
            <v xml:space="preserve">Americano      </v>
          </cell>
        </row>
        <row r="570">
          <cell r="AF570">
            <v>565</v>
          </cell>
          <cell r="AG570">
            <v>0.1052630516277695</v>
          </cell>
          <cell r="BY570" t="str">
            <v>AMBVC9</v>
          </cell>
          <cell r="BZ570">
            <v>109</v>
          </cell>
          <cell r="CA570" t="str">
            <v>16-03-2009</v>
          </cell>
          <cell r="CB570" t="str">
            <v xml:space="preserve">AMBV        </v>
          </cell>
          <cell r="CC570" t="str">
            <v xml:space="preserve">PN        </v>
          </cell>
          <cell r="CD570" t="str">
            <v xml:space="preserve">OPCOES COMPRA  </v>
          </cell>
          <cell r="CE570" t="str">
            <v xml:space="preserve">Europeu        </v>
          </cell>
        </row>
        <row r="571">
          <cell r="AF571">
            <v>566</v>
          </cell>
          <cell r="AG571">
            <v>0.10528497083561073</v>
          </cell>
          <cell r="BY571" t="str">
            <v>AMBVC10</v>
          </cell>
          <cell r="BZ571">
            <v>110</v>
          </cell>
          <cell r="CA571" t="str">
            <v>16-03-2009</v>
          </cell>
          <cell r="CB571" t="str">
            <v xml:space="preserve">AMBV        </v>
          </cell>
          <cell r="CC571" t="str">
            <v xml:space="preserve">PN        </v>
          </cell>
          <cell r="CD571" t="str">
            <v xml:space="preserve">OPCOES COMPRA  </v>
          </cell>
          <cell r="CE571" t="str">
            <v xml:space="preserve">Americano      </v>
          </cell>
        </row>
        <row r="572">
          <cell r="AF572">
            <v>567</v>
          </cell>
          <cell r="AG572">
            <v>0.10530681315941925</v>
          </cell>
          <cell r="BY572" t="str">
            <v>AMBVD90</v>
          </cell>
          <cell r="BZ572">
            <v>90</v>
          </cell>
          <cell r="CA572" t="str">
            <v>20-04-2009</v>
          </cell>
          <cell r="CB572" t="str">
            <v xml:space="preserve">AMBV        </v>
          </cell>
          <cell r="CC572" t="str">
            <v xml:space="preserve">PN        </v>
          </cell>
          <cell r="CD572" t="str">
            <v xml:space="preserve">OPCOES COMPRA  </v>
          </cell>
          <cell r="CE572" t="str">
            <v xml:space="preserve">Americano      </v>
          </cell>
        </row>
        <row r="573">
          <cell r="AF573">
            <v>568</v>
          </cell>
          <cell r="AG573">
            <v>0.10532857900300141</v>
          </cell>
          <cell r="BY573" t="str">
            <v>AMBVD92</v>
          </cell>
          <cell r="BZ573">
            <v>92</v>
          </cell>
          <cell r="CA573" t="str">
            <v>20-04-2009</v>
          </cell>
          <cell r="CB573" t="str">
            <v xml:space="preserve">AMBV        </v>
          </cell>
          <cell r="CC573" t="str">
            <v xml:space="preserve">PN        </v>
          </cell>
          <cell r="CD573" t="str">
            <v xml:space="preserve">OPCOES COMPRA  </v>
          </cell>
          <cell r="CE573" t="str">
            <v xml:space="preserve">Americano      </v>
          </cell>
        </row>
        <row r="574">
          <cell r="AF574">
            <v>569</v>
          </cell>
          <cell r="AG574">
            <v>0.1053502687673411</v>
          </cell>
          <cell r="BY574" t="str">
            <v>AMBVD94</v>
          </cell>
          <cell r="BZ574">
            <v>94</v>
          </cell>
          <cell r="CA574" t="str">
            <v>20-04-2009</v>
          </cell>
          <cell r="CB574" t="str">
            <v xml:space="preserve">AMBV        </v>
          </cell>
          <cell r="CC574" t="str">
            <v xml:space="preserve">PN        </v>
          </cell>
          <cell r="CD574" t="str">
            <v xml:space="preserve">OPCOES COMPRA  </v>
          </cell>
          <cell r="CE574" t="str">
            <v xml:space="preserve">Americano      </v>
          </cell>
        </row>
        <row r="575">
          <cell r="AF575">
            <v>570</v>
          </cell>
          <cell r="AG575">
            <v>0.10537188285062293</v>
          </cell>
          <cell r="BY575" t="str">
            <v>AMBVD96</v>
          </cell>
          <cell r="BZ575">
            <v>96</v>
          </cell>
          <cell r="CA575" t="str">
            <v>20-04-2009</v>
          </cell>
          <cell r="CB575" t="str">
            <v xml:space="preserve">AMBV        </v>
          </cell>
          <cell r="CC575" t="str">
            <v xml:space="preserve">PN        </v>
          </cell>
          <cell r="CD575" t="str">
            <v xml:space="preserve">OPCOES COMPRA  </v>
          </cell>
          <cell r="CE575" t="str">
            <v xml:space="preserve">Americano      </v>
          </cell>
        </row>
        <row r="576">
          <cell r="AF576">
            <v>571</v>
          </cell>
          <cell r="AG576">
            <v>0.10539342164825882</v>
          </cell>
          <cell r="BY576" t="str">
            <v>AMBVD48</v>
          </cell>
          <cell r="BZ576">
            <v>98</v>
          </cell>
          <cell r="CA576" t="str">
            <v>20-04-2009</v>
          </cell>
          <cell r="CB576" t="str">
            <v xml:space="preserve">AMBV        </v>
          </cell>
          <cell r="CC576" t="str">
            <v xml:space="preserve">PN        </v>
          </cell>
          <cell r="CD576" t="str">
            <v xml:space="preserve">OPCOES COMPRA  </v>
          </cell>
          <cell r="CE576" t="str">
            <v xml:space="preserve">Americano      </v>
          </cell>
        </row>
        <row r="577">
          <cell r="AF577">
            <v>572</v>
          </cell>
          <cell r="AG577">
            <v>0.10541488555291112</v>
          </cell>
          <cell r="BY577" t="str">
            <v>AMBVD50</v>
          </cell>
          <cell r="BZ577">
            <v>100</v>
          </cell>
          <cell r="CA577" t="str">
            <v>20-04-2009</v>
          </cell>
          <cell r="CB577" t="str">
            <v xml:space="preserve">AMBV        </v>
          </cell>
          <cell r="CC577" t="str">
            <v xml:space="preserve">PN        </v>
          </cell>
          <cell r="CD577" t="str">
            <v xml:space="preserve">OPCOES COMPRA  </v>
          </cell>
          <cell r="CE577" t="str">
            <v xml:space="preserve">Americano      </v>
          </cell>
        </row>
        <row r="578">
          <cell r="AF578">
            <v>573</v>
          </cell>
          <cell r="AG578">
            <v>0.10543627495451435</v>
          </cell>
          <cell r="BY578" t="str">
            <v>AMBVD2</v>
          </cell>
          <cell r="BZ578">
            <v>102</v>
          </cell>
          <cell r="CA578" t="str">
            <v>20-04-2009</v>
          </cell>
          <cell r="CB578" t="str">
            <v xml:space="preserve">AMBV        </v>
          </cell>
          <cell r="CC578" t="str">
            <v xml:space="preserve">PN        </v>
          </cell>
          <cell r="CD578" t="str">
            <v xml:space="preserve">OPCOES COMPRA  </v>
          </cell>
          <cell r="CE578" t="str">
            <v xml:space="preserve">Americano      </v>
          </cell>
        </row>
        <row r="579">
          <cell r="AF579">
            <v>574</v>
          </cell>
          <cell r="AG579">
            <v>0.10545759024030321</v>
          </cell>
          <cell r="BY579" t="str">
            <v>AMBVD4</v>
          </cell>
          <cell r="BZ579">
            <v>104</v>
          </cell>
          <cell r="CA579" t="str">
            <v>20-04-2009</v>
          </cell>
          <cell r="CB579" t="str">
            <v xml:space="preserve">AMBV        </v>
          </cell>
          <cell r="CC579" t="str">
            <v xml:space="preserve">PN        </v>
          </cell>
          <cell r="CD579" t="str">
            <v xml:space="preserve">OPCOES COMPRA  </v>
          </cell>
          <cell r="CE579" t="str">
            <v xml:space="preserve">Americano      </v>
          </cell>
        </row>
        <row r="580">
          <cell r="AF580">
            <v>575</v>
          </cell>
          <cell r="AG580">
            <v>0.10547883179483208</v>
          </cell>
          <cell r="BY580" t="str">
            <v>AMBVD6</v>
          </cell>
          <cell r="BZ580">
            <v>106</v>
          </cell>
          <cell r="CA580" t="str">
            <v>20-04-2009</v>
          </cell>
          <cell r="CB580" t="str">
            <v xml:space="preserve">AMBV        </v>
          </cell>
          <cell r="CC580" t="str">
            <v xml:space="preserve">PN        </v>
          </cell>
          <cell r="CD580" t="str">
            <v xml:space="preserve">OPCOES COMPRA  </v>
          </cell>
          <cell r="CE580" t="str">
            <v xml:space="preserve">Americano      </v>
          </cell>
        </row>
        <row r="581">
          <cell r="AF581">
            <v>576</v>
          </cell>
          <cell r="AG581">
            <v>0.10549999999999993</v>
          </cell>
          <cell r="BY581" t="str">
            <v>AMBVD8</v>
          </cell>
          <cell r="BZ581">
            <v>108</v>
          </cell>
          <cell r="CA581" t="str">
            <v>20-04-2009</v>
          </cell>
          <cell r="CB581" t="str">
            <v xml:space="preserve">AMBV        </v>
          </cell>
          <cell r="CC581" t="str">
            <v xml:space="preserve">PN        </v>
          </cell>
          <cell r="CD581" t="str">
            <v xml:space="preserve">OPCOES COMPRA  </v>
          </cell>
          <cell r="CE581" t="str">
            <v xml:space="preserve">Americano      </v>
          </cell>
        </row>
        <row r="582">
          <cell r="AF582">
            <v>577</v>
          </cell>
          <cell r="AG582">
            <v>0.10550383670119978</v>
          </cell>
          <cell r="BY582" t="str">
            <v>AMBVD98</v>
          </cell>
          <cell r="BZ582">
            <v>110</v>
          </cell>
          <cell r="CA582" t="str">
            <v>20-04-2009</v>
          </cell>
          <cell r="CB582" t="str">
            <v xml:space="preserve">AMBV        </v>
          </cell>
          <cell r="CC582" t="str">
            <v xml:space="preserve">PN        </v>
          </cell>
          <cell r="CD582" t="str">
            <v xml:space="preserve">OPCOES COMPRA  </v>
          </cell>
          <cell r="CE582" t="str">
            <v xml:space="preserve">Europeu        </v>
          </cell>
        </row>
        <row r="583">
          <cell r="AF583">
            <v>578</v>
          </cell>
          <cell r="AG583">
            <v>0.10550766013986346</v>
          </cell>
          <cell r="BY583" t="str">
            <v>AMBVD12</v>
          </cell>
          <cell r="BZ583">
            <v>112</v>
          </cell>
          <cell r="CA583" t="str">
            <v>20-04-2009</v>
          </cell>
          <cell r="CB583" t="str">
            <v xml:space="preserve">AMBV        </v>
          </cell>
          <cell r="CC583" t="str">
            <v xml:space="preserve">PN        </v>
          </cell>
          <cell r="CD583" t="str">
            <v xml:space="preserve">OPCOES COMPRA  </v>
          </cell>
          <cell r="CE583" t="str">
            <v xml:space="preserve">Americano      </v>
          </cell>
        </row>
        <row r="584">
          <cell r="AF584">
            <v>579</v>
          </cell>
          <cell r="AG584">
            <v>0.10551147038464048</v>
          </cell>
          <cell r="BY584" t="str">
            <v>AMBVD99</v>
          </cell>
          <cell r="BZ584">
            <v>125</v>
          </cell>
          <cell r="CA584" t="str">
            <v>20-04-2009</v>
          </cell>
          <cell r="CB584" t="str">
            <v xml:space="preserve">AMBV        </v>
          </cell>
          <cell r="CC584" t="str">
            <v xml:space="preserve">PN        </v>
          </cell>
          <cell r="CD584" t="str">
            <v xml:space="preserve">OPCOES COMPRA  </v>
          </cell>
          <cell r="CE584" t="str">
            <v xml:space="preserve">Europeu        </v>
          </cell>
        </row>
        <row r="585">
          <cell r="AF585">
            <v>580</v>
          </cell>
          <cell r="AG585">
            <v>0.10551526750370677</v>
          </cell>
          <cell r="BY585" t="str">
            <v>AMBVE86</v>
          </cell>
          <cell r="BZ585">
            <v>86</v>
          </cell>
          <cell r="CA585" t="str">
            <v>18-05-2009</v>
          </cell>
          <cell r="CB585" t="str">
            <v xml:space="preserve">AMBV        </v>
          </cell>
          <cell r="CC585" t="str">
            <v xml:space="preserve">PN        </v>
          </cell>
          <cell r="CD585" t="str">
            <v xml:space="preserve">OPCOES COMPRA  </v>
          </cell>
          <cell r="CE585" t="str">
            <v xml:space="preserve">Americano      </v>
          </cell>
        </row>
        <row r="586">
          <cell r="AF586">
            <v>581</v>
          </cell>
          <cell r="AG586">
            <v>0.10551905156476993</v>
          </cell>
          <cell r="BY586" t="str">
            <v>AMBVE88</v>
          </cell>
          <cell r="BZ586">
            <v>88</v>
          </cell>
          <cell r="CA586" t="str">
            <v>18-05-2009</v>
          </cell>
          <cell r="CB586" t="str">
            <v xml:space="preserve">AMBV        </v>
          </cell>
          <cell r="CC586" t="str">
            <v xml:space="preserve">PN        </v>
          </cell>
          <cell r="CD586" t="str">
            <v xml:space="preserve">OPCOES COMPRA  </v>
          </cell>
          <cell r="CE586" t="str">
            <v xml:space="preserve">Americano      </v>
          </cell>
        </row>
        <row r="587">
          <cell r="AF587">
            <v>582</v>
          </cell>
          <cell r="AG587">
            <v>0.10552282263507262</v>
          </cell>
          <cell r="BY587" t="str">
            <v>AMBVE90</v>
          </cell>
          <cell r="BZ587">
            <v>90</v>
          </cell>
          <cell r="CA587" t="str">
            <v>18-05-2009</v>
          </cell>
          <cell r="CB587" t="str">
            <v xml:space="preserve">AMBV        </v>
          </cell>
          <cell r="CC587" t="str">
            <v xml:space="preserve">PN        </v>
          </cell>
          <cell r="CD587" t="str">
            <v xml:space="preserve">OPCOES COMPRA  </v>
          </cell>
          <cell r="CE587" t="str">
            <v xml:space="preserve">Americano      </v>
          </cell>
        </row>
        <row r="588">
          <cell r="AF588">
            <v>583</v>
          </cell>
          <cell r="AG588">
            <v>0.10552658078139632</v>
          </cell>
          <cell r="BY588" t="str">
            <v>AMBVE42</v>
          </cell>
          <cell r="BZ588">
            <v>92</v>
          </cell>
          <cell r="CA588" t="str">
            <v>18-05-2009</v>
          </cell>
          <cell r="CB588" t="str">
            <v xml:space="preserve">AMBV        </v>
          </cell>
          <cell r="CC588" t="str">
            <v xml:space="preserve">PN        </v>
          </cell>
          <cell r="CD588" t="str">
            <v xml:space="preserve">OPCOES COMPRA  </v>
          </cell>
          <cell r="CE588" t="str">
            <v xml:space="preserve">Americano      </v>
          </cell>
        </row>
        <row r="589">
          <cell r="AF589">
            <v>584</v>
          </cell>
          <cell r="AG589">
            <v>0.10553032607006596</v>
          </cell>
          <cell r="BY589" t="str">
            <v>AMBVE44</v>
          </cell>
          <cell r="BZ589">
            <v>94</v>
          </cell>
          <cell r="CA589" t="str">
            <v>18-05-2009</v>
          </cell>
          <cell r="CB589" t="str">
            <v xml:space="preserve">AMBV        </v>
          </cell>
          <cell r="CC589" t="str">
            <v xml:space="preserve">PN        </v>
          </cell>
          <cell r="CD589" t="str">
            <v xml:space="preserve">OPCOES COMPRA  </v>
          </cell>
          <cell r="CE589" t="str">
            <v xml:space="preserve">Americano      </v>
          </cell>
        </row>
        <row r="590">
          <cell r="AF590">
            <v>585</v>
          </cell>
          <cell r="AG590">
            <v>0.1055340585669533</v>
          </cell>
          <cell r="BY590" t="str">
            <v>AMBVE46</v>
          </cell>
          <cell r="BZ590">
            <v>96</v>
          </cell>
          <cell r="CA590" t="str">
            <v>18-05-2009</v>
          </cell>
          <cell r="CB590" t="str">
            <v xml:space="preserve">AMBV        </v>
          </cell>
          <cell r="CC590" t="str">
            <v xml:space="preserve">PN        </v>
          </cell>
          <cell r="CD590" t="str">
            <v xml:space="preserve">OPCOES COMPRA  </v>
          </cell>
          <cell r="CE590" t="str">
            <v xml:space="preserve">Americano      </v>
          </cell>
        </row>
        <row r="591">
          <cell r="AF591">
            <v>586</v>
          </cell>
          <cell r="AG591">
            <v>0.10553777833748068</v>
          </cell>
          <cell r="BY591" t="str">
            <v>AMBVE48</v>
          </cell>
          <cell r="BZ591">
            <v>98</v>
          </cell>
          <cell r="CA591" t="str">
            <v>18-05-2009</v>
          </cell>
          <cell r="CB591" t="str">
            <v xml:space="preserve">AMBV        </v>
          </cell>
          <cell r="CC591" t="str">
            <v xml:space="preserve">PN        </v>
          </cell>
          <cell r="CD591" t="str">
            <v xml:space="preserve">OPCOES COMPRA  </v>
          </cell>
          <cell r="CE591" t="str">
            <v xml:space="preserve">Americano      </v>
          </cell>
        </row>
        <row r="592">
          <cell r="AF592">
            <v>587</v>
          </cell>
          <cell r="AG592">
            <v>0.10554148544662478</v>
          </cell>
          <cell r="BY592" t="str">
            <v>AMBVE50</v>
          </cell>
          <cell r="BZ592">
            <v>100</v>
          </cell>
          <cell r="CA592" t="str">
            <v>18-05-2009</v>
          </cell>
          <cell r="CB592" t="str">
            <v xml:space="preserve">AMBV        </v>
          </cell>
          <cell r="CC592" t="str">
            <v xml:space="preserve">PN        </v>
          </cell>
          <cell r="CD592" t="str">
            <v xml:space="preserve">OPCOES COMPRA  </v>
          </cell>
          <cell r="CE592" t="str">
            <v xml:space="preserve">Americano      </v>
          </cell>
        </row>
        <row r="593">
          <cell r="AF593">
            <v>588</v>
          </cell>
          <cell r="AG593">
            <v>0.10554517995892199</v>
          </cell>
          <cell r="BY593" t="str">
            <v>AMBVE2</v>
          </cell>
          <cell r="BZ593">
            <v>102</v>
          </cell>
          <cell r="CA593" t="str">
            <v>18-05-2009</v>
          </cell>
          <cell r="CB593" t="str">
            <v xml:space="preserve">AMBV        </v>
          </cell>
          <cell r="CC593" t="str">
            <v xml:space="preserve">PN        </v>
          </cell>
          <cell r="CD593" t="str">
            <v xml:space="preserve">OPCOES COMPRA  </v>
          </cell>
          <cell r="CE593" t="str">
            <v xml:space="preserve">Americano      </v>
          </cell>
        </row>
        <row r="594">
          <cell r="AF594">
            <v>589</v>
          </cell>
          <cell r="AG594">
            <v>0.10554886193846924</v>
          </cell>
          <cell r="BY594" t="str">
            <v>AMBVE4</v>
          </cell>
          <cell r="BZ594">
            <v>104</v>
          </cell>
          <cell r="CA594" t="str">
            <v>18-05-2009</v>
          </cell>
          <cell r="CB594" t="str">
            <v xml:space="preserve">AMBV        </v>
          </cell>
          <cell r="CC594" t="str">
            <v xml:space="preserve">PN        </v>
          </cell>
          <cell r="CD594" t="str">
            <v xml:space="preserve">OPCOES COMPRA  </v>
          </cell>
          <cell r="CE594" t="str">
            <v xml:space="preserve">Americano      </v>
          </cell>
        </row>
        <row r="595">
          <cell r="AF595">
            <v>590</v>
          </cell>
          <cell r="AG595">
            <v>0.10555253144893006</v>
          </cell>
          <cell r="BY595" t="str">
            <v>AMBVE6</v>
          </cell>
          <cell r="BZ595">
            <v>106</v>
          </cell>
          <cell r="CA595" t="str">
            <v>18-05-2009</v>
          </cell>
          <cell r="CB595" t="str">
            <v xml:space="preserve">AMBV        </v>
          </cell>
          <cell r="CC595" t="str">
            <v xml:space="preserve">PN        </v>
          </cell>
          <cell r="CD595" t="str">
            <v xml:space="preserve">OPCOES COMPRA  </v>
          </cell>
          <cell r="CE595" t="str">
            <v xml:space="preserve">Americano      </v>
          </cell>
        </row>
        <row r="596">
          <cell r="AF596">
            <v>591</v>
          </cell>
          <cell r="AG596">
            <v>0.1055561885535381</v>
          </cell>
          <cell r="BY596" t="str">
            <v>AMBVE8</v>
          </cell>
          <cell r="BZ596">
            <v>108</v>
          </cell>
          <cell r="CA596" t="str">
            <v>18-05-2009</v>
          </cell>
          <cell r="CB596" t="str">
            <v xml:space="preserve">AMBV        </v>
          </cell>
          <cell r="CC596" t="str">
            <v xml:space="preserve">PN        </v>
          </cell>
          <cell r="CD596" t="str">
            <v xml:space="preserve">OPCOES COMPRA  </v>
          </cell>
          <cell r="CE596" t="str">
            <v xml:space="preserve">Americano      </v>
          </cell>
        </row>
        <row r="597">
          <cell r="AF597">
            <v>592</v>
          </cell>
          <cell r="AG597">
            <v>0.10555983331509933</v>
          </cell>
          <cell r="BY597" t="str">
            <v>AMBVE10</v>
          </cell>
          <cell r="BZ597">
            <v>110</v>
          </cell>
          <cell r="CA597" t="str">
            <v>18-05-2009</v>
          </cell>
          <cell r="CB597" t="str">
            <v xml:space="preserve">AMBV        </v>
          </cell>
          <cell r="CC597" t="str">
            <v xml:space="preserve">PN        </v>
          </cell>
          <cell r="CD597" t="str">
            <v xml:space="preserve">OPCOES COMPRA  </v>
          </cell>
          <cell r="CE597" t="str">
            <v xml:space="preserve">Americano      </v>
          </cell>
        </row>
        <row r="598">
          <cell r="AF598">
            <v>593</v>
          </cell>
          <cell r="AG598">
            <v>0.10556346579599629</v>
          </cell>
          <cell r="BY598" t="str">
            <v>AMBVF98</v>
          </cell>
          <cell r="BZ598">
            <v>100</v>
          </cell>
          <cell r="CA598" t="str">
            <v>15-06-2009</v>
          </cell>
          <cell r="CB598" t="str">
            <v xml:space="preserve">AMBV        </v>
          </cell>
          <cell r="CC598" t="str">
            <v xml:space="preserve">PN        </v>
          </cell>
          <cell r="CD598" t="str">
            <v xml:space="preserve">OPCOES COMPRA  </v>
          </cell>
          <cell r="CE598" t="str">
            <v xml:space="preserve">Europeu        </v>
          </cell>
        </row>
        <row r="599">
          <cell r="AF599">
            <v>594</v>
          </cell>
          <cell r="AG599">
            <v>0.10556708605819298</v>
          </cell>
          <cell r="BY599" t="str">
            <v>AMBVF99</v>
          </cell>
          <cell r="BZ599">
            <v>110</v>
          </cell>
          <cell r="CA599" t="str">
            <v>15-06-2009</v>
          </cell>
          <cell r="CB599" t="str">
            <v xml:space="preserve">AMBV        </v>
          </cell>
          <cell r="CC599" t="str">
            <v xml:space="preserve">PN        </v>
          </cell>
          <cell r="CD599" t="str">
            <v xml:space="preserve">OPCOES COMPRA  </v>
          </cell>
          <cell r="CE599" t="str">
            <v xml:space="preserve">Europeu        </v>
          </cell>
        </row>
        <row r="600">
          <cell r="AF600">
            <v>595</v>
          </cell>
          <cell r="AG600">
            <v>0.10557069416323639</v>
          </cell>
          <cell r="BY600" t="str">
            <v>AMBVO90</v>
          </cell>
          <cell r="BZ600">
            <v>90</v>
          </cell>
          <cell r="CA600" t="str">
            <v>16-03-2009</v>
          </cell>
          <cell r="CB600" t="str">
            <v xml:space="preserve">AMBV        </v>
          </cell>
          <cell r="CC600" t="str">
            <v xml:space="preserve">PN        </v>
          </cell>
          <cell r="CD600" t="str">
            <v xml:space="preserve">OPCOES VENDA   </v>
          </cell>
          <cell r="CE600" t="str">
            <v xml:space="preserve">Europeu        </v>
          </cell>
        </row>
        <row r="601">
          <cell r="AF601">
            <v>596</v>
          </cell>
          <cell r="AG601">
            <v>0.10557429017226094</v>
          </cell>
          <cell r="BY601" t="str">
            <v>AMBVO92</v>
          </cell>
          <cell r="BZ601">
            <v>92</v>
          </cell>
          <cell r="CA601" t="str">
            <v>16-03-2009</v>
          </cell>
          <cell r="CB601" t="str">
            <v xml:space="preserve">AMBV        </v>
          </cell>
          <cell r="CC601" t="str">
            <v xml:space="preserve">PN        </v>
          </cell>
          <cell r="CD601" t="str">
            <v xml:space="preserve">OPCOES VENDA   </v>
          </cell>
          <cell r="CE601" t="str">
            <v xml:space="preserve">Europeu        </v>
          </cell>
        </row>
        <row r="602">
          <cell r="AF602">
            <v>597</v>
          </cell>
          <cell r="AG602">
            <v>0.10557787414599118</v>
          </cell>
          <cell r="BY602" t="str">
            <v>AMBVO94</v>
          </cell>
          <cell r="BZ602">
            <v>94</v>
          </cell>
          <cell r="CA602" t="str">
            <v>16-03-2009</v>
          </cell>
          <cell r="CB602" t="str">
            <v xml:space="preserve">AMBV        </v>
          </cell>
          <cell r="CC602" t="str">
            <v xml:space="preserve">PN        </v>
          </cell>
          <cell r="CD602" t="str">
            <v xml:space="preserve">OPCOES VENDA   </v>
          </cell>
          <cell r="CE602" t="str">
            <v xml:space="preserve">Europeu        </v>
          </cell>
        </row>
        <row r="603">
          <cell r="AF603">
            <v>598</v>
          </cell>
          <cell r="AG603">
            <v>0.10558144614474796</v>
          </cell>
          <cell r="BY603" t="str">
            <v>AMBVO96</v>
          </cell>
          <cell r="BZ603">
            <v>96</v>
          </cell>
          <cell r="CA603" t="str">
            <v>16-03-2009</v>
          </cell>
          <cell r="CB603" t="str">
            <v xml:space="preserve">AMBV        </v>
          </cell>
          <cell r="CC603" t="str">
            <v xml:space="preserve">PN        </v>
          </cell>
          <cell r="CD603" t="str">
            <v xml:space="preserve">OPCOES VENDA   </v>
          </cell>
          <cell r="CE603" t="str">
            <v xml:space="preserve">Europeu        </v>
          </cell>
        </row>
        <row r="604">
          <cell r="AF604">
            <v>599</v>
          </cell>
          <cell r="AG604">
            <v>0.10558500622844735</v>
          </cell>
          <cell r="BY604" t="str">
            <v>AMBVO98</v>
          </cell>
          <cell r="BZ604">
            <v>98</v>
          </cell>
          <cell r="CA604" t="str">
            <v>16-03-2009</v>
          </cell>
          <cell r="CB604" t="str">
            <v xml:space="preserve">AMBV        </v>
          </cell>
          <cell r="CC604" t="str">
            <v xml:space="preserve">PN        </v>
          </cell>
          <cell r="CD604" t="str">
            <v xml:space="preserve">OPCOES VENDA   </v>
          </cell>
          <cell r="CE604" t="str">
            <v xml:space="preserve">Europeu        </v>
          </cell>
        </row>
        <row r="605">
          <cell r="AF605">
            <v>600</v>
          </cell>
          <cell r="AG605">
            <v>0.10558855445660753</v>
          </cell>
          <cell r="BY605" t="str">
            <v>AMBVO50</v>
          </cell>
          <cell r="BZ605">
            <v>100</v>
          </cell>
          <cell r="CA605" t="str">
            <v>16-03-2009</v>
          </cell>
          <cell r="CB605" t="str">
            <v xml:space="preserve">AMBV        </v>
          </cell>
          <cell r="CC605" t="str">
            <v xml:space="preserve">PN        </v>
          </cell>
          <cell r="CD605" t="str">
            <v xml:space="preserve">OPCOES VENDA   </v>
          </cell>
          <cell r="CE605" t="str">
            <v xml:space="preserve">Europeu        </v>
          </cell>
        </row>
        <row r="606">
          <cell r="AF606">
            <v>601</v>
          </cell>
          <cell r="AG606">
            <v>0.1055920908883512</v>
          </cell>
          <cell r="BY606" t="str">
            <v>AMBVO2</v>
          </cell>
          <cell r="BZ606">
            <v>102</v>
          </cell>
          <cell r="CA606" t="str">
            <v>16-03-2009</v>
          </cell>
          <cell r="CB606" t="str">
            <v xml:space="preserve">AMBV        </v>
          </cell>
          <cell r="CC606" t="str">
            <v xml:space="preserve">PN        </v>
          </cell>
          <cell r="CD606" t="str">
            <v xml:space="preserve">OPCOES VENDA   </v>
          </cell>
          <cell r="CE606" t="str">
            <v xml:space="preserve">Europeu        </v>
          </cell>
        </row>
        <row r="607">
          <cell r="AF607">
            <v>602</v>
          </cell>
          <cell r="AG607">
            <v>0.1055956155824076</v>
          </cell>
          <cell r="BY607" t="str">
            <v>AMBVO4</v>
          </cell>
          <cell r="BZ607">
            <v>104</v>
          </cell>
          <cell r="CA607" t="str">
            <v>16-03-2009</v>
          </cell>
          <cell r="CB607" t="str">
            <v xml:space="preserve">AMBV        </v>
          </cell>
          <cell r="CC607" t="str">
            <v xml:space="preserve">PN        </v>
          </cell>
          <cell r="CD607" t="str">
            <v xml:space="preserve">OPCOES VENDA   </v>
          </cell>
          <cell r="CE607" t="str">
            <v xml:space="preserve">Europeu        </v>
          </cell>
        </row>
        <row r="608">
          <cell r="AF608">
            <v>603</v>
          </cell>
          <cell r="AG608">
            <v>0.10559912859711762</v>
          </cell>
          <cell r="BY608" t="str">
            <v>AMBVO6</v>
          </cell>
          <cell r="BZ608">
            <v>106</v>
          </cell>
          <cell r="CA608" t="str">
            <v>16-03-2009</v>
          </cell>
          <cell r="CB608" t="str">
            <v xml:space="preserve">AMBV        </v>
          </cell>
          <cell r="CC608" t="str">
            <v xml:space="preserve">PN        </v>
          </cell>
          <cell r="CD608" t="str">
            <v xml:space="preserve">OPCOES VENDA   </v>
          </cell>
          <cell r="CE608" t="str">
            <v xml:space="preserve">Europeu        </v>
          </cell>
        </row>
        <row r="609">
          <cell r="AF609">
            <v>604</v>
          </cell>
          <cell r="AG609">
            <v>0.10560262999043557</v>
          </cell>
          <cell r="BY609" t="str">
            <v>AMBVO9</v>
          </cell>
          <cell r="BZ609">
            <v>109</v>
          </cell>
          <cell r="CA609" t="str">
            <v>16-03-2009</v>
          </cell>
          <cell r="CB609" t="str">
            <v xml:space="preserve">AMBV        </v>
          </cell>
          <cell r="CC609" t="str">
            <v xml:space="preserve">PN        </v>
          </cell>
          <cell r="CD609" t="str">
            <v xml:space="preserve">OPCOES VENDA   </v>
          </cell>
          <cell r="CE609" t="str">
            <v xml:space="preserve">Europeu        </v>
          </cell>
        </row>
        <row r="610">
          <cell r="AF610">
            <v>605</v>
          </cell>
          <cell r="AG610">
            <v>0.10560611981993384</v>
          </cell>
          <cell r="BY610" t="str">
            <v>AMBVO10</v>
          </cell>
          <cell r="BZ610">
            <v>110</v>
          </cell>
          <cell r="CA610" t="str">
            <v>16-03-2009</v>
          </cell>
          <cell r="CB610" t="str">
            <v xml:space="preserve">AMBV        </v>
          </cell>
          <cell r="CC610" t="str">
            <v xml:space="preserve">PN        </v>
          </cell>
          <cell r="CD610" t="str">
            <v xml:space="preserve">OPCOES VENDA   </v>
          </cell>
          <cell r="CE610" t="str">
            <v xml:space="preserve">Europeu        </v>
          </cell>
        </row>
        <row r="611">
          <cell r="AF611">
            <v>606</v>
          </cell>
          <cell r="AG611">
            <v>0.10560959814280402</v>
          </cell>
          <cell r="BY611" t="str">
            <v>AMBVP90</v>
          </cell>
          <cell r="BZ611">
            <v>90</v>
          </cell>
          <cell r="CA611" t="str">
            <v>20-04-2009</v>
          </cell>
          <cell r="CB611" t="str">
            <v xml:space="preserve">AMBV        </v>
          </cell>
          <cell r="CC611" t="str">
            <v xml:space="preserve">PN        </v>
          </cell>
          <cell r="CD611" t="str">
            <v xml:space="preserve">OPCOES VENDA   </v>
          </cell>
          <cell r="CE611" t="str">
            <v xml:space="preserve">Europeu        </v>
          </cell>
        </row>
        <row r="612">
          <cell r="AF612">
            <v>607</v>
          </cell>
          <cell r="AG612">
            <v>0.10561306501586176</v>
          </cell>
          <cell r="BY612" t="str">
            <v>AMBVP92</v>
          </cell>
          <cell r="BZ612">
            <v>92</v>
          </cell>
          <cell r="CA612" t="str">
            <v>20-04-2009</v>
          </cell>
          <cell r="CB612" t="str">
            <v xml:space="preserve">AMBV        </v>
          </cell>
          <cell r="CC612" t="str">
            <v xml:space="preserve">PN        </v>
          </cell>
          <cell r="CD612" t="str">
            <v xml:space="preserve">OPCOES VENDA   </v>
          </cell>
          <cell r="CE612" t="str">
            <v xml:space="preserve">Europeu        </v>
          </cell>
        </row>
        <row r="613">
          <cell r="AF613">
            <v>608</v>
          </cell>
          <cell r="AG613">
            <v>0.10561652049554926</v>
          </cell>
          <cell r="BY613" t="str">
            <v>AMBVP94</v>
          </cell>
          <cell r="BZ613">
            <v>94</v>
          </cell>
          <cell r="CA613" t="str">
            <v>20-04-2009</v>
          </cell>
          <cell r="CB613" t="str">
            <v xml:space="preserve">AMBV        </v>
          </cell>
          <cell r="CC613" t="str">
            <v xml:space="preserve">PN        </v>
          </cell>
          <cell r="CD613" t="str">
            <v xml:space="preserve">OPCOES VENDA   </v>
          </cell>
          <cell r="CE613" t="str">
            <v xml:space="preserve">Europeu        </v>
          </cell>
        </row>
        <row r="614">
          <cell r="AF614">
            <v>609</v>
          </cell>
          <cell r="AG614">
            <v>0.10561996463793855</v>
          </cell>
          <cell r="BY614" t="str">
            <v>AMBVP96</v>
          </cell>
          <cell r="BZ614">
            <v>96</v>
          </cell>
          <cell r="CA614" t="str">
            <v>20-04-2009</v>
          </cell>
          <cell r="CB614" t="str">
            <v xml:space="preserve">AMBV        </v>
          </cell>
          <cell r="CC614" t="str">
            <v xml:space="preserve">PN        </v>
          </cell>
          <cell r="CD614" t="str">
            <v xml:space="preserve">OPCOES VENDA   </v>
          </cell>
          <cell r="CE614" t="str">
            <v xml:space="preserve">Europeu        </v>
          </cell>
        </row>
        <row r="615">
          <cell r="AF615">
            <v>610</v>
          </cell>
          <cell r="AG615">
            <v>0.10562339749873395</v>
          </cell>
          <cell r="BY615" t="str">
            <v>AMBVP48</v>
          </cell>
          <cell r="BZ615">
            <v>98</v>
          </cell>
          <cell r="CA615" t="str">
            <v>20-04-2009</v>
          </cell>
          <cell r="CB615" t="str">
            <v xml:space="preserve">AMBV        </v>
          </cell>
          <cell r="CC615" t="str">
            <v xml:space="preserve">PN        </v>
          </cell>
          <cell r="CD615" t="str">
            <v xml:space="preserve">OPCOES VENDA   </v>
          </cell>
          <cell r="CE615" t="str">
            <v xml:space="preserve">Europeu        </v>
          </cell>
        </row>
        <row r="616">
          <cell r="AF616">
            <v>611</v>
          </cell>
          <cell r="AG616">
            <v>0.10562681913327543</v>
          </cell>
          <cell r="BY616" t="str">
            <v>AMBVP50</v>
          </cell>
          <cell r="BZ616">
            <v>100</v>
          </cell>
          <cell r="CA616" t="str">
            <v>20-04-2009</v>
          </cell>
          <cell r="CB616" t="str">
            <v xml:space="preserve">AMBV        </v>
          </cell>
          <cell r="CC616" t="str">
            <v xml:space="preserve">PN        </v>
          </cell>
          <cell r="CD616" t="str">
            <v xml:space="preserve">OPCOES VENDA   </v>
          </cell>
          <cell r="CE616" t="str">
            <v xml:space="preserve">Europeu        </v>
          </cell>
        </row>
        <row r="617">
          <cell r="AF617">
            <v>612</v>
          </cell>
          <cell r="AG617">
            <v>0.10563022959654211</v>
          </cell>
          <cell r="BY617" t="str">
            <v>AMBVP2</v>
          </cell>
          <cell r="BZ617">
            <v>102</v>
          </cell>
          <cell r="CA617" t="str">
            <v>20-04-2009</v>
          </cell>
          <cell r="CB617" t="str">
            <v xml:space="preserve">AMBV        </v>
          </cell>
          <cell r="CC617" t="str">
            <v xml:space="preserve">PN        </v>
          </cell>
          <cell r="CD617" t="str">
            <v xml:space="preserve">OPCOES VENDA   </v>
          </cell>
          <cell r="CE617" t="str">
            <v xml:space="preserve">Europeu        </v>
          </cell>
        </row>
        <row r="618">
          <cell r="AF618">
            <v>613</v>
          </cell>
          <cell r="AG618">
            <v>0.10563362894315453</v>
          </cell>
          <cell r="BY618" t="str">
            <v>AMBVP4</v>
          </cell>
          <cell r="BZ618">
            <v>104</v>
          </cell>
          <cell r="CA618" t="str">
            <v>20-04-2009</v>
          </cell>
          <cell r="CB618" t="str">
            <v xml:space="preserve">AMBV        </v>
          </cell>
          <cell r="CC618" t="str">
            <v xml:space="preserve">PN        </v>
          </cell>
          <cell r="CD618" t="str">
            <v xml:space="preserve">OPCOES VENDA   </v>
          </cell>
          <cell r="CE618" t="str">
            <v xml:space="preserve">Europeu        </v>
          </cell>
        </row>
        <row r="619">
          <cell r="AF619">
            <v>614</v>
          </cell>
          <cell r="AG619">
            <v>0.10563701722737684</v>
          </cell>
          <cell r="BY619" t="str">
            <v>AMBVP6</v>
          </cell>
          <cell r="BZ619">
            <v>106</v>
          </cell>
          <cell r="CA619" t="str">
            <v>20-04-2009</v>
          </cell>
          <cell r="CB619" t="str">
            <v xml:space="preserve">AMBV        </v>
          </cell>
          <cell r="CC619" t="str">
            <v xml:space="preserve">PN        </v>
          </cell>
          <cell r="CD619" t="str">
            <v xml:space="preserve">OPCOES VENDA   </v>
          </cell>
          <cell r="CE619" t="str">
            <v xml:space="preserve">Europeu        </v>
          </cell>
        </row>
        <row r="620">
          <cell r="AF620">
            <v>615</v>
          </cell>
          <cell r="AG620">
            <v>0.10564039450312168</v>
          </cell>
          <cell r="BY620" t="str">
            <v>AMBVP8</v>
          </cell>
          <cell r="BZ620">
            <v>108</v>
          </cell>
          <cell r="CA620" t="str">
            <v>20-04-2009</v>
          </cell>
          <cell r="CB620" t="str">
            <v xml:space="preserve">AMBV        </v>
          </cell>
          <cell r="CC620" t="str">
            <v xml:space="preserve">PN        </v>
          </cell>
          <cell r="CD620" t="str">
            <v xml:space="preserve">OPCOES VENDA   </v>
          </cell>
          <cell r="CE620" t="str">
            <v xml:space="preserve">Europeu        </v>
          </cell>
        </row>
        <row r="621">
          <cell r="AF621">
            <v>616</v>
          </cell>
          <cell r="AG621">
            <v>0.10564376082395177</v>
          </cell>
          <cell r="BY621" t="str">
            <v>AMBVP98</v>
          </cell>
          <cell r="BZ621">
            <v>110</v>
          </cell>
          <cell r="CA621" t="str">
            <v>20-04-2009</v>
          </cell>
          <cell r="CB621" t="str">
            <v xml:space="preserve">AMBV        </v>
          </cell>
          <cell r="CC621" t="str">
            <v xml:space="preserve">PN        </v>
          </cell>
          <cell r="CD621" t="str">
            <v xml:space="preserve">OPCOES VENDA   </v>
          </cell>
          <cell r="CE621" t="str">
            <v xml:space="preserve">Europeu        </v>
          </cell>
        </row>
        <row r="622">
          <cell r="AF622">
            <v>617</v>
          </cell>
          <cell r="AG622">
            <v>0.10564711624308232</v>
          </cell>
          <cell r="BY622" t="str">
            <v>AMBVP12</v>
          </cell>
          <cell r="BZ622">
            <v>112</v>
          </cell>
          <cell r="CA622" t="str">
            <v>20-04-2009</v>
          </cell>
          <cell r="CB622" t="str">
            <v xml:space="preserve">AMBV        </v>
          </cell>
          <cell r="CC622" t="str">
            <v xml:space="preserve">PN        </v>
          </cell>
          <cell r="CD622" t="str">
            <v xml:space="preserve">OPCOES VENDA   </v>
          </cell>
          <cell r="CE622" t="str">
            <v xml:space="preserve">Europeu        </v>
          </cell>
        </row>
        <row r="623">
          <cell r="AF623">
            <v>618</v>
          </cell>
          <cell r="AG623">
            <v>0.10565046081338503</v>
          </cell>
          <cell r="BY623" t="str">
            <v>AMBVP99</v>
          </cell>
          <cell r="BZ623">
            <v>125</v>
          </cell>
          <cell r="CA623" t="str">
            <v>20-04-2009</v>
          </cell>
          <cell r="CB623" t="str">
            <v xml:space="preserve">AMBV        </v>
          </cell>
          <cell r="CC623" t="str">
            <v xml:space="preserve">PN        </v>
          </cell>
          <cell r="CD623" t="str">
            <v xml:space="preserve">OPCOES VENDA   </v>
          </cell>
          <cell r="CE623" t="str">
            <v xml:space="preserve">Europeu        </v>
          </cell>
        </row>
        <row r="624">
          <cell r="AF624">
            <v>619</v>
          </cell>
          <cell r="AG624">
            <v>0.10565379458738988</v>
          </cell>
          <cell r="BY624" t="str">
            <v>AMBVQ86</v>
          </cell>
          <cell r="BZ624">
            <v>86</v>
          </cell>
          <cell r="CA624" t="str">
            <v>18-05-2009</v>
          </cell>
          <cell r="CB624" t="str">
            <v xml:space="preserve">AMBV        </v>
          </cell>
          <cell r="CC624" t="str">
            <v xml:space="preserve">PN        </v>
          </cell>
          <cell r="CD624" t="str">
            <v xml:space="preserve">OPCOES VENDA   </v>
          </cell>
          <cell r="CE624" t="str">
            <v xml:space="preserve">Europeu        </v>
          </cell>
        </row>
        <row r="625">
          <cell r="AF625">
            <v>620</v>
          </cell>
          <cell r="AG625">
            <v>0.10565711761728847</v>
          </cell>
          <cell r="BY625" t="str">
            <v>AMBVQ88</v>
          </cell>
          <cell r="BZ625">
            <v>88</v>
          </cell>
          <cell r="CA625" t="str">
            <v>18-05-2009</v>
          </cell>
          <cell r="CB625" t="str">
            <v xml:space="preserve">AMBV        </v>
          </cell>
          <cell r="CC625" t="str">
            <v xml:space="preserve">PN        </v>
          </cell>
          <cell r="CD625" t="str">
            <v xml:space="preserve">OPCOES VENDA   </v>
          </cell>
          <cell r="CE625" t="str">
            <v xml:space="preserve">Europeu        </v>
          </cell>
        </row>
        <row r="626">
          <cell r="AF626">
            <v>621</v>
          </cell>
          <cell r="AG626">
            <v>0.10566042995493663</v>
          </cell>
          <cell r="BY626" t="str">
            <v>AMBVQ90</v>
          </cell>
          <cell r="BZ626">
            <v>90</v>
          </cell>
          <cell r="CA626" t="str">
            <v>18-05-2009</v>
          </cell>
          <cell r="CB626" t="str">
            <v xml:space="preserve">AMBV        </v>
          </cell>
          <cell r="CC626" t="str">
            <v xml:space="preserve">PN        </v>
          </cell>
          <cell r="CD626" t="str">
            <v xml:space="preserve">OPCOES VENDA   </v>
          </cell>
          <cell r="CE626" t="str">
            <v xml:space="preserve">Europeu        </v>
          </cell>
        </row>
        <row r="627">
          <cell r="AF627">
            <v>622</v>
          </cell>
          <cell r="AG627">
            <v>0.10566373165185672</v>
          </cell>
          <cell r="BY627" t="str">
            <v>AMBVQ42</v>
          </cell>
          <cell r="BZ627">
            <v>92</v>
          </cell>
          <cell r="CA627" t="str">
            <v>18-05-2009</v>
          </cell>
          <cell r="CB627" t="str">
            <v xml:space="preserve">AMBV        </v>
          </cell>
          <cell r="CC627" t="str">
            <v xml:space="preserve">PN        </v>
          </cell>
          <cell r="CD627" t="str">
            <v xml:space="preserve">OPCOES VENDA   </v>
          </cell>
          <cell r="CE627" t="str">
            <v xml:space="preserve">Europeu        </v>
          </cell>
        </row>
        <row r="628">
          <cell r="AF628">
            <v>623</v>
          </cell>
          <cell r="AG628">
            <v>0.10566702275924067</v>
          </cell>
          <cell r="BY628" t="str">
            <v>AMBVQ44</v>
          </cell>
          <cell r="BZ628">
            <v>94</v>
          </cell>
          <cell r="CA628" t="str">
            <v>18-05-2009</v>
          </cell>
          <cell r="CB628" t="str">
            <v xml:space="preserve">AMBV        </v>
          </cell>
          <cell r="CC628" t="str">
            <v xml:space="preserve">PN        </v>
          </cell>
          <cell r="CD628" t="str">
            <v xml:space="preserve">OPCOES VENDA   </v>
          </cell>
          <cell r="CE628" t="str">
            <v xml:space="preserve">Europeu        </v>
          </cell>
        </row>
        <row r="629">
          <cell r="AF629">
            <v>624</v>
          </cell>
          <cell r="AG629">
            <v>0.10567030332795291</v>
          </cell>
          <cell r="BY629" t="str">
            <v>AMBVQ46</v>
          </cell>
          <cell r="BZ629">
            <v>96</v>
          </cell>
          <cell r="CA629" t="str">
            <v>18-05-2009</v>
          </cell>
          <cell r="CB629" t="str">
            <v xml:space="preserve">AMBV        </v>
          </cell>
          <cell r="CC629" t="str">
            <v xml:space="preserve">PN        </v>
          </cell>
          <cell r="CD629" t="str">
            <v xml:space="preserve">OPCOES VENDA   </v>
          </cell>
          <cell r="CE629" t="str">
            <v xml:space="preserve">Europeu        </v>
          </cell>
        </row>
        <row r="630">
          <cell r="AF630">
            <v>625</v>
          </cell>
          <cell r="AG630">
            <v>0.10567357340853212</v>
          </cell>
          <cell r="BY630" t="str">
            <v>AMBVQ48</v>
          </cell>
          <cell r="BZ630">
            <v>98</v>
          </cell>
          <cell r="CA630" t="str">
            <v>18-05-2009</v>
          </cell>
          <cell r="CB630" t="str">
            <v xml:space="preserve">AMBV        </v>
          </cell>
          <cell r="CC630" t="str">
            <v xml:space="preserve">PN        </v>
          </cell>
          <cell r="CD630" t="str">
            <v xml:space="preserve">OPCOES VENDA   </v>
          </cell>
          <cell r="CE630" t="str">
            <v xml:space="preserve">Europeu        </v>
          </cell>
        </row>
        <row r="631">
          <cell r="AF631">
            <v>626</v>
          </cell>
          <cell r="AG631">
            <v>0.1056768330511948</v>
          </cell>
          <cell r="BY631" t="str">
            <v>AMBVQ50</v>
          </cell>
          <cell r="BZ631">
            <v>100</v>
          </cell>
          <cell r="CA631" t="str">
            <v>18-05-2009</v>
          </cell>
          <cell r="CB631" t="str">
            <v xml:space="preserve">AMBV        </v>
          </cell>
          <cell r="CC631" t="str">
            <v xml:space="preserve">PN        </v>
          </cell>
          <cell r="CD631" t="str">
            <v xml:space="preserve">OPCOES VENDA   </v>
          </cell>
          <cell r="CE631" t="str">
            <v xml:space="preserve">Europeu        </v>
          </cell>
        </row>
        <row r="632">
          <cell r="AF632">
            <v>627</v>
          </cell>
          <cell r="AG632">
            <v>0.10568008230583703</v>
          </cell>
          <cell r="BY632" t="str">
            <v>AMBVQ2</v>
          </cell>
          <cell r="BZ632">
            <v>102</v>
          </cell>
          <cell r="CA632" t="str">
            <v>18-05-2009</v>
          </cell>
          <cell r="CB632" t="str">
            <v xml:space="preserve">AMBV        </v>
          </cell>
          <cell r="CC632" t="str">
            <v xml:space="preserve">PN        </v>
          </cell>
          <cell r="CD632" t="str">
            <v xml:space="preserve">OPCOES VENDA   </v>
          </cell>
          <cell r="CE632" t="str">
            <v xml:space="preserve">Europeu        </v>
          </cell>
        </row>
        <row r="633">
          <cell r="AF633">
            <v>628</v>
          </cell>
          <cell r="AG633">
            <v>0.10568332122203739</v>
          </cell>
          <cell r="BY633" t="str">
            <v>AMBVQ4</v>
          </cell>
          <cell r="BZ633">
            <v>104</v>
          </cell>
          <cell r="CA633" t="str">
            <v>18-05-2009</v>
          </cell>
          <cell r="CB633" t="str">
            <v xml:space="preserve">AMBV        </v>
          </cell>
          <cell r="CC633" t="str">
            <v xml:space="preserve">PN        </v>
          </cell>
          <cell r="CD633" t="str">
            <v xml:space="preserve">OPCOES VENDA   </v>
          </cell>
          <cell r="CE633" t="str">
            <v xml:space="preserve">Europeu        </v>
          </cell>
        </row>
        <row r="634">
          <cell r="AF634">
            <v>629</v>
          </cell>
          <cell r="AG634">
            <v>0.10568654984905979</v>
          </cell>
          <cell r="BY634" t="str">
            <v>AMBVQ6</v>
          </cell>
          <cell r="BZ634">
            <v>106</v>
          </cell>
          <cell r="CA634" t="str">
            <v>18-05-2009</v>
          </cell>
          <cell r="CB634" t="str">
            <v xml:space="preserve">AMBV        </v>
          </cell>
          <cell r="CC634" t="str">
            <v xml:space="preserve">PN        </v>
          </cell>
          <cell r="CD634" t="str">
            <v xml:space="preserve">OPCOES VENDA   </v>
          </cell>
          <cell r="CE634" t="str">
            <v xml:space="preserve">Europeu        </v>
          </cell>
        </row>
        <row r="635">
          <cell r="AF635">
            <v>630</v>
          </cell>
          <cell r="AG635">
            <v>0.10568976823585574</v>
          </cell>
          <cell r="BY635" t="str">
            <v>AMBVQ8</v>
          </cell>
          <cell r="BZ635">
            <v>108</v>
          </cell>
          <cell r="CA635" t="str">
            <v>18-05-2009</v>
          </cell>
          <cell r="CB635" t="str">
            <v xml:space="preserve">AMBV        </v>
          </cell>
          <cell r="CC635" t="str">
            <v xml:space="preserve">PN        </v>
          </cell>
          <cell r="CD635" t="str">
            <v xml:space="preserve">OPCOES VENDA   </v>
          </cell>
          <cell r="CE635" t="str">
            <v xml:space="preserve">Europeu        </v>
          </cell>
        </row>
        <row r="636">
          <cell r="AF636">
            <v>631</v>
          </cell>
          <cell r="AG636">
            <v>0.1056929764310659</v>
          </cell>
          <cell r="BY636" t="str">
            <v>AMBVQ10</v>
          </cell>
          <cell r="BZ636">
            <v>110</v>
          </cell>
          <cell r="CA636" t="str">
            <v>18-05-2009</v>
          </cell>
          <cell r="CB636" t="str">
            <v xml:space="preserve">AMBV        </v>
          </cell>
          <cell r="CC636" t="str">
            <v xml:space="preserve">PN        </v>
          </cell>
          <cell r="CD636" t="str">
            <v xml:space="preserve">OPCOES VENDA   </v>
          </cell>
          <cell r="CE636" t="str">
            <v xml:space="preserve">Europeu        </v>
          </cell>
        </row>
        <row r="637">
          <cell r="AF637">
            <v>632</v>
          </cell>
          <cell r="AG637">
            <v>0.10569617448302404</v>
          </cell>
          <cell r="BY637" t="str">
            <v>AMBVR98</v>
          </cell>
          <cell r="BZ637">
            <v>100</v>
          </cell>
          <cell r="CA637" t="str">
            <v>15-06-2009</v>
          </cell>
          <cell r="CB637" t="str">
            <v xml:space="preserve">AMBV        </v>
          </cell>
          <cell r="CC637" t="str">
            <v xml:space="preserve">PN        </v>
          </cell>
          <cell r="CD637" t="str">
            <v xml:space="preserve">OPCOES VENDA   </v>
          </cell>
          <cell r="CE637" t="str">
            <v xml:space="preserve">Europeu        </v>
          </cell>
        </row>
        <row r="638">
          <cell r="AF638">
            <v>633</v>
          </cell>
          <cell r="AG638">
            <v>0.10569936243975864</v>
          </cell>
          <cell r="BY638" t="str">
            <v>AMBVR99</v>
          </cell>
          <cell r="BZ638">
            <v>110</v>
          </cell>
          <cell r="CA638" t="str">
            <v>15-06-2009</v>
          </cell>
          <cell r="CB638" t="str">
            <v xml:space="preserve">AMBV        </v>
          </cell>
          <cell r="CC638" t="str">
            <v xml:space="preserve">PN        </v>
          </cell>
          <cell r="CD638" t="str">
            <v xml:space="preserve">OPCOES VENDA   </v>
          </cell>
          <cell r="CE638" t="str">
            <v xml:space="preserve">Europeu        </v>
          </cell>
        </row>
        <row r="639">
          <cell r="AF639">
            <v>634</v>
          </cell>
          <cell r="AG639">
            <v>0.10570254034899573</v>
          </cell>
          <cell r="BY639" t="str">
            <v>GETID1</v>
          </cell>
          <cell r="BZ639">
            <v>15.5</v>
          </cell>
          <cell r="CA639" t="str">
            <v>20-04-2009</v>
          </cell>
          <cell r="CB639" t="str">
            <v xml:space="preserve">GETI        </v>
          </cell>
          <cell r="CC639" t="str">
            <v xml:space="preserve">PN        </v>
          </cell>
          <cell r="CD639" t="str">
            <v xml:space="preserve">OPCOES COMPRA  </v>
          </cell>
          <cell r="CE639" t="str">
            <v xml:space="preserve">Europeu        </v>
          </cell>
        </row>
        <row r="640">
          <cell r="AF640">
            <v>635</v>
          </cell>
          <cell r="AG640">
            <v>0.1057057082581605</v>
          </cell>
          <cell r="BY640" t="str">
            <v>GETID16</v>
          </cell>
          <cell r="BZ640">
            <v>16</v>
          </cell>
          <cell r="CA640" t="str">
            <v>20-04-2009</v>
          </cell>
          <cell r="CB640" t="str">
            <v xml:space="preserve">GETI        </v>
          </cell>
          <cell r="CC640" t="str">
            <v xml:space="preserve">PN        </v>
          </cell>
          <cell r="CD640" t="str">
            <v xml:space="preserve">OPCOES COMPRA  </v>
          </cell>
          <cell r="CE640" t="str">
            <v xml:space="preserve">Americano      </v>
          </cell>
        </row>
        <row r="641">
          <cell r="AF641">
            <v>636</v>
          </cell>
          <cell r="AG641">
            <v>0.10570886621437992</v>
          </cell>
          <cell r="BY641" t="str">
            <v>GETID2</v>
          </cell>
          <cell r="BZ641">
            <v>16.5</v>
          </cell>
          <cell r="CA641" t="str">
            <v>20-04-2009</v>
          </cell>
          <cell r="CB641" t="str">
            <v xml:space="preserve">GETI        </v>
          </cell>
          <cell r="CC641" t="str">
            <v xml:space="preserve">PN        </v>
          </cell>
          <cell r="CD641" t="str">
            <v xml:space="preserve">OPCOES COMPRA  </v>
          </cell>
          <cell r="CE641" t="str">
            <v xml:space="preserve">Europeu        </v>
          </cell>
        </row>
        <row r="642">
          <cell r="AF642">
            <v>637</v>
          </cell>
          <cell r="AG642">
            <v>0.10571201426448651</v>
          </cell>
          <cell r="BY642" t="str">
            <v>GETID17</v>
          </cell>
          <cell r="BZ642">
            <v>17</v>
          </cell>
          <cell r="CA642" t="str">
            <v>20-04-2009</v>
          </cell>
          <cell r="CB642" t="str">
            <v xml:space="preserve">GETI        </v>
          </cell>
          <cell r="CC642" t="str">
            <v xml:space="preserve">PN        </v>
          </cell>
          <cell r="CD642" t="str">
            <v xml:space="preserve">OPCOES COMPRA  </v>
          </cell>
          <cell r="CE642" t="str">
            <v xml:space="preserve">Americano      </v>
          </cell>
        </row>
        <row r="643">
          <cell r="AF643">
            <v>638</v>
          </cell>
          <cell r="AG643">
            <v>0.10571515245501795</v>
          </cell>
          <cell r="BY643" t="str">
            <v>GETIP1</v>
          </cell>
          <cell r="BZ643">
            <v>15.5</v>
          </cell>
          <cell r="CA643" t="str">
            <v>20-04-2009</v>
          </cell>
          <cell r="CB643" t="str">
            <v xml:space="preserve">GETI        </v>
          </cell>
          <cell r="CC643" t="str">
            <v xml:space="preserve">PN        </v>
          </cell>
          <cell r="CD643" t="str">
            <v xml:space="preserve">OPCOES VENDA   </v>
          </cell>
          <cell r="CE643" t="str">
            <v xml:space="preserve">Europeu        </v>
          </cell>
        </row>
        <row r="644">
          <cell r="AF644">
            <v>639</v>
          </cell>
          <cell r="AG644">
            <v>0.10571828083222146</v>
          </cell>
          <cell r="BY644" t="str">
            <v>GETIP16</v>
          </cell>
          <cell r="BZ644">
            <v>16</v>
          </cell>
          <cell r="CA644" t="str">
            <v>20-04-2009</v>
          </cell>
          <cell r="CB644" t="str">
            <v xml:space="preserve">GETI        </v>
          </cell>
          <cell r="CC644" t="str">
            <v xml:space="preserve">PN        </v>
          </cell>
          <cell r="CD644" t="str">
            <v xml:space="preserve">OPCOES VENDA   </v>
          </cell>
          <cell r="CE644" t="str">
            <v xml:space="preserve">Europeu        </v>
          </cell>
        </row>
        <row r="645">
          <cell r="AF645">
            <v>640</v>
          </cell>
          <cell r="AG645">
            <v>0.10572139944205605</v>
          </cell>
          <cell r="BY645" t="str">
            <v>GETIP2</v>
          </cell>
          <cell r="BZ645">
            <v>16.5</v>
          </cell>
          <cell r="CA645" t="str">
            <v>20-04-2009</v>
          </cell>
          <cell r="CB645" t="str">
            <v xml:space="preserve">GETI        </v>
          </cell>
          <cell r="CC645" t="str">
            <v xml:space="preserve">PN        </v>
          </cell>
          <cell r="CD645" t="str">
            <v xml:space="preserve">OPCOES VENDA   </v>
          </cell>
          <cell r="CE645" t="str">
            <v xml:space="preserve">Europeu        </v>
          </cell>
        </row>
        <row r="646">
          <cell r="AF646">
            <v>641</v>
          </cell>
          <cell r="AG646">
            <v>0.10572450833019342</v>
          </cell>
          <cell r="BY646" t="str">
            <v>GETIP17</v>
          </cell>
          <cell r="BZ646">
            <v>17</v>
          </cell>
          <cell r="CA646" t="str">
            <v>20-04-2009</v>
          </cell>
          <cell r="CB646" t="str">
            <v xml:space="preserve">GETI        </v>
          </cell>
          <cell r="CC646" t="str">
            <v xml:space="preserve">PN        </v>
          </cell>
          <cell r="CD646" t="str">
            <v xml:space="preserve">OPCOES VENDA   </v>
          </cell>
          <cell r="CE646" t="str">
            <v xml:space="preserve">Europeu        </v>
          </cell>
        </row>
        <row r="647">
          <cell r="AF647">
            <v>642</v>
          </cell>
          <cell r="AG647">
            <v>0.10572760754202126</v>
          </cell>
          <cell r="BY647" t="str">
            <v>LAMEC1</v>
          </cell>
          <cell r="BZ647">
            <v>5.5</v>
          </cell>
          <cell r="CA647" t="str">
            <v>16-03-2009</v>
          </cell>
          <cell r="CB647" t="str">
            <v xml:space="preserve">LAME        </v>
          </cell>
          <cell r="CC647" t="str">
            <v xml:space="preserve">PN        </v>
          </cell>
          <cell r="CD647" t="str">
            <v xml:space="preserve">OPCOES COMPRA  </v>
          </cell>
          <cell r="CE647" t="str">
            <v xml:space="preserve">Europeu        </v>
          </cell>
        </row>
        <row r="648">
          <cell r="AF648">
            <v>643</v>
          </cell>
          <cell r="AG648">
            <v>0.10573069712264505</v>
          </cell>
          <cell r="BY648" t="str">
            <v>LAMEC6</v>
          </cell>
          <cell r="BZ648">
            <v>6</v>
          </cell>
          <cell r="CA648" t="str">
            <v>16-03-2009</v>
          </cell>
          <cell r="CB648" t="str">
            <v xml:space="preserve">LAME        </v>
          </cell>
          <cell r="CC648" t="str">
            <v xml:space="preserve">PN        </v>
          </cell>
          <cell r="CD648" t="str">
            <v xml:space="preserve">OPCOES COMPRA  </v>
          </cell>
          <cell r="CE648" t="str">
            <v xml:space="preserve">Americano      </v>
          </cell>
        </row>
        <row r="649">
          <cell r="AF649">
            <v>644</v>
          </cell>
          <cell r="AG649">
            <v>0.10573377711689091</v>
          </cell>
          <cell r="BY649" t="str">
            <v>LAMEC2</v>
          </cell>
          <cell r="BZ649">
            <v>6.5</v>
          </cell>
          <cell r="CA649" t="str">
            <v>16-03-2009</v>
          </cell>
          <cell r="CB649" t="str">
            <v xml:space="preserve">LAME        </v>
          </cell>
          <cell r="CC649" t="str">
            <v xml:space="preserve">PN        </v>
          </cell>
          <cell r="CD649" t="str">
            <v xml:space="preserve">OPCOES COMPRA  </v>
          </cell>
          <cell r="CE649" t="str">
            <v xml:space="preserve">Europeu        </v>
          </cell>
        </row>
        <row r="650">
          <cell r="AF650">
            <v>645</v>
          </cell>
          <cell r="AG650">
            <v>0.10573684756930612</v>
          </cell>
          <cell r="BY650" t="str">
            <v>LAMED5</v>
          </cell>
          <cell r="BZ650">
            <v>5</v>
          </cell>
          <cell r="CA650" t="str">
            <v>20-04-2009</v>
          </cell>
          <cell r="CB650" t="str">
            <v xml:space="preserve">LAME        </v>
          </cell>
          <cell r="CC650" t="str">
            <v xml:space="preserve">PN        </v>
          </cell>
          <cell r="CD650" t="str">
            <v xml:space="preserve">OPCOES COMPRA  </v>
          </cell>
          <cell r="CE650" t="str">
            <v xml:space="preserve">Americano      </v>
          </cell>
        </row>
        <row r="651">
          <cell r="AF651">
            <v>646</v>
          </cell>
          <cell r="AG651">
            <v>0.10573990852416348</v>
          </cell>
          <cell r="BY651" t="str">
            <v>LAMEE5</v>
          </cell>
          <cell r="BZ651">
            <v>5</v>
          </cell>
          <cell r="CA651" t="str">
            <v>18-05-2009</v>
          </cell>
          <cell r="CB651" t="str">
            <v xml:space="preserve">LAME        </v>
          </cell>
          <cell r="CC651" t="str">
            <v xml:space="preserve">PN        </v>
          </cell>
          <cell r="CD651" t="str">
            <v xml:space="preserve">OPCOES COMPRA  </v>
          </cell>
          <cell r="CE651" t="str">
            <v xml:space="preserve">Americano      </v>
          </cell>
        </row>
        <row r="652">
          <cell r="AF652">
            <v>647</v>
          </cell>
          <cell r="AG652">
            <v>0.10574296002546157</v>
          </cell>
          <cell r="BY652" t="str">
            <v>LAMEO1</v>
          </cell>
          <cell r="BZ652">
            <v>5.5</v>
          </cell>
          <cell r="CA652" t="str">
            <v>16-03-2009</v>
          </cell>
          <cell r="CB652" t="str">
            <v xml:space="preserve">LAME        </v>
          </cell>
          <cell r="CC652" t="str">
            <v xml:space="preserve">PN        </v>
          </cell>
          <cell r="CD652" t="str">
            <v xml:space="preserve">OPCOES VENDA   </v>
          </cell>
          <cell r="CE652" t="str">
            <v xml:space="preserve">Europeu        </v>
          </cell>
        </row>
        <row r="653">
          <cell r="AF653">
            <v>648</v>
          </cell>
          <cell r="AG653">
            <v>0.10574600211692808</v>
          </cell>
          <cell r="BY653" t="str">
            <v>LAMEO6</v>
          </cell>
          <cell r="BZ653">
            <v>6</v>
          </cell>
          <cell r="CA653" t="str">
            <v>16-03-2009</v>
          </cell>
          <cell r="CB653" t="str">
            <v xml:space="preserve">LAME        </v>
          </cell>
          <cell r="CC653" t="str">
            <v xml:space="preserve">PN        </v>
          </cell>
          <cell r="CD653" t="str">
            <v xml:space="preserve">OPCOES VENDA   </v>
          </cell>
          <cell r="CE653" t="str">
            <v xml:space="preserve">Europeu        </v>
          </cell>
        </row>
        <row r="654">
          <cell r="AF654">
            <v>649</v>
          </cell>
          <cell r="AG654">
            <v>0.10574903484202136</v>
          </cell>
          <cell r="BY654" t="str">
            <v>LAMEO2</v>
          </cell>
          <cell r="BZ654">
            <v>6.5</v>
          </cell>
          <cell r="CA654" t="str">
            <v>16-03-2009</v>
          </cell>
          <cell r="CB654" t="str">
            <v xml:space="preserve">LAME        </v>
          </cell>
          <cell r="CC654" t="str">
            <v xml:space="preserve">PN        </v>
          </cell>
          <cell r="CD654" t="str">
            <v xml:space="preserve">OPCOES VENDA   </v>
          </cell>
          <cell r="CE654" t="str">
            <v xml:space="preserve">Europeu        </v>
          </cell>
        </row>
        <row r="655">
          <cell r="AF655">
            <v>650</v>
          </cell>
          <cell r="AG655">
            <v>0.10575205824393219</v>
          </cell>
          <cell r="BY655" t="str">
            <v>LAMEP5</v>
          </cell>
          <cell r="BZ655">
            <v>5</v>
          </cell>
          <cell r="CA655" t="str">
            <v>20-04-2009</v>
          </cell>
          <cell r="CB655" t="str">
            <v xml:space="preserve">LAME        </v>
          </cell>
          <cell r="CC655" t="str">
            <v xml:space="preserve">PN        </v>
          </cell>
          <cell r="CD655" t="str">
            <v xml:space="preserve">OPCOES VENDA   </v>
          </cell>
          <cell r="CE655" t="str">
            <v xml:space="preserve">Europeu        </v>
          </cell>
        </row>
        <row r="656">
          <cell r="AF656">
            <v>651</v>
          </cell>
          <cell r="AG656">
            <v>0.10575507236558646</v>
          </cell>
          <cell r="BY656" t="str">
            <v>LAMEQ5</v>
          </cell>
          <cell r="BZ656">
            <v>5</v>
          </cell>
          <cell r="CA656" t="str">
            <v>18-05-2009</v>
          </cell>
          <cell r="CB656" t="str">
            <v xml:space="preserve">LAME        </v>
          </cell>
          <cell r="CC656" t="str">
            <v xml:space="preserve">PN        </v>
          </cell>
          <cell r="CD656" t="str">
            <v xml:space="preserve">OPCOES VENDA   </v>
          </cell>
          <cell r="CE656" t="str">
            <v xml:space="preserve">Europeu        </v>
          </cell>
        </row>
        <row r="657">
          <cell r="AF657">
            <v>652</v>
          </cell>
          <cell r="AG657">
            <v>0.10575807724964714</v>
          </cell>
          <cell r="BY657" t="str">
            <v>PETRC13</v>
          </cell>
          <cell r="BZ657">
            <v>12.32</v>
          </cell>
          <cell r="CA657" t="str">
            <v>16-03-2009</v>
          </cell>
          <cell r="CB657" t="str">
            <v xml:space="preserve">PETR        </v>
          </cell>
          <cell r="CC657" t="str">
            <v xml:space="preserve">PN        </v>
          </cell>
          <cell r="CD657" t="str">
            <v xml:space="preserve">OPCOES COMPRA  </v>
          </cell>
          <cell r="CE657" t="str">
            <v xml:space="preserve">Europeu        </v>
          </cell>
        </row>
        <row r="658">
          <cell r="AF658">
            <v>653</v>
          </cell>
          <cell r="AG658">
            <v>0.10576107293851589</v>
          </cell>
          <cell r="BY658" t="str">
            <v>PETRC16</v>
          </cell>
          <cell r="BZ658">
            <v>15.32</v>
          </cell>
          <cell r="CA658" t="str">
            <v>16-03-2009</v>
          </cell>
          <cell r="CB658" t="str">
            <v xml:space="preserve">PETR        </v>
          </cell>
          <cell r="CC658" t="str">
            <v xml:space="preserve">PN        </v>
          </cell>
          <cell r="CD658" t="str">
            <v xml:space="preserve">OPCOES COMPRA  </v>
          </cell>
          <cell r="CE658" t="str">
            <v xml:space="preserve">Americano      </v>
          </cell>
        </row>
        <row r="659">
          <cell r="AF659">
            <v>654</v>
          </cell>
          <cell r="AG659">
            <v>0.10576405947433543</v>
          </cell>
          <cell r="BY659" t="str">
            <v>PETRC18</v>
          </cell>
          <cell r="BZ659">
            <v>17.32</v>
          </cell>
          <cell r="CA659" t="str">
            <v>16-03-2009</v>
          </cell>
          <cell r="CB659" t="str">
            <v xml:space="preserve">PETR        </v>
          </cell>
          <cell r="CC659" t="str">
            <v xml:space="preserve">PN        </v>
          </cell>
          <cell r="CD659" t="str">
            <v xml:space="preserve">OPCOES COMPRA  </v>
          </cell>
          <cell r="CE659" t="str">
            <v xml:space="preserve">Americano      </v>
          </cell>
        </row>
        <row r="660">
          <cell r="AF660">
            <v>655</v>
          </cell>
          <cell r="AG660">
            <v>0.1057670368989907</v>
          </cell>
          <cell r="BY660" t="str">
            <v>PETRC20</v>
          </cell>
          <cell r="BZ660">
            <v>19.32</v>
          </cell>
          <cell r="CA660" t="str">
            <v>16-03-2009</v>
          </cell>
          <cell r="CB660" t="str">
            <v xml:space="preserve">PETR        </v>
          </cell>
          <cell r="CC660" t="str">
            <v xml:space="preserve">PN        </v>
          </cell>
          <cell r="CD660" t="str">
            <v xml:space="preserve">OPCOES COMPRA  </v>
          </cell>
          <cell r="CE660" t="str">
            <v xml:space="preserve">Americano      </v>
          </cell>
        </row>
        <row r="661">
          <cell r="AF661">
            <v>656</v>
          </cell>
          <cell r="AG661">
            <v>0.10577000525411262</v>
          </cell>
          <cell r="BY661" t="str">
            <v>PETRC22</v>
          </cell>
          <cell r="BZ661">
            <v>21.32</v>
          </cell>
          <cell r="CA661" t="str">
            <v>16-03-2009</v>
          </cell>
          <cell r="CB661" t="str">
            <v xml:space="preserve">PETR        </v>
          </cell>
          <cell r="CC661" t="str">
            <v xml:space="preserve">PN        </v>
          </cell>
          <cell r="CD661" t="str">
            <v xml:space="preserve">OPCOES COMPRA  </v>
          </cell>
          <cell r="CE661" t="str">
            <v xml:space="preserve">Americano      </v>
          </cell>
        </row>
        <row r="662">
          <cell r="AF662">
            <v>657</v>
          </cell>
          <cell r="AG662">
            <v>0.10577296458107766</v>
          </cell>
          <cell r="BY662" t="str">
            <v>PETRC24</v>
          </cell>
          <cell r="BZ662">
            <v>23.32</v>
          </cell>
          <cell r="CA662" t="str">
            <v>16-03-2009</v>
          </cell>
          <cell r="CB662" t="str">
            <v xml:space="preserve">PETR        </v>
          </cell>
          <cell r="CC662" t="str">
            <v xml:space="preserve">PN        </v>
          </cell>
          <cell r="CD662" t="str">
            <v xml:space="preserve">OPCOES COMPRA  </v>
          </cell>
          <cell r="CE662" t="str">
            <v xml:space="preserve">Americano      </v>
          </cell>
        </row>
        <row r="663">
          <cell r="AF663">
            <v>658</v>
          </cell>
          <cell r="AG663">
            <v>0.10577591492101179</v>
          </cell>
          <cell r="BY663" t="str">
            <v>PETRC1</v>
          </cell>
          <cell r="BZ663">
            <v>23.5</v>
          </cell>
          <cell r="CA663" t="str">
            <v>16-03-2009</v>
          </cell>
          <cell r="CB663" t="str">
            <v xml:space="preserve">PETR        </v>
          </cell>
          <cell r="CC663" t="str">
            <v xml:space="preserve">PN        </v>
          </cell>
          <cell r="CD663" t="str">
            <v xml:space="preserve">OPCOES COMPRA  </v>
          </cell>
          <cell r="CE663" t="str">
            <v xml:space="preserve">Europeu        </v>
          </cell>
        </row>
        <row r="664">
          <cell r="AF664">
            <v>659</v>
          </cell>
          <cell r="AG664">
            <v>0.10577885631479145</v>
          </cell>
          <cell r="BY664" t="str">
            <v>PETRC25</v>
          </cell>
          <cell r="BZ664">
            <v>25</v>
          </cell>
          <cell r="CA664" t="str">
            <v>16-03-2009</v>
          </cell>
          <cell r="CB664" t="str">
            <v xml:space="preserve">PETR        </v>
          </cell>
          <cell r="CC664" t="str">
            <v xml:space="preserve">PN        </v>
          </cell>
          <cell r="CD664" t="str">
            <v xml:space="preserve">OPCOES COMPRA  </v>
          </cell>
          <cell r="CE664" t="str">
            <v xml:space="preserve">Europeu        </v>
          </cell>
        </row>
        <row r="665">
          <cell r="AF665">
            <v>660</v>
          </cell>
          <cell r="AG665">
            <v>0.10578178880304523</v>
          </cell>
          <cell r="BY665" t="str">
            <v>PETRC26</v>
          </cell>
          <cell r="BZ665">
            <v>25.32</v>
          </cell>
          <cell r="CA665" t="str">
            <v>16-03-2009</v>
          </cell>
          <cell r="CB665" t="str">
            <v xml:space="preserve">PETR        </v>
          </cell>
          <cell r="CC665" t="str">
            <v xml:space="preserve">PN        </v>
          </cell>
          <cell r="CD665" t="str">
            <v xml:space="preserve">OPCOES COMPRA  </v>
          </cell>
          <cell r="CE665" t="str">
            <v xml:space="preserve">Americano      </v>
          </cell>
        </row>
        <row r="666">
          <cell r="AF666">
            <v>661</v>
          </cell>
          <cell r="AG666">
            <v>0.10578471242615595</v>
          </cell>
          <cell r="BY666" t="str">
            <v>PETRC27</v>
          </cell>
          <cell r="BZ666">
            <v>27</v>
          </cell>
          <cell r="CA666" t="str">
            <v>16-03-2009</v>
          </cell>
          <cell r="CB666" t="str">
            <v xml:space="preserve">PETR        </v>
          </cell>
          <cell r="CC666" t="str">
            <v xml:space="preserve">PN        </v>
          </cell>
          <cell r="CD666" t="str">
            <v xml:space="preserve">OPCOES COMPRA  </v>
          </cell>
          <cell r="CE666" t="str">
            <v xml:space="preserve">Europeu        </v>
          </cell>
        </row>
        <row r="667">
          <cell r="AF667">
            <v>662</v>
          </cell>
          <cell r="AG667">
            <v>0.10578762722426371</v>
          </cell>
          <cell r="BY667" t="str">
            <v>PETRC28</v>
          </cell>
          <cell r="BZ667">
            <v>27.32</v>
          </cell>
          <cell r="CA667" t="str">
            <v>16-03-2009</v>
          </cell>
          <cell r="CB667" t="str">
            <v xml:space="preserve">PETR        </v>
          </cell>
          <cell r="CC667" t="str">
            <v xml:space="preserve">PN        </v>
          </cell>
          <cell r="CD667" t="str">
            <v xml:space="preserve">OPCOES COMPRA  </v>
          </cell>
          <cell r="CE667" t="str">
            <v xml:space="preserve">Americano      </v>
          </cell>
        </row>
        <row r="668">
          <cell r="AF668">
            <v>663</v>
          </cell>
          <cell r="AG668">
            <v>0.10579053323726528</v>
          </cell>
          <cell r="BY668" t="str">
            <v>PETRC29</v>
          </cell>
          <cell r="BZ668">
            <v>29</v>
          </cell>
          <cell r="CA668" t="str">
            <v>16-03-2009</v>
          </cell>
          <cell r="CB668" t="str">
            <v xml:space="preserve">PETR        </v>
          </cell>
          <cell r="CC668" t="str">
            <v xml:space="preserve">PN        </v>
          </cell>
          <cell r="CD668" t="str">
            <v xml:space="preserve">OPCOES COMPRA  </v>
          </cell>
          <cell r="CE668" t="str">
            <v xml:space="preserve">Europeu        </v>
          </cell>
        </row>
        <row r="669">
          <cell r="AF669">
            <v>664</v>
          </cell>
          <cell r="AG669">
            <v>0.10579343050481849</v>
          </cell>
          <cell r="BY669" t="str">
            <v>PETRC30</v>
          </cell>
          <cell r="BZ669">
            <v>29.32</v>
          </cell>
          <cell r="CA669" t="str">
            <v>16-03-2009</v>
          </cell>
          <cell r="CB669" t="str">
            <v xml:space="preserve">PETR        </v>
          </cell>
          <cell r="CC669" t="str">
            <v xml:space="preserve">PN        </v>
          </cell>
          <cell r="CD669" t="str">
            <v xml:space="preserve">OPCOES COMPRA  </v>
          </cell>
          <cell r="CE669" t="str">
            <v xml:space="preserve">Americano      </v>
          </cell>
        </row>
        <row r="670">
          <cell r="AF670">
            <v>665</v>
          </cell>
          <cell r="AG670">
            <v>0.10579631906634201</v>
          </cell>
          <cell r="BY670" t="str">
            <v>PETRC32</v>
          </cell>
          <cell r="BZ670">
            <v>31.32</v>
          </cell>
          <cell r="CA670" t="str">
            <v>16-03-2009</v>
          </cell>
          <cell r="CB670" t="str">
            <v xml:space="preserve">PETR        </v>
          </cell>
          <cell r="CC670" t="str">
            <v xml:space="preserve">PN        </v>
          </cell>
          <cell r="CD670" t="str">
            <v xml:space="preserve">OPCOES COMPRA  </v>
          </cell>
          <cell r="CE670" t="str">
            <v xml:space="preserve">Americano      </v>
          </cell>
        </row>
        <row r="671">
          <cell r="AF671">
            <v>666</v>
          </cell>
          <cell r="AG671">
            <v>0.10579919896101786</v>
          </cell>
          <cell r="BY671" t="str">
            <v>PETRC33</v>
          </cell>
          <cell r="BZ671">
            <v>33</v>
          </cell>
          <cell r="CA671" t="str">
            <v>16-03-2009</v>
          </cell>
          <cell r="CB671" t="str">
            <v xml:space="preserve">PETR        </v>
          </cell>
          <cell r="CC671" t="str">
            <v xml:space="preserve">PN        </v>
          </cell>
          <cell r="CD671" t="str">
            <v xml:space="preserve">OPCOES COMPRA  </v>
          </cell>
          <cell r="CE671" t="str">
            <v xml:space="preserve">Europeu        </v>
          </cell>
        </row>
        <row r="672">
          <cell r="AF672">
            <v>667</v>
          </cell>
          <cell r="AG672">
            <v>0.1058020702277942</v>
          </cell>
          <cell r="BY672" t="str">
            <v>PETRC34</v>
          </cell>
          <cell r="BZ672">
            <v>34</v>
          </cell>
          <cell r="CA672" t="str">
            <v>16-03-2009</v>
          </cell>
          <cell r="CB672" t="str">
            <v xml:space="preserve">PETR        </v>
          </cell>
          <cell r="CC672" t="str">
            <v xml:space="preserve">PN        </v>
          </cell>
          <cell r="CD672" t="str">
            <v xml:space="preserve">OPCOES COMPRA  </v>
          </cell>
          <cell r="CE672" t="str">
            <v xml:space="preserve">Americano      </v>
          </cell>
        </row>
        <row r="673">
          <cell r="AF673">
            <v>668</v>
          </cell>
          <cell r="AG673">
            <v>0.1058049329053854</v>
          </cell>
          <cell r="BY673" t="str">
            <v>PETRC36</v>
          </cell>
          <cell r="BZ673">
            <v>36</v>
          </cell>
          <cell r="CA673" t="str">
            <v>16-03-2009</v>
          </cell>
          <cell r="CB673" t="str">
            <v xml:space="preserve">PETR        </v>
          </cell>
          <cell r="CC673" t="str">
            <v xml:space="preserve">PN        </v>
          </cell>
          <cell r="CD673" t="str">
            <v xml:space="preserve">OPCOES COMPRA  </v>
          </cell>
          <cell r="CE673" t="str">
            <v xml:space="preserve">Americano      </v>
          </cell>
        </row>
        <row r="674">
          <cell r="AF674">
            <v>669</v>
          </cell>
          <cell r="AG674">
            <v>0.10580778703227445</v>
          </cell>
          <cell r="BY674" t="str">
            <v>PETRC38</v>
          </cell>
          <cell r="BZ674">
            <v>38</v>
          </cell>
          <cell r="CA674" t="str">
            <v>16-03-2009</v>
          </cell>
          <cell r="CB674" t="str">
            <v xml:space="preserve">PETR        </v>
          </cell>
          <cell r="CC674" t="str">
            <v xml:space="preserve">PN        </v>
          </cell>
          <cell r="CD674" t="str">
            <v xml:space="preserve">OPCOES COMPRA  </v>
          </cell>
          <cell r="CE674" t="str">
            <v xml:space="preserve">Americano      </v>
          </cell>
        </row>
        <row r="675">
          <cell r="AF675">
            <v>670</v>
          </cell>
          <cell r="AG675">
            <v>0.10581063264671564</v>
          </cell>
          <cell r="BY675" t="str">
            <v>PETRC39</v>
          </cell>
          <cell r="BZ675">
            <v>38.32</v>
          </cell>
          <cell r="CA675" t="str">
            <v>16-03-2009</v>
          </cell>
          <cell r="CB675" t="str">
            <v xml:space="preserve">PETR        </v>
          </cell>
          <cell r="CC675" t="str">
            <v xml:space="preserve">PN        </v>
          </cell>
          <cell r="CD675" t="str">
            <v xml:space="preserve">OPCOES COMPRA  </v>
          </cell>
          <cell r="CE675" t="str">
            <v xml:space="preserve">Europeu        </v>
          </cell>
        </row>
        <row r="676">
          <cell r="AF676">
            <v>671</v>
          </cell>
          <cell r="AG676">
            <v>0.10581346978673456</v>
          </cell>
          <cell r="BY676" t="str">
            <v>PETRC40</v>
          </cell>
          <cell r="BZ676">
            <v>40</v>
          </cell>
          <cell r="CA676" t="str">
            <v>16-03-2009</v>
          </cell>
          <cell r="CB676" t="str">
            <v xml:space="preserve">PETR        </v>
          </cell>
          <cell r="CC676" t="str">
            <v xml:space="preserve">PN        </v>
          </cell>
          <cell r="CD676" t="str">
            <v xml:space="preserve">OPCOES COMPRA  </v>
          </cell>
          <cell r="CE676" t="str">
            <v xml:space="preserve">Americano      </v>
          </cell>
        </row>
        <row r="677">
          <cell r="AF677">
            <v>672</v>
          </cell>
          <cell r="AG677">
            <v>0.10581629849013119</v>
          </cell>
          <cell r="BY677" t="str">
            <v>PETRC42</v>
          </cell>
          <cell r="BZ677">
            <v>42</v>
          </cell>
          <cell r="CA677" t="str">
            <v>16-03-2009</v>
          </cell>
          <cell r="CB677" t="str">
            <v xml:space="preserve">PETR        </v>
          </cell>
          <cell r="CC677" t="str">
            <v xml:space="preserve">PN        </v>
          </cell>
          <cell r="CD677" t="str">
            <v xml:space="preserve">OPCOES COMPRA  </v>
          </cell>
          <cell r="CE677" t="str">
            <v xml:space="preserve">Americano      </v>
          </cell>
        </row>
        <row r="678">
          <cell r="AF678">
            <v>673</v>
          </cell>
          <cell r="AG678">
            <v>0.10581911879448058</v>
          </cell>
          <cell r="BY678" t="str">
            <v>PETRC44</v>
          </cell>
          <cell r="BZ678">
            <v>44</v>
          </cell>
          <cell r="CA678" t="str">
            <v>16-03-2009</v>
          </cell>
          <cell r="CB678" t="str">
            <v xml:space="preserve">PETR        </v>
          </cell>
          <cell r="CC678" t="str">
            <v xml:space="preserve">PN        </v>
          </cell>
          <cell r="CD678" t="str">
            <v xml:space="preserve">OPCOES COMPRA  </v>
          </cell>
          <cell r="CE678" t="str">
            <v xml:space="preserve">Americano      </v>
          </cell>
        </row>
        <row r="679">
          <cell r="AF679">
            <v>674</v>
          </cell>
          <cell r="AG679">
            <v>0.10582193073713508</v>
          </cell>
          <cell r="BY679" t="str">
            <v>PETRD92</v>
          </cell>
          <cell r="BZ679">
            <v>15</v>
          </cell>
          <cell r="CA679" t="str">
            <v>20-04-2009</v>
          </cell>
          <cell r="CB679" t="str">
            <v xml:space="preserve">PETR        </v>
          </cell>
          <cell r="CC679" t="str">
            <v xml:space="preserve">PN        </v>
          </cell>
          <cell r="CD679" t="str">
            <v xml:space="preserve">OPCOES COMPRA  </v>
          </cell>
          <cell r="CE679" t="str">
            <v xml:space="preserve">Europeu        </v>
          </cell>
        </row>
        <row r="680">
          <cell r="AF680">
            <v>675</v>
          </cell>
          <cell r="AG680">
            <v>0.10582473435522677</v>
          </cell>
          <cell r="BY680" t="str">
            <v>PETRD16</v>
          </cell>
          <cell r="BZ680">
            <v>16</v>
          </cell>
          <cell r="CA680" t="str">
            <v>20-04-2009</v>
          </cell>
          <cell r="CB680" t="str">
            <v xml:space="preserve">PETR        </v>
          </cell>
          <cell r="CC680" t="str">
            <v xml:space="preserve">PN        </v>
          </cell>
          <cell r="CD680" t="str">
            <v xml:space="preserve">OPCOES COMPRA  </v>
          </cell>
          <cell r="CE680" t="str">
            <v xml:space="preserve">Americano      </v>
          </cell>
        </row>
        <row r="681">
          <cell r="AF681">
            <v>676</v>
          </cell>
          <cell r="AG681">
            <v>0.10582752968566655</v>
          </cell>
          <cell r="BY681" t="str">
            <v>PETRD91</v>
          </cell>
          <cell r="BZ681">
            <v>17</v>
          </cell>
          <cell r="CA681" t="str">
            <v>20-04-2009</v>
          </cell>
          <cell r="CB681" t="str">
            <v xml:space="preserve">PETR        </v>
          </cell>
          <cell r="CC681" t="str">
            <v xml:space="preserve">PN        </v>
          </cell>
          <cell r="CD681" t="str">
            <v xml:space="preserve">OPCOES COMPRA  </v>
          </cell>
          <cell r="CE681" t="str">
            <v xml:space="preserve">Europeu        </v>
          </cell>
        </row>
        <row r="682">
          <cell r="AF682">
            <v>677</v>
          </cell>
          <cell r="AG682">
            <v>0.10583031676514887</v>
          </cell>
          <cell r="BY682" t="str">
            <v>PETRD18</v>
          </cell>
          <cell r="BZ682">
            <v>18</v>
          </cell>
          <cell r="CA682" t="str">
            <v>20-04-2009</v>
          </cell>
          <cell r="CB682" t="str">
            <v xml:space="preserve">PETR        </v>
          </cell>
          <cell r="CC682" t="str">
            <v xml:space="preserve">PN        </v>
          </cell>
          <cell r="CD682" t="str">
            <v xml:space="preserve">OPCOES COMPRA  </v>
          </cell>
          <cell r="CE682" t="str">
            <v xml:space="preserve">Americano      </v>
          </cell>
        </row>
        <row r="683">
          <cell r="AF683">
            <v>678</v>
          </cell>
          <cell r="AG683">
            <v>0.10583309563015142</v>
          </cell>
          <cell r="BY683" t="str">
            <v>PETRD90</v>
          </cell>
          <cell r="BZ683">
            <v>19</v>
          </cell>
          <cell r="CA683" t="str">
            <v>20-04-2009</v>
          </cell>
          <cell r="CB683" t="str">
            <v xml:space="preserve">PETR        </v>
          </cell>
          <cell r="CC683" t="str">
            <v xml:space="preserve">PN        </v>
          </cell>
          <cell r="CD683" t="str">
            <v xml:space="preserve">OPCOES COMPRA  </v>
          </cell>
          <cell r="CE683" t="str">
            <v xml:space="preserve">Europeu        </v>
          </cell>
        </row>
        <row r="684">
          <cell r="AF684">
            <v>679</v>
          </cell>
          <cell r="AG684">
            <v>0.10583586631693653</v>
          </cell>
          <cell r="BY684" t="str">
            <v>PETRD20</v>
          </cell>
          <cell r="BZ684">
            <v>19.32</v>
          </cell>
          <cell r="CA684" t="str">
            <v>20-04-2009</v>
          </cell>
          <cell r="CB684" t="str">
            <v xml:space="preserve">PETR        </v>
          </cell>
          <cell r="CC684" t="str">
            <v xml:space="preserve">PN        </v>
          </cell>
          <cell r="CD684" t="str">
            <v xml:space="preserve">OPCOES COMPRA  </v>
          </cell>
          <cell r="CE684" t="str">
            <v xml:space="preserve">Americano      </v>
          </cell>
        </row>
        <row r="685">
          <cell r="AF685">
            <v>680</v>
          </cell>
          <cell r="AG685">
            <v>0.10583862886155448</v>
          </cell>
          <cell r="BY685" t="str">
            <v>PETRD89</v>
          </cell>
          <cell r="BZ685">
            <v>20.32</v>
          </cell>
          <cell r="CA685" t="str">
            <v>20-04-2009</v>
          </cell>
          <cell r="CB685" t="str">
            <v xml:space="preserve">PETR        </v>
          </cell>
          <cell r="CC685" t="str">
            <v xml:space="preserve">PN        </v>
          </cell>
          <cell r="CD685" t="str">
            <v xml:space="preserve">OPCOES COMPRA  </v>
          </cell>
          <cell r="CE685" t="str">
            <v xml:space="preserve">Europeu        </v>
          </cell>
        </row>
        <row r="686">
          <cell r="AF686">
            <v>681</v>
          </cell>
          <cell r="AG686">
            <v>0.10584138329984305</v>
          </cell>
          <cell r="BY686" t="str">
            <v>PETRD3</v>
          </cell>
          <cell r="BZ686">
            <v>21.1</v>
          </cell>
          <cell r="CA686" t="str">
            <v>20-04-2009</v>
          </cell>
          <cell r="CB686" t="str">
            <v xml:space="preserve">PETR        </v>
          </cell>
          <cell r="CC686" t="str">
            <v xml:space="preserve">PN        </v>
          </cell>
          <cell r="CD686" t="str">
            <v xml:space="preserve">OPCOES COMPRA  </v>
          </cell>
          <cell r="CE686" t="str">
            <v xml:space="preserve">Europeu        </v>
          </cell>
        </row>
        <row r="687">
          <cell r="AF687">
            <v>682</v>
          </cell>
          <cell r="AG687">
            <v>0.10584412966743062</v>
          </cell>
          <cell r="BY687" t="str">
            <v>PETRD22</v>
          </cell>
          <cell r="BZ687">
            <v>22</v>
          </cell>
          <cell r="CA687" t="str">
            <v>20-04-2009</v>
          </cell>
          <cell r="CB687" t="str">
            <v xml:space="preserve">PETR        </v>
          </cell>
          <cell r="CC687" t="str">
            <v xml:space="preserve">PN        </v>
          </cell>
          <cell r="CD687" t="str">
            <v xml:space="preserve">OPCOES COMPRA  </v>
          </cell>
          <cell r="CE687" t="str">
            <v xml:space="preserve">Americano      </v>
          </cell>
        </row>
        <row r="688">
          <cell r="AF688">
            <v>683</v>
          </cell>
          <cell r="AG688">
            <v>0.10584686799973686</v>
          </cell>
          <cell r="BY688" t="str">
            <v>PETRD88</v>
          </cell>
          <cell r="BZ688">
            <v>22.32</v>
          </cell>
          <cell r="CA688" t="str">
            <v>20-04-2009</v>
          </cell>
          <cell r="CB688" t="str">
            <v xml:space="preserve">PETR        </v>
          </cell>
          <cell r="CC688" t="str">
            <v xml:space="preserve">PN        </v>
          </cell>
          <cell r="CD688" t="str">
            <v xml:space="preserve">OPCOES COMPRA  </v>
          </cell>
          <cell r="CE688" t="str">
            <v xml:space="preserve">Europeu        </v>
          </cell>
        </row>
        <row r="689">
          <cell r="AF689">
            <v>684</v>
          </cell>
          <cell r="AG689">
            <v>0.10584959833197471</v>
          </cell>
          <cell r="BY689" t="str">
            <v>PETRD1</v>
          </cell>
          <cell r="BZ689">
            <v>23</v>
          </cell>
          <cell r="CA689" t="str">
            <v>20-04-2009</v>
          </cell>
          <cell r="CB689" t="str">
            <v xml:space="preserve">PETR        </v>
          </cell>
          <cell r="CC689" t="str">
            <v xml:space="preserve">PN        </v>
          </cell>
          <cell r="CD689" t="str">
            <v xml:space="preserve">OPCOES COMPRA  </v>
          </cell>
          <cell r="CE689" t="str">
            <v xml:space="preserve">Europeu        </v>
          </cell>
        </row>
        <row r="690">
          <cell r="AF690">
            <v>685</v>
          </cell>
          <cell r="AG690">
            <v>0.10585232069915129</v>
          </cell>
          <cell r="BY690" t="str">
            <v>PETRD2</v>
          </cell>
          <cell r="BZ690">
            <v>23.5</v>
          </cell>
          <cell r="CA690" t="str">
            <v>20-04-2009</v>
          </cell>
          <cell r="CB690" t="str">
            <v xml:space="preserve">PETR        </v>
          </cell>
          <cell r="CC690" t="str">
            <v xml:space="preserve">PN        </v>
          </cell>
          <cell r="CD690" t="str">
            <v xml:space="preserve">OPCOES COMPRA  </v>
          </cell>
          <cell r="CE690" t="str">
            <v xml:space="preserve">Europeu        </v>
          </cell>
        </row>
        <row r="691">
          <cell r="AF691">
            <v>686</v>
          </cell>
          <cell r="AG691">
            <v>0.10585503513606986</v>
          </cell>
          <cell r="BY691" t="str">
            <v>PETRD24</v>
          </cell>
          <cell r="BZ691">
            <v>24</v>
          </cell>
          <cell r="CA691" t="str">
            <v>20-04-2009</v>
          </cell>
          <cell r="CB691" t="str">
            <v xml:space="preserve">PETR        </v>
          </cell>
          <cell r="CC691" t="str">
            <v xml:space="preserve">PN        </v>
          </cell>
          <cell r="CD691" t="str">
            <v xml:space="preserve">OPCOES COMPRA  </v>
          </cell>
          <cell r="CE691" t="str">
            <v xml:space="preserve">Americano      </v>
          </cell>
        </row>
        <row r="692">
          <cell r="AF692">
            <v>687</v>
          </cell>
          <cell r="AG692">
            <v>0.10585774167733142</v>
          </cell>
          <cell r="BY692" t="str">
            <v>PETRD25</v>
          </cell>
          <cell r="BZ692">
            <v>25</v>
          </cell>
          <cell r="CA692" t="str">
            <v>20-04-2009</v>
          </cell>
          <cell r="CB692" t="str">
            <v xml:space="preserve">PETR        </v>
          </cell>
          <cell r="CC692" t="str">
            <v xml:space="preserve">PN        </v>
          </cell>
          <cell r="CD692" t="str">
            <v xml:space="preserve">OPCOES COMPRA  </v>
          </cell>
          <cell r="CE692" t="str">
            <v xml:space="preserve">Europeu        </v>
          </cell>
        </row>
        <row r="693">
          <cell r="AF693">
            <v>688</v>
          </cell>
          <cell r="AG693">
            <v>0.10586044035733577</v>
          </cell>
          <cell r="BY693" t="str">
            <v>PETRD4</v>
          </cell>
          <cell r="BZ693">
            <v>25.5</v>
          </cell>
          <cell r="CA693" t="str">
            <v>20-04-2009</v>
          </cell>
          <cell r="CB693" t="str">
            <v xml:space="preserve">PETR        </v>
          </cell>
          <cell r="CC693" t="str">
            <v xml:space="preserve">PN        </v>
          </cell>
          <cell r="CD693" t="str">
            <v xml:space="preserve">OPCOES COMPRA  </v>
          </cell>
          <cell r="CE693" t="str">
            <v xml:space="preserve">Europeu        </v>
          </cell>
        </row>
        <row r="694">
          <cell r="AF694">
            <v>689</v>
          </cell>
          <cell r="AG694">
            <v>0.1058631312102829</v>
          </cell>
          <cell r="BY694" t="str">
            <v>PETRD96</v>
          </cell>
          <cell r="BZ694">
            <v>25.82</v>
          </cell>
          <cell r="CA694" t="str">
            <v>20-04-2009</v>
          </cell>
          <cell r="CB694" t="str">
            <v xml:space="preserve">PETR        </v>
          </cell>
          <cell r="CC694" t="str">
            <v xml:space="preserve">PN        </v>
          </cell>
          <cell r="CD694" t="str">
            <v xml:space="preserve">OPCOES COMPRA  </v>
          </cell>
          <cell r="CE694" t="str">
            <v xml:space="preserve">Europeu        </v>
          </cell>
        </row>
        <row r="695">
          <cell r="AF695">
            <v>690</v>
          </cell>
          <cell r="AG695">
            <v>0.10586581427017583</v>
          </cell>
          <cell r="BY695" t="str">
            <v>PETRD26</v>
          </cell>
          <cell r="BZ695">
            <v>26</v>
          </cell>
          <cell r="CA695" t="str">
            <v>20-04-2009</v>
          </cell>
          <cell r="CB695" t="str">
            <v xml:space="preserve">PETR        </v>
          </cell>
          <cell r="CC695" t="str">
            <v xml:space="preserve">PN        </v>
          </cell>
          <cell r="CD695" t="str">
            <v xml:space="preserve">OPCOES COMPRA  </v>
          </cell>
          <cell r="CE695" t="str">
            <v xml:space="preserve">Americano      </v>
          </cell>
        </row>
        <row r="696">
          <cell r="AF696">
            <v>691</v>
          </cell>
          <cell r="AG696">
            <v>0.10586848957081973</v>
          </cell>
          <cell r="BY696" t="str">
            <v>PETRD93</v>
          </cell>
          <cell r="BZ696">
            <v>26.32</v>
          </cell>
          <cell r="CA696" t="str">
            <v>20-04-2009</v>
          </cell>
          <cell r="CB696" t="str">
            <v xml:space="preserve">PETR        </v>
          </cell>
          <cell r="CC696" t="str">
            <v xml:space="preserve">PN        </v>
          </cell>
          <cell r="CD696" t="str">
            <v xml:space="preserve">OPCOES COMPRA  </v>
          </cell>
          <cell r="CE696" t="str">
            <v xml:space="preserve">Europeu        </v>
          </cell>
        </row>
        <row r="697">
          <cell r="AF697">
            <v>692</v>
          </cell>
          <cell r="AG697">
            <v>0.10587115714582462</v>
          </cell>
          <cell r="BY697" t="str">
            <v>PETRD5</v>
          </cell>
          <cell r="BZ697">
            <v>27.5</v>
          </cell>
          <cell r="CA697" t="str">
            <v>20-04-2009</v>
          </cell>
          <cell r="CB697" t="str">
            <v xml:space="preserve">PETR        </v>
          </cell>
          <cell r="CC697" t="str">
            <v xml:space="preserve">PN        </v>
          </cell>
          <cell r="CD697" t="str">
            <v xml:space="preserve">OPCOES COMPRA  </v>
          </cell>
          <cell r="CE697" t="str">
            <v xml:space="preserve">Europeu        </v>
          </cell>
        </row>
        <row r="698">
          <cell r="AF698">
            <v>693</v>
          </cell>
          <cell r="AG698">
            <v>0.10587381702860732</v>
          </cell>
          <cell r="BY698" t="str">
            <v>PETRD28</v>
          </cell>
          <cell r="BZ698">
            <v>28</v>
          </cell>
          <cell r="CA698" t="str">
            <v>20-04-2009</v>
          </cell>
          <cell r="CB698" t="str">
            <v xml:space="preserve">PETR        </v>
          </cell>
          <cell r="CC698" t="str">
            <v xml:space="preserve">PN        </v>
          </cell>
          <cell r="CD698" t="str">
            <v xml:space="preserve">OPCOES COMPRA  </v>
          </cell>
          <cell r="CE698" t="str">
            <v xml:space="preserve">Americano      </v>
          </cell>
        </row>
        <row r="699">
          <cell r="AF699">
            <v>694</v>
          </cell>
          <cell r="AG699">
            <v>0.10587646925239191</v>
          </cell>
          <cell r="BY699" t="str">
            <v>PETRD30</v>
          </cell>
          <cell r="BZ699">
            <v>30</v>
          </cell>
          <cell r="CA699" t="str">
            <v>20-04-2009</v>
          </cell>
          <cell r="CB699" t="str">
            <v xml:space="preserve">PETR        </v>
          </cell>
          <cell r="CC699" t="str">
            <v xml:space="preserve">PN        </v>
          </cell>
          <cell r="CD699" t="str">
            <v xml:space="preserve">OPCOES COMPRA  </v>
          </cell>
          <cell r="CE699" t="str">
            <v xml:space="preserve">Americano      </v>
          </cell>
        </row>
        <row r="700">
          <cell r="AF700">
            <v>695</v>
          </cell>
          <cell r="AG700">
            <v>0.10587911385021131</v>
          </cell>
          <cell r="BY700" t="str">
            <v>PETRD97</v>
          </cell>
          <cell r="BZ700">
            <v>30.32</v>
          </cell>
          <cell r="CA700" t="str">
            <v>20-04-2009</v>
          </cell>
          <cell r="CB700" t="str">
            <v xml:space="preserve">PETR        </v>
          </cell>
          <cell r="CC700" t="str">
            <v xml:space="preserve">PN        </v>
          </cell>
          <cell r="CD700" t="str">
            <v xml:space="preserve">OPCOES COMPRA  </v>
          </cell>
          <cell r="CE700" t="str">
            <v xml:space="preserve">Europeu        </v>
          </cell>
        </row>
        <row r="701">
          <cell r="AF701">
            <v>696</v>
          </cell>
          <cell r="AG701">
            <v>0.10588175085490859</v>
          </cell>
          <cell r="BY701" t="str">
            <v>PETRD32</v>
          </cell>
          <cell r="BZ701">
            <v>32</v>
          </cell>
          <cell r="CA701" t="str">
            <v>20-04-2009</v>
          </cell>
          <cell r="CB701" t="str">
            <v xml:space="preserve">PETR        </v>
          </cell>
          <cell r="CC701" t="str">
            <v xml:space="preserve">PN        </v>
          </cell>
          <cell r="CD701" t="str">
            <v xml:space="preserve">OPCOES COMPRA  </v>
          </cell>
          <cell r="CE701" t="str">
            <v xml:space="preserve">Americano      </v>
          </cell>
        </row>
        <row r="702">
          <cell r="AF702">
            <v>697</v>
          </cell>
          <cell r="AG702">
            <v>0.10588438029913871</v>
          </cell>
          <cell r="BY702" t="str">
            <v>PETRD33</v>
          </cell>
          <cell r="BZ702">
            <v>33</v>
          </cell>
          <cell r="CA702" t="str">
            <v>20-04-2009</v>
          </cell>
          <cell r="CB702" t="str">
            <v xml:space="preserve">PETR        </v>
          </cell>
          <cell r="CC702" t="str">
            <v xml:space="preserve">PN        </v>
          </cell>
          <cell r="CD702" t="str">
            <v xml:space="preserve">OPCOES COMPRA  </v>
          </cell>
          <cell r="CE702" t="str">
            <v xml:space="preserve">Europeu        </v>
          </cell>
        </row>
        <row r="703">
          <cell r="AF703">
            <v>698</v>
          </cell>
          <cell r="AG703">
            <v>0.10588700221537017</v>
          </cell>
          <cell r="BY703" t="str">
            <v>PETRD34</v>
          </cell>
          <cell r="BZ703">
            <v>34</v>
          </cell>
          <cell r="CA703" t="str">
            <v>20-04-2009</v>
          </cell>
          <cell r="CB703" t="str">
            <v xml:space="preserve">PETR        </v>
          </cell>
          <cell r="CC703" t="str">
            <v xml:space="preserve">PN        </v>
          </cell>
          <cell r="CD703" t="str">
            <v xml:space="preserve">OPCOES COMPRA  </v>
          </cell>
          <cell r="CE703" t="str">
            <v xml:space="preserve">Americano      </v>
          </cell>
        </row>
        <row r="704">
          <cell r="AF704">
            <v>699</v>
          </cell>
          <cell r="AG704">
            <v>0.1058896166358847</v>
          </cell>
          <cell r="BY704" t="str">
            <v>PETRD95</v>
          </cell>
          <cell r="BZ704">
            <v>35</v>
          </cell>
          <cell r="CA704" t="str">
            <v>20-04-2009</v>
          </cell>
          <cell r="CB704" t="str">
            <v xml:space="preserve">PETR        </v>
          </cell>
          <cell r="CC704" t="str">
            <v xml:space="preserve">PN        </v>
          </cell>
          <cell r="CD704" t="str">
            <v xml:space="preserve">OPCOES COMPRA  </v>
          </cell>
          <cell r="CE704" t="str">
            <v xml:space="preserve">Europeu        </v>
          </cell>
        </row>
        <row r="705">
          <cell r="AF705">
            <v>700</v>
          </cell>
          <cell r="AG705">
            <v>0.10589222359278061</v>
          </cell>
          <cell r="BY705" t="str">
            <v>PETRD36</v>
          </cell>
          <cell r="BZ705">
            <v>36</v>
          </cell>
          <cell r="CA705" t="str">
            <v>20-04-2009</v>
          </cell>
          <cell r="CB705" t="str">
            <v xml:space="preserve">PETR        </v>
          </cell>
          <cell r="CC705" t="str">
            <v xml:space="preserve">PN        </v>
          </cell>
          <cell r="CD705" t="str">
            <v xml:space="preserve">OPCOES COMPRA  </v>
          </cell>
          <cell r="CE705" t="str">
            <v xml:space="preserve">Americano      </v>
          </cell>
        </row>
        <row r="706">
          <cell r="AF706">
            <v>701</v>
          </cell>
          <cell r="AG706">
            <v>0.10589482311797349</v>
          </cell>
          <cell r="BY706" t="str">
            <v>PETRD94</v>
          </cell>
          <cell r="BZ706">
            <v>37</v>
          </cell>
          <cell r="CA706" t="str">
            <v>20-04-2009</v>
          </cell>
          <cell r="CB706" t="str">
            <v xml:space="preserve">PETR        </v>
          </cell>
          <cell r="CC706" t="str">
            <v xml:space="preserve">PN        </v>
          </cell>
          <cell r="CD706" t="str">
            <v xml:space="preserve">OPCOES COMPRA  </v>
          </cell>
          <cell r="CE706" t="str">
            <v xml:space="preserve">Europeu        </v>
          </cell>
        </row>
        <row r="707">
          <cell r="AF707">
            <v>702</v>
          </cell>
          <cell r="AG707">
            <v>0.10589741524319529</v>
          </cell>
          <cell r="BY707" t="str">
            <v>PETRD38</v>
          </cell>
          <cell r="BZ707">
            <v>37.32</v>
          </cell>
          <cell r="CA707" t="str">
            <v>20-04-2009</v>
          </cell>
          <cell r="CB707" t="str">
            <v xml:space="preserve">PETR        </v>
          </cell>
          <cell r="CC707" t="str">
            <v xml:space="preserve">PN        </v>
          </cell>
          <cell r="CD707" t="str">
            <v xml:space="preserve">OPCOES COMPRA  </v>
          </cell>
          <cell r="CE707" t="str">
            <v xml:space="preserve">Americano      </v>
          </cell>
        </row>
        <row r="708">
          <cell r="AF708">
            <v>703</v>
          </cell>
          <cell r="AG708">
            <v>0.10590000000000011</v>
          </cell>
          <cell r="BY708" t="str">
            <v>PETRD98</v>
          </cell>
          <cell r="BZ708">
            <v>37.5</v>
          </cell>
          <cell r="CA708" t="str">
            <v>20-04-2009</v>
          </cell>
          <cell r="CB708" t="str">
            <v xml:space="preserve">PETR        </v>
          </cell>
          <cell r="CC708" t="str">
            <v xml:space="preserve">PN        </v>
          </cell>
          <cell r="CD708" t="str">
            <v xml:space="preserve">OPCOES COMPRA  </v>
          </cell>
          <cell r="CE708" t="str">
            <v xml:space="preserve">Europeu        </v>
          </cell>
        </row>
        <row r="709">
          <cell r="AF709">
            <v>704</v>
          </cell>
          <cell r="AG709">
            <v>0.10594396036624487</v>
          </cell>
          <cell r="BY709" t="str">
            <v>PETRD40</v>
          </cell>
          <cell r="BZ709">
            <v>40</v>
          </cell>
          <cell r="CA709" t="str">
            <v>20-04-2009</v>
          </cell>
          <cell r="CB709" t="str">
            <v xml:space="preserve">PETR        </v>
          </cell>
          <cell r="CC709" t="str">
            <v xml:space="preserve">PN        </v>
          </cell>
          <cell r="CD709" t="str">
            <v xml:space="preserve">OPCOES COMPRA  </v>
          </cell>
          <cell r="CE709" t="str">
            <v xml:space="preserve">Americano      </v>
          </cell>
        </row>
        <row r="710">
          <cell r="AF710">
            <v>705</v>
          </cell>
          <cell r="AG710">
            <v>0.10598779776226031</v>
          </cell>
          <cell r="BY710" t="str">
            <v>PETRD99</v>
          </cell>
          <cell r="BZ710">
            <v>42.5</v>
          </cell>
          <cell r="CA710" t="str">
            <v>20-04-2009</v>
          </cell>
          <cell r="CB710" t="str">
            <v xml:space="preserve">PETR        </v>
          </cell>
          <cell r="CC710" t="str">
            <v xml:space="preserve">PN        </v>
          </cell>
          <cell r="CD710" t="str">
            <v xml:space="preserve">OPCOES COMPRA  </v>
          </cell>
          <cell r="CE710" t="str">
            <v xml:space="preserve">Europeu        </v>
          </cell>
        </row>
        <row r="711">
          <cell r="AF711">
            <v>706</v>
          </cell>
          <cell r="AG711">
            <v>0.10603151270326672</v>
          </cell>
          <cell r="BY711" t="str">
            <v>PETRE15</v>
          </cell>
          <cell r="BZ711">
            <v>15</v>
          </cell>
          <cell r="CA711" t="str">
            <v>18-05-2009</v>
          </cell>
          <cell r="CB711" t="str">
            <v xml:space="preserve">PETR        </v>
          </cell>
          <cell r="CC711" t="str">
            <v xml:space="preserve">PN        </v>
          </cell>
          <cell r="CD711" t="str">
            <v xml:space="preserve">OPCOES COMPRA  </v>
          </cell>
          <cell r="CE711" t="str">
            <v xml:space="preserve">Europeu        </v>
          </cell>
        </row>
        <row r="712">
          <cell r="AF712">
            <v>707</v>
          </cell>
          <cell r="AG712">
            <v>0.10607510570161294</v>
          </cell>
          <cell r="BY712" t="str">
            <v>PETRE16</v>
          </cell>
          <cell r="BZ712">
            <v>16</v>
          </cell>
          <cell r="CA712" t="str">
            <v>18-05-2009</v>
          </cell>
          <cell r="CB712" t="str">
            <v xml:space="preserve">PETR        </v>
          </cell>
          <cell r="CC712" t="str">
            <v xml:space="preserve">PN        </v>
          </cell>
          <cell r="CD712" t="str">
            <v xml:space="preserve">OPCOES COMPRA  </v>
          </cell>
          <cell r="CE712" t="str">
            <v xml:space="preserve">Americano      </v>
          </cell>
        </row>
        <row r="713">
          <cell r="AF713">
            <v>708</v>
          </cell>
          <cell r="AG713">
            <v>0.10611857726679186</v>
          </cell>
          <cell r="BY713" t="str">
            <v>PETRE18</v>
          </cell>
          <cell r="BZ713">
            <v>18</v>
          </cell>
          <cell r="CA713" t="str">
            <v>18-05-2009</v>
          </cell>
          <cell r="CB713" t="str">
            <v xml:space="preserve">PETR        </v>
          </cell>
          <cell r="CC713" t="str">
            <v xml:space="preserve">PN        </v>
          </cell>
          <cell r="CD713" t="str">
            <v xml:space="preserve">OPCOES COMPRA  </v>
          </cell>
          <cell r="CE713" t="str">
            <v xml:space="preserve">Americano      </v>
          </cell>
        </row>
        <row r="714">
          <cell r="AF714">
            <v>709</v>
          </cell>
          <cell r="AG714">
            <v>0.10616192790546219</v>
          </cell>
          <cell r="BY714" t="str">
            <v>PETRE20</v>
          </cell>
          <cell r="BZ714">
            <v>20</v>
          </cell>
          <cell r="CA714" t="str">
            <v>18-05-2009</v>
          </cell>
          <cell r="CB714" t="str">
            <v xml:space="preserve">PETR        </v>
          </cell>
          <cell r="CC714" t="str">
            <v xml:space="preserve">PN        </v>
          </cell>
          <cell r="CD714" t="str">
            <v xml:space="preserve">OPCOES COMPRA  </v>
          </cell>
          <cell r="CE714" t="str">
            <v xml:space="preserve">Americano      </v>
          </cell>
        </row>
        <row r="715">
          <cell r="AF715">
            <v>710</v>
          </cell>
          <cell r="AG715">
            <v>0.1062051581214698</v>
          </cell>
          <cell r="BY715" t="str">
            <v>PETRE22</v>
          </cell>
          <cell r="BZ715">
            <v>22</v>
          </cell>
          <cell r="CA715" t="str">
            <v>18-05-2009</v>
          </cell>
          <cell r="CB715" t="str">
            <v xml:space="preserve">PETR        </v>
          </cell>
          <cell r="CC715" t="str">
            <v xml:space="preserve">PN        </v>
          </cell>
          <cell r="CD715" t="str">
            <v xml:space="preserve">OPCOES COMPRA  </v>
          </cell>
          <cell r="CE715" t="str">
            <v xml:space="preserve">Americano      </v>
          </cell>
        </row>
        <row r="716">
          <cell r="AF716">
            <v>711</v>
          </cell>
          <cell r="AG716">
            <v>0.1062482684158641</v>
          </cell>
          <cell r="BY716" t="str">
            <v>PETRE24</v>
          </cell>
          <cell r="BZ716">
            <v>24</v>
          </cell>
          <cell r="CA716" t="str">
            <v>18-05-2009</v>
          </cell>
          <cell r="CB716" t="str">
            <v xml:space="preserve">PETR        </v>
          </cell>
          <cell r="CC716" t="str">
            <v xml:space="preserve">PN        </v>
          </cell>
          <cell r="CD716" t="str">
            <v xml:space="preserve">OPCOES COMPRA  </v>
          </cell>
          <cell r="CE716" t="str">
            <v xml:space="preserve">Americano      </v>
          </cell>
        </row>
        <row r="717">
          <cell r="AF717">
            <v>712</v>
          </cell>
          <cell r="AG717">
            <v>0.10629125928691896</v>
          </cell>
          <cell r="BY717" t="str">
            <v>PETRE26</v>
          </cell>
          <cell r="BZ717">
            <v>26</v>
          </cell>
          <cell r="CA717" t="str">
            <v>18-05-2009</v>
          </cell>
          <cell r="CB717" t="str">
            <v xml:space="preserve">PETR        </v>
          </cell>
          <cell r="CC717" t="str">
            <v xml:space="preserve">PN        </v>
          </cell>
          <cell r="CD717" t="str">
            <v xml:space="preserve">OPCOES COMPRA  </v>
          </cell>
          <cell r="CE717" t="str">
            <v xml:space="preserve">Americano      </v>
          </cell>
        </row>
        <row r="718">
          <cell r="AF718">
            <v>713</v>
          </cell>
          <cell r="AG718">
            <v>0.10633413123015312</v>
          </cell>
          <cell r="BY718" t="str">
            <v>PETRE28</v>
          </cell>
          <cell r="BZ718">
            <v>28</v>
          </cell>
          <cell r="CA718" t="str">
            <v>18-05-2009</v>
          </cell>
          <cell r="CB718" t="str">
            <v xml:space="preserve">PETR        </v>
          </cell>
          <cell r="CC718" t="str">
            <v xml:space="preserve">PN        </v>
          </cell>
          <cell r="CD718" t="str">
            <v xml:space="preserve">OPCOES COMPRA  </v>
          </cell>
          <cell r="CE718" t="str">
            <v xml:space="preserve">Americano      </v>
          </cell>
        </row>
        <row r="719">
          <cell r="AF719">
            <v>714</v>
          </cell>
          <cell r="AG719">
            <v>0.1063768847383455</v>
          </cell>
          <cell r="BY719" t="str">
            <v>PETRE30</v>
          </cell>
          <cell r="BZ719">
            <v>30</v>
          </cell>
          <cell r="CA719" t="str">
            <v>18-05-2009</v>
          </cell>
          <cell r="CB719" t="str">
            <v xml:space="preserve">PETR        </v>
          </cell>
          <cell r="CC719" t="str">
            <v xml:space="preserve">PN        </v>
          </cell>
          <cell r="CD719" t="str">
            <v xml:space="preserve">OPCOES COMPRA  </v>
          </cell>
          <cell r="CE719" t="str">
            <v xml:space="preserve">Americano      </v>
          </cell>
        </row>
        <row r="720">
          <cell r="AF720">
            <v>715</v>
          </cell>
          <cell r="AG720">
            <v>0.10641952030155921</v>
          </cell>
          <cell r="BY720" t="str">
            <v>PETRE32</v>
          </cell>
          <cell r="BZ720">
            <v>32</v>
          </cell>
          <cell r="CA720" t="str">
            <v>18-05-2009</v>
          </cell>
          <cell r="CB720" t="str">
            <v xml:space="preserve">PETR        </v>
          </cell>
          <cell r="CC720" t="str">
            <v xml:space="preserve">PN        </v>
          </cell>
          <cell r="CD720" t="str">
            <v xml:space="preserve">OPCOES COMPRA  </v>
          </cell>
          <cell r="CE720" t="str">
            <v xml:space="preserve">Americano      </v>
          </cell>
        </row>
        <row r="721">
          <cell r="AF721">
            <v>716</v>
          </cell>
          <cell r="AG721">
            <v>0.10646203840715573</v>
          </cell>
          <cell r="BY721" t="str">
            <v>PETRE34</v>
          </cell>
          <cell r="BZ721">
            <v>34</v>
          </cell>
          <cell r="CA721" t="str">
            <v>18-05-2009</v>
          </cell>
          <cell r="CB721" t="str">
            <v xml:space="preserve">PETR        </v>
          </cell>
          <cell r="CC721" t="str">
            <v xml:space="preserve">PN        </v>
          </cell>
          <cell r="CD721" t="str">
            <v xml:space="preserve">OPCOES COMPRA  </v>
          </cell>
          <cell r="CE721" t="str">
            <v xml:space="preserve">Americano      </v>
          </cell>
        </row>
        <row r="722">
          <cell r="AF722">
            <v>717</v>
          </cell>
          <cell r="AG722">
            <v>0.10650443953981603</v>
          </cell>
          <cell r="BY722" t="str">
            <v>PETRE35</v>
          </cell>
          <cell r="BZ722">
            <v>35</v>
          </cell>
          <cell r="CA722" t="str">
            <v>18-05-2009</v>
          </cell>
          <cell r="CB722" t="str">
            <v xml:space="preserve">PETR        </v>
          </cell>
          <cell r="CC722" t="str">
            <v xml:space="preserve">PN        </v>
          </cell>
          <cell r="CD722" t="str">
            <v xml:space="preserve">OPCOES COMPRA  </v>
          </cell>
          <cell r="CE722" t="str">
            <v xml:space="preserve">Europeu        </v>
          </cell>
        </row>
        <row r="723">
          <cell r="AF723">
            <v>718</v>
          </cell>
          <cell r="AG723">
            <v>0.10654672418155808</v>
          </cell>
          <cell r="BY723" t="str">
            <v>PETRE36</v>
          </cell>
          <cell r="BZ723">
            <v>36</v>
          </cell>
          <cell r="CA723" t="str">
            <v>18-05-2009</v>
          </cell>
          <cell r="CB723" t="str">
            <v xml:space="preserve">PETR        </v>
          </cell>
          <cell r="CC723" t="str">
            <v xml:space="preserve">PN        </v>
          </cell>
          <cell r="CD723" t="str">
            <v xml:space="preserve">OPCOES COMPRA  </v>
          </cell>
          <cell r="CE723" t="str">
            <v xml:space="preserve">Americano      </v>
          </cell>
        </row>
        <row r="724">
          <cell r="AF724">
            <v>719</v>
          </cell>
          <cell r="AG724">
            <v>0.1065888928117551</v>
          </cell>
          <cell r="BY724" t="str">
            <v>PETRE38</v>
          </cell>
          <cell r="BZ724">
            <v>38</v>
          </cell>
          <cell r="CA724" t="str">
            <v>18-05-2009</v>
          </cell>
          <cell r="CB724" t="str">
            <v xml:space="preserve">PETR        </v>
          </cell>
          <cell r="CC724" t="str">
            <v xml:space="preserve">PN        </v>
          </cell>
          <cell r="CD724" t="str">
            <v xml:space="preserve">OPCOES COMPRA  </v>
          </cell>
          <cell r="CE724" t="str">
            <v xml:space="preserve">Americano      </v>
          </cell>
        </row>
        <row r="725">
          <cell r="AF725">
            <v>720</v>
          </cell>
          <cell r="AG725">
            <v>0.10663094590715394</v>
          </cell>
          <cell r="BY725" t="str">
            <v>PETRE40</v>
          </cell>
          <cell r="BZ725">
            <v>40</v>
          </cell>
          <cell r="CA725" t="str">
            <v>18-05-2009</v>
          </cell>
          <cell r="CB725" t="str">
            <v xml:space="preserve">PETR        </v>
          </cell>
          <cell r="CC725" t="str">
            <v xml:space="preserve">PN        </v>
          </cell>
          <cell r="CD725" t="str">
            <v xml:space="preserve">OPCOES COMPRA  </v>
          </cell>
          <cell r="CE725" t="str">
            <v xml:space="preserve">Americano      </v>
          </cell>
        </row>
        <row r="726">
          <cell r="AF726">
            <v>721</v>
          </cell>
          <cell r="AG726">
            <v>0.10667288394189312</v>
          </cell>
          <cell r="BY726" t="str">
            <v>PETRF97</v>
          </cell>
          <cell r="BZ726">
            <v>15</v>
          </cell>
          <cell r="CA726" t="str">
            <v>15-06-2009</v>
          </cell>
          <cell r="CB726" t="str">
            <v xml:space="preserve">PETR        </v>
          </cell>
          <cell r="CC726" t="str">
            <v xml:space="preserve">PN        </v>
          </cell>
          <cell r="CD726" t="str">
            <v xml:space="preserve">OPCOES COMPRA  </v>
          </cell>
          <cell r="CE726" t="str">
            <v xml:space="preserve">Europeu        </v>
          </cell>
        </row>
        <row r="727">
          <cell r="AF727">
            <v>722</v>
          </cell>
          <cell r="AG727">
            <v>0.10671470738752031</v>
          </cell>
          <cell r="BY727" t="str">
            <v>PETRF96</v>
          </cell>
          <cell r="BZ727">
            <v>17</v>
          </cell>
          <cell r="CA727" t="str">
            <v>15-06-2009</v>
          </cell>
          <cell r="CB727" t="str">
            <v xml:space="preserve">PETR        </v>
          </cell>
          <cell r="CC727" t="str">
            <v xml:space="preserve">PN        </v>
          </cell>
          <cell r="CD727" t="str">
            <v xml:space="preserve">OPCOES COMPRA  </v>
          </cell>
          <cell r="CE727" t="str">
            <v xml:space="preserve">Europeu        </v>
          </cell>
        </row>
        <row r="728">
          <cell r="AF728">
            <v>723</v>
          </cell>
          <cell r="AG728">
            <v>0.10675641671301062</v>
          </cell>
          <cell r="BY728" t="str">
            <v>PETRF95</v>
          </cell>
          <cell r="BZ728">
            <v>19</v>
          </cell>
          <cell r="CA728" t="str">
            <v>15-06-2009</v>
          </cell>
          <cell r="CB728" t="str">
            <v xml:space="preserve">PETR        </v>
          </cell>
          <cell r="CC728" t="str">
            <v xml:space="preserve">PN        </v>
          </cell>
          <cell r="CD728" t="str">
            <v xml:space="preserve">OPCOES COMPRA  </v>
          </cell>
          <cell r="CE728" t="str">
            <v xml:space="preserve">Europeu        </v>
          </cell>
        </row>
        <row r="729">
          <cell r="AF729">
            <v>724</v>
          </cell>
          <cell r="AG729">
            <v>0.10679801238478293</v>
          </cell>
          <cell r="BY729" t="str">
            <v>PETRF94</v>
          </cell>
          <cell r="BZ729">
            <v>21</v>
          </cell>
          <cell r="CA729" t="str">
            <v>15-06-2009</v>
          </cell>
          <cell r="CB729" t="str">
            <v xml:space="preserve">PETR        </v>
          </cell>
          <cell r="CC729" t="str">
            <v xml:space="preserve">PN        </v>
          </cell>
          <cell r="CD729" t="str">
            <v xml:space="preserve">OPCOES COMPRA  </v>
          </cell>
          <cell r="CE729" t="str">
            <v xml:space="preserve">Europeu        </v>
          </cell>
        </row>
        <row r="730">
          <cell r="AF730">
            <v>725</v>
          </cell>
          <cell r="AG730">
            <v>0.10683949486671818</v>
          </cell>
          <cell r="BY730" t="str">
            <v>PETRF22</v>
          </cell>
          <cell r="BZ730">
            <v>21.32</v>
          </cell>
          <cell r="CA730" t="str">
            <v>15-06-2009</v>
          </cell>
          <cell r="CB730" t="str">
            <v xml:space="preserve">PETR        </v>
          </cell>
          <cell r="CC730" t="str">
            <v xml:space="preserve">PN        </v>
          </cell>
          <cell r="CD730" t="str">
            <v xml:space="preserve">OPCOES COMPRA  </v>
          </cell>
          <cell r="CE730" t="str">
            <v xml:space="preserve">Americano      </v>
          </cell>
        </row>
        <row r="731">
          <cell r="AF731">
            <v>726</v>
          </cell>
          <cell r="AG731">
            <v>0.1068808646201771</v>
          </cell>
          <cell r="BY731" t="str">
            <v>PETRF93</v>
          </cell>
          <cell r="BZ731">
            <v>23</v>
          </cell>
          <cell r="CA731" t="str">
            <v>15-06-2009</v>
          </cell>
          <cell r="CB731" t="str">
            <v xml:space="preserve">PETR        </v>
          </cell>
          <cell r="CC731" t="str">
            <v xml:space="preserve">PN        </v>
          </cell>
          <cell r="CD731" t="str">
            <v xml:space="preserve">OPCOES COMPRA  </v>
          </cell>
          <cell r="CE731" t="str">
            <v xml:space="preserve">Europeu        </v>
          </cell>
        </row>
        <row r="732">
          <cell r="AF732">
            <v>727</v>
          </cell>
          <cell r="AG732">
            <v>0.10692212210401553</v>
          </cell>
          <cell r="BY732" t="str">
            <v>PETRF24</v>
          </cell>
          <cell r="BZ732">
            <v>24</v>
          </cell>
          <cell r="CA732" t="str">
            <v>15-06-2009</v>
          </cell>
          <cell r="CB732" t="str">
            <v xml:space="preserve">PETR        </v>
          </cell>
          <cell r="CC732" t="str">
            <v xml:space="preserve">PN        </v>
          </cell>
          <cell r="CD732" t="str">
            <v xml:space="preserve">OPCOES COMPRA  </v>
          </cell>
          <cell r="CE732" t="str">
            <v xml:space="preserve">Americano      </v>
          </cell>
        </row>
        <row r="733">
          <cell r="AF733">
            <v>728</v>
          </cell>
          <cell r="AG733">
            <v>0.10696326777460374</v>
          </cell>
          <cell r="BY733" t="str">
            <v>PETRF92</v>
          </cell>
          <cell r="BZ733">
            <v>24.32</v>
          </cell>
          <cell r="CA733" t="str">
            <v>15-06-2009</v>
          </cell>
          <cell r="CB733" t="str">
            <v xml:space="preserve">PETR        </v>
          </cell>
          <cell r="CC733" t="str">
            <v xml:space="preserve">PN        </v>
          </cell>
          <cell r="CD733" t="str">
            <v xml:space="preserve">OPCOES COMPRA  </v>
          </cell>
          <cell r="CE733" t="str">
            <v xml:space="preserve">Europeu        </v>
          </cell>
        </row>
        <row r="734">
          <cell r="AF734">
            <v>729</v>
          </cell>
          <cell r="AG734">
            <v>0.10700430208584133</v>
          </cell>
          <cell r="BY734" t="str">
            <v>PETRF26</v>
          </cell>
          <cell r="BZ734">
            <v>26</v>
          </cell>
          <cell r="CA734" t="str">
            <v>15-06-2009</v>
          </cell>
          <cell r="CB734" t="str">
            <v xml:space="preserve">PETR        </v>
          </cell>
          <cell r="CC734" t="str">
            <v xml:space="preserve">PN        </v>
          </cell>
          <cell r="CD734" t="str">
            <v xml:space="preserve">OPCOES COMPRA  </v>
          </cell>
          <cell r="CE734" t="str">
            <v xml:space="preserve">Americano      </v>
          </cell>
        </row>
        <row r="735">
          <cell r="AF735">
            <v>730</v>
          </cell>
          <cell r="AG735">
            <v>0.10704522548917428</v>
          </cell>
          <cell r="BY735" t="str">
            <v>PETRF91</v>
          </cell>
          <cell r="BZ735">
            <v>26.5</v>
          </cell>
          <cell r="CA735" t="str">
            <v>15-06-2009</v>
          </cell>
          <cell r="CB735" t="str">
            <v xml:space="preserve">PETR        </v>
          </cell>
          <cell r="CC735" t="str">
            <v xml:space="preserve">PN        </v>
          </cell>
          <cell r="CD735" t="str">
            <v xml:space="preserve">OPCOES COMPRA  </v>
          </cell>
          <cell r="CE735" t="str">
            <v xml:space="preserve">Europeu        </v>
          </cell>
        </row>
        <row r="736">
          <cell r="AF736">
            <v>731</v>
          </cell>
          <cell r="AG736">
            <v>0.10708603843361253</v>
          </cell>
          <cell r="BY736" t="str">
            <v>PETRF28</v>
          </cell>
          <cell r="BZ736">
            <v>27.32</v>
          </cell>
          <cell r="CA736" t="str">
            <v>15-06-2009</v>
          </cell>
          <cell r="CB736" t="str">
            <v xml:space="preserve">PETR        </v>
          </cell>
          <cell r="CC736" t="str">
            <v xml:space="preserve">PN        </v>
          </cell>
          <cell r="CD736" t="str">
            <v xml:space="preserve">OPCOES COMPRA  </v>
          </cell>
          <cell r="CE736" t="str">
            <v xml:space="preserve">Americano      </v>
          </cell>
        </row>
        <row r="737">
          <cell r="AF737">
            <v>732</v>
          </cell>
          <cell r="AG737">
            <v>0.10712674136574551</v>
          </cell>
          <cell r="BY737" t="str">
            <v>PETRF30</v>
          </cell>
          <cell r="BZ737">
            <v>30</v>
          </cell>
          <cell r="CA737" t="str">
            <v>15-06-2009</v>
          </cell>
          <cell r="CB737" t="str">
            <v xml:space="preserve">PETR        </v>
          </cell>
          <cell r="CC737" t="str">
            <v xml:space="preserve">PN        </v>
          </cell>
          <cell r="CD737" t="str">
            <v xml:space="preserve">OPCOES COMPRA  </v>
          </cell>
          <cell r="CE737" t="str">
            <v xml:space="preserve">Americano      </v>
          </cell>
        </row>
        <row r="738">
          <cell r="AF738">
            <v>733</v>
          </cell>
          <cell r="AG738">
            <v>0.10716733472975837</v>
          </cell>
          <cell r="BY738" t="str">
            <v>PETRF32</v>
          </cell>
          <cell r="BZ738">
            <v>32</v>
          </cell>
          <cell r="CA738" t="str">
            <v>15-06-2009</v>
          </cell>
          <cell r="CB738" t="str">
            <v xml:space="preserve">PETR        </v>
          </cell>
          <cell r="CC738" t="str">
            <v xml:space="preserve">PN        </v>
          </cell>
          <cell r="CD738" t="str">
            <v xml:space="preserve">OPCOES COMPRA  </v>
          </cell>
          <cell r="CE738" t="str">
            <v xml:space="preserve">Americano      </v>
          </cell>
        </row>
        <row r="739">
          <cell r="AF739">
            <v>734</v>
          </cell>
          <cell r="AG739">
            <v>0.10720781896744813</v>
          </cell>
          <cell r="BY739" t="str">
            <v>PETRF34</v>
          </cell>
          <cell r="BZ739">
            <v>34</v>
          </cell>
          <cell r="CA739" t="str">
            <v>15-06-2009</v>
          </cell>
          <cell r="CB739" t="str">
            <v xml:space="preserve">PETR        </v>
          </cell>
          <cell r="CC739" t="str">
            <v xml:space="preserve">PN        </v>
          </cell>
          <cell r="CD739" t="str">
            <v xml:space="preserve">OPCOES COMPRA  </v>
          </cell>
          <cell r="CE739" t="str">
            <v xml:space="preserve">Americano      </v>
          </cell>
        </row>
        <row r="740">
          <cell r="AF740">
            <v>735</v>
          </cell>
          <cell r="AG740">
            <v>0.10724819451824086</v>
          </cell>
          <cell r="BY740" t="str">
            <v>PETRF36</v>
          </cell>
          <cell r="BZ740">
            <v>36</v>
          </cell>
          <cell r="CA740" t="str">
            <v>15-06-2009</v>
          </cell>
          <cell r="CB740" t="str">
            <v xml:space="preserve">PETR        </v>
          </cell>
          <cell r="CC740" t="str">
            <v xml:space="preserve">PN        </v>
          </cell>
          <cell r="CD740" t="str">
            <v xml:space="preserve">OPCOES COMPRA  </v>
          </cell>
          <cell r="CE740" t="str">
            <v xml:space="preserve">Americano      </v>
          </cell>
        </row>
        <row r="741">
          <cell r="AF741">
            <v>736</v>
          </cell>
          <cell r="AG741">
            <v>0.10728846181920582</v>
          </cell>
          <cell r="BY741" t="str">
            <v>PETRF38</v>
          </cell>
          <cell r="BZ741">
            <v>38</v>
          </cell>
          <cell r="CA741" t="str">
            <v>15-06-2009</v>
          </cell>
          <cell r="CB741" t="str">
            <v xml:space="preserve">PETR        </v>
          </cell>
          <cell r="CC741" t="str">
            <v xml:space="preserve">PN        </v>
          </cell>
          <cell r="CD741" t="str">
            <v xml:space="preserve">OPCOES COMPRA  </v>
          </cell>
          <cell r="CE741" t="str">
            <v xml:space="preserve">Americano      </v>
          </cell>
        </row>
        <row r="742">
          <cell r="AF742">
            <v>737</v>
          </cell>
          <cell r="AG742">
            <v>0.10732862130507237</v>
          </cell>
          <cell r="BY742" t="str">
            <v>PETRF98</v>
          </cell>
          <cell r="BZ742">
            <v>39.32</v>
          </cell>
          <cell r="CA742" t="str">
            <v>15-06-2009</v>
          </cell>
          <cell r="CB742" t="str">
            <v xml:space="preserve">PETR        </v>
          </cell>
          <cell r="CC742" t="str">
            <v xml:space="preserve">PN        </v>
          </cell>
          <cell r="CD742" t="str">
            <v xml:space="preserve">OPCOES COMPRA  </v>
          </cell>
          <cell r="CE742" t="str">
            <v xml:space="preserve">Europeu        </v>
          </cell>
        </row>
        <row r="743">
          <cell r="AF743">
            <v>738</v>
          </cell>
          <cell r="AG743">
            <v>0.10736867340824507</v>
          </cell>
          <cell r="BY743" t="str">
            <v>PETRF99</v>
          </cell>
          <cell r="BZ743">
            <v>45</v>
          </cell>
          <cell r="CA743" t="str">
            <v>15-06-2009</v>
          </cell>
          <cell r="CB743" t="str">
            <v xml:space="preserve">PETR        </v>
          </cell>
          <cell r="CC743" t="str">
            <v xml:space="preserve">PN        </v>
          </cell>
          <cell r="CD743" t="str">
            <v xml:space="preserve">OPCOES COMPRA  </v>
          </cell>
          <cell r="CE743" t="str">
            <v xml:space="preserve">Europeu        </v>
          </cell>
        </row>
        <row r="744">
          <cell r="AF744">
            <v>739</v>
          </cell>
          <cell r="AG744">
            <v>0.10740861855881967</v>
          </cell>
          <cell r="BY744" t="str">
            <v>PETRG26</v>
          </cell>
          <cell r="BZ744">
            <v>26</v>
          </cell>
          <cell r="CA744" t="str">
            <v>20-07-2009</v>
          </cell>
          <cell r="CB744" t="str">
            <v xml:space="preserve">PETR        </v>
          </cell>
          <cell r="CC744" t="str">
            <v xml:space="preserve">PN        </v>
          </cell>
          <cell r="CD744" t="str">
            <v xml:space="preserve">OPCOES COMPRA  </v>
          </cell>
          <cell r="CE744" t="str">
            <v xml:space="preserve">Americano      </v>
          </cell>
        </row>
        <row r="745">
          <cell r="AF745">
            <v>740</v>
          </cell>
          <cell r="AG745">
            <v>0.10744845718459883</v>
          </cell>
          <cell r="BY745" t="str">
            <v>PETRH99</v>
          </cell>
          <cell r="BZ745">
            <v>28.5</v>
          </cell>
          <cell r="CA745" t="str">
            <v>17-08-2009</v>
          </cell>
          <cell r="CB745" t="str">
            <v xml:space="preserve">PETR        </v>
          </cell>
          <cell r="CC745" t="str">
            <v xml:space="preserve">PN        </v>
          </cell>
          <cell r="CD745" t="str">
            <v xml:space="preserve">OPCOES COMPRA  </v>
          </cell>
          <cell r="CE745" t="str">
            <v xml:space="preserve">Europeu        </v>
          </cell>
        </row>
        <row r="746">
          <cell r="AF746">
            <v>741</v>
          </cell>
          <cell r="AG746">
            <v>0.1074881897111053</v>
          </cell>
          <cell r="BY746" t="str">
            <v>PETRI1</v>
          </cell>
          <cell r="BZ746">
            <v>26.5</v>
          </cell>
          <cell r="CA746" t="str">
            <v>21-09-2009</v>
          </cell>
          <cell r="CB746" t="str">
            <v xml:space="preserve">PETR        </v>
          </cell>
          <cell r="CC746" t="str">
            <v xml:space="preserve">PN        </v>
          </cell>
          <cell r="CD746" t="str">
            <v xml:space="preserve">OPCOES COMPRA  </v>
          </cell>
          <cell r="CE746" t="str">
            <v xml:space="preserve">Europeu        </v>
          </cell>
        </row>
        <row r="747">
          <cell r="AF747">
            <v>742</v>
          </cell>
          <cell r="AG747">
            <v>0.10752781656160026</v>
          </cell>
          <cell r="BY747" t="str">
            <v>PETRL4</v>
          </cell>
          <cell r="BZ747">
            <v>18</v>
          </cell>
          <cell r="CA747" t="str">
            <v>21-12-2009</v>
          </cell>
          <cell r="CB747" t="str">
            <v xml:space="preserve">PETR        </v>
          </cell>
          <cell r="CC747" t="str">
            <v xml:space="preserve">PN        </v>
          </cell>
          <cell r="CD747" t="str">
            <v xml:space="preserve">OPCOES COMPRA  </v>
          </cell>
          <cell r="CE747" t="str">
            <v xml:space="preserve">Americano      </v>
          </cell>
        </row>
        <row r="748">
          <cell r="AF748">
            <v>743</v>
          </cell>
          <cell r="AG748">
            <v>0.1075673381570954</v>
          </cell>
          <cell r="BY748" t="str">
            <v>PETRL24</v>
          </cell>
          <cell r="BZ748">
            <v>24</v>
          </cell>
          <cell r="CA748" t="str">
            <v>21-12-2009</v>
          </cell>
          <cell r="CB748" t="str">
            <v xml:space="preserve">PETR        </v>
          </cell>
          <cell r="CC748" t="str">
            <v xml:space="preserve">PN        </v>
          </cell>
          <cell r="CD748" t="str">
            <v xml:space="preserve">OPCOES COMPRA  </v>
          </cell>
          <cell r="CE748" t="str">
            <v xml:space="preserve">Americano      </v>
          </cell>
        </row>
        <row r="749">
          <cell r="AF749">
            <v>744</v>
          </cell>
          <cell r="AG749">
            <v>0.10760675491636995</v>
          </cell>
          <cell r="BY749" t="str">
            <v>PETRL26</v>
          </cell>
          <cell r="BZ749">
            <v>26</v>
          </cell>
          <cell r="CA749" t="str">
            <v>21-12-2009</v>
          </cell>
          <cell r="CB749" t="str">
            <v xml:space="preserve">PETR        </v>
          </cell>
          <cell r="CC749" t="str">
            <v xml:space="preserve">PN        </v>
          </cell>
          <cell r="CD749" t="str">
            <v xml:space="preserve">OPCOES COMPRA  </v>
          </cell>
          <cell r="CE749" t="str">
            <v xml:space="preserve">Americano      </v>
          </cell>
        </row>
        <row r="750">
          <cell r="AF750">
            <v>745</v>
          </cell>
          <cell r="AG750">
            <v>0.1076460672559838</v>
          </cell>
          <cell r="BY750" t="str">
            <v>PETRL5</v>
          </cell>
          <cell r="BZ750">
            <v>27.32</v>
          </cell>
          <cell r="CA750" t="str">
            <v>21-12-2009</v>
          </cell>
          <cell r="CB750" t="str">
            <v xml:space="preserve">PETR        </v>
          </cell>
          <cell r="CC750" t="str">
            <v xml:space="preserve">PN        </v>
          </cell>
          <cell r="CD750" t="str">
            <v xml:space="preserve">OPCOES COMPRA  </v>
          </cell>
          <cell r="CE750" t="str">
            <v xml:space="preserve">Americano      </v>
          </cell>
        </row>
        <row r="751">
          <cell r="AF751">
            <v>746</v>
          </cell>
          <cell r="AG751">
            <v>0.10768527559029439</v>
          </cell>
          <cell r="BY751" t="str">
            <v>PETRL30</v>
          </cell>
          <cell r="BZ751">
            <v>30</v>
          </cell>
          <cell r="CA751" t="str">
            <v>21-12-2009</v>
          </cell>
          <cell r="CB751" t="str">
            <v xml:space="preserve">PETR        </v>
          </cell>
          <cell r="CC751" t="str">
            <v xml:space="preserve">PN        </v>
          </cell>
          <cell r="CD751" t="str">
            <v xml:space="preserve">OPCOES COMPRA  </v>
          </cell>
          <cell r="CE751" t="str">
            <v xml:space="preserve">Americano      </v>
          </cell>
        </row>
        <row r="752">
          <cell r="AF752">
            <v>747</v>
          </cell>
          <cell r="AG752">
            <v>0.10772438033146803</v>
          </cell>
          <cell r="BY752" t="str">
            <v>PETRL34</v>
          </cell>
          <cell r="BZ752">
            <v>34</v>
          </cell>
          <cell r="CA752" t="str">
            <v>21-12-2009</v>
          </cell>
          <cell r="CB752" t="str">
            <v xml:space="preserve">PETR        </v>
          </cell>
          <cell r="CC752" t="str">
            <v xml:space="preserve">PN        </v>
          </cell>
          <cell r="CD752" t="str">
            <v xml:space="preserve">OPCOES COMPRA  </v>
          </cell>
          <cell r="CE752" t="str">
            <v xml:space="preserve">Americano      </v>
          </cell>
        </row>
        <row r="753">
          <cell r="AF753">
            <v>748</v>
          </cell>
          <cell r="AG753">
            <v>0.10776338188949741</v>
          </cell>
          <cell r="BY753" t="str">
            <v>PETRL40</v>
          </cell>
          <cell r="BZ753">
            <v>40</v>
          </cell>
          <cell r="CA753" t="str">
            <v>21-12-2009</v>
          </cell>
          <cell r="CB753" t="str">
            <v xml:space="preserve">PETR        </v>
          </cell>
          <cell r="CC753" t="str">
            <v xml:space="preserve">PN        </v>
          </cell>
          <cell r="CD753" t="str">
            <v xml:space="preserve">OPCOES COMPRA  </v>
          </cell>
          <cell r="CE753" t="str">
            <v xml:space="preserve">Americano      </v>
          </cell>
        </row>
        <row r="754">
          <cell r="AF754">
            <v>749</v>
          </cell>
          <cell r="AG754">
            <v>0.10780228067221409</v>
          </cell>
          <cell r="BY754" t="str">
            <v>PETRA18</v>
          </cell>
          <cell r="BZ754">
            <v>18</v>
          </cell>
          <cell r="CA754" t="str">
            <v>18-01-2010</v>
          </cell>
          <cell r="CB754" t="str">
            <v xml:space="preserve">PETR        </v>
          </cell>
          <cell r="CC754" t="str">
            <v xml:space="preserve">PN        </v>
          </cell>
          <cell r="CD754" t="str">
            <v xml:space="preserve">OPCOES COMPRA  </v>
          </cell>
          <cell r="CE754" t="str">
            <v xml:space="preserve">Americano      </v>
          </cell>
        </row>
        <row r="755">
          <cell r="AF755">
            <v>750</v>
          </cell>
          <cell r="AG755">
            <v>0.10784107708530466</v>
          </cell>
          <cell r="BY755" t="str">
            <v>PETRA26</v>
          </cell>
          <cell r="BZ755">
            <v>26</v>
          </cell>
          <cell r="CA755" t="str">
            <v>18-01-2010</v>
          </cell>
          <cell r="CB755" t="str">
            <v xml:space="preserve">PETR        </v>
          </cell>
          <cell r="CC755" t="str">
            <v xml:space="preserve">PN        </v>
          </cell>
          <cell r="CD755" t="str">
            <v xml:space="preserve">OPCOES COMPRA  </v>
          </cell>
          <cell r="CE755" t="str">
            <v xml:space="preserve">Americano      </v>
          </cell>
        </row>
        <row r="756">
          <cell r="AF756">
            <v>751</v>
          </cell>
          <cell r="AG756">
            <v>0.1078797715323212</v>
          </cell>
          <cell r="BY756" t="str">
            <v>PETRA32</v>
          </cell>
          <cell r="BZ756">
            <v>32</v>
          </cell>
          <cell r="CA756" t="str">
            <v>18-01-2010</v>
          </cell>
          <cell r="CB756" t="str">
            <v xml:space="preserve">PETR        </v>
          </cell>
          <cell r="CC756" t="str">
            <v xml:space="preserve">PN        </v>
          </cell>
          <cell r="CD756" t="str">
            <v xml:space="preserve">OPCOES COMPRA  </v>
          </cell>
          <cell r="CE756" t="str">
            <v xml:space="preserve">Americano      </v>
          </cell>
        </row>
        <row r="757">
          <cell r="AF757">
            <v>752</v>
          </cell>
          <cell r="AG757">
            <v>0.10791836441469904</v>
          </cell>
          <cell r="BY757" t="str">
            <v>PETRO13</v>
          </cell>
          <cell r="BZ757">
            <v>12.32</v>
          </cell>
          <cell r="CA757" t="str">
            <v>16-03-2009</v>
          </cell>
          <cell r="CB757" t="str">
            <v xml:space="preserve">PETR        </v>
          </cell>
          <cell r="CC757" t="str">
            <v xml:space="preserve">PN        </v>
          </cell>
          <cell r="CD757" t="str">
            <v xml:space="preserve">OPCOES VENDA   </v>
          </cell>
          <cell r="CE757" t="str">
            <v xml:space="preserve">Europeu        </v>
          </cell>
        </row>
        <row r="758">
          <cell r="AF758">
            <v>753</v>
          </cell>
          <cell r="AG758">
            <v>0.10795685613176942</v>
          </cell>
          <cell r="BY758" t="str">
            <v>PETRO16</v>
          </cell>
          <cell r="BZ758">
            <v>16</v>
          </cell>
          <cell r="CA758" t="str">
            <v>16-03-2009</v>
          </cell>
          <cell r="CB758" t="str">
            <v xml:space="preserve">PETR        </v>
          </cell>
          <cell r="CC758" t="str">
            <v xml:space="preserve">PN        </v>
          </cell>
          <cell r="CD758" t="str">
            <v xml:space="preserve">OPCOES VENDA   </v>
          </cell>
          <cell r="CE758" t="str">
            <v xml:space="preserve">Europeu        </v>
          </cell>
        </row>
        <row r="759">
          <cell r="AF759">
            <v>754</v>
          </cell>
          <cell r="AG759">
            <v>0.10799524708077168</v>
          </cell>
          <cell r="BY759" t="str">
            <v>PETRO18</v>
          </cell>
          <cell r="BZ759">
            <v>18</v>
          </cell>
          <cell r="CA759" t="str">
            <v>16-03-2009</v>
          </cell>
          <cell r="CB759" t="str">
            <v xml:space="preserve">PETR        </v>
          </cell>
          <cell r="CC759" t="str">
            <v xml:space="preserve">PN        </v>
          </cell>
          <cell r="CD759" t="str">
            <v xml:space="preserve">OPCOES VENDA   </v>
          </cell>
          <cell r="CE759" t="str">
            <v xml:space="preserve">Europeu        </v>
          </cell>
        </row>
        <row r="760">
          <cell r="AF760">
            <v>755</v>
          </cell>
          <cell r="AG760">
            <v>0.10803353765686996</v>
          </cell>
          <cell r="BY760" t="str">
            <v>PETRO20</v>
          </cell>
          <cell r="BZ760">
            <v>20</v>
          </cell>
          <cell r="CA760" t="str">
            <v>16-03-2009</v>
          </cell>
          <cell r="CB760" t="str">
            <v xml:space="preserve">PETR        </v>
          </cell>
          <cell r="CC760" t="str">
            <v xml:space="preserve">PN        </v>
          </cell>
          <cell r="CD760" t="str">
            <v xml:space="preserve">OPCOES VENDA   </v>
          </cell>
          <cell r="CE760" t="str">
            <v xml:space="preserve">Europeu        </v>
          </cell>
        </row>
        <row r="761">
          <cell r="AF761">
            <v>756</v>
          </cell>
          <cell r="AG761">
            <v>0.10807172825316358</v>
          </cell>
          <cell r="BY761" t="str">
            <v>PETRO22</v>
          </cell>
          <cell r="BZ761">
            <v>22</v>
          </cell>
          <cell r="CA761" t="str">
            <v>16-03-2009</v>
          </cell>
          <cell r="CB761" t="str">
            <v xml:space="preserve">PETR        </v>
          </cell>
          <cell r="CC761" t="str">
            <v xml:space="preserve">PN        </v>
          </cell>
          <cell r="CD761" t="str">
            <v xml:space="preserve">OPCOES VENDA   </v>
          </cell>
          <cell r="CE761" t="str">
            <v xml:space="preserve">Europeu        </v>
          </cell>
        </row>
        <row r="762">
          <cell r="AF762">
            <v>757</v>
          </cell>
          <cell r="AG762">
            <v>0.10810981926070218</v>
          </cell>
          <cell r="BY762" t="str">
            <v>PETRO1</v>
          </cell>
          <cell r="BZ762">
            <v>23.5</v>
          </cell>
          <cell r="CA762" t="str">
            <v>16-03-2009</v>
          </cell>
          <cell r="CB762" t="str">
            <v xml:space="preserve">PETR        </v>
          </cell>
          <cell r="CC762" t="str">
            <v xml:space="preserve">PN        </v>
          </cell>
          <cell r="CD762" t="str">
            <v xml:space="preserve">OPCOES VENDA   </v>
          </cell>
          <cell r="CE762" t="str">
            <v xml:space="preserve">Europeu        </v>
          </cell>
        </row>
        <row r="763">
          <cell r="AF763">
            <v>758</v>
          </cell>
          <cell r="AG763">
            <v>0.10814781106849947</v>
          </cell>
          <cell r="BY763" t="str">
            <v>PETRO24</v>
          </cell>
          <cell r="BZ763">
            <v>24</v>
          </cell>
          <cell r="CA763" t="str">
            <v>16-03-2009</v>
          </cell>
          <cell r="CB763" t="str">
            <v xml:space="preserve">PETR        </v>
          </cell>
          <cell r="CC763" t="str">
            <v xml:space="preserve">PN        </v>
          </cell>
          <cell r="CD763" t="str">
            <v xml:space="preserve">OPCOES VENDA   </v>
          </cell>
          <cell r="CE763" t="str">
            <v xml:space="preserve">Europeu        </v>
          </cell>
        </row>
        <row r="764">
          <cell r="AF764">
            <v>759</v>
          </cell>
          <cell r="AG764">
            <v>0.10818570406354566</v>
          </cell>
          <cell r="BY764" t="str">
            <v>PETRO25</v>
          </cell>
          <cell r="BZ764">
            <v>25</v>
          </cell>
          <cell r="CA764" t="str">
            <v>16-03-2009</v>
          </cell>
          <cell r="CB764" t="str">
            <v xml:space="preserve">PETR        </v>
          </cell>
          <cell r="CC764" t="str">
            <v xml:space="preserve">PN        </v>
          </cell>
          <cell r="CD764" t="str">
            <v xml:space="preserve">OPCOES VENDA   </v>
          </cell>
          <cell r="CE764" t="str">
            <v xml:space="preserve">Europeu        </v>
          </cell>
        </row>
        <row r="765">
          <cell r="AF765">
            <v>760</v>
          </cell>
          <cell r="AG765">
            <v>0.10822349863082037</v>
          </cell>
          <cell r="BY765" t="str">
            <v>PETRO26</v>
          </cell>
          <cell r="BZ765">
            <v>26</v>
          </cell>
          <cell r="CA765" t="str">
            <v>16-03-2009</v>
          </cell>
          <cell r="CB765" t="str">
            <v xml:space="preserve">PETR        </v>
          </cell>
          <cell r="CC765" t="str">
            <v xml:space="preserve">PN        </v>
          </cell>
          <cell r="CD765" t="str">
            <v xml:space="preserve">OPCOES VENDA   </v>
          </cell>
          <cell r="CE765" t="str">
            <v xml:space="preserve">Europeu        </v>
          </cell>
        </row>
        <row r="766">
          <cell r="AF766">
            <v>761</v>
          </cell>
          <cell r="AG766">
            <v>0.10826119515330612</v>
          </cell>
          <cell r="BY766" t="str">
            <v>PETRO27</v>
          </cell>
          <cell r="BZ766">
            <v>27</v>
          </cell>
          <cell r="CA766" t="str">
            <v>16-03-2009</v>
          </cell>
          <cell r="CB766" t="str">
            <v xml:space="preserve">PETR        </v>
          </cell>
          <cell r="CC766" t="str">
            <v xml:space="preserve">PN        </v>
          </cell>
          <cell r="CD766" t="str">
            <v xml:space="preserve">OPCOES VENDA   </v>
          </cell>
          <cell r="CE766" t="str">
            <v xml:space="preserve">Europeu        </v>
          </cell>
        </row>
        <row r="767">
          <cell r="AF767">
            <v>762</v>
          </cell>
          <cell r="AG767">
            <v>0.10829879401200171</v>
          </cell>
          <cell r="BY767" t="str">
            <v>PETRO28</v>
          </cell>
          <cell r="BZ767">
            <v>28</v>
          </cell>
          <cell r="CA767" t="str">
            <v>16-03-2009</v>
          </cell>
          <cell r="CB767" t="str">
            <v xml:space="preserve">PETR        </v>
          </cell>
          <cell r="CC767" t="str">
            <v xml:space="preserve">PN        </v>
          </cell>
          <cell r="CD767" t="str">
            <v xml:space="preserve">OPCOES VENDA   </v>
          </cell>
          <cell r="CE767" t="str">
            <v xml:space="preserve">Europeu        </v>
          </cell>
        </row>
        <row r="768">
          <cell r="AF768">
            <v>763</v>
          </cell>
          <cell r="AG768">
            <v>0.10833629558593372</v>
          </cell>
          <cell r="BY768" t="str">
            <v>PETRO29</v>
          </cell>
          <cell r="BZ768">
            <v>29</v>
          </cell>
          <cell r="CA768" t="str">
            <v>16-03-2009</v>
          </cell>
          <cell r="CB768" t="str">
            <v xml:space="preserve">PETR        </v>
          </cell>
          <cell r="CC768" t="str">
            <v xml:space="preserve">PN        </v>
          </cell>
          <cell r="CD768" t="str">
            <v xml:space="preserve">OPCOES VENDA   </v>
          </cell>
          <cell r="CE768" t="str">
            <v xml:space="preserve">Europeu        </v>
          </cell>
        </row>
        <row r="769">
          <cell r="AF769">
            <v>764</v>
          </cell>
          <cell r="AG769">
            <v>0.10837370025217075</v>
          </cell>
          <cell r="BY769" t="str">
            <v>PETRO30</v>
          </cell>
          <cell r="BZ769">
            <v>30</v>
          </cell>
          <cell r="CA769" t="str">
            <v>16-03-2009</v>
          </cell>
          <cell r="CB769" t="str">
            <v xml:space="preserve">PETR        </v>
          </cell>
          <cell r="CC769" t="str">
            <v xml:space="preserve">PN        </v>
          </cell>
          <cell r="CD769" t="str">
            <v xml:space="preserve">OPCOES VENDA   </v>
          </cell>
          <cell r="CE769" t="str">
            <v xml:space="preserve">Europeu        </v>
          </cell>
        </row>
        <row r="770">
          <cell r="AF770">
            <v>765</v>
          </cell>
          <cell r="AG770">
            <v>0.10841100838583584</v>
          </cell>
          <cell r="BY770" t="str">
            <v>PETRO32</v>
          </cell>
          <cell r="BZ770">
            <v>32</v>
          </cell>
          <cell r="CA770" t="str">
            <v>16-03-2009</v>
          </cell>
          <cell r="CB770" t="str">
            <v xml:space="preserve">PETR        </v>
          </cell>
          <cell r="CC770" t="str">
            <v xml:space="preserve">PN        </v>
          </cell>
          <cell r="CD770" t="str">
            <v xml:space="preserve">OPCOES VENDA   </v>
          </cell>
          <cell r="CE770" t="str">
            <v xml:space="preserve">Europeu        </v>
          </cell>
        </row>
        <row r="771">
          <cell r="AF771">
            <v>766</v>
          </cell>
          <cell r="AG771">
            <v>0.1084482203601167</v>
          </cell>
          <cell r="BY771" t="str">
            <v>PETRO33</v>
          </cell>
          <cell r="BZ771">
            <v>33</v>
          </cell>
          <cell r="CA771" t="str">
            <v>16-03-2009</v>
          </cell>
          <cell r="CB771" t="str">
            <v xml:space="preserve">PETR        </v>
          </cell>
          <cell r="CC771" t="str">
            <v xml:space="preserve">PN        </v>
          </cell>
          <cell r="CD771" t="str">
            <v xml:space="preserve">OPCOES VENDA   </v>
          </cell>
          <cell r="CE771" t="str">
            <v xml:space="preserve">Europeu        </v>
          </cell>
        </row>
        <row r="772">
          <cell r="AF772">
            <v>767</v>
          </cell>
          <cell r="AG772">
            <v>0.1084853365462819</v>
          </cell>
          <cell r="BY772" t="str">
            <v>PETRO34</v>
          </cell>
          <cell r="BZ772">
            <v>34</v>
          </cell>
          <cell r="CA772" t="str">
            <v>16-03-2009</v>
          </cell>
          <cell r="CB772" t="str">
            <v xml:space="preserve">PETR        </v>
          </cell>
          <cell r="CC772" t="str">
            <v xml:space="preserve">PN        </v>
          </cell>
          <cell r="CD772" t="str">
            <v xml:space="preserve">OPCOES VENDA   </v>
          </cell>
          <cell r="CE772" t="str">
            <v xml:space="preserve">Europeu        </v>
          </cell>
        </row>
        <row r="773">
          <cell r="AF773">
            <v>768</v>
          </cell>
          <cell r="AG773">
            <v>0.10852235731369042</v>
          </cell>
          <cell r="BY773" t="str">
            <v>PETRO36</v>
          </cell>
          <cell r="BZ773">
            <v>36</v>
          </cell>
          <cell r="CA773" t="str">
            <v>16-03-2009</v>
          </cell>
          <cell r="CB773" t="str">
            <v xml:space="preserve">PETR        </v>
          </cell>
          <cell r="CC773" t="str">
            <v xml:space="preserve">PN        </v>
          </cell>
          <cell r="CD773" t="str">
            <v xml:space="preserve">OPCOES VENDA   </v>
          </cell>
          <cell r="CE773" t="str">
            <v xml:space="preserve">Europeu        </v>
          </cell>
        </row>
        <row r="774">
          <cell r="AF774">
            <v>769</v>
          </cell>
          <cell r="AG774">
            <v>0.108559283029805</v>
          </cell>
          <cell r="BY774" t="str">
            <v>PETRO38</v>
          </cell>
          <cell r="BZ774">
            <v>38</v>
          </cell>
          <cell r="CA774" t="str">
            <v>16-03-2009</v>
          </cell>
          <cell r="CB774" t="str">
            <v xml:space="preserve">PETR        </v>
          </cell>
          <cell r="CC774" t="str">
            <v xml:space="preserve">PN        </v>
          </cell>
          <cell r="CD774" t="str">
            <v xml:space="preserve">OPCOES VENDA   </v>
          </cell>
          <cell r="CE774" t="str">
            <v xml:space="preserve">Europeu        </v>
          </cell>
        </row>
        <row r="775">
          <cell r="AF775">
            <v>770</v>
          </cell>
          <cell r="AG775">
            <v>0.10859611406020364</v>
          </cell>
          <cell r="BY775" t="str">
            <v>PETRO39</v>
          </cell>
          <cell r="BZ775">
            <v>38.32</v>
          </cell>
          <cell r="CA775" t="str">
            <v>16-03-2009</v>
          </cell>
          <cell r="CB775" t="str">
            <v xml:space="preserve">PETR        </v>
          </cell>
          <cell r="CC775" t="str">
            <v xml:space="preserve">PN        </v>
          </cell>
          <cell r="CD775" t="str">
            <v xml:space="preserve">OPCOES VENDA   </v>
          </cell>
          <cell r="CE775" t="str">
            <v xml:space="preserve">Europeu        </v>
          </cell>
        </row>
        <row r="776">
          <cell r="AF776">
            <v>771</v>
          </cell>
          <cell r="AG776">
            <v>0.10863285076859297</v>
          </cell>
          <cell r="BY776" t="str">
            <v>PETRO40</v>
          </cell>
          <cell r="BZ776">
            <v>40</v>
          </cell>
          <cell r="CA776" t="str">
            <v>16-03-2009</v>
          </cell>
          <cell r="CB776" t="str">
            <v xml:space="preserve">PETR        </v>
          </cell>
          <cell r="CC776" t="str">
            <v xml:space="preserve">PN        </v>
          </cell>
          <cell r="CD776" t="str">
            <v xml:space="preserve">OPCOES VENDA   </v>
          </cell>
          <cell r="CE776" t="str">
            <v xml:space="preserve">Europeu        </v>
          </cell>
        </row>
        <row r="777">
          <cell r="AF777">
            <v>772</v>
          </cell>
          <cell r="AG777">
            <v>0.10866949351681843</v>
          </cell>
          <cell r="BY777" t="str">
            <v>PETRO42</v>
          </cell>
          <cell r="BZ777">
            <v>42</v>
          </cell>
          <cell r="CA777" t="str">
            <v>16-03-2009</v>
          </cell>
          <cell r="CB777" t="str">
            <v xml:space="preserve">PETR        </v>
          </cell>
          <cell r="CC777" t="str">
            <v xml:space="preserve">PN        </v>
          </cell>
          <cell r="CD777" t="str">
            <v xml:space="preserve">OPCOES VENDA   </v>
          </cell>
          <cell r="CE777" t="str">
            <v xml:space="preserve">Europeu        </v>
          </cell>
        </row>
        <row r="778">
          <cell r="AF778">
            <v>773</v>
          </cell>
          <cell r="AG778">
            <v>0.10870604266487782</v>
          </cell>
          <cell r="BY778" t="str">
            <v>PETRO44</v>
          </cell>
          <cell r="BZ778">
            <v>44</v>
          </cell>
          <cell r="CA778" t="str">
            <v>16-03-2009</v>
          </cell>
          <cell r="CB778" t="str">
            <v xml:space="preserve">PETR        </v>
          </cell>
          <cell r="CC778" t="str">
            <v xml:space="preserve">PN        </v>
          </cell>
          <cell r="CD778" t="str">
            <v xml:space="preserve">OPCOES VENDA   </v>
          </cell>
          <cell r="CE778" t="str">
            <v xml:space="preserve">Europeu        </v>
          </cell>
        </row>
        <row r="779">
          <cell r="AF779">
            <v>774</v>
          </cell>
          <cell r="AG779">
            <v>0.10874249857093199</v>
          </cell>
          <cell r="BY779" t="str">
            <v>PETRP92</v>
          </cell>
          <cell r="BZ779">
            <v>15</v>
          </cell>
          <cell r="CA779" t="str">
            <v>20-04-2009</v>
          </cell>
          <cell r="CB779" t="str">
            <v xml:space="preserve">PETR        </v>
          </cell>
          <cell r="CC779" t="str">
            <v xml:space="preserve">PN        </v>
          </cell>
          <cell r="CD779" t="str">
            <v xml:space="preserve">OPCOES VENDA   </v>
          </cell>
          <cell r="CE779" t="str">
            <v xml:space="preserve">Europeu        </v>
          </cell>
        </row>
        <row r="780">
          <cell r="AF780">
            <v>775</v>
          </cell>
          <cell r="AG780">
            <v>0.108778861591317</v>
          </cell>
          <cell r="BY780" t="str">
            <v>PETRP16</v>
          </cell>
          <cell r="BZ780">
            <v>16</v>
          </cell>
          <cell r="CA780" t="str">
            <v>20-04-2009</v>
          </cell>
          <cell r="CB780" t="str">
            <v xml:space="preserve">PETR        </v>
          </cell>
          <cell r="CC780" t="str">
            <v xml:space="preserve">PN        </v>
          </cell>
          <cell r="CD780" t="str">
            <v xml:space="preserve">OPCOES VENDA   </v>
          </cell>
          <cell r="CE780" t="str">
            <v xml:space="preserve">Europeu        </v>
          </cell>
        </row>
        <row r="781">
          <cell r="AF781">
            <v>776</v>
          </cell>
          <cell r="AG781">
            <v>0.10881513208055504</v>
          </cell>
          <cell r="BY781" t="str">
            <v>PETRP91</v>
          </cell>
          <cell r="BZ781">
            <v>17</v>
          </cell>
          <cell r="CA781" t="str">
            <v>20-04-2009</v>
          </cell>
          <cell r="CB781" t="str">
            <v xml:space="preserve">PETR        </v>
          </cell>
          <cell r="CC781" t="str">
            <v xml:space="preserve">PN        </v>
          </cell>
          <cell r="CD781" t="str">
            <v xml:space="preserve">OPCOES VENDA   </v>
          </cell>
          <cell r="CE781" t="str">
            <v xml:space="preserve">Europeu        </v>
          </cell>
        </row>
        <row r="782">
          <cell r="AF782">
            <v>777</v>
          </cell>
          <cell r="AG782">
            <v>0.10885131039136708</v>
          </cell>
          <cell r="BY782" t="str">
            <v>PETRP18</v>
          </cell>
          <cell r="BZ782">
            <v>18</v>
          </cell>
          <cell r="CA782" t="str">
            <v>20-04-2009</v>
          </cell>
          <cell r="CB782" t="str">
            <v xml:space="preserve">PETR        </v>
          </cell>
          <cell r="CC782" t="str">
            <v xml:space="preserve">PN        </v>
          </cell>
          <cell r="CD782" t="str">
            <v xml:space="preserve">OPCOES VENDA   </v>
          </cell>
          <cell r="CE782" t="str">
            <v xml:space="preserve">Europeu        </v>
          </cell>
        </row>
        <row r="783">
          <cell r="AF783">
            <v>778</v>
          </cell>
          <cell r="AG783">
            <v>0.10888739687468418</v>
          </cell>
          <cell r="BY783" t="str">
            <v>PETRP90</v>
          </cell>
          <cell r="BZ783">
            <v>19</v>
          </cell>
          <cell r="CA783" t="str">
            <v>20-04-2009</v>
          </cell>
          <cell r="CB783" t="str">
            <v xml:space="preserve">PETR        </v>
          </cell>
          <cell r="CC783" t="str">
            <v xml:space="preserve">PN        </v>
          </cell>
          <cell r="CD783" t="str">
            <v xml:space="preserve">OPCOES VENDA   </v>
          </cell>
          <cell r="CE783" t="str">
            <v xml:space="preserve">Europeu        </v>
          </cell>
        </row>
        <row r="784">
          <cell r="AF784">
            <v>779</v>
          </cell>
          <cell r="AG784">
            <v>0.10892339187965794</v>
          </cell>
          <cell r="BY784" t="str">
            <v>PETRP20</v>
          </cell>
          <cell r="BZ784">
            <v>20</v>
          </cell>
          <cell r="CA784" t="str">
            <v>20-04-2009</v>
          </cell>
          <cell r="CB784" t="str">
            <v xml:space="preserve">PETR        </v>
          </cell>
          <cell r="CC784" t="str">
            <v xml:space="preserve">PN        </v>
          </cell>
          <cell r="CD784" t="str">
            <v xml:space="preserve">OPCOES VENDA   </v>
          </cell>
          <cell r="CE784" t="str">
            <v xml:space="preserve">Europeu        </v>
          </cell>
        </row>
        <row r="785">
          <cell r="AF785">
            <v>780</v>
          </cell>
          <cell r="AG785">
            <v>0.10895929575367114</v>
          </cell>
          <cell r="BY785" t="str">
            <v>PETRP89</v>
          </cell>
          <cell r="BZ785">
            <v>20.32</v>
          </cell>
          <cell r="CA785" t="str">
            <v>20-04-2009</v>
          </cell>
          <cell r="CB785" t="str">
            <v xml:space="preserve">PETR        </v>
          </cell>
          <cell r="CC785" t="str">
            <v xml:space="preserve">PN        </v>
          </cell>
          <cell r="CD785" t="str">
            <v xml:space="preserve">OPCOES VENDA   </v>
          </cell>
          <cell r="CE785" t="str">
            <v xml:space="preserve">Europeu        </v>
          </cell>
        </row>
        <row r="786">
          <cell r="AF786">
            <v>781</v>
          </cell>
          <cell r="AG786">
            <v>0.10899510884235197</v>
          </cell>
          <cell r="BY786" t="str">
            <v>PETRP3</v>
          </cell>
          <cell r="BZ786">
            <v>21.1</v>
          </cell>
          <cell r="CA786" t="str">
            <v>20-04-2009</v>
          </cell>
          <cell r="CB786" t="str">
            <v xml:space="preserve">PETR        </v>
          </cell>
          <cell r="CC786" t="str">
            <v xml:space="preserve">PN        </v>
          </cell>
          <cell r="CD786" t="str">
            <v xml:space="preserve">OPCOES VENDA   </v>
          </cell>
          <cell r="CE786" t="str">
            <v xml:space="preserve">Europeu        </v>
          </cell>
        </row>
        <row r="787">
          <cell r="AF787">
            <v>782</v>
          </cell>
          <cell r="AG787">
            <v>0.10903083148958204</v>
          </cell>
          <cell r="BY787" t="str">
            <v>PETRP22</v>
          </cell>
          <cell r="BZ787">
            <v>22</v>
          </cell>
          <cell r="CA787" t="str">
            <v>20-04-2009</v>
          </cell>
          <cell r="CB787" t="str">
            <v xml:space="preserve">PETR        </v>
          </cell>
          <cell r="CC787" t="str">
            <v xml:space="preserve">PN        </v>
          </cell>
          <cell r="CD787" t="str">
            <v xml:space="preserve">OPCOES VENDA   </v>
          </cell>
          <cell r="CE787" t="str">
            <v xml:space="preserve">Europeu        </v>
          </cell>
        </row>
        <row r="788">
          <cell r="AF788">
            <v>783</v>
          </cell>
          <cell r="AG788">
            <v>0.1090664640375083</v>
          </cell>
          <cell r="BY788" t="str">
            <v>PETRP88</v>
          </cell>
          <cell r="BZ788">
            <v>22.32</v>
          </cell>
          <cell r="CA788" t="str">
            <v>20-04-2009</v>
          </cell>
          <cell r="CB788" t="str">
            <v xml:space="preserve">PETR        </v>
          </cell>
          <cell r="CC788" t="str">
            <v xml:space="preserve">PN        </v>
          </cell>
          <cell r="CD788" t="str">
            <v xml:space="preserve">OPCOES VENDA   </v>
          </cell>
          <cell r="CE788" t="str">
            <v xml:space="preserve">Europeu        </v>
          </cell>
        </row>
        <row r="789">
          <cell r="AF789">
            <v>784</v>
          </cell>
          <cell r="AG789">
            <v>0.10910200682655424</v>
          </cell>
          <cell r="BY789" t="str">
            <v>PETRP1</v>
          </cell>
          <cell r="BZ789">
            <v>23</v>
          </cell>
          <cell r="CA789" t="str">
            <v>20-04-2009</v>
          </cell>
          <cell r="CB789" t="str">
            <v xml:space="preserve">PETR        </v>
          </cell>
          <cell r="CC789" t="str">
            <v xml:space="preserve">PN        </v>
          </cell>
          <cell r="CD789" t="str">
            <v xml:space="preserve">OPCOES VENDA   </v>
          </cell>
          <cell r="CE789" t="str">
            <v xml:space="preserve">Europeu        </v>
          </cell>
        </row>
        <row r="790">
          <cell r="AF790">
            <v>785</v>
          </cell>
          <cell r="AG790">
            <v>0.10913746019543158</v>
          </cell>
          <cell r="BY790" t="str">
            <v>PETRP2</v>
          </cell>
          <cell r="BZ790">
            <v>23.5</v>
          </cell>
          <cell r="CA790" t="str">
            <v>20-04-2009</v>
          </cell>
          <cell r="CB790" t="str">
            <v xml:space="preserve">PETR        </v>
          </cell>
          <cell r="CC790" t="str">
            <v xml:space="preserve">PN        </v>
          </cell>
          <cell r="CD790" t="str">
            <v xml:space="preserve">OPCOES VENDA   </v>
          </cell>
          <cell r="CE790" t="str">
            <v xml:space="preserve">Europeu        </v>
          </cell>
        </row>
        <row r="791">
          <cell r="AF791">
            <v>786</v>
          </cell>
          <cell r="AG791">
            <v>0.10917282448114873</v>
          </cell>
          <cell r="BY791" t="str">
            <v>PETRP24</v>
          </cell>
          <cell r="BZ791">
            <v>24</v>
          </cell>
          <cell r="CA791" t="str">
            <v>20-04-2009</v>
          </cell>
          <cell r="CB791" t="str">
            <v xml:space="preserve">PETR        </v>
          </cell>
          <cell r="CC791" t="str">
            <v xml:space="preserve">PN        </v>
          </cell>
          <cell r="CD791" t="str">
            <v xml:space="preserve">OPCOES VENDA   </v>
          </cell>
          <cell r="CE791" t="str">
            <v xml:space="preserve">Europeu        </v>
          </cell>
        </row>
        <row r="792">
          <cell r="AF792">
            <v>787</v>
          </cell>
          <cell r="AG792">
            <v>0.10920810001902348</v>
          </cell>
          <cell r="BY792" t="str">
            <v>PETRP25</v>
          </cell>
          <cell r="BZ792">
            <v>25</v>
          </cell>
          <cell r="CA792" t="str">
            <v>20-04-2009</v>
          </cell>
          <cell r="CB792" t="str">
            <v xml:space="preserve">PETR        </v>
          </cell>
          <cell r="CC792" t="str">
            <v xml:space="preserve">PN        </v>
          </cell>
          <cell r="CD792" t="str">
            <v xml:space="preserve">OPCOES VENDA   </v>
          </cell>
          <cell r="CE792" t="str">
            <v xml:space="preserve">Europeu        </v>
          </cell>
        </row>
        <row r="793">
          <cell r="AF793">
            <v>788</v>
          </cell>
          <cell r="AG793">
            <v>0.10924328714269316</v>
          </cell>
          <cell r="BY793" t="str">
            <v>PETRP4</v>
          </cell>
          <cell r="BZ793">
            <v>25.5</v>
          </cell>
          <cell r="CA793" t="str">
            <v>20-04-2009</v>
          </cell>
          <cell r="CB793" t="str">
            <v xml:space="preserve">PETR        </v>
          </cell>
          <cell r="CC793" t="str">
            <v xml:space="preserve">PN        </v>
          </cell>
          <cell r="CD793" t="str">
            <v xml:space="preserve">OPCOES VENDA   </v>
          </cell>
          <cell r="CE793" t="str">
            <v xml:space="preserve">Europeu        </v>
          </cell>
        </row>
        <row r="794">
          <cell r="AF794">
            <v>789</v>
          </cell>
          <cell r="AG794">
            <v>0.10927838618412422</v>
          </cell>
          <cell r="BY794" t="str">
            <v>PETRP96</v>
          </cell>
          <cell r="BZ794">
            <v>25.82</v>
          </cell>
          <cell r="CA794" t="str">
            <v>20-04-2009</v>
          </cell>
          <cell r="CB794" t="str">
            <v xml:space="preserve">PETR        </v>
          </cell>
          <cell r="CC794" t="str">
            <v xml:space="preserve">PN        </v>
          </cell>
          <cell r="CD794" t="str">
            <v xml:space="preserve">OPCOES VENDA   </v>
          </cell>
          <cell r="CE794" t="str">
            <v xml:space="preserve">Europeu        </v>
          </cell>
        </row>
        <row r="795">
          <cell r="AF795">
            <v>790</v>
          </cell>
          <cell r="AG795">
            <v>0.10931339747362401</v>
          </cell>
          <cell r="BY795" t="str">
            <v>PETRP26</v>
          </cell>
          <cell r="BZ795">
            <v>26</v>
          </cell>
          <cell r="CA795" t="str">
            <v>20-04-2009</v>
          </cell>
          <cell r="CB795" t="str">
            <v xml:space="preserve">PETR        </v>
          </cell>
          <cell r="CC795" t="str">
            <v xml:space="preserve">PN        </v>
          </cell>
          <cell r="CD795" t="str">
            <v xml:space="preserve">OPCOES VENDA   </v>
          </cell>
          <cell r="CE795" t="str">
            <v xml:space="preserve">Europeu        </v>
          </cell>
        </row>
        <row r="796">
          <cell r="AF796">
            <v>791</v>
          </cell>
          <cell r="AG796">
            <v>0.10934832133985051</v>
          </cell>
          <cell r="BY796" t="str">
            <v>PETRP93</v>
          </cell>
          <cell r="BZ796">
            <v>26.32</v>
          </cell>
          <cell r="CA796" t="str">
            <v>20-04-2009</v>
          </cell>
          <cell r="CB796" t="str">
            <v xml:space="preserve">PETR        </v>
          </cell>
          <cell r="CC796" t="str">
            <v xml:space="preserve">PN        </v>
          </cell>
          <cell r="CD796" t="str">
            <v xml:space="preserve">OPCOES VENDA   </v>
          </cell>
          <cell r="CE796" t="str">
            <v xml:space="preserve">Europeu        </v>
          </cell>
        </row>
        <row r="797">
          <cell r="AF797">
            <v>792</v>
          </cell>
          <cell r="AG797">
            <v>0.10938315810982169</v>
          </cell>
          <cell r="BY797" t="str">
            <v>PETRP5</v>
          </cell>
          <cell r="BZ797">
            <v>27.5</v>
          </cell>
          <cell r="CA797" t="str">
            <v>20-04-2009</v>
          </cell>
          <cell r="CB797" t="str">
            <v xml:space="preserve">PETR        </v>
          </cell>
          <cell r="CC797" t="str">
            <v xml:space="preserve">PN        </v>
          </cell>
          <cell r="CD797" t="str">
            <v xml:space="preserve">OPCOES VENDA   </v>
          </cell>
          <cell r="CE797" t="str">
            <v xml:space="preserve">Europeu        </v>
          </cell>
        </row>
        <row r="798">
          <cell r="AF798">
            <v>793</v>
          </cell>
          <cell r="AG798">
            <v>0.10941790810892793</v>
          </cell>
          <cell r="BY798" t="str">
            <v>PETRP28</v>
          </cell>
          <cell r="BZ798">
            <v>28</v>
          </cell>
          <cell r="CA798" t="str">
            <v>20-04-2009</v>
          </cell>
          <cell r="CB798" t="str">
            <v xml:space="preserve">PETR        </v>
          </cell>
          <cell r="CC798" t="str">
            <v xml:space="preserve">PN        </v>
          </cell>
          <cell r="CD798" t="str">
            <v xml:space="preserve">OPCOES VENDA   </v>
          </cell>
          <cell r="CE798" t="str">
            <v xml:space="preserve">Europeu        </v>
          </cell>
        </row>
        <row r="799">
          <cell r="AF799">
            <v>794</v>
          </cell>
          <cell r="AG799">
            <v>0.10945257166094002</v>
          </cell>
          <cell r="BY799" t="str">
            <v>PETRP30</v>
          </cell>
          <cell r="BZ799">
            <v>30</v>
          </cell>
          <cell r="CA799" t="str">
            <v>20-04-2009</v>
          </cell>
          <cell r="CB799" t="str">
            <v xml:space="preserve">PETR        </v>
          </cell>
          <cell r="CC799" t="str">
            <v xml:space="preserve">PN        </v>
          </cell>
          <cell r="CD799" t="str">
            <v xml:space="preserve">OPCOES VENDA   </v>
          </cell>
          <cell r="CE799" t="str">
            <v xml:space="preserve">Europeu        </v>
          </cell>
        </row>
        <row r="800">
          <cell r="AF800">
            <v>795</v>
          </cell>
          <cell r="AG800">
            <v>0.10948714908801982</v>
          </cell>
          <cell r="BY800" t="str">
            <v>PETRP97</v>
          </cell>
          <cell r="BZ800">
            <v>30.32</v>
          </cell>
          <cell r="CA800" t="str">
            <v>20-04-2009</v>
          </cell>
          <cell r="CB800" t="str">
            <v xml:space="preserve">PETR        </v>
          </cell>
          <cell r="CC800" t="str">
            <v xml:space="preserve">PN        </v>
          </cell>
          <cell r="CD800" t="str">
            <v xml:space="preserve">OPCOES VENDA   </v>
          </cell>
          <cell r="CE800" t="str">
            <v xml:space="preserve">Europeu        </v>
          </cell>
        </row>
        <row r="801">
          <cell r="AF801">
            <v>796</v>
          </cell>
          <cell r="AG801">
            <v>0.10952164071073156</v>
          </cell>
          <cell r="BY801" t="str">
            <v>PETRP32</v>
          </cell>
          <cell r="BZ801">
            <v>32</v>
          </cell>
          <cell r="CA801" t="str">
            <v>20-04-2009</v>
          </cell>
          <cell r="CB801" t="str">
            <v xml:space="preserve">PETR        </v>
          </cell>
          <cell r="CC801" t="str">
            <v xml:space="preserve">PN        </v>
          </cell>
          <cell r="CD801" t="str">
            <v xml:space="preserve">OPCOES VENDA   </v>
          </cell>
          <cell r="CE801" t="str">
            <v xml:space="preserve">Europeu        </v>
          </cell>
        </row>
        <row r="802">
          <cell r="AF802">
            <v>797</v>
          </cell>
          <cell r="AG802">
            <v>0.10955604684804965</v>
          </cell>
          <cell r="BY802" t="str">
            <v>PETRP33</v>
          </cell>
          <cell r="BZ802">
            <v>32.32</v>
          </cell>
          <cell r="CA802" t="str">
            <v>20-04-2009</v>
          </cell>
          <cell r="CB802" t="str">
            <v xml:space="preserve">PETR        </v>
          </cell>
          <cell r="CC802" t="str">
            <v xml:space="preserve">PN        </v>
          </cell>
          <cell r="CD802" t="str">
            <v xml:space="preserve">OPCOES VENDA   </v>
          </cell>
          <cell r="CE802" t="str">
            <v xml:space="preserve">Europeu        </v>
          </cell>
        </row>
        <row r="803">
          <cell r="AF803">
            <v>798</v>
          </cell>
          <cell r="AG803">
            <v>0.10959036781736953</v>
          </cell>
          <cell r="BY803" t="str">
            <v>PETRP34</v>
          </cell>
          <cell r="BZ803">
            <v>33.32</v>
          </cell>
          <cell r="CA803" t="str">
            <v>20-04-2009</v>
          </cell>
          <cell r="CB803" t="str">
            <v xml:space="preserve">PETR        </v>
          </cell>
          <cell r="CC803" t="str">
            <v xml:space="preserve">PN        </v>
          </cell>
          <cell r="CD803" t="str">
            <v xml:space="preserve">OPCOES VENDA   </v>
          </cell>
          <cell r="CE803" t="str">
            <v xml:space="preserve">Europeu        </v>
          </cell>
        </row>
        <row r="804">
          <cell r="AF804">
            <v>799</v>
          </cell>
          <cell r="AG804">
            <v>0.10962460393451812</v>
          </cell>
          <cell r="BY804" t="str">
            <v>PETRP95</v>
          </cell>
          <cell r="BZ804">
            <v>35</v>
          </cell>
          <cell r="CA804" t="str">
            <v>20-04-2009</v>
          </cell>
          <cell r="CB804" t="str">
            <v xml:space="preserve">PETR        </v>
          </cell>
          <cell r="CC804" t="str">
            <v xml:space="preserve">PN        </v>
          </cell>
          <cell r="CD804" t="str">
            <v xml:space="preserve">OPCOES VENDA   </v>
          </cell>
          <cell r="CE804" t="str">
            <v xml:space="preserve">Europeu        </v>
          </cell>
        </row>
        <row r="805">
          <cell r="AF805">
            <v>800</v>
          </cell>
          <cell r="AG805">
            <v>0.10965875551376181</v>
          </cell>
          <cell r="BY805" t="str">
            <v>PETRP36</v>
          </cell>
          <cell r="BZ805">
            <v>36</v>
          </cell>
          <cell r="CA805" t="str">
            <v>20-04-2009</v>
          </cell>
          <cell r="CB805" t="str">
            <v xml:space="preserve">PETR        </v>
          </cell>
          <cell r="CC805" t="str">
            <v xml:space="preserve">PN        </v>
          </cell>
          <cell r="CD805" t="str">
            <v xml:space="preserve">OPCOES VENDA   </v>
          </cell>
          <cell r="CE805" t="str">
            <v xml:space="preserve">Europeu        </v>
          </cell>
        </row>
        <row r="806">
          <cell r="AF806">
            <v>801</v>
          </cell>
          <cell r="AG806">
            <v>0.10969282286781823</v>
          </cell>
          <cell r="BY806" t="str">
            <v>PETRP94</v>
          </cell>
          <cell r="BZ806">
            <v>37</v>
          </cell>
          <cell r="CA806" t="str">
            <v>20-04-2009</v>
          </cell>
          <cell r="CB806" t="str">
            <v xml:space="preserve">PETR        </v>
          </cell>
          <cell r="CC806" t="str">
            <v xml:space="preserve">PN        </v>
          </cell>
          <cell r="CD806" t="str">
            <v xml:space="preserve">OPCOES VENDA   </v>
          </cell>
          <cell r="CE806" t="str">
            <v xml:space="preserve">Europeu        </v>
          </cell>
        </row>
        <row r="807">
          <cell r="AF807">
            <v>802</v>
          </cell>
          <cell r="AG807">
            <v>0.1097268063078638</v>
          </cell>
          <cell r="BY807" t="str">
            <v>PETRP98</v>
          </cell>
          <cell r="BZ807">
            <v>37.5</v>
          </cell>
          <cell r="CA807" t="str">
            <v>20-04-2009</v>
          </cell>
          <cell r="CB807" t="str">
            <v xml:space="preserve">PETR        </v>
          </cell>
          <cell r="CC807" t="str">
            <v xml:space="preserve">PN        </v>
          </cell>
          <cell r="CD807" t="str">
            <v xml:space="preserve">OPCOES VENDA   </v>
          </cell>
          <cell r="CE807" t="str">
            <v xml:space="preserve">Europeu        </v>
          </cell>
        </row>
        <row r="808">
          <cell r="AF808">
            <v>803</v>
          </cell>
          <cell r="AG808">
            <v>0.10976070614354372</v>
          </cell>
          <cell r="BY808" t="str">
            <v>PETRP38</v>
          </cell>
          <cell r="BZ808">
            <v>38</v>
          </cell>
          <cell r="CA808" t="str">
            <v>20-04-2009</v>
          </cell>
          <cell r="CB808" t="str">
            <v xml:space="preserve">PETR        </v>
          </cell>
          <cell r="CC808" t="str">
            <v xml:space="preserve">PN        </v>
          </cell>
          <cell r="CD808" t="str">
            <v xml:space="preserve">OPCOES VENDA   </v>
          </cell>
          <cell r="CE808" t="str">
            <v xml:space="preserve">Europeu        </v>
          </cell>
        </row>
        <row r="809">
          <cell r="AF809">
            <v>804</v>
          </cell>
          <cell r="AG809">
            <v>0.1097945226829824</v>
          </cell>
          <cell r="BY809" t="str">
            <v>PETRP40</v>
          </cell>
          <cell r="BZ809">
            <v>40</v>
          </cell>
          <cell r="CA809" t="str">
            <v>20-04-2009</v>
          </cell>
          <cell r="CB809" t="str">
            <v xml:space="preserve">PETR        </v>
          </cell>
          <cell r="CC809" t="str">
            <v xml:space="preserve">PN        </v>
          </cell>
          <cell r="CD809" t="str">
            <v xml:space="preserve">OPCOES VENDA   </v>
          </cell>
          <cell r="CE809" t="str">
            <v xml:space="preserve">Europeu        </v>
          </cell>
        </row>
        <row r="810">
          <cell r="AF810">
            <v>805</v>
          </cell>
          <cell r="AG810">
            <v>0.10982825623279213</v>
          </cell>
          <cell r="BY810" t="str">
            <v>PETRP99</v>
          </cell>
          <cell r="BZ810">
            <v>42.5</v>
          </cell>
          <cell r="CA810" t="str">
            <v>20-04-2009</v>
          </cell>
          <cell r="CB810" t="str">
            <v xml:space="preserve">PETR        </v>
          </cell>
          <cell r="CC810" t="str">
            <v xml:space="preserve">PN        </v>
          </cell>
          <cell r="CD810" t="str">
            <v xml:space="preserve">OPCOES VENDA   </v>
          </cell>
          <cell r="CE810" t="str">
            <v xml:space="preserve">Europeu        </v>
          </cell>
        </row>
        <row r="811">
          <cell r="AF811">
            <v>806</v>
          </cell>
          <cell r="AG811">
            <v>0.10986190709808152</v>
          </cell>
          <cell r="BY811" t="str">
            <v>PETRQ15</v>
          </cell>
          <cell r="BZ811">
            <v>15</v>
          </cell>
          <cell r="CA811" t="str">
            <v>18-05-2009</v>
          </cell>
          <cell r="CB811" t="str">
            <v xml:space="preserve">PETR        </v>
          </cell>
          <cell r="CC811" t="str">
            <v xml:space="preserve">PN        </v>
          </cell>
          <cell r="CD811" t="str">
            <v xml:space="preserve">OPCOES VENDA   </v>
          </cell>
          <cell r="CE811" t="str">
            <v xml:space="preserve">Europeu        </v>
          </cell>
        </row>
        <row r="812">
          <cell r="AF812">
            <v>807</v>
          </cell>
          <cell r="AG812">
            <v>0.10989547558246615</v>
          </cell>
          <cell r="BY812" t="str">
            <v>PETRQ16</v>
          </cell>
          <cell r="BZ812">
            <v>16</v>
          </cell>
          <cell r="CA812" t="str">
            <v>18-05-2009</v>
          </cell>
          <cell r="CB812" t="str">
            <v xml:space="preserve">PETR        </v>
          </cell>
          <cell r="CC812" t="str">
            <v xml:space="preserve">PN        </v>
          </cell>
          <cell r="CD812" t="str">
            <v xml:space="preserve">OPCOES VENDA   </v>
          </cell>
          <cell r="CE812" t="str">
            <v xml:space="preserve">Europeu        </v>
          </cell>
        </row>
        <row r="813">
          <cell r="AF813">
            <v>808</v>
          </cell>
          <cell r="AG813">
            <v>0.10992896198807678</v>
          </cell>
          <cell r="BY813" t="str">
            <v>PETRQ18</v>
          </cell>
          <cell r="BZ813">
            <v>18</v>
          </cell>
          <cell r="CA813" t="str">
            <v>18-05-2009</v>
          </cell>
          <cell r="CB813" t="str">
            <v xml:space="preserve">PETR        </v>
          </cell>
          <cell r="CC813" t="str">
            <v xml:space="preserve">PN        </v>
          </cell>
          <cell r="CD813" t="str">
            <v xml:space="preserve">OPCOES VENDA   </v>
          </cell>
          <cell r="CE813" t="str">
            <v xml:space="preserve">Europeu        </v>
          </cell>
        </row>
        <row r="814">
          <cell r="AF814">
            <v>809</v>
          </cell>
          <cell r="AG814">
            <v>0.10996236661556802</v>
          </cell>
          <cell r="BY814" t="str">
            <v>PETRQ20</v>
          </cell>
          <cell r="BZ814">
            <v>20</v>
          </cell>
          <cell r="CA814" t="str">
            <v>18-05-2009</v>
          </cell>
          <cell r="CB814" t="str">
            <v xml:space="preserve">PETR        </v>
          </cell>
          <cell r="CC814" t="str">
            <v xml:space="preserve">PN        </v>
          </cell>
          <cell r="CD814" t="str">
            <v xml:space="preserve">OPCOES VENDA   </v>
          </cell>
          <cell r="CE814" t="str">
            <v xml:space="preserve">Europeu        </v>
          </cell>
        </row>
        <row r="815">
          <cell r="AF815">
            <v>810</v>
          </cell>
          <cell r="AG815">
            <v>0.10999568976412943</v>
          </cell>
          <cell r="BY815" t="str">
            <v>PETRQ22</v>
          </cell>
          <cell r="BZ815">
            <v>21.32</v>
          </cell>
          <cell r="CA815" t="str">
            <v>18-05-2009</v>
          </cell>
          <cell r="CB815" t="str">
            <v xml:space="preserve">PETR        </v>
          </cell>
          <cell r="CC815" t="str">
            <v xml:space="preserve">PN        </v>
          </cell>
          <cell r="CD815" t="str">
            <v xml:space="preserve">OPCOES VENDA   </v>
          </cell>
          <cell r="CE815" t="str">
            <v xml:space="preserve">Europeu        </v>
          </cell>
        </row>
        <row r="816">
          <cell r="AF816">
            <v>811</v>
          </cell>
          <cell r="AG816">
            <v>0.11002893173149109</v>
          </cell>
          <cell r="BY816" t="str">
            <v>PETRQ24</v>
          </cell>
          <cell r="BZ816">
            <v>24</v>
          </cell>
          <cell r="CA816" t="str">
            <v>18-05-2009</v>
          </cell>
          <cell r="CB816" t="str">
            <v xml:space="preserve">PETR        </v>
          </cell>
          <cell r="CC816" t="str">
            <v xml:space="preserve">PN        </v>
          </cell>
          <cell r="CD816" t="str">
            <v xml:space="preserve">OPCOES VENDA   </v>
          </cell>
          <cell r="CE816" t="str">
            <v xml:space="preserve">Europeu        </v>
          </cell>
        </row>
        <row r="817">
          <cell r="AF817">
            <v>812</v>
          </cell>
          <cell r="AG817">
            <v>0.11006209281393597</v>
          </cell>
          <cell r="BY817" t="str">
            <v>PETRQ26</v>
          </cell>
          <cell r="BZ817">
            <v>26</v>
          </cell>
          <cell r="CA817" t="str">
            <v>18-05-2009</v>
          </cell>
          <cell r="CB817" t="str">
            <v xml:space="preserve">PETR        </v>
          </cell>
          <cell r="CC817" t="str">
            <v xml:space="preserve">PN        </v>
          </cell>
          <cell r="CD817" t="str">
            <v xml:space="preserve">OPCOES VENDA   </v>
          </cell>
          <cell r="CE817" t="str">
            <v xml:space="preserve">Europeu        </v>
          </cell>
        </row>
        <row r="818">
          <cell r="AF818">
            <v>813</v>
          </cell>
          <cell r="AG818">
            <v>0.11009517330630603</v>
          </cell>
          <cell r="BY818" t="str">
            <v>PETRQ28</v>
          </cell>
          <cell r="BZ818">
            <v>28</v>
          </cell>
          <cell r="CA818" t="str">
            <v>18-05-2009</v>
          </cell>
          <cell r="CB818" t="str">
            <v xml:space="preserve">PETR        </v>
          </cell>
          <cell r="CC818" t="str">
            <v xml:space="preserve">PN        </v>
          </cell>
          <cell r="CD818" t="str">
            <v xml:space="preserve">OPCOES VENDA   </v>
          </cell>
          <cell r="CE818" t="str">
            <v xml:space="preserve">Europeu        </v>
          </cell>
        </row>
        <row r="819">
          <cell r="AF819">
            <v>814</v>
          </cell>
          <cell r="AG819">
            <v>0.11012817350201276</v>
          </cell>
          <cell r="BY819" t="str">
            <v>PETRQ30</v>
          </cell>
          <cell r="BZ819">
            <v>30</v>
          </cell>
          <cell r="CA819" t="str">
            <v>18-05-2009</v>
          </cell>
          <cell r="CB819" t="str">
            <v xml:space="preserve">PETR        </v>
          </cell>
          <cell r="CC819" t="str">
            <v xml:space="preserve">PN        </v>
          </cell>
          <cell r="CD819" t="str">
            <v xml:space="preserve">OPCOES VENDA   </v>
          </cell>
          <cell r="CE819" t="str">
            <v xml:space="preserve">Europeu        </v>
          </cell>
        </row>
        <row r="820">
          <cell r="AF820">
            <v>815</v>
          </cell>
          <cell r="AG820">
            <v>0.11016109369304439</v>
          </cell>
          <cell r="BY820" t="str">
            <v>PETRQ32</v>
          </cell>
          <cell r="BZ820">
            <v>32</v>
          </cell>
          <cell r="CA820" t="str">
            <v>18-05-2009</v>
          </cell>
          <cell r="CB820" t="str">
            <v xml:space="preserve">PETR        </v>
          </cell>
          <cell r="CC820" t="str">
            <v xml:space="preserve">PN        </v>
          </cell>
          <cell r="CD820" t="str">
            <v xml:space="preserve">OPCOES VENDA   </v>
          </cell>
          <cell r="CE820" t="str">
            <v xml:space="preserve">Europeu        </v>
          </cell>
        </row>
        <row r="821">
          <cell r="AF821">
            <v>816</v>
          </cell>
          <cell r="AG821">
            <v>0.11019393416997603</v>
          </cell>
          <cell r="BY821" t="str">
            <v>PETRQ34</v>
          </cell>
          <cell r="BZ821">
            <v>34</v>
          </cell>
          <cell r="CA821" t="str">
            <v>18-05-2009</v>
          </cell>
          <cell r="CB821" t="str">
            <v xml:space="preserve">PETR        </v>
          </cell>
          <cell r="CC821" t="str">
            <v xml:space="preserve">PN        </v>
          </cell>
          <cell r="CD821" t="str">
            <v xml:space="preserve">OPCOES VENDA   </v>
          </cell>
          <cell r="CE821" t="str">
            <v xml:space="preserve">Europeu        </v>
          </cell>
        </row>
        <row r="822">
          <cell r="AF822">
            <v>817</v>
          </cell>
          <cell r="AG822">
            <v>0.11022669522197659</v>
          </cell>
          <cell r="BY822" t="str">
            <v>PETRQ35</v>
          </cell>
          <cell r="BZ822">
            <v>35</v>
          </cell>
          <cell r="CA822" t="str">
            <v>18-05-2009</v>
          </cell>
          <cell r="CB822" t="str">
            <v xml:space="preserve">PETR        </v>
          </cell>
          <cell r="CC822" t="str">
            <v xml:space="preserve">PN        </v>
          </cell>
          <cell r="CD822" t="str">
            <v xml:space="preserve">OPCOES VENDA   </v>
          </cell>
          <cell r="CE822" t="str">
            <v xml:space="preserve">Europeu        </v>
          </cell>
        </row>
        <row r="823">
          <cell r="AF823">
            <v>818</v>
          </cell>
          <cell r="AG823">
            <v>0.11025937713681877</v>
          </cell>
          <cell r="BY823" t="str">
            <v>PETRQ36</v>
          </cell>
          <cell r="BZ823">
            <v>36</v>
          </cell>
          <cell r="CA823" t="str">
            <v>18-05-2009</v>
          </cell>
          <cell r="CB823" t="str">
            <v xml:space="preserve">PETR        </v>
          </cell>
          <cell r="CC823" t="str">
            <v xml:space="preserve">PN        </v>
          </cell>
          <cell r="CD823" t="str">
            <v xml:space="preserve">OPCOES VENDA   </v>
          </cell>
          <cell r="CE823" t="str">
            <v xml:space="preserve">Europeu        </v>
          </cell>
        </row>
        <row r="824">
          <cell r="AF824">
            <v>819</v>
          </cell>
          <cell r="AG824">
            <v>0.1102919802008866</v>
          </cell>
          <cell r="BY824" t="str">
            <v>PETRQ38</v>
          </cell>
          <cell r="BZ824">
            <v>38</v>
          </cell>
          <cell r="CA824" t="str">
            <v>18-05-2009</v>
          </cell>
          <cell r="CB824" t="str">
            <v xml:space="preserve">PETR        </v>
          </cell>
          <cell r="CC824" t="str">
            <v xml:space="preserve">PN        </v>
          </cell>
          <cell r="CD824" t="str">
            <v xml:space="preserve">OPCOES VENDA   </v>
          </cell>
          <cell r="CE824" t="str">
            <v xml:space="preserve">Europeu        </v>
          </cell>
        </row>
        <row r="825">
          <cell r="AF825">
            <v>820</v>
          </cell>
          <cell r="AG825">
            <v>0.11032450469918365</v>
          </cell>
          <cell r="BY825" t="str">
            <v>PETRQ40</v>
          </cell>
          <cell r="BZ825">
            <v>40</v>
          </cell>
          <cell r="CA825" t="str">
            <v>18-05-2009</v>
          </cell>
          <cell r="CB825" t="str">
            <v xml:space="preserve">PETR        </v>
          </cell>
          <cell r="CC825" t="str">
            <v xml:space="preserve">PN        </v>
          </cell>
          <cell r="CD825" t="str">
            <v xml:space="preserve">OPCOES VENDA   </v>
          </cell>
          <cell r="CE825" t="str">
            <v xml:space="preserve">Europeu        </v>
          </cell>
        </row>
        <row r="826">
          <cell r="AF826">
            <v>821</v>
          </cell>
          <cell r="AG826">
            <v>0.11035695091534237</v>
          </cell>
          <cell r="BY826" t="str">
            <v>PETRR97</v>
          </cell>
          <cell r="BZ826">
            <v>15</v>
          </cell>
          <cell r="CA826" t="str">
            <v>15-06-2009</v>
          </cell>
          <cell r="CB826" t="str">
            <v xml:space="preserve">PETR        </v>
          </cell>
          <cell r="CC826" t="str">
            <v xml:space="preserve">PN        </v>
          </cell>
          <cell r="CD826" t="str">
            <v xml:space="preserve">OPCOES VENDA   </v>
          </cell>
          <cell r="CE826" t="str">
            <v xml:space="preserve">Europeu        </v>
          </cell>
        </row>
        <row r="827">
          <cell r="AF827">
            <v>822</v>
          </cell>
          <cell r="AG827">
            <v>0.11038931913163119</v>
          </cell>
          <cell r="BY827" t="str">
            <v>PETRR96</v>
          </cell>
          <cell r="BZ827">
            <v>17</v>
          </cell>
          <cell r="CA827" t="str">
            <v>15-06-2009</v>
          </cell>
          <cell r="CB827" t="str">
            <v xml:space="preserve">PETR        </v>
          </cell>
          <cell r="CC827" t="str">
            <v xml:space="preserve">PN        </v>
          </cell>
          <cell r="CD827" t="str">
            <v xml:space="preserve">OPCOES VENDA   </v>
          </cell>
          <cell r="CE827" t="str">
            <v xml:space="preserve">Europeu        </v>
          </cell>
        </row>
        <row r="828">
          <cell r="AF828">
            <v>823</v>
          </cell>
          <cell r="AG828">
            <v>0.11042160962896297</v>
          </cell>
          <cell r="BY828" t="str">
            <v>PETRR95</v>
          </cell>
          <cell r="BZ828">
            <v>19</v>
          </cell>
          <cell r="CA828" t="str">
            <v>15-06-2009</v>
          </cell>
          <cell r="CB828" t="str">
            <v xml:space="preserve">PETR        </v>
          </cell>
          <cell r="CC828" t="str">
            <v xml:space="preserve">PN        </v>
          </cell>
          <cell r="CD828" t="str">
            <v xml:space="preserve">OPCOES VENDA   </v>
          </cell>
          <cell r="CE828" t="str">
            <v xml:space="preserve">Europeu        </v>
          </cell>
        </row>
        <row r="829">
          <cell r="AF829">
            <v>824</v>
          </cell>
          <cell r="AG829">
            <v>0.11045382268690362</v>
          </cell>
          <cell r="BY829" t="str">
            <v>PETRR94</v>
          </cell>
          <cell r="BZ829">
            <v>21</v>
          </cell>
          <cell r="CA829" t="str">
            <v>15-06-2009</v>
          </cell>
          <cell r="CB829" t="str">
            <v xml:space="preserve">PETR        </v>
          </cell>
          <cell r="CC829" t="str">
            <v xml:space="preserve">PN        </v>
          </cell>
          <cell r="CD829" t="str">
            <v xml:space="preserve">OPCOES VENDA   </v>
          </cell>
          <cell r="CE829" t="str">
            <v xml:space="preserve">Europeu        </v>
          </cell>
        </row>
        <row r="830">
          <cell r="AF830">
            <v>825</v>
          </cell>
          <cell r="AG830">
            <v>0.11048595858368038</v>
          </cell>
          <cell r="BY830" t="str">
            <v>PETRR22</v>
          </cell>
          <cell r="BZ830">
            <v>22</v>
          </cell>
          <cell r="CA830" t="str">
            <v>15-06-2009</v>
          </cell>
          <cell r="CB830" t="str">
            <v xml:space="preserve">PETR        </v>
          </cell>
          <cell r="CC830" t="str">
            <v xml:space="preserve">PN        </v>
          </cell>
          <cell r="CD830" t="str">
            <v xml:space="preserve">OPCOES VENDA   </v>
          </cell>
          <cell r="CE830" t="str">
            <v xml:space="preserve">Europeu        </v>
          </cell>
        </row>
        <row r="831">
          <cell r="AF831">
            <v>826</v>
          </cell>
          <cell r="AG831">
            <v>0.11051801759618818</v>
          </cell>
          <cell r="BY831" t="str">
            <v>PETRR93</v>
          </cell>
          <cell r="BZ831">
            <v>23</v>
          </cell>
          <cell r="CA831" t="str">
            <v>15-06-2009</v>
          </cell>
          <cell r="CB831" t="str">
            <v xml:space="preserve">PETR        </v>
          </cell>
          <cell r="CC831" t="str">
            <v xml:space="preserve">PN        </v>
          </cell>
          <cell r="CD831" t="str">
            <v xml:space="preserve">OPCOES VENDA   </v>
          </cell>
          <cell r="CE831" t="str">
            <v xml:space="preserve">Europeu        </v>
          </cell>
        </row>
        <row r="832">
          <cell r="AF832">
            <v>827</v>
          </cell>
          <cell r="AG832">
            <v>0.11054999999999993</v>
          </cell>
          <cell r="BY832" t="str">
            <v>PETRR24</v>
          </cell>
          <cell r="BZ832">
            <v>24</v>
          </cell>
          <cell r="CA832" t="str">
            <v>15-06-2009</v>
          </cell>
          <cell r="CB832" t="str">
            <v xml:space="preserve">PETR        </v>
          </cell>
          <cell r="CC832" t="str">
            <v xml:space="preserve">PN        </v>
          </cell>
          <cell r="CD832" t="str">
            <v xml:space="preserve">OPCOES VENDA   </v>
          </cell>
          <cell r="CE832" t="str">
            <v xml:space="preserve">Europeu        </v>
          </cell>
        </row>
        <row r="833">
          <cell r="AF833">
            <v>828</v>
          </cell>
          <cell r="AG833">
            <v>0.11056975690302151</v>
          </cell>
          <cell r="BY833" t="str">
            <v>PETRR92</v>
          </cell>
          <cell r="BZ833">
            <v>24.32</v>
          </cell>
          <cell r="CA833" t="str">
            <v>15-06-2009</v>
          </cell>
          <cell r="CB833" t="str">
            <v xml:space="preserve">PETR        </v>
          </cell>
          <cell r="CC833" t="str">
            <v xml:space="preserve">PN        </v>
          </cell>
          <cell r="CD833" t="str">
            <v xml:space="preserve">OPCOES VENDA   </v>
          </cell>
          <cell r="CE833" t="str">
            <v xml:space="preserve">Europeu        </v>
          </cell>
        </row>
        <row r="834">
          <cell r="AF834">
            <v>829</v>
          </cell>
          <cell r="AG834">
            <v>0.11058946649182877</v>
          </cell>
          <cell r="BY834" t="str">
            <v>PETRR26</v>
          </cell>
          <cell r="BZ834">
            <v>26</v>
          </cell>
          <cell r="CA834" t="str">
            <v>15-06-2009</v>
          </cell>
          <cell r="CB834" t="str">
            <v xml:space="preserve">PETR        </v>
          </cell>
          <cell r="CC834" t="str">
            <v xml:space="preserve">PN        </v>
          </cell>
          <cell r="CD834" t="str">
            <v xml:space="preserve">OPCOES VENDA   </v>
          </cell>
          <cell r="CE834" t="str">
            <v xml:space="preserve">Europeu        </v>
          </cell>
        </row>
        <row r="835">
          <cell r="AF835">
            <v>830</v>
          </cell>
          <cell r="AG835">
            <v>0.11060912893617925</v>
          </cell>
          <cell r="BY835" t="str">
            <v>PETRR91</v>
          </cell>
          <cell r="BZ835">
            <v>26.5</v>
          </cell>
          <cell r="CA835" t="str">
            <v>15-06-2009</v>
          </cell>
          <cell r="CB835" t="str">
            <v xml:space="preserve">PETR        </v>
          </cell>
          <cell r="CC835" t="str">
            <v xml:space="preserve">PN        </v>
          </cell>
          <cell r="CD835" t="str">
            <v xml:space="preserve">OPCOES VENDA   </v>
          </cell>
          <cell r="CE835" t="str">
            <v xml:space="preserve">Europeu        </v>
          </cell>
        </row>
        <row r="836">
          <cell r="AF836">
            <v>831</v>
          </cell>
          <cell r="AG836">
            <v>0.11062874440501935</v>
          </cell>
          <cell r="BY836" t="str">
            <v>PETRR28</v>
          </cell>
          <cell r="BZ836">
            <v>28</v>
          </cell>
          <cell r="CA836" t="str">
            <v>15-06-2009</v>
          </cell>
          <cell r="CB836" t="str">
            <v xml:space="preserve">PETR        </v>
          </cell>
          <cell r="CC836" t="str">
            <v xml:space="preserve">PN        </v>
          </cell>
          <cell r="CD836" t="str">
            <v xml:space="preserve">OPCOES VENDA   </v>
          </cell>
          <cell r="CE836" t="str">
            <v xml:space="preserve">Europeu        </v>
          </cell>
        </row>
        <row r="837">
          <cell r="AF837">
            <v>832</v>
          </cell>
          <cell r="AG837">
            <v>0.11064831306648815</v>
          </cell>
          <cell r="BY837" t="str">
            <v>PETRR30</v>
          </cell>
          <cell r="BZ837">
            <v>30</v>
          </cell>
          <cell r="CA837" t="str">
            <v>15-06-2009</v>
          </cell>
          <cell r="CB837" t="str">
            <v xml:space="preserve">PETR        </v>
          </cell>
          <cell r="CC837" t="str">
            <v xml:space="preserve">PN        </v>
          </cell>
          <cell r="CD837" t="str">
            <v xml:space="preserve">OPCOES VENDA   </v>
          </cell>
          <cell r="CE837" t="str">
            <v xml:space="preserve">Europeu        </v>
          </cell>
        </row>
        <row r="838">
          <cell r="AF838">
            <v>833</v>
          </cell>
          <cell r="AG838">
            <v>0.11066783508792399</v>
          </cell>
          <cell r="BY838" t="str">
            <v>PETRR32</v>
          </cell>
          <cell r="BZ838">
            <v>32</v>
          </cell>
          <cell r="CA838" t="str">
            <v>15-06-2009</v>
          </cell>
          <cell r="CB838" t="str">
            <v xml:space="preserve">PETR        </v>
          </cell>
          <cell r="CC838" t="str">
            <v xml:space="preserve">PN        </v>
          </cell>
          <cell r="CD838" t="str">
            <v xml:space="preserve">OPCOES VENDA   </v>
          </cell>
          <cell r="CE838" t="str">
            <v xml:space="preserve">Europeu        </v>
          </cell>
        </row>
        <row r="839">
          <cell r="AF839">
            <v>834</v>
          </cell>
          <cell r="AG839">
            <v>0.11068731063586901</v>
          </cell>
          <cell r="BY839" t="str">
            <v>PETRR34</v>
          </cell>
          <cell r="BZ839">
            <v>34</v>
          </cell>
          <cell r="CA839" t="str">
            <v>15-06-2009</v>
          </cell>
          <cell r="CB839" t="str">
            <v xml:space="preserve">PETR        </v>
          </cell>
          <cell r="CC839" t="str">
            <v xml:space="preserve">PN        </v>
          </cell>
          <cell r="CD839" t="str">
            <v xml:space="preserve">OPCOES VENDA   </v>
          </cell>
          <cell r="CE839" t="str">
            <v xml:space="preserve">Europeu        </v>
          </cell>
        </row>
        <row r="840">
          <cell r="AF840">
            <v>835</v>
          </cell>
          <cell r="AG840">
            <v>0.11070673987607216</v>
          </cell>
          <cell r="BY840" t="str">
            <v>PETRR36</v>
          </cell>
          <cell r="BZ840">
            <v>36</v>
          </cell>
          <cell r="CA840" t="str">
            <v>15-06-2009</v>
          </cell>
          <cell r="CB840" t="str">
            <v xml:space="preserve">PETR        </v>
          </cell>
          <cell r="CC840" t="str">
            <v xml:space="preserve">PN        </v>
          </cell>
          <cell r="CD840" t="str">
            <v xml:space="preserve">OPCOES VENDA   </v>
          </cell>
          <cell r="CE840" t="str">
            <v xml:space="preserve">Europeu        </v>
          </cell>
        </row>
        <row r="841">
          <cell r="AF841">
            <v>836</v>
          </cell>
          <cell r="AG841">
            <v>0.1107261229734966</v>
          </cell>
          <cell r="BY841" t="str">
            <v>PETRR38</v>
          </cell>
          <cell r="BZ841">
            <v>38</v>
          </cell>
          <cell r="CA841" t="str">
            <v>15-06-2009</v>
          </cell>
          <cell r="CB841" t="str">
            <v xml:space="preserve">PETR        </v>
          </cell>
          <cell r="CC841" t="str">
            <v xml:space="preserve">PN        </v>
          </cell>
          <cell r="CD841" t="str">
            <v xml:space="preserve">OPCOES VENDA   </v>
          </cell>
          <cell r="CE841" t="str">
            <v xml:space="preserve">Europeu        </v>
          </cell>
        </row>
        <row r="842">
          <cell r="AF842">
            <v>837</v>
          </cell>
          <cell r="AG842">
            <v>0.11074546009232145</v>
          </cell>
          <cell r="BY842" t="str">
            <v>PETRR98</v>
          </cell>
          <cell r="BZ842">
            <v>39.32</v>
          </cell>
          <cell r="CA842" t="str">
            <v>15-06-2009</v>
          </cell>
          <cell r="CB842" t="str">
            <v xml:space="preserve">PETR        </v>
          </cell>
          <cell r="CC842" t="str">
            <v xml:space="preserve">PN        </v>
          </cell>
          <cell r="CD842" t="str">
            <v xml:space="preserve">OPCOES VENDA   </v>
          </cell>
          <cell r="CE842" t="str">
            <v xml:space="preserve">Europeu        </v>
          </cell>
        </row>
        <row r="843">
          <cell r="AF843">
            <v>838</v>
          </cell>
          <cell r="AG843">
            <v>0.11076475139594888</v>
          </cell>
          <cell r="BY843" t="str">
            <v>PETRR99</v>
          </cell>
          <cell r="BZ843">
            <v>45</v>
          </cell>
          <cell r="CA843" t="str">
            <v>15-06-2009</v>
          </cell>
          <cell r="CB843" t="str">
            <v xml:space="preserve">PETR        </v>
          </cell>
          <cell r="CC843" t="str">
            <v xml:space="preserve">PN        </v>
          </cell>
          <cell r="CD843" t="str">
            <v xml:space="preserve">OPCOES VENDA   </v>
          </cell>
          <cell r="CE843" t="str">
            <v xml:space="preserve">Europeu        </v>
          </cell>
        </row>
        <row r="844">
          <cell r="AF844">
            <v>839</v>
          </cell>
          <cell r="AG844">
            <v>0.1107839970470077</v>
          </cell>
          <cell r="BY844" t="str">
            <v>PETRS26</v>
          </cell>
          <cell r="BZ844">
            <v>26</v>
          </cell>
          <cell r="CA844" t="str">
            <v>20-07-2009</v>
          </cell>
          <cell r="CB844" t="str">
            <v xml:space="preserve">PETR        </v>
          </cell>
          <cell r="CC844" t="str">
            <v xml:space="preserve">PN        </v>
          </cell>
          <cell r="CD844" t="str">
            <v xml:space="preserve">OPCOES VENDA   </v>
          </cell>
          <cell r="CE844" t="str">
            <v xml:space="preserve">Europeu        </v>
          </cell>
        </row>
        <row r="845">
          <cell r="AF845">
            <v>840</v>
          </cell>
          <cell r="AG845">
            <v>0.11080319720735687</v>
          </cell>
          <cell r="BY845" t="str">
            <v>PETRT99</v>
          </cell>
          <cell r="BZ845">
            <v>28.5</v>
          </cell>
          <cell r="CA845" t="str">
            <v>17-08-2009</v>
          </cell>
          <cell r="CB845" t="str">
            <v xml:space="preserve">PETR        </v>
          </cell>
          <cell r="CC845" t="str">
            <v xml:space="preserve">PN        </v>
          </cell>
          <cell r="CD845" t="str">
            <v xml:space="preserve">OPCOES VENDA   </v>
          </cell>
          <cell r="CE845" t="str">
            <v xml:space="preserve">Europeu        </v>
          </cell>
        </row>
        <row r="846">
          <cell r="AF846">
            <v>841</v>
          </cell>
          <cell r="AG846">
            <v>0.11082235203809265</v>
          </cell>
          <cell r="BY846" t="str">
            <v>PETRU1</v>
          </cell>
          <cell r="BZ846">
            <v>26.5</v>
          </cell>
          <cell r="CA846" t="str">
            <v>21-09-2009</v>
          </cell>
          <cell r="CB846" t="str">
            <v xml:space="preserve">PETR        </v>
          </cell>
          <cell r="CC846" t="str">
            <v xml:space="preserve">PN        </v>
          </cell>
          <cell r="CD846" t="str">
            <v xml:space="preserve">OPCOES VENDA   </v>
          </cell>
          <cell r="CE846" t="str">
            <v xml:space="preserve">Europeu        </v>
          </cell>
        </row>
        <row r="847">
          <cell r="AF847">
            <v>842</v>
          </cell>
          <cell r="AG847">
            <v>0.11084146169955078</v>
          </cell>
          <cell r="BY847" t="str">
            <v>PETRX4</v>
          </cell>
          <cell r="BZ847">
            <v>17.32</v>
          </cell>
          <cell r="CA847" t="str">
            <v>21-12-2009</v>
          </cell>
          <cell r="CB847" t="str">
            <v xml:space="preserve">PETR        </v>
          </cell>
          <cell r="CC847" t="str">
            <v xml:space="preserve">PN        </v>
          </cell>
          <cell r="CD847" t="str">
            <v xml:space="preserve">OPCOES VENDA   </v>
          </cell>
          <cell r="CE847" t="str">
            <v xml:space="preserve">Europeu        </v>
          </cell>
        </row>
        <row r="848">
          <cell r="AF848">
            <v>843</v>
          </cell>
          <cell r="AG848">
            <v>0.11086052635131094</v>
          </cell>
          <cell r="BY848" t="str">
            <v>PETRX24</v>
          </cell>
          <cell r="BZ848">
            <v>24</v>
          </cell>
          <cell r="CA848" t="str">
            <v>21-12-2009</v>
          </cell>
          <cell r="CB848" t="str">
            <v xml:space="preserve">PETR        </v>
          </cell>
          <cell r="CC848" t="str">
            <v xml:space="preserve">PN        </v>
          </cell>
          <cell r="CD848" t="str">
            <v xml:space="preserve">OPCOES VENDA   </v>
          </cell>
          <cell r="CE848" t="str">
            <v xml:space="preserve">Europeu        </v>
          </cell>
        </row>
        <row r="849">
          <cell r="AF849">
            <v>844</v>
          </cell>
          <cell r="AG849">
            <v>0.11087954615220386</v>
          </cell>
          <cell r="BY849" t="str">
            <v>PETRX26</v>
          </cell>
          <cell r="BZ849">
            <v>26</v>
          </cell>
          <cell r="CA849" t="str">
            <v>21-12-2009</v>
          </cell>
          <cell r="CB849" t="str">
            <v xml:space="preserve">PETR        </v>
          </cell>
          <cell r="CC849" t="str">
            <v xml:space="preserve">PN        </v>
          </cell>
          <cell r="CD849" t="str">
            <v xml:space="preserve">OPCOES VENDA   </v>
          </cell>
          <cell r="CE849" t="str">
            <v xml:space="preserve">Europeu        </v>
          </cell>
        </row>
        <row r="850">
          <cell r="AF850">
            <v>845</v>
          </cell>
          <cell r="AG850">
            <v>0.11089852126031197</v>
          </cell>
          <cell r="BY850" t="str">
            <v>PETRX5</v>
          </cell>
          <cell r="BZ850">
            <v>28</v>
          </cell>
          <cell r="CA850" t="str">
            <v>21-12-2009</v>
          </cell>
          <cell r="CB850" t="str">
            <v xml:space="preserve">PETR        </v>
          </cell>
          <cell r="CC850" t="str">
            <v xml:space="preserve">PN        </v>
          </cell>
          <cell r="CD850" t="str">
            <v xml:space="preserve">OPCOES VENDA   </v>
          </cell>
          <cell r="CE850" t="str">
            <v xml:space="preserve">Europeu        </v>
          </cell>
        </row>
        <row r="851">
          <cell r="AF851">
            <v>846</v>
          </cell>
          <cell r="AG851">
            <v>0.11091745183297697</v>
          </cell>
          <cell r="BY851" t="str">
            <v>PETRX30</v>
          </cell>
          <cell r="BZ851">
            <v>30</v>
          </cell>
          <cell r="CA851" t="str">
            <v>21-12-2009</v>
          </cell>
          <cell r="CB851" t="str">
            <v xml:space="preserve">PETR        </v>
          </cell>
          <cell r="CC851" t="str">
            <v xml:space="preserve">PN        </v>
          </cell>
          <cell r="CD851" t="str">
            <v xml:space="preserve">OPCOES VENDA   </v>
          </cell>
          <cell r="CE851" t="str">
            <v xml:space="preserve">Europeu        </v>
          </cell>
        </row>
        <row r="852">
          <cell r="AF852">
            <v>847</v>
          </cell>
          <cell r="AG852">
            <v>0.11093633802680225</v>
          </cell>
          <cell r="BY852" t="str">
            <v>PETRX34</v>
          </cell>
          <cell r="BZ852">
            <v>34</v>
          </cell>
          <cell r="CA852" t="str">
            <v>21-12-2009</v>
          </cell>
          <cell r="CB852" t="str">
            <v xml:space="preserve">PETR        </v>
          </cell>
          <cell r="CC852" t="str">
            <v xml:space="preserve">PN        </v>
          </cell>
          <cell r="CD852" t="str">
            <v xml:space="preserve">OPCOES VENDA   </v>
          </cell>
          <cell r="CE852" t="str">
            <v xml:space="preserve">Europeu        </v>
          </cell>
        </row>
        <row r="853">
          <cell r="AF853">
            <v>848</v>
          </cell>
          <cell r="AG853">
            <v>0.1109551799976578</v>
          </cell>
          <cell r="BY853" t="str">
            <v>PETRX40</v>
          </cell>
          <cell r="BZ853">
            <v>40</v>
          </cell>
          <cell r="CA853" t="str">
            <v>21-12-2009</v>
          </cell>
          <cell r="CB853" t="str">
            <v xml:space="preserve">PETR        </v>
          </cell>
          <cell r="CC853" t="str">
            <v xml:space="preserve">PN        </v>
          </cell>
          <cell r="CD853" t="str">
            <v xml:space="preserve">OPCOES VENDA   </v>
          </cell>
          <cell r="CE853" t="str">
            <v xml:space="preserve">Europeu        </v>
          </cell>
        </row>
        <row r="854">
          <cell r="AF854">
            <v>849</v>
          </cell>
          <cell r="AG854">
            <v>0.11097397790068531</v>
          </cell>
          <cell r="BY854" t="str">
            <v>PETRM18</v>
          </cell>
          <cell r="BZ854">
            <v>18</v>
          </cell>
          <cell r="CA854" t="str">
            <v>18-01-2010</v>
          </cell>
          <cell r="CB854" t="str">
            <v xml:space="preserve">PETR        </v>
          </cell>
          <cell r="CC854" t="str">
            <v xml:space="preserve">PN        </v>
          </cell>
          <cell r="CD854" t="str">
            <v xml:space="preserve">OPCOES VENDA   </v>
          </cell>
          <cell r="CE854" t="str">
            <v xml:space="preserve">Europeu        </v>
          </cell>
        </row>
        <row r="855">
          <cell r="AF855">
            <v>850</v>
          </cell>
          <cell r="AG855">
            <v>0.11099273189030034</v>
          </cell>
          <cell r="BY855" t="str">
            <v>PETRM26</v>
          </cell>
          <cell r="BZ855">
            <v>26</v>
          </cell>
          <cell r="CA855" t="str">
            <v>18-01-2010</v>
          </cell>
          <cell r="CB855" t="str">
            <v xml:space="preserve">PETR        </v>
          </cell>
          <cell r="CC855" t="str">
            <v xml:space="preserve">PN        </v>
          </cell>
          <cell r="CD855" t="str">
            <v xml:space="preserve">OPCOES VENDA   </v>
          </cell>
          <cell r="CE855" t="str">
            <v xml:space="preserve">Europeu        </v>
          </cell>
        </row>
        <row r="856">
          <cell r="AF856">
            <v>851</v>
          </cell>
          <cell r="AG856">
            <v>0.11101144212019931</v>
          </cell>
          <cell r="BY856" t="str">
            <v>PETRM32</v>
          </cell>
          <cell r="BZ856">
            <v>32</v>
          </cell>
          <cell r="CA856" t="str">
            <v>18-01-2010</v>
          </cell>
          <cell r="CB856" t="str">
            <v xml:space="preserve">PETR        </v>
          </cell>
          <cell r="CC856" t="str">
            <v xml:space="preserve">PN        </v>
          </cell>
          <cell r="CD856" t="str">
            <v xml:space="preserve">OPCOES VENDA   </v>
          </cell>
          <cell r="CE856" t="str">
            <v xml:space="preserve">Europeu        </v>
          </cell>
        </row>
        <row r="857">
          <cell r="AF857">
            <v>852</v>
          </cell>
          <cell r="AG857">
            <v>0.11103010874336117</v>
          </cell>
          <cell r="BY857" t="str">
            <v>TCSLF2</v>
          </cell>
          <cell r="BZ857">
            <v>4</v>
          </cell>
          <cell r="CA857" t="str">
            <v>15-06-2009</v>
          </cell>
          <cell r="CB857" t="str">
            <v xml:space="preserve">TCSL        </v>
          </cell>
          <cell r="CC857" t="str">
            <v xml:space="preserve">PN        </v>
          </cell>
          <cell r="CD857" t="str">
            <v xml:space="preserve">OPCOES COMPRA  </v>
          </cell>
          <cell r="CE857" t="str">
            <v xml:space="preserve">Americano      </v>
          </cell>
        </row>
        <row r="858">
          <cell r="AF858">
            <v>853</v>
          </cell>
          <cell r="AG858">
            <v>0.11104873191205256</v>
          </cell>
          <cell r="BY858" t="str">
            <v>TCSLR2</v>
          </cell>
          <cell r="BZ858">
            <v>4</v>
          </cell>
          <cell r="CA858" t="str">
            <v>15-06-2009</v>
          </cell>
          <cell r="CB858" t="str">
            <v xml:space="preserve">TCSL        </v>
          </cell>
          <cell r="CC858" t="str">
            <v xml:space="preserve">PN        </v>
          </cell>
          <cell r="CD858" t="str">
            <v xml:space="preserve">OPCOES VENDA   </v>
          </cell>
          <cell r="CE858" t="str">
            <v xml:space="preserve">Europeu        </v>
          </cell>
        </row>
        <row r="859">
          <cell r="AF859">
            <v>854</v>
          </cell>
          <cell r="AG859">
            <v>0.11106731177783336</v>
          </cell>
          <cell r="BY859" t="str">
            <v>TLPPF1</v>
          </cell>
          <cell r="BZ859">
            <v>44</v>
          </cell>
          <cell r="CA859" t="str">
            <v>15-06-2009</v>
          </cell>
          <cell r="CB859" t="str">
            <v xml:space="preserve">TLPP        </v>
          </cell>
          <cell r="CC859" t="str">
            <v xml:space="preserve">PN        </v>
          </cell>
          <cell r="CD859" t="str">
            <v xml:space="preserve">OPCOES COMPRA  </v>
          </cell>
          <cell r="CE859" t="str">
            <v xml:space="preserve">Americano      </v>
          </cell>
        </row>
        <row r="860">
          <cell r="AF860">
            <v>855</v>
          </cell>
          <cell r="AG860">
            <v>0.111085848491558</v>
          </cell>
          <cell r="BY860" t="str">
            <v>TLPPR1</v>
          </cell>
          <cell r="BZ860">
            <v>44</v>
          </cell>
          <cell r="CA860" t="str">
            <v>15-06-2009</v>
          </cell>
          <cell r="CB860" t="str">
            <v xml:space="preserve">TLPP        </v>
          </cell>
          <cell r="CC860" t="str">
            <v xml:space="preserve">PN        </v>
          </cell>
          <cell r="CD860" t="str">
            <v xml:space="preserve">OPCOES VENDA   </v>
          </cell>
          <cell r="CE860" t="str">
            <v xml:space="preserve">Europeu        </v>
          </cell>
        </row>
        <row r="861">
          <cell r="AF861">
            <v>856</v>
          </cell>
          <cell r="AG861">
            <v>0.11110434220338217</v>
          </cell>
          <cell r="BY861" t="str">
            <v>TMCPF1</v>
          </cell>
          <cell r="BZ861">
            <v>48</v>
          </cell>
          <cell r="CA861" t="str">
            <v>15-06-2009</v>
          </cell>
          <cell r="CB861" t="str">
            <v xml:space="preserve">TMCP        </v>
          </cell>
          <cell r="CC861" t="str">
            <v xml:space="preserve">PN        </v>
          </cell>
          <cell r="CD861" t="str">
            <v xml:space="preserve">OPCOES COMPRA  </v>
          </cell>
          <cell r="CE861" t="str">
            <v xml:space="preserve">Americano      </v>
          </cell>
        </row>
        <row r="862">
          <cell r="AF862">
            <v>857</v>
          </cell>
          <cell r="AG862">
            <v>0.11112279306276429</v>
          </cell>
          <cell r="BY862" t="str">
            <v>TMCPR1</v>
          </cell>
          <cell r="BZ862">
            <v>48</v>
          </cell>
          <cell r="CA862" t="str">
            <v>15-06-2009</v>
          </cell>
          <cell r="CB862" t="str">
            <v xml:space="preserve">TMCP        </v>
          </cell>
          <cell r="CC862" t="str">
            <v xml:space="preserve">PN        </v>
          </cell>
          <cell r="CD862" t="str">
            <v xml:space="preserve">OPCOES VENDA   </v>
          </cell>
          <cell r="CE862" t="str">
            <v xml:space="preserve">Europeu        </v>
          </cell>
        </row>
        <row r="863">
          <cell r="AF863">
            <v>858</v>
          </cell>
          <cell r="AG863">
            <v>0.11114120121847249</v>
          </cell>
          <cell r="BY863" t="str">
            <v>TNLPC22</v>
          </cell>
          <cell r="BZ863">
            <v>22</v>
          </cell>
          <cell r="CA863" t="str">
            <v>16-03-2009</v>
          </cell>
          <cell r="CB863" t="str">
            <v xml:space="preserve">TNLP        </v>
          </cell>
          <cell r="CC863" t="str">
            <v xml:space="preserve">PN        </v>
          </cell>
          <cell r="CD863" t="str">
            <v xml:space="preserve">OPCOES COMPRA  </v>
          </cell>
          <cell r="CE863" t="str">
            <v xml:space="preserve">Americano      </v>
          </cell>
        </row>
        <row r="864">
          <cell r="AF864">
            <v>859</v>
          </cell>
          <cell r="AG864">
            <v>0.11115956681858652</v>
          </cell>
          <cell r="BY864" t="str">
            <v>TNLPC26</v>
          </cell>
          <cell r="BZ864">
            <v>22.87</v>
          </cell>
          <cell r="CA864" t="str">
            <v>16-03-2009</v>
          </cell>
          <cell r="CB864" t="str">
            <v xml:space="preserve">TNLP        </v>
          </cell>
          <cell r="CC864" t="str">
            <v xml:space="preserve">PN        </v>
          </cell>
          <cell r="CD864" t="str">
            <v xml:space="preserve">OPCOES COMPRA  </v>
          </cell>
          <cell r="CE864" t="str">
            <v xml:space="preserve">Americano      </v>
          </cell>
        </row>
        <row r="865">
          <cell r="AF865">
            <v>860</v>
          </cell>
          <cell r="AG865">
            <v>0.11117789001050205</v>
          </cell>
          <cell r="BY865" t="str">
            <v>TNLPC24</v>
          </cell>
          <cell r="BZ865">
            <v>24</v>
          </cell>
          <cell r="CA865" t="str">
            <v>16-03-2009</v>
          </cell>
          <cell r="CB865" t="str">
            <v xml:space="preserve">TNLP        </v>
          </cell>
          <cell r="CC865" t="str">
            <v xml:space="preserve">PN        </v>
          </cell>
          <cell r="CD865" t="str">
            <v xml:space="preserve">OPCOES COMPRA  </v>
          </cell>
          <cell r="CE865" t="str">
            <v xml:space="preserve">Americano      </v>
          </cell>
        </row>
        <row r="866">
          <cell r="AF866">
            <v>861</v>
          </cell>
          <cell r="AG866">
            <v>0.11119617094093459</v>
          </cell>
          <cell r="BY866" t="str">
            <v>TNLPC28</v>
          </cell>
          <cell r="BZ866">
            <v>24.87</v>
          </cell>
          <cell r="CA866" t="str">
            <v>16-03-2009</v>
          </cell>
          <cell r="CB866" t="str">
            <v xml:space="preserve">TNLP        </v>
          </cell>
          <cell r="CC866" t="str">
            <v xml:space="preserve">PN        </v>
          </cell>
          <cell r="CD866" t="str">
            <v xml:space="preserve">OPCOES COMPRA  </v>
          </cell>
          <cell r="CE866" t="str">
            <v xml:space="preserve">Americano      </v>
          </cell>
        </row>
        <row r="867">
          <cell r="AF867">
            <v>862</v>
          </cell>
          <cell r="AG867">
            <v>0.11121440975592467</v>
          </cell>
          <cell r="BY867" t="str">
            <v>TNLPC30</v>
          </cell>
          <cell r="BZ867">
            <v>26.87</v>
          </cell>
          <cell r="CA867" t="str">
            <v>16-03-2009</v>
          </cell>
          <cell r="CB867" t="str">
            <v xml:space="preserve">TNLP        </v>
          </cell>
          <cell r="CC867" t="str">
            <v xml:space="preserve">PN        </v>
          </cell>
          <cell r="CD867" t="str">
            <v xml:space="preserve">OPCOES COMPRA  </v>
          </cell>
          <cell r="CE867" t="str">
            <v xml:space="preserve">Americano      </v>
          </cell>
        </row>
        <row r="868">
          <cell r="AF868">
            <v>863</v>
          </cell>
          <cell r="AG868">
            <v>0.11123260660084044</v>
          </cell>
          <cell r="BY868" t="str">
            <v>TNLPC32</v>
          </cell>
          <cell r="BZ868">
            <v>28.87</v>
          </cell>
          <cell r="CA868" t="str">
            <v>16-03-2009</v>
          </cell>
          <cell r="CB868" t="str">
            <v xml:space="preserve">TNLP        </v>
          </cell>
          <cell r="CC868" t="str">
            <v xml:space="preserve">PN        </v>
          </cell>
          <cell r="CD868" t="str">
            <v xml:space="preserve">OPCOES COMPRA  </v>
          </cell>
          <cell r="CE868" t="str">
            <v xml:space="preserve">Americano      </v>
          </cell>
        </row>
        <row r="869">
          <cell r="AF869">
            <v>864</v>
          </cell>
          <cell r="AG869">
            <v>0.11125076162038039</v>
          </cell>
          <cell r="BY869" t="str">
            <v>TNLPC34</v>
          </cell>
          <cell r="BZ869">
            <v>34</v>
          </cell>
          <cell r="CA869" t="str">
            <v>16-03-2009</v>
          </cell>
          <cell r="CB869" t="str">
            <v xml:space="preserve">TNLP        </v>
          </cell>
          <cell r="CC869" t="str">
            <v xml:space="preserve">PN        </v>
          </cell>
          <cell r="CD869" t="str">
            <v xml:space="preserve">OPCOES COMPRA  </v>
          </cell>
          <cell r="CE869" t="str">
            <v xml:space="preserve">Americano      </v>
          </cell>
        </row>
        <row r="870">
          <cell r="AF870">
            <v>865</v>
          </cell>
          <cell r="AG870">
            <v>0.11126887495858107</v>
          </cell>
          <cell r="BY870" t="str">
            <v>TNLPD22</v>
          </cell>
          <cell r="BZ870">
            <v>22</v>
          </cell>
          <cell r="CA870" t="str">
            <v>20-04-2009</v>
          </cell>
          <cell r="CB870" t="str">
            <v xml:space="preserve">TNLP        </v>
          </cell>
          <cell r="CC870" t="str">
            <v xml:space="preserve">PN        </v>
          </cell>
          <cell r="CD870" t="str">
            <v xml:space="preserve">OPCOES COMPRA  </v>
          </cell>
          <cell r="CE870" t="str">
            <v xml:space="preserve">Americano      </v>
          </cell>
        </row>
        <row r="871">
          <cell r="AF871">
            <v>866</v>
          </cell>
          <cell r="AG871">
            <v>0.11128694675881623</v>
          </cell>
          <cell r="BY871" t="str">
            <v>TNLPD24</v>
          </cell>
          <cell r="BZ871">
            <v>24</v>
          </cell>
          <cell r="CA871" t="str">
            <v>20-04-2009</v>
          </cell>
          <cell r="CB871" t="str">
            <v xml:space="preserve">TNLP        </v>
          </cell>
          <cell r="CC871" t="str">
            <v xml:space="preserve">PN        </v>
          </cell>
          <cell r="CD871" t="str">
            <v xml:space="preserve">OPCOES COMPRA  </v>
          </cell>
          <cell r="CE871" t="str">
            <v xml:space="preserve">Americano      </v>
          </cell>
        </row>
        <row r="872">
          <cell r="AF872">
            <v>867</v>
          </cell>
          <cell r="AG872">
            <v>0.11130497716380394</v>
          </cell>
          <cell r="BY872" t="str">
            <v>TNLPD26</v>
          </cell>
          <cell r="BZ872">
            <v>26</v>
          </cell>
          <cell r="CA872" t="str">
            <v>20-04-2009</v>
          </cell>
          <cell r="CB872" t="str">
            <v xml:space="preserve">TNLP        </v>
          </cell>
          <cell r="CC872" t="str">
            <v xml:space="preserve">PN        </v>
          </cell>
          <cell r="CD872" t="str">
            <v xml:space="preserve">OPCOES COMPRA  </v>
          </cell>
          <cell r="CE872" t="str">
            <v xml:space="preserve">Americano      </v>
          </cell>
        </row>
        <row r="873">
          <cell r="AF873">
            <v>868</v>
          </cell>
          <cell r="AG873">
            <v>0.11132296631560945</v>
          </cell>
          <cell r="BY873" t="str">
            <v>TNLPD28</v>
          </cell>
          <cell r="BZ873">
            <v>28</v>
          </cell>
          <cell r="CA873" t="str">
            <v>20-04-2009</v>
          </cell>
          <cell r="CB873" t="str">
            <v xml:space="preserve">TNLP        </v>
          </cell>
          <cell r="CC873" t="str">
            <v xml:space="preserve">PN        </v>
          </cell>
          <cell r="CD873" t="str">
            <v xml:space="preserve">OPCOES COMPRA  </v>
          </cell>
          <cell r="CE873" t="str">
            <v xml:space="preserve">Americano      </v>
          </cell>
        </row>
        <row r="874">
          <cell r="AF874">
            <v>869</v>
          </cell>
          <cell r="AG874">
            <v>0.11134091435564697</v>
          </cell>
          <cell r="BY874" t="str">
            <v>TNLPD30</v>
          </cell>
          <cell r="BZ874">
            <v>30</v>
          </cell>
          <cell r="CA874" t="str">
            <v>20-04-2009</v>
          </cell>
          <cell r="CB874" t="str">
            <v xml:space="preserve">TNLP        </v>
          </cell>
          <cell r="CC874" t="str">
            <v xml:space="preserve">PN        </v>
          </cell>
          <cell r="CD874" t="str">
            <v xml:space="preserve">OPCOES COMPRA  </v>
          </cell>
          <cell r="CE874" t="str">
            <v xml:space="preserve">Americano      </v>
          </cell>
        </row>
        <row r="875">
          <cell r="AF875">
            <v>870</v>
          </cell>
          <cell r="AG875">
            <v>0.11135882142468811</v>
          </cell>
          <cell r="BY875" t="str">
            <v>TNLPD32</v>
          </cell>
          <cell r="BZ875">
            <v>32</v>
          </cell>
          <cell r="CA875" t="str">
            <v>20-04-2009</v>
          </cell>
          <cell r="CB875" t="str">
            <v xml:space="preserve">TNLP        </v>
          </cell>
          <cell r="CC875" t="str">
            <v xml:space="preserve">PN        </v>
          </cell>
          <cell r="CD875" t="str">
            <v xml:space="preserve">OPCOES COMPRA  </v>
          </cell>
          <cell r="CE875" t="str">
            <v xml:space="preserve">Americano      </v>
          </cell>
        </row>
        <row r="876">
          <cell r="AF876">
            <v>871</v>
          </cell>
          <cell r="AG876">
            <v>0.11137668766285946</v>
          </cell>
          <cell r="BY876" t="str">
            <v>TNLPD34</v>
          </cell>
          <cell r="BZ876">
            <v>34</v>
          </cell>
          <cell r="CA876" t="str">
            <v>20-04-2009</v>
          </cell>
          <cell r="CB876" t="str">
            <v xml:space="preserve">TNLP        </v>
          </cell>
          <cell r="CC876" t="str">
            <v xml:space="preserve">PN        </v>
          </cell>
          <cell r="CD876" t="str">
            <v xml:space="preserve">OPCOES COMPRA  </v>
          </cell>
          <cell r="CE876" t="str">
            <v xml:space="preserve">Americano      </v>
          </cell>
        </row>
        <row r="877">
          <cell r="AF877">
            <v>872</v>
          </cell>
          <cell r="AG877">
            <v>0.11139451320965144</v>
          </cell>
          <cell r="BY877" t="str">
            <v>TNLPD98</v>
          </cell>
          <cell r="BZ877">
            <v>40</v>
          </cell>
          <cell r="CA877" t="str">
            <v>20-04-2009</v>
          </cell>
          <cell r="CB877" t="str">
            <v xml:space="preserve">TNLP        </v>
          </cell>
          <cell r="CC877" t="str">
            <v xml:space="preserve">PN        </v>
          </cell>
          <cell r="CD877" t="str">
            <v xml:space="preserve">OPCOES COMPRA  </v>
          </cell>
          <cell r="CE877" t="str">
            <v xml:space="preserve">Europeu        </v>
          </cell>
        </row>
        <row r="878">
          <cell r="AF878">
            <v>873</v>
          </cell>
          <cell r="AG878">
            <v>0.11141229820391851</v>
          </cell>
          <cell r="BY878" t="str">
            <v>TNLPD99</v>
          </cell>
          <cell r="BZ878">
            <v>45</v>
          </cell>
          <cell r="CA878" t="str">
            <v>20-04-2009</v>
          </cell>
          <cell r="CB878" t="str">
            <v xml:space="preserve">TNLP        </v>
          </cell>
          <cell r="CC878" t="str">
            <v xml:space="preserve">PN        </v>
          </cell>
          <cell r="CD878" t="str">
            <v xml:space="preserve">OPCOES COMPRA  </v>
          </cell>
          <cell r="CE878" t="str">
            <v xml:space="preserve">Europeu        </v>
          </cell>
        </row>
        <row r="879">
          <cell r="AF879">
            <v>874</v>
          </cell>
          <cell r="AG879">
            <v>0.1114300427838848</v>
          </cell>
          <cell r="BY879" t="str">
            <v>TNLPE28</v>
          </cell>
          <cell r="BZ879">
            <v>28</v>
          </cell>
          <cell r="CA879" t="str">
            <v>18-05-2009</v>
          </cell>
          <cell r="CB879" t="str">
            <v xml:space="preserve">TNLP        </v>
          </cell>
          <cell r="CC879" t="str">
            <v xml:space="preserve">PN        </v>
          </cell>
          <cell r="CD879" t="str">
            <v xml:space="preserve">OPCOES COMPRA  </v>
          </cell>
          <cell r="CE879" t="str">
            <v xml:space="preserve">Americano      </v>
          </cell>
        </row>
        <row r="880">
          <cell r="AF880">
            <v>875</v>
          </cell>
          <cell r="AG880">
            <v>0.11144774708714711</v>
          </cell>
          <cell r="BY880" t="str">
            <v>TNLPE30</v>
          </cell>
          <cell r="BZ880">
            <v>30</v>
          </cell>
          <cell r="CA880" t="str">
            <v>18-05-2009</v>
          </cell>
          <cell r="CB880" t="str">
            <v xml:space="preserve">TNLP        </v>
          </cell>
          <cell r="CC880" t="str">
            <v xml:space="preserve">PN        </v>
          </cell>
          <cell r="CD880" t="str">
            <v xml:space="preserve">OPCOES COMPRA  </v>
          </cell>
          <cell r="CE880" t="str">
            <v xml:space="preserve">Americano      </v>
          </cell>
        </row>
        <row r="881">
          <cell r="AF881">
            <v>876</v>
          </cell>
          <cell r="AG881">
            <v>0.11146541125067744</v>
          </cell>
          <cell r="BY881" t="str">
            <v>TNLPE32</v>
          </cell>
          <cell r="BZ881">
            <v>32</v>
          </cell>
          <cell r="CA881" t="str">
            <v>18-05-2009</v>
          </cell>
          <cell r="CB881" t="str">
            <v xml:space="preserve">TNLP        </v>
          </cell>
          <cell r="CC881" t="str">
            <v xml:space="preserve">PN        </v>
          </cell>
          <cell r="CD881" t="str">
            <v xml:space="preserve">OPCOES COMPRA  </v>
          </cell>
          <cell r="CE881" t="str">
            <v xml:space="preserve">Americano      </v>
          </cell>
        </row>
        <row r="882">
          <cell r="AF882">
            <v>877</v>
          </cell>
          <cell r="AG882">
            <v>0.11148303541082871</v>
          </cell>
          <cell r="BY882" t="str">
            <v>TNLPF98</v>
          </cell>
          <cell r="BZ882">
            <v>40</v>
          </cell>
          <cell r="CA882" t="str">
            <v>15-06-2009</v>
          </cell>
          <cell r="CB882" t="str">
            <v xml:space="preserve">TNLP        </v>
          </cell>
          <cell r="CC882" t="str">
            <v xml:space="preserve">PN        </v>
          </cell>
          <cell r="CD882" t="str">
            <v xml:space="preserve">OPCOES COMPRA  </v>
          </cell>
          <cell r="CE882" t="str">
            <v xml:space="preserve">Europeu        </v>
          </cell>
        </row>
        <row r="883">
          <cell r="AF883">
            <v>878</v>
          </cell>
          <cell r="AG883">
            <v>0.11150061970333569</v>
          </cell>
          <cell r="BY883" t="str">
            <v>TNLPF99</v>
          </cell>
          <cell r="BZ883">
            <v>45</v>
          </cell>
          <cell r="CA883" t="str">
            <v>15-06-2009</v>
          </cell>
          <cell r="CB883" t="str">
            <v xml:space="preserve">TNLP        </v>
          </cell>
          <cell r="CC883" t="str">
            <v xml:space="preserve">PN        </v>
          </cell>
          <cell r="CD883" t="str">
            <v xml:space="preserve">OPCOES COMPRA  </v>
          </cell>
          <cell r="CE883" t="str">
            <v xml:space="preserve">Europeu        </v>
          </cell>
        </row>
        <row r="884">
          <cell r="AF884">
            <v>879</v>
          </cell>
          <cell r="AG884">
            <v>0.11151816426332095</v>
          </cell>
          <cell r="BY884" t="str">
            <v>TNLPO22</v>
          </cell>
          <cell r="BZ884">
            <v>22</v>
          </cell>
          <cell r="CA884" t="str">
            <v>16-03-2009</v>
          </cell>
          <cell r="CB884" t="str">
            <v xml:space="preserve">TNLP        </v>
          </cell>
          <cell r="CC884" t="str">
            <v xml:space="preserve">PN        </v>
          </cell>
          <cell r="CD884" t="str">
            <v xml:space="preserve">OPCOES VENDA   </v>
          </cell>
          <cell r="CE884" t="str">
            <v xml:space="preserve">Europeu        </v>
          </cell>
        </row>
        <row r="885">
          <cell r="AF885">
            <v>880</v>
          </cell>
          <cell r="AG885">
            <v>0.11153566922529601</v>
          </cell>
          <cell r="BY885" t="str">
            <v>TNLPO24</v>
          </cell>
          <cell r="BZ885">
            <v>24</v>
          </cell>
          <cell r="CA885" t="str">
            <v>16-03-2009</v>
          </cell>
          <cell r="CB885" t="str">
            <v xml:space="preserve">TNLP        </v>
          </cell>
          <cell r="CC885" t="str">
            <v xml:space="preserve">PN        </v>
          </cell>
          <cell r="CD885" t="str">
            <v xml:space="preserve">OPCOES VENDA   </v>
          </cell>
          <cell r="CE885" t="str">
            <v xml:space="preserve">Europeu        </v>
          </cell>
        </row>
        <row r="886">
          <cell r="AF886">
            <v>881</v>
          </cell>
          <cell r="AG886">
            <v>0.11155313472316664</v>
          </cell>
          <cell r="BY886" t="str">
            <v>TNLPO26</v>
          </cell>
          <cell r="BZ886">
            <v>26</v>
          </cell>
          <cell r="CA886" t="str">
            <v>16-03-2009</v>
          </cell>
          <cell r="CB886" t="str">
            <v xml:space="preserve">TNLP        </v>
          </cell>
          <cell r="CC886" t="str">
            <v xml:space="preserve">PN        </v>
          </cell>
          <cell r="CD886" t="str">
            <v xml:space="preserve">OPCOES VENDA   </v>
          </cell>
          <cell r="CE886" t="str">
            <v xml:space="preserve">Europeu        </v>
          </cell>
        </row>
        <row r="887">
          <cell r="AF887">
            <v>882</v>
          </cell>
          <cell r="AG887">
            <v>0.11157056089023532</v>
          </cell>
          <cell r="BY887" t="str">
            <v>TNLPO28</v>
          </cell>
          <cell r="BZ887">
            <v>28</v>
          </cell>
          <cell r="CA887" t="str">
            <v>16-03-2009</v>
          </cell>
          <cell r="CB887" t="str">
            <v xml:space="preserve">TNLP        </v>
          </cell>
          <cell r="CC887" t="str">
            <v xml:space="preserve">PN        </v>
          </cell>
          <cell r="CD887" t="str">
            <v xml:space="preserve">OPCOES VENDA   </v>
          </cell>
          <cell r="CE887" t="str">
            <v xml:space="preserve">Europeu        </v>
          </cell>
        </row>
        <row r="888">
          <cell r="AF888">
            <v>883</v>
          </cell>
          <cell r="AG888">
            <v>0.11158794785920501</v>
          </cell>
          <cell r="BY888" t="str">
            <v>TNLPO30</v>
          </cell>
          <cell r="BZ888">
            <v>30</v>
          </cell>
          <cell r="CA888" t="str">
            <v>16-03-2009</v>
          </cell>
          <cell r="CB888" t="str">
            <v xml:space="preserve">TNLP        </v>
          </cell>
          <cell r="CC888" t="str">
            <v xml:space="preserve">PN        </v>
          </cell>
          <cell r="CD888" t="str">
            <v xml:space="preserve">OPCOES VENDA   </v>
          </cell>
          <cell r="CE888" t="str">
            <v xml:space="preserve">Europeu        </v>
          </cell>
        </row>
        <row r="889">
          <cell r="AF889">
            <v>884</v>
          </cell>
          <cell r="AG889">
            <v>0.11160529576218226</v>
          </cell>
          <cell r="BY889" t="str">
            <v>TNLPO32</v>
          </cell>
          <cell r="BZ889">
            <v>32</v>
          </cell>
          <cell r="CA889" t="str">
            <v>16-03-2009</v>
          </cell>
          <cell r="CB889" t="str">
            <v xml:space="preserve">TNLP        </v>
          </cell>
          <cell r="CC889" t="str">
            <v xml:space="preserve">PN        </v>
          </cell>
          <cell r="CD889" t="str">
            <v xml:space="preserve">OPCOES VENDA   </v>
          </cell>
          <cell r="CE889" t="str">
            <v xml:space="preserve">Europeu        </v>
          </cell>
        </row>
        <row r="890">
          <cell r="AF890">
            <v>885</v>
          </cell>
          <cell r="AG890">
            <v>0.11162260473068009</v>
          </cell>
          <cell r="BY890" t="str">
            <v>TNLPO34</v>
          </cell>
          <cell r="BZ890">
            <v>34</v>
          </cell>
          <cell r="CA890" t="str">
            <v>16-03-2009</v>
          </cell>
          <cell r="CB890" t="str">
            <v xml:space="preserve">TNLP        </v>
          </cell>
          <cell r="CC890" t="str">
            <v xml:space="preserve">PN        </v>
          </cell>
          <cell r="CD890" t="str">
            <v xml:space="preserve">OPCOES VENDA   </v>
          </cell>
          <cell r="CE890" t="str">
            <v xml:space="preserve">Europeu        </v>
          </cell>
        </row>
        <row r="891">
          <cell r="AF891">
            <v>886</v>
          </cell>
          <cell r="AG891">
            <v>0.1116398748956231</v>
          </cell>
          <cell r="BY891" t="str">
            <v>TNLPP22</v>
          </cell>
          <cell r="BZ891">
            <v>22</v>
          </cell>
          <cell r="CA891" t="str">
            <v>20-04-2009</v>
          </cell>
          <cell r="CB891" t="str">
            <v xml:space="preserve">TNLP        </v>
          </cell>
          <cell r="CC891" t="str">
            <v xml:space="preserve">PN        </v>
          </cell>
          <cell r="CD891" t="str">
            <v xml:space="preserve">OPCOES VENDA   </v>
          </cell>
          <cell r="CE891" t="str">
            <v xml:space="preserve">Europeu        </v>
          </cell>
        </row>
        <row r="892">
          <cell r="AF892">
            <v>887</v>
          </cell>
          <cell r="AG892">
            <v>0.1116571063873486</v>
          </cell>
          <cell r="BY892" t="str">
            <v>TNLPP24</v>
          </cell>
          <cell r="BZ892">
            <v>24</v>
          </cell>
          <cell r="CA892" t="str">
            <v>20-04-2009</v>
          </cell>
          <cell r="CB892" t="str">
            <v xml:space="preserve">TNLP        </v>
          </cell>
          <cell r="CC892" t="str">
            <v xml:space="preserve">PN        </v>
          </cell>
          <cell r="CD892" t="str">
            <v xml:space="preserve">OPCOES VENDA   </v>
          </cell>
          <cell r="CE892" t="str">
            <v xml:space="preserve">Europeu        </v>
          </cell>
        </row>
        <row r="893">
          <cell r="AF893">
            <v>888</v>
          </cell>
          <cell r="AG893">
            <v>0.11167429933561102</v>
          </cell>
          <cell r="BY893" t="str">
            <v>TNLPP26</v>
          </cell>
          <cell r="BZ893">
            <v>26</v>
          </cell>
          <cell r="CA893" t="str">
            <v>20-04-2009</v>
          </cell>
          <cell r="CB893" t="str">
            <v xml:space="preserve">TNLP        </v>
          </cell>
          <cell r="CC893" t="str">
            <v xml:space="preserve">PN        </v>
          </cell>
          <cell r="CD893" t="str">
            <v xml:space="preserve">OPCOES VENDA   </v>
          </cell>
          <cell r="CE893" t="str">
            <v xml:space="preserve">Europeu        </v>
          </cell>
        </row>
        <row r="894">
          <cell r="AF894">
            <v>889</v>
          </cell>
          <cell r="AG894">
            <v>0.11169145386958546</v>
          </cell>
          <cell r="BY894" t="str">
            <v>TNLPP28</v>
          </cell>
          <cell r="BZ894">
            <v>28</v>
          </cell>
          <cell r="CA894" t="str">
            <v>20-04-2009</v>
          </cell>
          <cell r="CB894" t="str">
            <v xml:space="preserve">TNLP        </v>
          </cell>
          <cell r="CC894" t="str">
            <v xml:space="preserve">PN        </v>
          </cell>
          <cell r="CD894" t="str">
            <v xml:space="preserve">OPCOES VENDA   </v>
          </cell>
          <cell r="CE894" t="str">
            <v xml:space="preserve">Europeu        </v>
          </cell>
        </row>
        <row r="895">
          <cell r="AF895">
            <v>890</v>
          </cell>
          <cell r="AG895">
            <v>0.1117085701178695</v>
          </cell>
          <cell r="BY895" t="str">
            <v>TNLPP30</v>
          </cell>
          <cell r="BZ895">
            <v>30</v>
          </cell>
          <cell r="CA895" t="str">
            <v>20-04-2009</v>
          </cell>
          <cell r="CB895" t="str">
            <v xml:space="preserve">TNLP        </v>
          </cell>
          <cell r="CC895" t="str">
            <v xml:space="preserve">PN        </v>
          </cell>
          <cell r="CD895" t="str">
            <v xml:space="preserve">OPCOES VENDA   </v>
          </cell>
          <cell r="CE895" t="str">
            <v xml:space="preserve">Europeu        </v>
          </cell>
        </row>
        <row r="896">
          <cell r="AF896">
            <v>891</v>
          </cell>
          <cell r="AG896">
            <v>0.11172564820848829</v>
          </cell>
          <cell r="BY896" t="str">
            <v>TNLPP32</v>
          </cell>
          <cell r="BZ896">
            <v>32</v>
          </cell>
          <cell r="CA896" t="str">
            <v>20-04-2009</v>
          </cell>
          <cell r="CB896" t="str">
            <v xml:space="preserve">TNLP        </v>
          </cell>
          <cell r="CC896" t="str">
            <v xml:space="preserve">PN        </v>
          </cell>
          <cell r="CD896" t="str">
            <v xml:space="preserve">OPCOES VENDA   </v>
          </cell>
          <cell r="CE896" t="str">
            <v xml:space="preserve">Europeu        </v>
          </cell>
        </row>
        <row r="897">
          <cell r="AF897">
            <v>892</v>
          </cell>
          <cell r="AG897">
            <v>0.11174268826889611</v>
          </cell>
          <cell r="BY897" t="str">
            <v>TNLPP34</v>
          </cell>
          <cell r="BZ897">
            <v>34</v>
          </cell>
          <cell r="CA897" t="str">
            <v>20-04-2009</v>
          </cell>
          <cell r="CB897" t="str">
            <v xml:space="preserve">TNLP        </v>
          </cell>
          <cell r="CC897" t="str">
            <v xml:space="preserve">PN        </v>
          </cell>
          <cell r="CD897" t="str">
            <v xml:space="preserve">OPCOES VENDA   </v>
          </cell>
          <cell r="CE897" t="str">
            <v xml:space="preserve">Europeu        </v>
          </cell>
        </row>
        <row r="898">
          <cell r="AF898">
            <v>893</v>
          </cell>
          <cell r="AG898">
            <v>0.111759690425981</v>
          </cell>
          <cell r="BY898" t="str">
            <v>TNLPP98</v>
          </cell>
          <cell r="BZ898">
            <v>40</v>
          </cell>
          <cell r="CA898" t="str">
            <v>20-04-2009</v>
          </cell>
          <cell r="CB898" t="str">
            <v xml:space="preserve">TNLP        </v>
          </cell>
          <cell r="CC898" t="str">
            <v xml:space="preserve">PN        </v>
          </cell>
          <cell r="CD898" t="str">
            <v xml:space="preserve">OPCOES VENDA   </v>
          </cell>
          <cell r="CE898" t="str">
            <v xml:space="preserve">Europeu        </v>
          </cell>
        </row>
        <row r="899">
          <cell r="AF899">
            <v>894</v>
          </cell>
          <cell r="AG899">
            <v>0.11177665480606658</v>
          </cell>
          <cell r="BY899" t="str">
            <v>TNLPP99</v>
          </cell>
          <cell r="BZ899">
            <v>45</v>
          </cell>
          <cell r="CA899" t="str">
            <v>20-04-2009</v>
          </cell>
          <cell r="CB899" t="str">
            <v xml:space="preserve">TNLP        </v>
          </cell>
          <cell r="CC899" t="str">
            <v xml:space="preserve">PN        </v>
          </cell>
          <cell r="CD899" t="str">
            <v xml:space="preserve">OPCOES VENDA   </v>
          </cell>
          <cell r="CE899" t="str">
            <v xml:space="preserve">Europeu        </v>
          </cell>
        </row>
        <row r="900">
          <cell r="AF900">
            <v>895</v>
          </cell>
          <cell r="AG900">
            <v>0.11179358153491625</v>
          </cell>
          <cell r="BY900" t="str">
            <v>TNLPQ28</v>
          </cell>
          <cell r="BZ900">
            <v>28</v>
          </cell>
          <cell r="CA900" t="str">
            <v>18-05-2009</v>
          </cell>
          <cell r="CB900" t="str">
            <v xml:space="preserve">TNLP        </v>
          </cell>
          <cell r="CC900" t="str">
            <v xml:space="preserve">PN        </v>
          </cell>
          <cell r="CD900" t="str">
            <v xml:space="preserve">OPCOES VENDA   </v>
          </cell>
          <cell r="CE900" t="str">
            <v xml:space="preserve">Europeu        </v>
          </cell>
        </row>
        <row r="901">
          <cell r="AF901">
            <v>896</v>
          </cell>
          <cell r="AG901">
            <v>0.1118104707377352</v>
          </cell>
          <cell r="BY901" t="str">
            <v>TNLPQ30</v>
          </cell>
          <cell r="BZ901">
            <v>30</v>
          </cell>
          <cell r="CA901" t="str">
            <v>18-05-2009</v>
          </cell>
          <cell r="CB901" t="str">
            <v xml:space="preserve">TNLP        </v>
          </cell>
          <cell r="CC901" t="str">
            <v xml:space="preserve">PN        </v>
          </cell>
          <cell r="CD901" t="str">
            <v xml:space="preserve">OPCOES VENDA   </v>
          </cell>
          <cell r="CE901" t="str">
            <v xml:space="preserve">Europeu        </v>
          </cell>
        </row>
        <row r="902">
          <cell r="AF902">
            <v>897</v>
          </cell>
          <cell r="AG902">
            <v>0.11182732253917393</v>
          </cell>
          <cell r="BY902" t="str">
            <v>TNLPQ32</v>
          </cell>
          <cell r="BZ902">
            <v>32</v>
          </cell>
          <cell r="CA902" t="str">
            <v>18-05-2009</v>
          </cell>
          <cell r="CB902" t="str">
            <v xml:space="preserve">TNLP        </v>
          </cell>
          <cell r="CC902" t="str">
            <v xml:space="preserve">PN        </v>
          </cell>
          <cell r="CD902" t="str">
            <v xml:space="preserve">OPCOES VENDA   </v>
          </cell>
          <cell r="CE902" t="str">
            <v xml:space="preserve">Europeu        </v>
          </cell>
        </row>
        <row r="903">
          <cell r="AF903">
            <v>898</v>
          </cell>
          <cell r="AG903">
            <v>0.11184413706333252</v>
          </cell>
          <cell r="BY903" t="str">
            <v>TNLPR98</v>
          </cell>
          <cell r="BZ903">
            <v>40</v>
          </cell>
          <cell r="CA903" t="str">
            <v>15-06-2009</v>
          </cell>
          <cell r="CB903" t="str">
            <v xml:space="preserve">TNLP        </v>
          </cell>
          <cell r="CC903" t="str">
            <v xml:space="preserve">PN        </v>
          </cell>
          <cell r="CD903" t="str">
            <v xml:space="preserve">OPCOES VENDA   </v>
          </cell>
          <cell r="CE903" t="str">
            <v xml:space="preserve">Europeu        </v>
          </cell>
        </row>
        <row r="904">
          <cell r="AF904">
            <v>899</v>
          </cell>
          <cell r="AG904">
            <v>0.11186091443376189</v>
          </cell>
          <cell r="BY904" t="str">
            <v>TNLPR99</v>
          </cell>
          <cell r="BZ904">
            <v>45</v>
          </cell>
          <cell r="CA904" t="str">
            <v>15-06-2009</v>
          </cell>
          <cell r="CB904" t="str">
            <v xml:space="preserve">TNLP        </v>
          </cell>
          <cell r="CC904" t="str">
            <v xml:space="preserve">PN        </v>
          </cell>
          <cell r="CD904" t="str">
            <v xml:space="preserve">OPCOES VENDA   </v>
          </cell>
          <cell r="CE904" t="str">
            <v xml:space="preserve">Europeu        </v>
          </cell>
        </row>
        <row r="905">
          <cell r="AF905">
            <v>900</v>
          </cell>
          <cell r="AG905">
            <v>0.11187765477346767</v>
          </cell>
          <cell r="BY905" t="str">
            <v>BBDCC17</v>
          </cell>
          <cell r="BZ905">
            <v>17</v>
          </cell>
          <cell r="CA905" t="str">
            <v>16-03-2009</v>
          </cell>
          <cell r="CB905" t="str">
            <v xml:space="preserve">BBDC    /ED </v>
          </cell>
          <cell r="CC905" t="str">
            <v>PN      N1</v>
          </cell>
          <cell r="CD905" t="str">
            <v xml:space="preserve">OPCOES COMPRA  </v>
          </cell>
          <cell r="CE905" t="str">
            <v xml:space="preserve">Americano      </v>
          </cell>
        </row>
        <row r="906">
          <cell r="AF906">
            <v>901</v>
          </cell>
          <cell r="AG906">
            <v>0.11189435820491322</v>
          </cell>
          <cell r="BY906" t="str">
            <v>BBDCC18</v>
          </cell>
          <cell r="BZ906">
            <v>17.989999999999998</v>
          </cell>
          <cell r="CA906" t="str">
            <v>16-03-2009</v>
          </cell>
          <cell r="CB906" t="str">
            <v xml:space="preserve">BBDC    /ED </v>
          </cell>
          <cell r="CC906" t="str">
            <v>PN      N1</v>
          </cell>
          <cell r="CD906" t="str">
            <v xml:space="preserve">OPCOES COMPRA  </v>
          </cell>
          <cell r="CE906" t="str">
            <v xml:space="preserve">Americano      </v>
          </cell>
        </row>
        <row r="907">
          <cell r="AF907">
            <v>902</v>
          </cell>
          <cell r="AG907">
            <v>0.11191102485002236</v>
          </cell>
          <cell r="BY907" t="str">
            <v>BBDCC19</v>
          </cell>
          <cell r="BZ907">
            <v>18.989999999999998</v>
          </cell>
          <cell r="CA907" t="str">
            <v>16-03-2009</v>
          </cell>
          <cell r="CB907" t="str">
            <v xml:space="preserve">BBDC    /ED </v>
          </cell>
          <cell r="CC907" t="str">
            <v>PN      N1</v>
          </cell>
          <cell r="CD907" t="str">
            <v xml:space="preserve">OPCOES COMPRA  </v>
          </cell>
          <cell r="CE907" t="str">
            <v xml:space="preserve">Americano      </v>
          </cell>
        </row>
        <row r="908">
          <cell r="AF908">
            <v>903</v>
          </cell>
          <cell r="AG908">
            <v>0.11192765483018308</v>
          </cell>
          <cell r="BY908" t="str">
            <v>BBDCC3</v>
          </cell>
          <cell r="BZ908">
            <v>19.48</v>
          </cell>
          <cell r="CA908" t="str">
            <v>16-03-2009</v>
          </cell>
          <cell r="CB908" t="str">
            <v xml:space="preserve">BBDC    /ED </v>
          </cell>
          <cell r="CC908" t="str">
            <v>PN      N1</v>
          </cell>
          <cell r="CD908" t="str">
            <v xml:space="preserve">OPCOES COMPRA  </v>
          </cell>
          <cell r="CE908" t="str">
            <v xml:space="preserve">Europeu        </v>
          </cell>
        </row>
        <row r="909">
          <cell r="AF909">
            <v>904</v>
          </cell>
          <cell r="AG909">
            <v>0.11194424826624894</v>
          </cell>
          <cell r="BY909" t="str">
            <v>BBDCC20</v>
          </cell>
          <cell r="BZ909">
            <v>19.98</v>
          </cell>
          <cell r="CA909" t="str">
            <v>16-03-2009</v>
          </cell>
          <cell r="CB909" t="str">
            <v xml:space="preserve">BBDC    /ED </v>
          </cell>
          <cell r="CC909" t="str">
            <v>PN      N1</v>
          </cell>
          <cell r="CD909" t="str">
            <v xml:space="preserve">OPCOES COMPRA  </v>
          </cell>
          <cell r="CE909" t="str">
            <v xml:space="preserve">Americano      </v>
          </cell>
        </row>
        <row r="910">
          <cell r="AF910">
            <v>905</v>
          </cell>
          <cell r="AG910">
            <v>0.11196080527854324</v>
          </cell>
          <cell r="BY910" t="str">
            <v>BBDCC6</v>
          </cell>
          <cell r="BZ910">
            <v>20.49</v>
          </cell>
          <cell r="CA910" t="str">
            <v>16-03-2009</v>
          </cell>
          <cell r="CB910" t="str">
            <v xml:space="preserve">BBDC    /ED </v>
          </cell>
          <cell r="CC910" t="str">
            <v>PN      N1</v>
          </cell>
          <cell r="CD910" t="str">
            <v xml:space="preserve">OPCOES COMPRA  </v>
          </cell>
          <cell r="CE910" t="str">
            <v xml:space="preserve">Europeu        </v>
          </cell>
        </row>
        <row r="911">
          <cell r="AF911">
            <v>906</v>
          </cell>
          <cell r="AG911">
            <v>0.11197732598686239</v>
          </cell>
          <cell r="BY911" t="str">
            <v>BBDCC21</v>
          </cell>
          <cell r="BZ911">
            <v>20.99</v>
          </cell>
          <cell r="CA911" t="str">
            <v>16-03-2009</v>
          </cell>
          <cell r="CB911" t="str">
            <v xml:space="preserve">BBDC    /ED </v>
          </cell>
          <cell r="CC911" t="str">
            <v>PN      N1</v>
          </cell>
          <cell r="CD911" t="str">
            <v xml:space="preserve">OPCOES COMPRA  </v>
          </cell>
          <cell r="CE911" t="str">
            <v xml:space="preserve">Europeu        </v>
          </cell>
        </row>
        <row r="912">
          <cell r="AF912">
            <v>907</v>
          </cell>
          <cell r="AG912">
            <v>0.11199381051047719</v>
          </cell>
          <cell r="BY912" t="str">
            <v>BBDCC4</v>
          </cell>
          <cell r="BZ912">
            <v>21.5</v>
          </cell>
          <cell r="CA912" t="str">
            <v>16-03-2009</v>
          </cell>
          <cell r="CB912" t="str">
            <v xml:space="preserve">BBDC    /ED </v>
          </cell>
          <cell r="CC912" t="str">
            <v>PN      N1</v>
          </cell>
          <cell r="CD912" t="str">
            <v xml:space="preserve">OPCOES COMPRA  </v>
          </cell>
          <cell r="CE912" t="str">
            <v xml:space="preserve">Europeu        </v>
          </cell>
        </row>
        <row r="913">
          <cell r="AF913">
            <v>908</v>
          </cell>
          <cell r="AG913">
            <v>0.11201025896813688</v>
          </cell>
          <cell r="BY913" t="str">
            <v>BBDCC22</v>
          </cell>
          <cell r="BZ913">
            <v>21.99</v>
          </cell>
          <cell r="CA913" t="str">
            <v>16-03-2009</v>
          </cell>
          <cell r="CB913" t="str">
            <v xml:space="preserve">BBDC    /ED </v>
          </cell>
          <cell r="CC913" t="str">
            <v>PN      N1</v>
          </cell>
          <cell r="CD913" t="str">
            <v xml:space="preserve">OPCOES COMPRA  </v>
          </cell>
          <cell r="CE913" t="str">
            <v xml:space="preserve">Americano      </v>
          </cell>
        </row>
        <row r="914">
          <cell r="AF914">
            <v>909</v>
          </cell>
          <cell r="AG914">
            <v>0.11202667147807133</v>
          </cell>
          <cell r="BY914" t="str">
            <v>BBDCC5</v>
          </cell>
          <cell r="BZ914">
            <v>22.49</v>
          </cell>
          <cell r="CA914" t="str">
            <v>16-03-2009</v>
          </cell>
          <cell r="CB914" t="str">
            <v xml:space="preserve">BBDC    /ED </v>
          </cell>
          <cell r="CC914" t="str">
            <v>PN      N1</v>
          </cell>
          <cell r="CD914" t="str">
            <v xml:space="preserve">OPCOES COMPRA  </v>
          </cell>
          <cell r="CE914" t="str">
            <v xml:space="preserve">Europeu        </v>
          </cell>
        </row>
        <row r="915">
          <cell r="AF915">
            <v>910</v>
          </cell>
          <cell r="AG915">
            <v>0.11204304815799504</v>
          </cell>
          <cell r="BY915" t="str">
            <v>BBDCC23</v>
          </cell>
          <cell r="BZ915">
            <v>22.98</v>
          </cell>
          <cell r="CA915" t="str">
            <v>16-03-2009</v>
          </cell>
          <cell r="CB915" t="str">
            <v xml:space="preserve">BBDC    /ED </v>
          </cell>
          <cell r="CC915" t="str">
            <v>PN      N1</v>
          </cell>
          <cell r="CD915" t="str">
            <v xml:space="preserve">OPCOES COMPRA  </v>
          </cell>
          <cell r="CE915" t="str">
            <v xml:space="preserve">Europeu        </v>
          </cell>
        </row>
        <row r="916">
          <cell r="AF916">
            <v>911</v>
          </cell>
          <cell r="AG916">
            <v>0.11205938912510827</v>
          </cell>
          <cell r="BY916" t="str">
            <v>BBDCC24</v>
          </cell>
          <cell r="BZ916">
            <v>23.98</v>
          </cell>
          <cell r="CA916" t="str">
            <v>16-03-2009</v>
          </cell>
          <cell r="CB916" t="str">
            <v xml:space="preserve">BBDC    /ED </v>
          </cell>
          <cell r="CC916" t="str">
            <v>PN      N1</v>
          </cell>
          <cell r="CD916" t="str">
            <v xml:space="preserve">OPCOES COMPRA  </v>
          </cell>
          <cell r="CE916" t="str">
            <v xml:space="preserve">Americano      </v>
          </cell>
        </row>
        <row r="917">
          <cell r="AF917">
            <v>912</v>
          </cell>
          <cell r="AG917">
            <v>0.112075694496101</v>
          </cell>
          <cell r="BY917" t="str">
            <v>BBDCC25</v>
          </cell>
          <cell r="BZ917">
            <v>24.99</v>
          </cell>
          <cell r="CA917" t="str">
            <v>16-03-2009</v>
          </cell>
          <cell r="CB917" t="str">
            <v xml:space="preserve">BBDC    /ED </v>
          </cell>
          <cell r="CC917" t="str">
            <v>PN      N1</v>
          </cell>
          <cell r="CD917" t="str">
            <v xml:space="preserve">OPCOES COMPRA  </v>
          </cell>
          <cell r="CE917" t="str">
            <v xml:space="preserve">Europeu        </v>
          </cell>
        </row>
        <row r="918">
          <cell r="AF918">
            <v>913</v>
          </cell>
          <cell r="AG918">
            <v>0.11209196438715563</v>
          </cell>
          <cell r="BY918" t="str">
            <v>BBDCC1</v>
          </cell>
          <cell r="BZ918">
            <v>25.48</v>
          </cell>
          <cell r="CA918" t="str">
            <v>16-03-2009</v>
          </cell>
          <cell r="CB918" t="str">
            <v xml:space="preserve">BBDC    /ED </v>
          </cell>
          <cell r="CC918" t="str">
            <v>PN      N1</v>
          </cell>
          <cell r="CD918" t="str">
            <v xml:space="preserve">OPCOES COMPRA  </v>
          </cell>
          <cell r="CE918" t="str">
            <v xml:space="preserve">Europeu        </v>
          </cell>
        </row>
        <row r="919">
          <cell r="AF919">
            <v>914</v>
          </cell>
          <cell r="AG919">
            <v>0.11210819891394896</v>
          </cell>
          <cell r="BY919" t="str">
            <v>BBDCC26</v>
          </cell>
          <cell r="BZ919">
            <v>25.98</v>
          </cell>
          <cell r="CA919" t="str">
            <v>16-03-2009</v>
          </cell>
          <cell r="CB919" t="str">
            <v xml:space="preserve">BBDC    /ED </v>
          </cell>
          <cell r="CC919" t="str">
            <v>PN      N1</v>
          </cell>
          <cell r="CD919" t="str">
            <v xml:space="preserve">OPCOES COMPRA  </v>
          </cell>
          <cell r="CE919" t="str">
            <v xml:space="preserve">Americano      </v>
          </cell>
        </row>
        <row r="920">
          <cell r="AF920">
            <v>915</v>
          </cell>
          <cell r="AG920">
            <v>0.1121243981916562</v>
          </cell>
          <cell r="BY920" t="str">
            <v>BBDCC2</v>
          </cell>
          <cell r="BZ920">
            <v>27.49</v>
          </cell>
          <cell r="CA920" t="str">
            <v>16-03-2009</v>
          </cell>
          <cell r="CB920" t="str">
            <v xml:space="preserve">BBDC    /ED </v>
          </cell>
          <cell r="CC920" t="str">
            <v>PN      N1</v>
          </cell>
          <cell r="CD920" t="str">
            <v xml:space="preserve">OPCOES COMPRA  </v>
          </cell>
          <cell r="CE920" t="str">
            <v xml:space="preserve">Europeu        </v>
          </cell>
        </row>
        <row r="921">
          <cell r="AF921">
            <v>916</v>
          </cell>
          <cell r="AG921">
            <v>0.11214056233495251</v>
          </cell>
          <cell r="BY921" t="str">
            <v>BBDCD17</v>
          </cell>
          <cell r="BZ921">
            <v>17</v>
          </cell>
          <cell r="CA921" t="str">
            <v>20-04-2009</v>
          </cell>
          <cell r="CB921" t="str">
            <v xml:space="preserve">BBDC    /ED </v>
          </cell>
          <cell r="CC921" t="str">
            <v>PN      N1</v>
          </cell>
          <cell r="CD921" t="str">
            <v xml:space="preserve">OPCOES COMPRA  </v>
          </cell>
          <cell r="CE921" t="str">
            <v xml:space="preserve">Americano      </v>
          </cell>
        </row>
        <row r="922">
          <cell r="AF922">
            <v>917</v>
          </cell>
          <cell r="AG922">
            <v>0.11215669145801588</v>
          </cell>
          <cell r="BY922" t="str">
            <v>BBDCD18</v>
          </cell>
          <cell r="BZ922">
            <v>17.989999999999998</v>
          </cell>
          <cell r="CA922" t="str">
            <v>20-04-2009</v>
          </cell>
          <cell r="CB922" t="str">
            <v xml:space="preserve">BBDC    /ED </v>
          </cell>
          <cell r="CC922" t="str">
            <v>PN      N1</v>
          </cell>
          <cell r="CD922" t="str">
            <v xml:space="preserve">OPCOES COMPRA  </v>
          </cell>
          <cell r="CE922" t="str">
            <v xml:space="preserve">Americano      </v>
          </cell>
        </row>
        <row r="923">
          <cell r="AF923">
            <v>918</v>
          </cell>
          <cell r="AG923">
            <v>0.11217278567453071</v>
          </cell>
          <cell r="BY923" t="str">
            <v>BBDCD1</v>
          </cell>
          <cell r="BZ923">
            <v>18.489999999999998</v>
          </cell>
          <cell r="CA923" t="str">
            <v>20-04-2009</v>
          </cell>
          <cell r="CB923" t="str">
            <v xml:space="preserve">BBDC    /ED </v>
          </cell>
          <cell r="CC923" t="str">
            <v>PN      N1</v>
          </cell>
          <cell r="CD923" t="str">
            <v xml:space="preserve">OPCOES COMPRA  </v>
          </cell>
          <cell r="CE923" t="str">
            <v xml:space="preserve">Europeu        </v>
          </cell>
        </row>
        <row r="924">
          <cell r="AF924">
            <v>919</v>
          </cell>
          <cell r="AG924">
            <v>0.11218884509768978</v>
          </cell>
          <cell r="BY924" t="str">
            <v>BBDCD19</v>
          </cell>
          <cell r="BZ924">
            <v>18.989999999999998</v>
          </cell>
          <cell r="CA924" t="str">
            <v>20-04-2009</v>
          </cell>
          <cell r="CB924" t="str">
            <v xml:space="preserve">BBDC    /ED </v>
          </cell>
          <cell r="CC924" t="str">
            <v>PN      N1</v>
          </cell>
          <cell r="CD924" t="str">
            <v xml:space="preserve">OPCOES COMPRA  </v>
          </cell>
          <cell r="CE924" t="str">
            <v xml:space="preserve">Americano      </v>
          </cell>
        </row>
        <row r="925">
          <cell r="AF925">
            <v>920</v>
          </cell>
          <cell r="AG925">
            <v>0.11220486984019695</v>
          </cell>
          <cell r="BY925" t="str">
            <v>BBDCD2</v>
          </cell>
          <cell r="BZ925">
            <v>19.489999999999998</v>
          </cell>
          <cell r="CA925" t="str">
            <v>20-04-2009</v>
          </cell>
          <cell r="CB925" t="str">
            <v xml:space="preserve">BBDC    /ED </v>
          </cell>
          <cell r="CC925" t="str">
            <v>PN      N1</v>
          </cell>
          <cell r="CD925" t="str">
            <v xml:space="preserve">OPCOES COMPRA  </v>
          </cell>
          <cell r="CE925" t="str">
            <v xml:space="preserve">Europeu        </v>
          </cell>
        </row>
        <row r="926">
          <cell r="AF926">
            <v>921</v>
          </cell>
          <cell r="AG926">
            <v>0.11222086001426956</v>
          </cell>
          <cell r="BY926" t="str">
            <v>BBDCD20</v>
          </cell>
          <cell r="BZ926">
            <v>20</v>
          </cell>
          <cell r="CA926" t="str">
            <v>20-04-2009</v>
          </cell>
          <cell r="CB926" t="str">
            <v xml:space="preserve">BBDC    /ED </v>
          </cell>
          <cell r="CC926" t="str">
            <v>PN      N1</v>
          </cell>
          <cell r="CD926" t="str">
            <v xml:space="preserve">OPCOES COMPRA  </v>
          </cell>
          <cell r="CE926" t="str">
            <v xml:space="preserve">Americano      </v>
          </cell>
        </row>
        <row r="927">
          <cell r="AF927">
            <v>922</v>
          </cell>
          <cell r="AG927">
            <v>0.1122368157316409</v>
          </cell>
          <cell r="BY927" t="str">
            <v>BBDCD3</v>
          </cell>
          <cell r="BZ927">
            <v>20.5</v>
          </cell>
          <cell r="CA927" t="str">
            <v>20-04-2009</v>
          </cell>
          <cell r="CB927" t="str">
            <v xml:space="preserve">BBDC    /ED </v>
          </cell>
          <cell r="CC927" t="str">
            <v>PN      N1</v>
          </cell>
          <cell r="CD927" t="str">
            <v xml:space="preserve">OPCOES COMPRA  </v>
          </cell>
          <cell r="CE927" t="str">
            <v xml:space="preserve">Europeu        </v>
          </cell>
        </row>
        <row r="928">
          <cell r="AF928">
            <v>923</v>
          </cell>
          <cell r="AG928">
            <v>0.11225273710356509</v>
          </cell>
          <cell r="BY928" t="str">
            <v>BBDCD21</v>
          </cell>
          <cell r="BZ928">
            <v>21</v>
          </cell>
          <cell r="CA928" t="str">
            <v>20-04-2009</v>
          </cell>
          <cell r="CB928" t="str">
            <v xml:space="preserve">BBDC    /ED </v>
          </cell>
          <cell r="CC928" t="str">
            <v>PN      N1</v>
          </cell>
          <cell r="CD928" t="str">
            <v xml:space="preserve">OPCOES COMPRA  </v>
          </cell>
          <cell r="CE928" t="str">
            <v xml:space="preserve">Europeu        </v>
          </cell>
        </row>
        <row r="929">
          <cell r="AF929">
            <v>924</v>
          </cell>
          <cell r="AG929">
            <v>0.11226862424081574</v>
          </cell>
          <cell r="BY929" t="str">
            <v>BBDCD22</v>
          </cell>
          <cell r="BZ929">
            <v>21.99</v>
          </cell>
          <cell r="CA929" t="str">
            <v>20-04-2009</v>
          </cell>
          <cell r="CB929" t="str">
            <v xml:space="preserve">BBDC    /ED </v>
          </cell>
          <cell r="CC929" t="str">
            <v>PN      N1</v>
          </cell>
          <cell r="CD929" t="str">
            <v xml:space="preserve">OPCOES COMPRA  </v>
          </cell>
          <cell r="CE929" t="str">
            <v xml:space="preserve">Americano      </v>
          </cell>
        </row>
        <row r="930">
          <cell r="AF930">
            <v>925</v>
          </cell>
          <cell r="AG930">
            <v>0.11228447725369195</v>
          </cell>
          <cell r="BY930" t="str">
            <v>BBDCD4</v>
          </cell>
          <cell r="BZ930">
            <v>22.5</v>
          </cell>
          <cell r="CA930" t="str">
            <v>20-04-2009</v>
          </cell>
          <cell r="CB930" t="str">
            <v xml:space="preserve">BBDC    /ED </v>
          </cell>
          <cell r="CC930" t="str">
            <v>PN      N1</v>
          </cell>
          <cell r="CD930" t="str">
            <v xml:space="preserve">OPCOES COMPRA  </v>
          </cell>
          <cell r="CE930" t="str">
            <v xml:space="preserve">Europeu        </v>
          </cell>
        </row>
        <row r="931">
          <cell r="AF931">
            <v>926</v>
          </cell>
          <cell r="AG931">
            <v>0.11230029625201876</v>
          </cell>
          <cell r="BY931" t="str">
            <v>BBDCD23</v>
          </cell>
          <cell r="BZ931">
            <v>23</v>
          </cell>
          <cell r="CA931" t="str">
            <v>20-04-2009</v>
          </cell>
          <cell r="CB931" t="str">
            <v xml:space="preserve">BBDC    /ED </v>
          </cell>
          <cell r="CC931" t="str">
            <v>PN      N1</v>
          </cell>
          <cell r="CD931" t="str">
            <v xml:space="preserve">OPCOES COMPRA  </v>
          </cell>
          <cell r="CE931" t="str">
            <v xml:space="preserve">Europeu        </v>
          </cell>
        </row>
        <row r="932">
          <cell r="AF932">
            <v>927</v>
          </cell>
          <cell r="AG932">
            <v>0.1123160813451507</v>
          </cell>
          <cell r="BY932" t="str">
            <v>BBDCD95</v>
          </cell>
          <cell r="BZ932">
            <v>23.49</v>
          </cell>
          <cell r="CA932" t="str">
            <v>20-04-2009</v>
          </cell>
          <cell r="CB932" t="str">
            <v xml:space="preserve">BBDC    /ED </v>
          </cell>
          <cell r="CC932" t="str">
            <v>PN      N1</v>
          </cell>
          <cell r="CD932" t="str">
            <v xml:space="preserve">OPCOES COMPRA  </v>
          </cell>
          <cell r="CE932" t="str">
            <v xml:space="preserve">Europeu        </v>
          </cell>
        </row>
        <row r="933">
          <cell r="AF933">
            <v>928</v>
          </cell>
          <cell r="AG933">
            <v>0.11233183264197444</v>
          </cell>
          <cell r="BY933" t="str">
            <v>BBDCD24</v>
          </cell>
          <cell r="BZ933">
            <v>23.99</v>
          </cell>
          <cell r="CA933" t="str">
            <v>20-04-2009</v>
          </cell>
          <cell r="CB933" t="str">
            <v xml:space="preserve">BBDC    /ED </v>
          </cell>
          <cell r="CC933" t="str">
            <v>PN      N1</v>
          </cell>
          <cell r="CD933" t="str">
            <v xml:space="preserve">OPCOES COMPRA  </v>
          </cell>
          <cell r="CE933" t="str">
            <v xml:space="preserve">Americano      </v>
          </cell>
        </row>
        <row r="934">
          <cell r="AF934">
            <v>929</v>
          </cell>
          <cell r="AG934">
            <v>0.11234755025091014</v>
          </cell>
          <cell r="BY934" t="str">
            <v>BBDCD94</v>
          </cell>
          <cell r="BZ934">
            <v>24.5</v>
          </cell>
          <cell r="CA934" t="str">
            <v>20-04-2009</v>
          </cell>
          <cell r="CB934" t="str">
            <v xml:space="preserve">BBDC    /ED </v>
          </cell>
          <cell r="CC934" t="str">
            <v>PN      N1</v>
          </cell>
          <cell r="CD934" t="str">
            <v xml:space="preserve">OPCOES COMPRA  </v>
          </cell>
          <cell r="CE934" t="str">
            <v xml:space="preserve">Europeu        </v>
          </cell>
        </row>
        <row r="935">
          <cell r="AF935">
            <v>930</v>
          </cell>
          <cell r="AG935">
            <v>0.11236323427991546</v>
          </cell>
          <cell r="BY935" t="str">
            <v>BBDCD25</v>
          </cell>
          <cell r="BZ935">
            <v>24.99</v>
          </cell>
          <cell r="CA935" t="str">
            <v>20-04-2009</v>
          </cell>
          <cell r="CB935" t="str">
            <v xml:space="preserve">BBDC    /ED </v>
          </cell>
          <cell r="CC935" t="str">
            <v>PN      N1</v>
          </cell>
          <cell r="CD935" t="str">
            <v xml:space="preserve">OPCOES COMPRA  </v>
          </cell>
          <cell r="CE935" t="str">
            <v xml:space="preserve">Europeu        </v>
          </cell>
        </row>
        <row r="936">
          <cell r="AF936">
            <v>931</v>
          </cell>
          <cell r="AG936">
            <v>0.11237888483648661</v>
          </cell>
          <cell r="BY936" t="str">
            <v>BBDCD97</v>
          </cell>
          <cell r="BZ936">
            <v>25.92</v>
          </cell>
          <cell r="CA936" t="str">
            <v>20-04-2009</v>
          </cell>
          <cell r="CB936" t="str">
            <v xml:space="preserve">BBDC    /ED </v>
          </cell>
          <cell r="CC936" t="str">
            <v>PN      N1</v>
          </cell>
          <cell r="CD936" t="str">
            <v xml:space="preserve">OPCOES COMPRA  </v>
          </cell>
          <cell r="CE936" t="str">
            <v xml:space="preserve">Europeu        </v>
          </cell>
        </row>
        <row r="937">
          <cell r="AF937">
            <v>932</v>
          </cell>
          <cell r="AG937">
            <v>0.11239450202766177</v>
          </cell>
          <cell r="BY937" t="str">
            <v>BBDCD26</v>
          </cell>
          <cell r="BZ937">
            <v>25.99</v>
          </cell>
          <cell r="CA937" t="str">
            <v>20-04-2009</v>
          </cell>
          <cell r="CB937" t="str">
            <v xml:space="preserve">BBDC    /ED </v>
          </cell>
          <cell r="CC937" t="str">
            <v>PN      N1</v>
          </cell>
          <cell r="CD937" t="str">
            <v xml:space="preserve">OPCOES COMPRA  </v>
          </cell>
          <cell r="CE937" t="str">
            <v xml:space="preserve">Americano      </v>
          </cell>
        </row>
        <row r="938">
          <cell r="AF938">
            <v>933</v>
          </cell>
          <cell r="AG938">
            <v>0.11241008596002344</v>
          </cell>
          <cell r="BY938" t="str">
            <v>BBDCD96</v>
          </cell>
          <cell r="BZ938">
            <v>27</v>
          </cell>
          <cell r="CA938" t="str">
            <v>20-04-2009</v>
          </cell>
          <cell r="CB938" t="str">
            <v xml:space="preserve">BBDC    /ED </v>
          </cell>
          <cell r="CC938" t="str">
            <v>PN      N1</v>
          </cell>
          <cell r="CD938" t="str">
            <v xml:space="preserve">OPCOES COMPRA  </v>
          </cell>
          <cell r="CE938" t="str">
            <v xml:space="preserve">Europeu        </v>
          </cell>
        </row>
        <row r="939">
          <cell r="AF939">
            <v>934</v>
          </cell>
          <cell r="AG939">
            <v>0.11242563673970074</v>
          </cell>
          <cell r="BY939" t="str">
            <v>BBDCD28</v>
          </cell>
          <cell r="BZ939">
            <v>28</v>
          </cell>
          <cell r="CA939" t="str">
            <v>20-04-2009</v>
          </cell>
          <cell r="CB939" t="str">
            <v xml:space="preserve">BBDC    /ED </v>
          </cell>
          <cell r="CC939" t="str">
            <v>PN      N1</v>
          </cell>
          <cell r="CD939" t="str">
            <v xml:space="preserve">OPCOES COMPRA  </v>
          </cell>
          <cell r="CE939" t="str">
            <v xml:space="preserve">Americano      </v>
          </cell>
        </row>
        <row r="940">
          <cell r="AF940">
            <v>935</v>
          </cell>
          <cell r="AG940">
            <v>0.11244115447237091</v>
          </cell>
          <cell r="BY940" t="str">
            <v>BBDCD98</v>
          </cell>
          <cell r="BZ940">
            <v>30</v>
          </cell>
          <cell r="CA940" t="str">
            <v>20-04-2009</v>
          </cell>
          <cell r="CB940" t="str">
            <v xml:space="preserve">BBDC    /ED </v>
          </cell>
          <cell r="CC940" t="str">
            <v>PN      N1</v>
          </cell>
          <cell r="CD940" t="str">
            <v xml:space="preserve">OPCOES COMPRA  </v>
          </cell>
          <cell r="CE940" t="str">
            <v xml:space="preserve">Europeu        </v>
          </cell>
        </row>
        <row r="941">
          <cell r="AF941">
            <v>936</v>
          </cell>
          <cell r="AG941">
            <v>0.11245663926326332</v>
          </cell>
          <cell r="BY941" t="str">
            <v>BBDCD99</v>
          </cell>
          <cell r="BZ941">
            <v>35</v>
          </cell>
          <cell r="CA941" t="str">
            <v>20-04-2009</v>
          </cell>
          <cell r="CB941" t="str">
            <v xml:space="preserve">BBDC    /ED </v>
          </cell>
          <cell r="CC941" t="str">
            <v>PN      N1</v>
          </cell>
          <cell r="CD941" t="str">
            <v xml:space="preserve">OPCOES COMPRA  </v>
          </cell>
          <cell r="CE941" t="str">
            <v xml:space="preserve">Europeu        </v>
          </cell>
        </row>
        <row r="942">
          <cell r="AF942">
            <v>937</v>
          </cell>
          <cell r="AG942">
            <v>0.1124720912171604</v>
          </cell>
          <cell r="BY942" t="str">
            <v>BBDCE18</v>
          </cell>
          <cell r="BZ942">
            <v>18</v>
          </cell>
          <cell r="CA942" t="str">
            <v>18-05-2009</v>
          </cell>
          <cell r="CB942" t="str">
            <v xml:space="preserve">BBDC    /ED </v>
          </cell>
          <cell r="CC942" t="str">
            <v>PN      N1</v>
          </cell>
          <cell r="CD942" t="str">
            <v xml:space="preserve">OPCOES COMPRA  </v>
          </cell>
          <cell r="CE942" t="str">
            <v xml:space="preserve">Americano      </v>
          </cell>
        </row>
        <row r="943">
          <cell r="AF943">
            <v>938</v>
          </cell>
          <cell r="AG943">
            <v>0.11248751043840177</v>
          </cell>
          <cell r="BY943" t="str">
            <v>BBDCE19</v>
          </cell>
          <cell r="BZ943">
            <v>19</v>
          </cell>
          <cell r="CA943" t="str">
            <v>18-05-2009</v>
          </cell>
          <cell r="CB943" t="str">
            <v xml:space="preserve">BBDC    /ED </v>
          </cell>
          <cell r="CC943" t="str">
            <v>PN      N1</v>
          </cell>
          <cell r="CD943" t="str">
            <v xml:space="preserve">OPCOES COMPRA  </v>
          </cell>
          <cell r="CE943" t="str">
            <v xml:space="preserve">Europeu        </v>
          </cell>
        </row>
        <row r="944">
          <cell r="AF944">
            <v>939</v>
          </cell>
          <cell r="AG944">
            <v>0.11250289703088456</v>
          </cell>
          <cell r="BY944" t="str">
            <v>BBDCE20</v>
          </cell>
          <cell r="BZ944">
            <v>20</v>
          </cell>
          <cell r="CA944" t="str">
            <v>18-05-2009</v>
          </cell>
          <cell r="CB944" t="str">
            <v xml:space="preserve">BBDC    /ED </v>
          </cell>
          <cell r="CC944" t="str">
            <v>PN      N1</v>
          </cell>
          <cell r="CD944" t="str">
            <v xml:space="preserve">OPCOES COMPRA  </v>
          </cell>
          <cell r="CE944" t="str">
            <v xml:space="preserve">Americano      </v>
          </cell>
        </row>
        <row r="945">
          <cell r="AF945">
            <v>940</v>
          </cell>
          <cell r="AG945">
            <v>0.11251825109806646</v>
          </cell>
          <cell r="BY945" t="str">
            <v>BBDCE21</v>
          </cell>
          <cell r="BZ945">
            <v>21</v>
          </cell>
          <cell r="CA945" t="str">
            <v>18-05-2009</v>
          </cell>
          <cell r="CB945" t="str">
            <v xml:space="preserve">BBDC    /ED </v>
          </cell>
          <cell r="CC945" t="str">
            <v>PN      N1</v>
          </cell>
          <cell r="CD945" t="str">
            <v xml:space="preserve">OPCOES COMPRA  </v>
          </cell>
          <cell r="CE945" t="str">
            <v xml:space="preserve">Europeu        </v>
          </cell>
        </row>
        <row r="946">
          <cell r="AF946">
            <v>941</v>
          </cell>
          <cell r="AG946">
            <v>0.11253357274296905</v>
          </cell>
          <cell r="BY946" t="str">
            <v>BBDCE22</v>
          </cell>
          <cell r="BZ946">
            <v>22</v>
          </cell>
          <cell r="CA946" t="str">
            <v>18-05-2009</v>
          </cell>
          <cell r="CB946" t="str">
            <v xml:space="preserve">BBDC    /ED </v>
          </cell>
          <cell r="CC946" t="str">
            <v>PN      N1</v>
          </cell>
          <cell r="CD946" t="str">
            <v xml:space="preserve">OPCOES COMPRA  </v>
          </cell>
          <cell r="CE946" t="str">
            <v xml:space="preserve">Americano      </v>
          </cell>
        </row>
        <row r="947">
          <cell r="AF947">
            <v>942</v>
          </cell>
          <cell r="AG947">
            <v>0.11254886206817849</v>
          </cell>
          <cell r="BY947" t="str">
            <v>BBDCE23</v>
          </cell>
          <cell r="BZ947">
            <v>23</v>
          </cell>
          <cell r="CA947" t="str">
            <v>18-05-2009</v>
          </cell>
          <cell r="CB947" t="str">
            <v xml:space="preserve">BBDC    /ED </v>
          </cell>
          <cell r="CC947" t="str">
            <v>PN      N1</v>
          </cell>
          <cell r="CD947" t="str">
            <v xml:space="preserve">OPCOES COMPRA  </v>
          </cell>
          <cell r="CE947" t="str">
            <v xml:space="preserve">Europeu        </v>
          </cell>
        </row>
        <row r="948">
          <cell r="AF948">
            <v>943</v>
          </cell>
          <cell r="AG948">
            <v>0.1125641191758493</v>
          </cell>
          <cell r="BY948" t="str">
            <v>BBDCE24</v>
          </cell>
          <cell r="BZ948">
            <v>24</v>
          </cell>
          <cell r="CA948" t="str">
            <v>18-05-2009</v>
          </cell>
          <cell r="CB948" t="str">
            <v xml:space="preserve">BBDC    /ED </v>
          </cell>
          <cell r="CC948" t="str">
            <v>PN      N1</v>
          </cell>
          <cell r="CD948" t="str">
            <v xml:space="preserve">OPCOES COMPRA  </v>
          </cell>
          <cell r="CE948" t="str">
            <v xml:space="preserve">Americano      </v>
          </cell>
        </row>
        <row r="949">
          <cell r="AF949">
            <v>944</v>
          </cell>
          <cell r="AG949">
            <v>0.1125793441677061</v>
          </cell>
          <cell r="BY949" t="str">
            <v>BBDCE25</v>
          </cell>
          <cell r="BZ949">
            <v>25</v>
          </cell>
          <cell r="CA949" t="str">
            <v>18-05-2009</v>
          </cell>
          <cell r="CB949" t="str">
            <v xml:space="preserve">BBDC    /ED </v>
          </cell>
          <cell r="CC949" t="str">
            <v>PN      N1</v>
          </cell>
          <cell r="CD949" t="str">
            <v xml:space="preserve">OPCOES COMPRA  </v>
          </cell>
          <cell r="CE949" t="str">
            <v xml:space="preserve">Europeu        </v>
          </cell>
        </row>
        <row r="950">
          <cell r="AF950">
            <v>945</v>
          </cell>
          <cell r="AG950">
            <v>0.1125945371450443</v>
          </cell>
          <cell r="BY950" t="str">
            <v>BBDCF28</v>
          </cell>
          <cell r="BZ950">
            <v>28</v>
          </cell>
          <cell r="CA950" t="str">
            <v>15-06-2009</v>
          </cell>
          <cell r="CB950" t="str">
            <v xml:space="preserve">BBDC    /ED </v>
          </cell>
          <cell r="CC950" t="str">
            <v>PN      N1</v>
          </cell>
          <cell r="CD950" t="str">
            <v xml:space="preserve">OPCOES COMPRA  </v>
          </cell>
          <cell r="CE950" t="str">
            <v xml:space="preserve">Americano      </v>
          </cell>
        </row>
        <row r="951">
          <cell r="AF951">
            <v>946</v>
          </cell>
          <cell r="AG951">
            <v>0.11260969820873545</v>
          </cell>
          <cell r="BY951" t="str">
            <v>BBDCF98</v>
          </cell>
          <cell r="BZ951">
            <v>30</v>
          </cell>
          <cell r="CA951" t="str">
            <v>15-06-2009</v>
          </cell>
          <cell r="CB951" t="str">
            <v xml:space="preserve">BBDC    /ED </v>
          </cell>
          <cell r="CC951" t="str">
            <v>PN      N1</v>
          </cell>
          <cell r="CD951" t="str">
            <v xml:space="preserve">OPCOES COMPRA  </v>
          </cell>
          <cell r="CE951" t="str">
            <v xml:space="preserve">Europeu        </v>
          </cell>
        </row>
        <row r="952">
          <cell r="AF952">
            <v>947</v>
          </cell>
          <cell r="AG952">
            <v>0.11262482745922719</v>
          </cell>
          <cell r="BY952" t="str">
            <v>BBDCF32</v>
          </cell>
          <cell r="BZ952">
            <v>32</v>
          </cell>
          <cell r="CA952" t="str">
            <v>15-06-2009</v>
          </cell>
          <cell r="CB952" t="str">
            <v xml:space="preserve">BBDC    /ED </v>
          </cell>
          <cell r="CC952" t="str">
            <v>PN      N1</v>
          </cell>
          <cell r="CD952" t="str">
            <v xml:space="preserve">OPCOES COMPRA  </v>
          </cell>
          <cell r="CE952" t="str">
            <v xml:space="preserve">Americano      </v>
          </cell>
        </row>
        <row r="953">
          <cell r="AF953">
            <v>948</v>
          </cell>
          <cell r="AG953">
            <v>0.11263992499654552</v>
          </cell>
          <cell r="BY953" t="str">
            <v>BBDCF34</v>
          </cell>
          <cell r="BZ953">
            <v>34</v>
          </cell>
          <cell r="CA953" t="str">
            <v>15-06-2009</v>
          </cell>
          <cell r="CB953" t="str">
            <v xml:space="preserve">BBDC    /ED </v>
          </cell>
          <cell r="CC953" t="str">
            <v>PN      N1</v>
          </cell>
          <cell r="CD953" t="str">
            <v xml:space="preserve">OPCOES COMPRA  </v>
          </cell>
          <cell r="CE953" t="str">
            <v xml:space="preserve">Americano      </v>
          </cell>
        </row>
        <row r="954">
          <cell r="AF954">
            <v>949</v>
          </cell>
          <cell r="AG954">
            <v>0.11265499092029807</v>
          </cell>
          <cell r="BY954" t="str">
            <v>BBDCF99</v>
          </cell>
          <cell r="BZ954">
            <v>35</v>
          </cell>
          <cell r="CA954" t="str">
            <v>15-06-2009</v>
          </cell>
          <cell r="CB954" t="str">
            <v xml:space="preserve">BBDC    /ED </v>
          </cell>
          <cell r="CC954" t="str">
            <v>PN      N1</v>
          </cell>
          <cell r="CD954" t="str">
            <v xml:space="preserve">OPCOES COMPRA  </v>
          </cell>
          <cell r="CE954" t="str">
            <v xml:space="preserve">Europeu        </v>
          </cell>
        </row>
        <row r="955">
          <cell r="AF955">
            <v>950</v>
          </cell>
          <cell r="AG955">
            <v>0.11267002532967596</v>
          </cell>
          <cell r="BY955" t="str">
            <v>BBDCH99</v>
          </cell>
          <cell r="BZ955">
            <v>23.49</v>
          </cell>
          <cell r="CA955" t="str">
            <v>17-08-2009</v>
          </cell>
          <cell r="CB955" t="str">
            <v xml:space="preserve">BBDC    /ED </v>
          </cell>
          <cell r="CC955" t="str">
            <v>PN      N1</v>
          </cell>
          <cell r="CD955" t="str">
            <v xml:space="preserve">OPCOES COMPRA  </v>
          </cell>
          <cell r="CE955" t="str">
            <v xml:space="preserve">Europeu        </v>
          </cell>
        </row>
        <row r="956">
          <cell r="AF956">
            <v>951</v>
          </cell>
          <cell r="AG956">
            <v>0.11268502832345528</v>
          </cell>
          <cell r="BY956" t="str">
            <v>BBDCO17</v>
          </cell>
          <cell r="BZ956">
            <v>17</v>
          </cell>
          <cell r="CA956" t="str">
            <v>16-03-2009</v>
          </cell>
          <cell r="CB956" t="str">
            <v xml:space="preserve">BBDC    /ED </v>
          </cell>
          <cell r="CC956" t="str">
            <v>PN      N1</v>
          </cell>
          <cell r="CD956" t="str">
            <v xml:space="preserve">OPCOES VENDA   </v>
          </cell>
          <cell r="CE956" t="str">
            <v xml:space="preserve">Europeu        </v>
          </cell>
        </row>
        <row r="957">
          <cell r="AF957">
            <v>952</v>
          </cell>
          <cell r="AG957">
            <v>0.11270000000000002</v>
          </cell>
          <cell r="BY957" t="str">
            <v>BBDCO18</v>
          </cell>
          <cell r="BZ957">
            <v>17.98</v>
          </cell>
          <cell r="CA957" t="str">
            <v>16-03-2009</v>
          </cell>
          <cell r="CB957" t="str">
            <v xml:space="preserve">BBDC    /ED </v>
          </cell>
          <cell r="CC957" t="str">
            <v>PN      N1</v>
          </cell>
          <cell r="CD957" t="str">
            <v xml:space="preserve">OPCOES VENDA   </v>
          </cell>
          <cell r="CE957" t="str">
            <v xml:space="preserve">Europeu        </v>
          </cell>
        </row>
        <row r="958">
          <cell r="AF958">
            <v>953</v>
          </cell>
          <cell r="AG958">
            <v>0.11271476938312297</v>
          </cell>
          <cell r="BY958" t="str">
            <v>BBDCO19</v>
          </cell>
          <cell r="BZ958">
            <v>19</v>
          </cell>
          <cell r="CA958" t="str">
            <v>16-03-2009</v>
          </cell>
          <cell r="CB958" t="str">
            <v xml:space="preserve">BBDC    /ED </v>
          </cell>
          <cell r="CC958" t="str">
            <v>PN      N1</v>
          </cell>
          <cell r="CD958" t="str">
            <v xml:space="preserve">OPCOES VENDA   </v>
          </cell>
          <cell r="CE958" t="str">
            <v xml:space="preserve">Europeu        </v>
          </cell>
        </row>
        <row r="959">
          <cell r="AF959">
            <v>954</v>
          </cell>
          <cell r="AG959">
            <v>0.11272950799860348</v>
          </cell>
          <cell r="BY959" t="str">
            <v>BBDCO3</v>
          </cell>
          <cell r="BZ959">
            <v>19.5</v>
          </cell>
          <cell r="CA959" t="str">
            <v>16-03-2009</v>
          </cell>
          <cell r="CB959" t="str">
            <v xml:space="preserve">BBDC    /ED </v>
          </cell>
          <cell r="CC959" t="str">
            <v>PN      N1</v>
          </cell>
          <cell r="CD959" t="str">
            <v xml:space="preserve">OPCOES VENDA   </v>
          </cell>
          <cell r="CE959" t="str">
            <v xml:space="preserve">Europeu        </v>
          </cell>
        </row>
        <row r="960">
          <cell r="AF960">
            <v>955</v>
          </cell>
          <cell r="AG960">
            <v>0.11274421594248296</v>
          </cell>
          <cell r="BY960" t="str">
            <v>BBDCO20</v>
          </cell>
          <cell r="BZ960">
            <v>19.989999999999998</v>
          </cell>
          <cell r="CA960" t="str">
            <v>16-03-2009</v>
          </cell>
          <cell r="CB960" t="str">
            <v xml:space="preserve">BBDC    /ED </v>
          </cell>
          <cell r="CC960" t="str">
            <v>PN      N1</v>
          </cell>
          <cell r="CD960" t="str">
            <v xml:space="preserve">OPCOES VENDA   </v>
          </cell>
          <cell r="CE960" t="str">
            <v xml:space="preserve">Europeu        </v>
          </cell>
        </row>
        <row r="961">
          <cell r="AF961">
            <v>956</v>
          </cell>
          <cell r="AG961">
            <v>0.11275889331040378</v>
          </cell>
          <cell r="BY961" t="str">
            <v>BBDCO6</v>
          </cell>
          <cell r="BZ961">
            <v>20.5</v>
          </cell>
          <cell r="CA961" t="str">
            <v>16-03-2009</v>
          </cell>
          <cell r="CB961" t="str">
            <v xml:space="preserve">BBDC    /ED </v>
          </cell>
          <cell r="CC961" t="str">
            <v>PN      N1</v>
          </cell>
          <cell r="CD961" t="str">
            <v xml:space="preserve">OPCOES VENDA   </v>
          </cell>
          <cell r="CE961" t="str">
            <v xml:space="preserve">Europeu        </v>
          </cell>
        </row>
        <row r="962">
          <cell r="AF962">
            <v>957</v>
          </cell>
          <cell r="AG962">
            <v>0.1127735401976111</v>
          </cell>
          <cell r="BY962" t="str">
            <v>BBDCO21</v>
          </cell>
          <cell r="BZ962">
            <v>20.98</v>
          </cell>
          <cell r="CA962" t="str">
            <v>16-03-2009</v>
          </cell>
          <cell r="CB962" t="str">
            <v xml:space="preserve">BBDC    /ED </v>
          </cell>
          <cell r="CC962" t="str">
            <v>PN      N1</v>
          </cell>
          <cell r="CD962" t="str">
            <v xml:space="preserve">OPCOES VENDA   </v>
          </cell>
          <cell r="CE962" t="str">
            <v xml:space="preserve">Europeu        </v>
          </cell>
        </row>
        <row r="963">
          <cell r="AF963">
            <v>958</v>
          </cell>
          <cell r="AG963">
            <v>0.11278815669895459</v>
          </cell>
          <cell r="BY963" t="str">
            <v>BBDCO4</v>
          </cell>
          <cell r="BZ963">
            <v>21.5</v>
          </cell>
          <cell r="CA963" t="str">
            <v>16-03-2009</v>
          </cell>
          <cell r="CB963" t="str">
            <v xml:space="preserve">BBDC    /ED </v>
          </cell>
          <cell r="CC963" t="str">
            <v>PN      N1</v>
          </cell>
          <cell r="CD963" t="str">
            <v xml:space="preserve">OPCOES VENDA   </v>
          </cell>
          <cell r="CE963" t="str">
            <v xml:space="preserve">Europeu        </v>
          </cell>
        </row>
        <row r="964">
          <cell r="AF964">
            <v>959</v>
          </cell>
          <cell r="AG964">
            <v>0.11280274290889136</v>
          </cell>
          <cell r="BY964" t="str">
            <v>BBDCO22</v>
          </cell>
          <cell r="BZ964">
            <v>21.98</v>
          </cell>
          <cell r="CA964" t="str">
            <v>16-03-2009</v>
          </cell>
          <cell r="CB964" t="str">
            <v xml:space="preserve">BBDC    /ED </v>
          </cell>
          <cell r="CC964" t="str">
            <v>PN      N1</v>
          </cell>
          <cell r="CD964" t="str">
            <v xml:space="preserve">OPCOES VENDA   </v>
          </cell>
          <cell r="CE964" t="str">
            <v xml:space="preserve">Europeu        </v>
          </cell>
        </row>
        <row r="965">
          <cell r="AF965">
            <v>960</v>
          </cell>
          <cell r="AG965">
            <v>0.11281729892148684</v>
          </cell>
          <cell r="BY965" t="str">
            <v>BBDCO5</v>
          </cell>
          <cell r="BZ965">
            <v>22.5</v>
          </cell>
          <cell r="CA965" t="str">
            <v>16-03-2009</v>
          </cell>
          <cell r="CB965" t="str">
            <v xml:space="preserve">BBDC    /ED </v>
          </cell>
          <cell r="CC965" t="str">
            <v>PN      N1</v>
          </cell>
          <cell r="CD965" t="str">
            <v xml:space="preserve">OPCOES VENDA   </v>
          </cell>
          <cell r="CE965" t="str">
            <v xml:space="preserve">Europeu        </v>
          </cell>
        </row>
        <row r="966">
          <cell r="AF966">
            <v>961</v>
          </cell>
          <cell r="AG966">
            <v>0.11283182483041787</v>
          </cell>
          <cell r="BY966" t="str">
            <v>BBDCO23</v>
          </cell>
          <cell r="BZ966">
            <v>22.99</v>
          </cell>
          <cell r="CA966" t="str">
            <v>16-03-2009</v>
          </cell>
          <cell r="CB966" t="str">
            <v xml:space="preserve">BBDC    /ED </v>
          </cell>
          <cell r="CC966" t="str">
            <v>PN      N1</v>
          </cell>
          <cell r="CD966" t="str">
            <v xml:space="preserve">OPCOES VENDA   </v>
          </cell>
          <cell r="CE966" t="str">
            <v xml:space="preserve">Europeu        </v>
          </cell>
        </row>
        <row r="967">
          <cell r="AF967">
            <v>962</v>
          </cell>
          <cell r="AG967">
            <v>0.1128463207289736</v>
          </cell>
          <cell r="BY967" t="str">
            <v>BBDCO24</v>
          </cell>
          <cell r="BZ967">
            <v>24</v>
          </cell>
          <cell r="CA967" t="str">
            <v>16-03-2009</v>
          </cell>
          <cell r="CB967" t="str">
            <v xml:space="preserve">BBDC    /ED </v>
          </cell>
          <cell r="CC967" t="str">
            <v>PN      N1</v>
          </cell>
          <cell r="CD967" t="str">
            <v xml:space="preserve">OPCOES VENDA   </v>
          </cell>
          <cell r="CE967" t="str">
            <v xml:space="preserve">Europeu        </v>
          </cell>
        </row>
        <row r="968">
          <cell r="AF968">
            <v>963</v>
          </cell>
          <cell r="AG968">
            <v>0.11286078671005884</v>
          </cell>
          <cell r="BY968" t="str">
            <v>BBDCO25</v>
          </cell>
          <cell r="BZ968">
            <v>25</v>
          </cell>
          <cell r="CA968" t="str">
            <v>16-03-2009</v>
          </cell>
          <cell r="CB968" t="str">
            <v xml:space="preserve">BBDC    /ED </v>
          </cell>
          <cell r="CC968" t="str">
            <v>PN      N1</v>
          </cell>
          <cell r="CD968" t="str">
            <v xml:space="preserve">OPCOES VENDA   </v>
          </cell>
          <cell r="CE968" t="str">
            <v xml:space="preserve">Europeu        </v>
          </cell>
        </row>
        <row r="969">
          <cell r="AF969">
            <v>964</v>
          </cell>
          <cell r="AG969">
            <v>0.11287522286619467</v>
          </cell>
          <cell r="BY969" t="str">
            <v>BBDCO1</v>
          </cell>
          <cell r="BZ969">
            <v>25.5</v>
          </cell>
          <cell r="CA969" t="str">
            <v>16-03-2009</v>
          </cell>
          <cell r="CB969" t="str">
            <v xml:space="preserve">BBDC    /ED </v>
          </cell>
          <cell r="CC969" t="str">
            <v>PN      N1</v>
          </cell>
          <cell r="CD969" t="str">
            <v xml:space="preserve">OPCOES VENDA   </v>
          </cell>
          <cell r="CE969" t="str">
            <v xml:space="preserve">Europeu        </v>
          </cell>
        </row>
        <row r="970">
          <cell r="AF970">
            <v>965</v>
          </cell>
          <cell r="AG970">
            <v>0.11288962928952162</v>
          </cell>
          <cell r="BY970" t="str">
            <v>BBDCO26</v>
          </cell>
          <cell r="BZ970">
            <v>26</v>
          </cell>
          <cell r="CA970" t="str">
            <v>16-03-2009</v>
          </cell>
          <cell r="CB970" t="str">
            <v xml:space="preserve">BBDC    /ED </v>
          </cell>
          <cell r="CC970" t="str">
            <v>PN      N1</v>
          </cell>
          <cell r="CD970" t="str">
            <v xml:space="preserve">OPCOES VENDA   </v>
          </cell>
          <cell r="CE970" t="str">
            <v xml:space="preserve">Europeu        </v>
          </cell>
        </row>
        <row r="971">
          <cell r="AF971">
            <v>966</v>
          </cell>
          <cell r="AG971">
            <v>0.11290400607180096</v>
          </cell>
          <cell r="BY971" t="str">
            <v>BBDCO2</v>
          </cell>
          <cell r="BZ971">
            <v>27.5</v>
          </cell>
          <cell r="CA971" t="str">
            <v>16-03-2009</v>
          </cell>
          <cell r="CB971" t="str">
            <v xml:space="preserve">BBDC    /ED </v>
          </cell>
          <cell r="CC971" t="str">
            <v>PN      N1</v>
          </cell>
          <cell r="CD971" t="str">
            <v xml:space="preserve">OPCOES VENDA   </v>
          </cell>
          <cell r="CE971" t="str">
            <v xml:space="preserve">Europeu        </v>
          </cell>
        </row>
        <row r="972">
          <cell r="AF972">
            <v>967</v>
          </cell>
          <cell r="AG972">
            <v>0.11291835330441624</v>
          </cell>
          <cell r="BY972" t="str">
            <v>BBDCP17</v>
          </cell>
          <cell r="BZ972">
            <v>16.989999999999998</v>
          </cell>
          <cell r="CA972" t="str">
            <v>20-04-2009</v>
          </cell>
          <cell r="CB972" t="str">
            <v xml:space="preserve">BBDC    /ED </v>
          </cell>
          <cell r="CC972" t="str">
            <v>PN      N1</v>
          </cell>
          <cell r="CD972" t="str">
            <v xml:space="preserve">OPCOES VENDA   </v>
          </cell>
          <cell r="CE972" t="str">
            <v xml:space="preserve">Europeu        </v>
          </cell>
        </row>
        <row r="973">
          <cell r="AF973">
            <v>968</v>
          </cell>
          <cell r="AG973">
            <v>0.1129326710783769</v>
          </cell>
          <cell r="BY973" t="str">
            <v>BBDCP18</v>
          </cell>
          <cell r="BZ973">
            <v>17.989999999999998</v>
          </cell>
          <cell r="CA973" t="str">
            <v>20-04-2009</v>
          </cell>
          <cell r="CB973" t="str">
            <v xml:space="preserve">BBDC    /ED </v>
          </cell>
          <cell r="CC973" t="str">
            <v>PN      N1</v>
          </cell>
          <cell r="CD973" t="str">
            <v xml:space="preserve">OPCOES VENDA   </v>
          </cell>
          <cell r="CE973" t="str">
            <v xml:space="preserve">Europeu        </v>
          </cell>
        </row>
        <row r="974">
          <cell r="AF974">
            <v>969</v>
          </cell>
          <cell r="AG974">
            <v>0.11294695948431732</v>
          </cell>
          <cell r="BY974" t="str">
            <v>BBDCP1</v>
          </cell>
          <cell r="BZ974">
            <v>18.5</v>
          </cell>
          <cell r="CA974" t="str">
            <v>20-04-2009</v>
          </cell>
          <cell r="CB974" t="str">
            <v xml:space="preserve">BBDC    /ED </v>
          </cell>
          <cell r="CC974" t="str">
            <v>PN      N1</v>
          </cell>
          <cell r="CD974" t="str">
            <v xml:space="preserve">OPCOES VENDA   </v>
          </cell>
          <cell r="CE974" t="str">
            <v xml:space="preserve">Europeu        </v>
          </cell>
        </row>
        <row r="975">
          <cell r="AF975">
            <v>970</v>
          </cell>
          <cell r="AG975">
            <v>0.11296121861250219</v>
          </cell>
          <cell r="BY975" t="str">
            <v>BBDCP19</v>
          </cell>
          <cell r="BZ975">
            <v>19</v>
          </cell>
          <cell r="CA975" t="str">
            <v>20-04-2009</v>
          </cell>
          <cell r="CB975" t="str">
            <v xml:space="preserve">BBDC    /ED </v>
          </cell>
          <cell r="CC975" t="str">
            <v>PN      N1</v>
          </cell>
          <cell r="CD975" t="str">
            <v xml:space="preserve">OPCOES VENDA   </v>
          </cell>
          <cell r="CE975" t="str">
            <v xml:space="preserve">Europeu        </v>
          </cell>
        </row>
        <row r="976">
          <cell r="AF976">
            <v>971</v>
          </cell>
          <cell r="AG976">
            <v>0.11297544855282582</v>
          </cell>
          <cell r="BY976" t="str">
            <v>BBDCP2</v>
          </cell>
          <cell r="BZ976">
            <v>19.489999999999998</v>
          </cell>
          <cell r="CA976" t="str">
            <v>20-04-2009</v>
          </cell>
          <cell r="CB976" t="str">
            <v xml:space="preserve">BBDC    /ED </v>
          </cell>
          <cell r="CC976" t="str">
            <v>PN      N1</v>
          </cell>
          <cell r="CD976" t="str">
            <v xml:space="preserve">OPCOES VENDA   </v>
          </cell>
          <cell r="CE976" t="str">
            <v xml:space="preserve">Europeu        </v>
          </cell>
        </row>
        <row r="977">
          <cell r="AF977">
            <v>972</v>
          </cell>
          <cell r="AG977">
            <v>0.1129896493948146</v>
          </cell>
          <cell r="BY977" t="str">
            <v>BBDCP20</v>
          </cell>
          <cell r="BZ977">
            <v>19.989999999999998</v>
          </cell>
          <cell r="CA977" t="str">
            <v>20-04-2009</v>
          </cell>
          <cell r="CB977" t="str">
            <v xml:space="preserve">BBDC    /ED </v>
          </cell>
          <cell r="CC977" t="str">
            <v>PN      N1</v>
          </cell>
          <cell r="CD977" t="str">
            <v xml:space="preserve">OPCOES VENDA   </v>
          </cell>
          <cell r="CE977" t="str">
            <v xml:space="preserve">Europeu        </v>
          </cell>
        </row>
        <row r="978">
          <cell r="AF978">
            <v>973</v>
          </cell>
          <cell r="AG978">
            <v>0.11300382122762964</v>
          </cell>
          <cell r="BY978" t="str">
            <v>BBDCP3</v>
          </cell>
          <cell r="BZ978">
            <v>20.49</v>
          </cell>
          <cell r="CA978" t="str">
            <v>20-04-2009</v>
          </cell>
          <cell r="CB978" t="str">
            <v xml:space="preserve">BBDC    /ED </v>
          </cell>
          <cell r="CC978" t="str">
            <v>PN      N1</v>
          </cell>
          <cell r="CD978" t="str">
            <v xml:space="preserve">OPCOES VENDA   </v>
          </cell>
          <cell r="CE978" t="str">
            <v xml:space="preserve">Europeu        </v>
          </cell>
        </row>
        <row r="979">
          <cell r="AF979">
            <v>974</v>
          </cell>
          <cell r="AG979">
            <v>0.11301796414006837</v>
          </cell>
          <cell r="BY979" t="str">
            <v>BBDCP21</v>
          </cell>
          <cell r="BZ979">
            <v>21</v>
          </cell>
          <cell r="CA979" t="str">
            <v>20-04-2009</v>
          </cell>
          <cell r="CB979" t="str">
            <v xml:space="preserve">BBDC    /ED </v>
          </cell>
          <cell r="CC979" t="str">
            <v>PN      N1</v>
          </cell>
          <cell r="CD979" t="str">
            <v xml:space="preserve">OPCOES VENDA   </v>
          </cell>
          <cell r="CE979" t="str">
            <v xml:space="preserve">Europeu        </v>
          </cell>
        </row>
        <row r="980">
          <cell r="AF980">
            <v>975</v>
          </cell>
          <cell r="AG980">
            <v>0.11303207822056582</v>
          </cell>
          <cell r="BY980" t="str">
            <v>BBDCP22</v>
          </cell>
          <cell r="BZ980">
            <v>21.99</v>
          </cell>
          <cell r="CA980" t="str">
            <v>20-04-2009</v>
          </cell>
          <cell r="CB980" t="str">
            <v xml:space="preserve">BBDC    /ED </v>
          </cell>
          <cell r="CC980" t="str">
            <v>PN      N1</v>
          </cell>
          <cell r="CD980" t="str">
            <v xml:space="preserve">OPCOES VENDA   </v>
          </cell>
          <cell r="CE980" t="str">
            <v xml:space="preserve">Europeu        </v>
          </cell>
        </row>
        <row r="981">
          <cell r="AF981">
            <v>976</v>
          </cell>
          <cell r="AG981">
            <v>0.11304616355719665</v>
          </cell>
          <cell r="BY981" t="str">
            <v>BBDCP4</v>
          </cell>
          <cell r="BZ981">
            <v>22.5</v>
          </cell>
          <cell r="CA981" t="str">
            <v>20-04-2009</v>
          </cell>
          <cell r="CB981" t="str">
            <v xml:space="preserve">BBDC    /ED </v>
          </cell>
          <cell r="CC981" t="str">
            <v>PN      N1</v>
          </cell>
          <cell r="CD981" t="str">
            <v xml:space="preserve">OPCOES VENDA   </v>
          </cell>
          <cell r="CE981" t="str">
            <v xml:space="preserve">Europeu        </v>
          </cell>
        </row>
        <row r="982">
          <cell r="AF982">
            <v>977</v>
          </cell>
          <cell r="AG982">
            <v>0.11306022023767737</v>
          </cell>
          <cell r="BY982" t="str">
            <v>BBDCP23</v>
          </cell>
          <cell r="BZ982">
            <v>23</v>
          </cell>
          <cell r="CA982" t="str">
            <v>20-04-2009</v>
          </cell>
          <cell r="CB982" t="str">
            <v xml:space="preserve">BBDC    /ED </v>
          </cell>
          <cell r="CC982" t="str">
            <v>PN      N1</v>
          </cell>
          <cell r="CD982" t="str">
            <v xml:space="preserve">OPCOES VENDA   </v>
          </cell>
          <cell r="CE982" t="str">
            <v xml:space="preserve">Europeu        </v>
          </cell>
        </row>
        <row r="983">
          <cell r="AF983">
            <v>978</v>
          </cell>
          <cell r="AG983">
            <v>0.1130742483493683</v>
          </cell>
          <cell r="BY983" t="str">
            <v>BBDCP95</v>
          </cell>
          <cell r="BZ983">
            <v>23.49</v>
          </cell>
          <cell r="CA983" t="str">
            <v>20-04-2009</v>
          </cell>
          <cell r="CB983" t="str">
            <v xml:space="preserve">BBDC    /ED </v>
          </cell>
          <cell r="CC983" t="str">
            <v>PN      N1</v>
          </cell>
          <cell r="CD983" t="str">
            <v xml:space="preserve">OPCOES VENDA   </v>
          </cell>
          <cell r="CE983" t="str">
            <v xml:space="preserve">Europeu        </v>
          </cell>
        </row>
        <row r="984">
          <cell r="AF984">
            <v>979</v>
          </cell>
          <cell r="AG984">
            <v>0.11308824797927475</v>
          </cell>
          <cell r="BY984" t="str">
            <v>BBDCP24</v>
          </cell>
          <cell r="BZ984">
            <v>24</v>
          </cell>
          <cell r="CA984" t="str">
            <v>20-04-2009</v>
          </cell>
          <cell r="CB984" t="str">
            <v xml:space="preserve">BBDC    /ED </v>
          </cell>
          <cell r="CC984" t="str">
            <v>PN      N1</v>
          </cell>
          <cell r="CD984" t="str">
            <v xml:space="preserve">OPCOES VENDA   </v>
          </cell>
          <cell r="CE984" t="str">
            <v xml:space="preserve">Europeu        </v>
          </cell>
        </row>
        <row r="985">
          <cell r="AF985">
            <v>980</v>
          </cell>
          <cell r="AG985">
            <v>0.1131022192140485</v>
          </cell>
          <cell r="BY985" t="str">
            <v>BBDCP94</v>
          </cell>
          <cell r="BZ985">
            <v>24.5</v>
          </cell>
          <cell r="CA985" t="str">
            <v>20-04-2009</v>
          </cell>
          <cell r="CB985" t="str">
            <v xml:space="preserve">BBDC    /ED </v>
          </cell>
          <cell r="CC985" t="str">
            <v>PN      N1</v>
          </cell>
          <cell r="CD985" t="str">
            <v xml:space="preserve">OPCOES VENDA   </v>
          </cell>
          <cell r="CE985" t="str">
            <v xml:space="preserve">Europeu        </v>
          </cell>
        </row>
        <row r="986">
          <cell r="AF986">
            <v>981</v>
          </cell>
          <cell r="AG986">
            <v>0.11311616213999143</v>
          </cell>
          <cell r="BY986" t="str">
            <v>BBDCP25</v>
          </cell>
          <cell r="BZ986">
            <v>25</v>
          </cell>
          <cell r="CA986" t="str">
            <v>20-04-2009</v>
          </cell>
          <cell r="CB986" t="str">
            <v xml:space="preserve">BBDC    /ED </v>
          </cell>
          <cell r="CC986" t="str">
            <v>PN      N1</v>
          </cell>
          <cell r="CD986" t="str">
            <v xml:space="preserve">OPCOES VENDA   </v>
          </cell>
          <cell r="CE986" t="str">
            <v xml:space="preserve">Europeu        </v>
          </cell>
        </row>
        <row r="987">
          <cell r="AF987">
            <v>982</v>
          </cell>
          <cell r="AG987">
            <v>0.11313007684305454</v>
          </cell>
          <cell r="BY987" t="str">
            <v>BBDCP97</v>
          </cell>
          <cell r="BZ987">
            <v>25.92</v>
          </cell>
          <cell r="CA987" t="str">
            <v>20-04-2009</v>
          </cell>
          <cell r="CB987" t="str">
            <v xml:space="preserve">BBDC    /ED </v>
          </cell>
          <cell r="CC987" t="str">
            <v>PN      N1</v>
          </cell>
          <cell r="CD987" t="str">
            <v xml:space="preserve">OPCOES VENDA   </v>
          </cell>
          <cell r="CE987" t="str">
            <v xml:space="preserve">Europeu        </v>
          </cell>
        </row>
        <row r="988">
          <cell r="AF988">
            <v>983</v>
          </cell>
          <cell r="AG988">
            <v>0.11314396340884314</v>
          </cell>
          <cell r="BY988" t="str">
            <v>BBDCP26</v>
          </cell>
          <cell r="BZ988">
            <v>26</v>
          </cell>
          <cell r="CA988" t="str">
            <v>20-04-2009</v>
          </cell>
          <cell r="CB988" t="str">
            <v xml:space="preserve">BBDC    /ED </v>
          </cell>
          <cell r="CC988" t="str">
            <v>PN      N1</v>
          </cell>
          <cell r="CD988" t="str">
            <v xml:space="preserve">OPCOES VENDA   </v>
          </cell>
          <cell r="CE988" t="str">
            <v xml:space="preserve">Europeu        </v>
          </cell>
        </row>
        <row r="989">
          <cell r="AF989">
            <v>984</v>
          </cell>
          <cell r="AG989">
            <v>0.11315782192261459</v>
          </cell>
          <cell r="BY989" t="str">
            <v>BBDCP96</v>
          </cell>
          <cell r="BZ989">
            <v>27</v>
          </cell>
          <cell r="CA989" t="str">
            <v>20-04-2009</v>
          </cell>
          <cell r="CB989" t="str">
            <v xml:space="preserve">BBDC    /ED </v>
          </cell>
          <cell r="CC989" t="str">
            <v>PN      N1</v>
          </cell>
          <cell r="CD989" t="str">
            <v xml:space="preserve">OPCOES VENDA   </v>
          </cell>
          <cell r="CE989" t="str">
            <v xml:space="preserve">Europeu        </v>
          </cell>
        </row>
        <row r="990">
          <cell r="AF990">
            <v>985</v>
          </cell>
          <cell r="AG990">
            <v>0.11317165246928318</v>
          </cell>
          <cell r="BY990" t="str">
            <v>BBDCP28</v>
          </cell>
          <cell r="BZ990">
            <v>28</v>
          </cell>
          <cell r="CA990" t="str">
            <v>20-04-2009</v>
          </cell>
          <cell r="CB990" t="str">
            <v xml:space="preserve">BBDC    /ED </v>
          </cell>
          <cell r="CC990" t="str">
            <v>PN      N1</v>
          </cell>
          <cell r="CD990" t="str">
            <v xml:space="preserve">OPCOES VENDA   </v>
          </cell>
          <cell r="CE990" t="str">
            <v xml:space="preserve">Europeu        </v>
          </cell>
        </row>
        <row r="991">
          <cell r="AF991">
            <v>986</v>
          </cell>
          <cell r="AG991">
            <v>0.11318545513342171</v>
          </cell>
          <cell r="BY991" t="str">
            <v>BBDCP98</v>
          </cell>
          <cell r="BZ991">
            <v>30</v>
          </cell>
          <cell r="CA991" t="str">
            <v>20-04-2009</v>
          </cell>
          <cell r="CB991" t="str">
            <v xml:space="preserve">BBDC    /ED </v>
          </cell>
          <cell r="CC991" t="str">
            <v>PN      N1</v>
          </cell>
          <cell r="CD991" t="str">
            <v xml:space="preserve">OPCOES VENDA   </v>
          </cell>
          <cell r="CE991" t="str">
            <v xml:space="preserve">Europeu        </v>
          </cell>
        </row>
        <row r="992">
          <cell r="AF992">
            <v>987</v>
          </cell>
          <cell r="AG992">
            <v>0.11319922999926058</v>
          </cell>
          <cell r="BY992" t="str">
            <v>BBDCP99</v>
          </cell>
          <cell r="BZ992">
            <v>35</v>
          </cell>
          <cell r="CA992" t="str">
            <v>20-04-2009</v>
          </cell>
          <cell r="CB992" t="str">
            <v xml:space="preserve">BBDC    /ED </v>
          </cell>
          <cell r="CC992" t="str">
            <v>PN      N1</v>
          </cell>
          <cell r="CD992" t="str">
            <v xml:space="preserve">OPCOES VENDA   </v>
          </cell>
          <cell r="CE992" t="str">
            <v xml:space="preserve">Europeu        </v>
          </cell>
        </row>
        <row r="993">
          <cell r="AF993">
            <v>988</v>
          </cell>
          <cell r="AG993">
            <v>0.11321297715069267</v>
          </cell>
          <cell r="BY993" t="str">
            <v>BBDCQ18</v>
          </cell>
          <cell r="BZ993">
            <v>18</v>
          </cell>
          <cell r="CA993" t="str">
            <v>18-05-2009</v>
          </cell>
          <cell r="CB993" t="str">
            <v xml:space="preserve">BBDC    /ED </v>
          </cell>
          <cell r="CC993" t="str">
            <v>PN      N1</v>
          </cell>
          <cell r="CD993" t="str">
            <v xml:space="preserve">OPCOES VENDA   </v>
          </cell>
          <cell r="CE993" t="str">
            <v xml:space="preserve">Europeu        </v>
          </cell>
        </row>
        <row r="994">
          <cell r="AF994">
            <v>989</v>
          </cell>
          <cell r="AG994">
            <v>0.11322669667127294</v>
          </cell>
          <cell r="BY994" t="str">
            <v>BBDCQ19</v>
          </cell>
          <cell r="BZ994">
            <v>19</v>
          </cell>
          <cell r="CA994" t="str">
            <v>18-05-2009</v>
          </cell>
          <cell r="CB994" t="str">
            <v xml:space="preserve">BBDC    /ED </v>
          </cell>
          <cell r="CC994" t="str">
            <v>PN      N1</v>
          </cell>
          <cell r="CD994" t="str">
            <v xml:space="preserve">OPCOES VENDA   </v>
          </cell>
          <cell r="CE994" t="str">
            <v xml:space="preserve">Europeu        </v>
          </cell>
        </row>
        <row r="995">
          <cell r="AF995">
            <v>990</v>
          </cell>
          <cell r="AG995">
            <v>0.11324038864422081</v>
          </cell>
          <cell r="BY995" t="str">
            <v>BBDCQ20</v>
          </cell>
          <cell r="BZ995">
            <v>20</v>
          </cell>
          <cell r="CA995" t="str">
            <v>18-05-2009</v>
          </cell>
          <cell r="CB995" t="str">
            <v xml:space="preserve">BBDC    /ED </v>
          </cell>
          <cell r="CC995" t="str">
            <v>PN      N1</v>
          </cell>
          <cell r="CD995" t="str">
            <v xml:space="preserve">OPCOES VENDA   </v>
          </cell>
          <cell r="CE995" t="str">
            <v xml:space="preserve">Europeu        </v>
          </cell>
        </row>
        <row r="996">
          <cell r="AF996">
            <v>991</v>
          </cell>
          <cell r="AG996">
            <v>0.11325405315242176</v>
          </cell>
          <cell r="BY996" t="str">
            <v>BBDCQ21</v>
          </cell>
          <cell r="BZ996">
            <v>21</v>
          </cell>
          <cell r="CA996" t="str">
            <v>18-05-2009</v>
          </cell>
          <cell r="CB996" t="str">
            <v xml:space="preserve">BBDC    /ED </v>
          </cell>
          <cell r="CC996" t="str">
            <v>PN      N1</v>
          </cell>
          <cell r="CD996" t="str">
            <v xml:space="preserve">OPCOES VENDA   </v>
          </cell>
          <cell r="CE996" t="str">
            <v xml:space="preserve">Europeu        </v>
          </cell>
        </row>
        <row r="997">
          <cell r="AF997">
            <v>992</v>
          </cell>
          <cell r="AG997">
            <v>0.11326769027842976</v>
          </cell>
          <cell r="BY997" t="str">
            <v>BBDCQ22</v>
          </cell>
          <cell r="BZ997">
            <v>22</v>
          </cell>
          <cell r="CA997" t="str">
            <v>18-05-2009</v>
          </cell>
          <cell r="CB997" t="str">
            <v xml:space="preserve">BBDC    /ED </v>
          </cell>
          <cell r="CC997" t="str">
            <v>PN      N1</v>
          </cell>
          <cell r="CD997" t="str">
            <v xml:space="preserve">OPCOES VENDA   </v>
          </cell>
          <cell r="CE997" t="str">
            <v xml:space="preserve">Europeu        </v>
          </cell>
        </row>
        <row r="998">
          <cell r="AF998">
            <v>993</v>
          </cell>
          <cell r="AG998">
            <v>0.11328130010446746</v>
          </cell>
          <cell r="BY998" t="str">
            <v>BBDCQ23</v>
          </cell>
          <cell r="BZ998">
            <v>23</v>
          </cell>
          <cell r="CA998" t="str">
            <v>18-05-2009</v>
          </cell>
          <cell r="CB998" t="str">
            <v xml:space="preserve">BBDC    /ED </v>
          </cell>
          <cell r="CC998" t="str">
            <v>PN      N1</v>
          </cell>
          <cell r="CD998" t="str">
            <v xml:space="preserve">OPCOES VENDA   </v>
          </cell>
          <cell r="CE998" t="str">
            <v xml:space="preserve">Europeu        </v>
          </cell>
        </row>
        <row r="999">
          <cell r="AF999">
            <v>994</v>
          </cell>
          <cell r="AG999">
            <v>0.11329488271242938</v>
          </cell>
          <cell r="BY999" t="str">
            <v>BBDCQ24</v>
          </cell>
          <cell r="BZ999">
            <v>24</v>
          </cell>
          <cell r="CA999" t="str">
            <v>18-05-2009</v>
          </cell>
          <cell r="CB999" t="str">
            <v xml:space="preserve">BBDC    /ED </v>
          </cell>
          <cell r="CC999" t="str">
            <v>PN      N1</v>
          </cell>
          <cell r="CD999" t="str">
            <v xml:space="preserve">OPCOES VENDA   </v>
          </cell>
          <cell r="CE999" t="str">
            <v xml:space="preserve">Europeu        </v>
          </cell>
        </row>
        <row r="1000">
          <cell r="AF1000">
            <v>995</v>
          </cell>
          <cell r="AG1000">
            <v>0.11330843818388248</v>
          </cell>
          <cell r="BY1000" t="str">
            <v>BBDCQ25</v>
          </cell>
          <cell r="BZ1000">
            <v>25</v>
          </cell>
          <cell r="CA1000" t="str">
            <v>18-05-2009</v>
          </cell>
          <cell r="CB1000" t="str">
            <v xml:space="preserve">BBDC    /ED </v>
          </cell>
          <cell r="CC1000" t="str">
            <v>PN      N1</v>
          </cell>
          <cell r="CD1000" t="str">
            <v xml:space="preserve">OPCOES VENDA   </v>
          </cell>
          <cell r="CE1000" t="str">
            <v xml:space="preserve">Europeu        </v>
          </cell>
        </row>
        <row r="1001">
          <cell r="AF1001">
            <v>996</v>
          </cell>
          <cell r="AG1001">
            <v>0.11332196660006777</v>
          </cell>
          <cell r="BY1001" t="str">
            <v>BBDCR28</v>
          </cell>
          <cell r="BZ1001">
            <v>28</v>
          </cell>
          <cell r="CA1001" t="str">
            <v>15-06-2009</v>
          </cell>
          <cell r="CB1001" t="str">
            <v xml:space="preserve">BBDC    /ED </v>
          </cell>
          <cell r="CC1001" t="str">
            <v>PN      N1</v>
          </cell>
          <cell r="CD1001" t="str">
            <v xml:space="preserve">OPCOES VENDA   </v>
          </cell>
          <cell r="CE1001" t="str">
            <v xml:space="preserve">Europeu        </v>
          </cell>
        </row>
        <row r="1002">
          <cell r="AF1002">
            <v>997</v>
          </cell>
          <cell r="AG1002">
            <v>0.11333546804190298</v>
          </cell>
          <cell r="BY1002" t="str">
            <v>BBDCR98</v>
          </cell>
          <cell r="BZ1002">
            <v>29.99</v>
          </cell>
          <cell r="CA1002" t="str">
            <v>15-06-2009</v>
          </cell>
          <cell r="CB1002" t="str">
            <v xml:space="preserve">BBDC    /ED </v>
          </cell>
          <cell r="CC1002" t="str">
            <v>PN      N1</v>
          </cell>
          <cell r="CD1002" t="str">
            <v xml:space="preserve">OPCOES VENDA   </v>
          </cell>
          <cell r="CE1002" t="str">
            <v xml:space="preserve">Europeu        </v>
          </cell>
        </row>
        <row r="1003">
          <cell r="AF1003">
            <v>998</v>
          </cell>
          <cell r="AG1003">
            <v>0.11334894258998229</v>
          </cell>
          <cell r="BY1003" t="str">
            <v>BBDCR32</v>
          </cell>
          <cell r="BZ1003">
            <v>32</v>
          </cell>
          <cell r="CA1003" t="str">
            <v>15-06-2009</v>
          </cell>
          <cell r="CB1003" t="str">
            <v xml:space="preserve">BBDC    /ED </v>
          </cell>
          <cell r="CC1003" t="str">
            <v>PN      N1</v>
          </cell>
          <cell r="CD1003" t="str">
            <v xml:space="preserve">OPCOES VENDA   </v>
          </cell>
          <cell r="CE1003" t="str">
            <v xml:space="preserve">Europeu        </v>
          </cell>
        </row>
        <row r="1004">
          <cell r="AF1004">
            <v>999</v>
          </cell>
          <cell r="AG1004">
            <v>0.11336239032458151</v>
          </cell>
          <cell r="BY1004" t="str">
            <v>BBDCR34</v>
          </cell>
          <cell r="BZ1004">
            <v>34</v>
          </cell>
          <cell r="CA1004" t="str">
            <v>15-06-2009</v>
          </cell>
          <cell r="CB1004" t="str">
            <v xml:space="preserve">BBDC    /ED </v>
          </cell>
          <cell r="CC1004" t="str">
            <v>PN      N1</v>
          </cell>
          <cell r="CD1004" t="str">
            <v xml:space="preserve">OPCOES VENDA   </v>
          </cell>
          <cell r="CE1004" t="str">
            <v xml:space="preserve">Europeu        </v>
          </cell>
        </row>
        <row r="1005">
          <cell r="AF1005">
            <v>1000</v>
          </cell>
          <cell r="AG1005">
            <v>0.113375811325654</v>
          </cell>
          <cell r="BY1005" t="str">
            <v>BBDCR99</v>
          </cell>
          <cell r="BZ1005">
            <v>35</v>
          </cell>
          <cell r="CA1005" t="str">
            <v>15-06-2009</v>
          </cell>
          <cell r="CB1005" t="str">
            <v xml:space="preserve">BBDC    /ED </v>
          </cell>
          <cell r="CC1005" t="str">
            <v>PN      N1</v>
          </cell>
          <cell r="CD1005" t="str">
            <v xml:space="preserve">OPCOES VENDA   </v>
          </cell>
          <cell r="CE1005" t="str">
            <v xml:space="preserve">Europeu        </v>
          </cell>
        </row>
        <row r="1006">
          <cell r="AF1006">
            <v>1001</v>
          </cell>
          <cell r="AG1006">
            <v>0.1133892056728385</v>
          </cell>
          <cell r="BY1006" t="str">
            <v>BBDCT99</v>
          </cell>
          <cell r="BZ1006">
            <v>23.49</v>
          </cell>
          <cell r="CA1006" t="str">
            <v>17-08-2009</v>
          </cell>
          <cell r="CB1006" t="str">
            <v xml:space="preserve">BBDC    /ED </v>
          </cell>
          <cell r="CC1006" t="str">
            <v>PN      N1</v>
          </cell>
          <cell r="CD1006" t="str">
            <v xml:space="preserve">OPCOES VENDA   </v>
          </cell>
          <cell r="CE1006" t="str">
            <v xml:space="preserve">Europeu        </v>
          </cell>
        </row>
        <row r="1007">
          <cell r="AF1007">
            <v>1002</v>
          </cell>
          <cell r="AG1007">
            <v>0.11340257344545601</v>
          </cell>
          <cell r="BY1007" t="str">
            <v>BRAPC22</v>
          </cell>
          <cell r="BZ1007">
            <v>22</v>
          </cell>
          <cell r="CA1007" t="str">
            <v>16-03-2009</v>
          </cell>
          <cell r="CB1007" t="str">
            <v xml:space="preserve">BRAP        </v>
          </cell>
          <cell r="CC1007" t="str">
            <v>PN      N1</v>
          </cell>
          <cell r="CD1007" t="str">
            <v xml:space="preserve">OPCOES COMPRA  </v>
          </cell>
          <cell r="CE1007" t="str">
            <v xml:space="preserve">Americano      </v>
          </cell>
        </row>
        <row r="1008">
          <cell r="AF1008">
            <v>1003</v>
          </cell>
          <cell r="AG1008">
            <v>0.113415914722514</v>
          </cell>
          <cell r="BY1008" t="str">
            <v>BRAPC24</v>
          </cell>
          <cell r="BZ1008">
            <v>24</v>
          </cell>
          <cell r="CA1008" t="str">
            <v>16-03-2009</v>
          </cell>
          <cell r="CB1008" t="str">
            <v xml:space="preserve">BRAP        </v>
          </cell>
          <cell r="CC1008" t="str">
            <v>PN      N1</v>
          </cell>
          <cell r="CD1008" t="str">
            <v xml:space="preserve">OPCOES COMPRA  </v>
          </cell>
          <cell r="CE1008" t="str">
            <v xml:space="preserve">Americano      </v>
          </cell>
        </row>
        <row r="1009">
          <cell r="AF1009">
            <v>1004</v>
          </cell>
          <cell r="AG1009">
            <v>0.11342922958270663</v>
          </cell>
          <cell r="BY1009" t="str">
            <v>BRAPC26</v>
          </cell>
          <cell r="BZ1009">
            <v>26</v>
          </cell>
          <cell r="CA1009" t="str">
            <v>16-03-2009</v>
          </cell>
          <cell r="CB1009" t="str">
            <v xml:space="preserve">BRAP        </v>
          </cell>
          <cell r="CC1009" t="str">
            <v>PN      N1</v>
          </cell>
          <cell r="CD1009" t="str">
            <v xml:space="preserve">OPCOES COMPRA  </v>
          </cell>
          <cell r="CE1009" t="str">
            <v xml:space="preserve">Americano      </v>
          </cell>
        </row>
        <row r="1010">
          <cell r="AF1010">
            <v>1005</v>
          </cell>
          <cell r="AG1010">
            <v>0.11344251810441652</v>
          </cell>
          <cell r="BY1010" t="str">
            <v>BRAPC28</v>
          </cell>
          <cell r="BZ1010">
            <v>28</v>
          </cell>
          <cell r="CA1010" t="str">
            <v>16-03-2009</v>
          </cell>
          <cell r="CB1010" t="str">
            <v xml:space="preserve">BRAP        </v>
          </cell>
          <cell r="CC1010" t="str">
            <v>PN      N1</v>
          </cell>
          <cell r="CD1010" t="str">
            <v xml:space="preserve">OPCOES COMPRA  </v>
          </cell>
          <cell r="CE1010" t="str">
            <v xml:space="preserve">Americano      </v>
          </cell>
        </row>
        <row r="1011">
          <cell r="AF1011">
            <v>1006</v>
          </cell>
          <cell r="AG1011">
            <v>0.11345578036571702</v>
          </cell>
          <cell r="BY1011" t="str">
            <v>BRAPC29</v>
          </cell>
          <cell r="BZ1011">
            <v>29</v>
          </cell>
          <cell r="CA1011" t="str">
            <v>16-03-2009</v>
          </cell>
          <cell r="CB1011" t="str">
            <v xml:space="preserve">BRAP        </v>
          </cell>
          <cell r="CC1011" t="str">
            <v>PN      N1</v>
          </cell>
          <cell r="CD1011" t="str">
            <v xml:space="preserve">OPCOES COMPRA  </v>
          </cell>
          <cell r="CE1011" t="str">
            <v xml:space="preserve">Europeu        </v>
          </cell>
        </row>
        <row r="1012">
          <cell r="AF1012">
            <v>1007</v>
          </cell>
          <cell r="AG1012">
            <v>0.11346901644437302</v>
          </cell>
          <cell r="BY1012" t="str">
            <v>BRAPO22</v>
          </cell>
          <cell r="BZ1012">
            <v>22</v>
          </cell>
          <cell r="CA1012" t="str">
            <v>16-03-2009</v>
          </cell>
          <cell r="CB1012" t="str">
            <v xml:space="preserve">BRAP        </v>
          </cell>
          <cell r="CC1012" t="str">
            <v>PN      N1</v>
          </cell>
          <cell r="CD1012" t="str">
            <v xml:space="preserve">OPCOES VENDA   </v>
          </cell>
          <cell r="CE1012" t="str">
            <v xml:space="preserve">Europeu        </v>
          </cell>
        </row>
        <row r="1013">
          <cell r="AF1013">
            <v>1008</v>
          </cell>
          <cell r="AG1013">
            <v>0.11348222641784256</v>
          </cell>
          <cell r="BY1013" t="str">
            <v>BRAPO24</v>
          </cell>
          <cell r="BZ1013">
            <v>24</v>
          </cell>
          <cell r="CA1013" t="str">
            <v>16-03-2009</v>
          </cell>
          <cell r="CB1013" t="str">
            <v xml:space="preserve">BRAP        </v>
          </cell>
          <cell r="CC1013" t="str">
            <v>PN      N1</v>
          </cell>
          <cell r="CD1013" t="str">
            <v xml:space="preserve">OPCOES VENDA   </v>
          </cell>
          <cell r="CE1013" t="str">
            <v xml:space="preserve">Europeu        </v>
          </cell>
        </row>
        <row r="1014">
          <cell r="AF1014">
            <v>1009</v>
          </cell>
          <cell r="AG1014">
            <v>0.11349541036327881</v>
          </cell>
          <cell r="BY1014" t="str">
            <v>BRAPO26</v>
          </cell>
          <cell r="BZ1014">
            <v>26</v>
          </cell>
          <cell r="CA1014" t="str">
            <v>16-03-2009</v>
          </cell>
          <cell r="CB1014" t="str">
            <v xml:space="preserve">BRAP        </v>
          </cell>
          <cell r="CC1014" t="str">
            <v>PN      N1</v>
          </cell>
          <cell r="CD1014" t="str">
            <v xml:space="preserve">OPCOES VENDA   </v>
          </cell>
          <cell r="CE1014" t="str">
            <v xml:space="preserve">Europeu        </v>
          </cell>
        </row>
        <row r="1015">
          <cell r="AF1015">
            <v>1010</v>
          </cell>
          <cell r="AG1015">
            <v>0.11350856835753009</v>
          </cell>
          <cell r="BY1015" t="str">
            <v>BRAPO28</v>
          </cell>
          <cell r="BZ1015">
            <v>28</v>
          </cell>
          <cell r="CA1015" t="str">
            <v>16-03-2009</v>
          </cell>
          <cell r="CB1015" t="str">
            <v xml:space="preserve">BRAP        </v>
          </cell>
          <cell r="CC1015" t="str">
            <v>PN      N1</v>
          </cell>
          <cell r="CD1015" t="str">
            <v xml:space="preserve">OPCOES VENDA   </v>
          </cell>
          <cell r="CE1015" t="str">
            <v xml:space="preserve">Europeu        </v>
          </cell>
        </row>
        <row r="1016">
          <cell r="AF1016">
            <v>1011</v>
          </cell>
          <cell r="AG1016">
            <v>0.11352170047714472</v>
          </cell>
          <cell r="BY1016" t="str">
            <v>BRAPO29</v>
          </cell>
          <cell r="BZ1016">
            <v>29</v>
          </cell>
          <cell r="CA1016" t="str">
            <v>16-03-2009</v>
          </cell>
          <cell r="CB1016" t="str">
            <v xml:space="preserve">BRAP        </v>
          </cell>
          <cell r="CC1016" t="str">
            <v>PN      N1</v>
          </cell>
          <cell r="CD1016" t="str">
            <v xml:space="preserve">OPCOES VENDA   </v>
          </cell>
          <cell r="CE1016" t="str">
            <v xml:space="preserve">Europeu        </v>
          </cell>
        </row>
        <row r="1017">
          <cell r="AF1017">
            <v>1012</v>
          </cell>
          <cell r="AG1017">
            <v>0.11353480679836747</v>
          </cell>
          <cell r="BY1017" t="str">
            <v>BRTOC14</v>
          </cell>
          <cell r="BZ1017">
            <v>13.88</v>
          </cell>
          <cell r="CA1017" t="str">
            <v>16-03-2009</v>
          </cell>
          <cell r="CB1017" t="str">
            <v xml:space="preserve">BRTO        </v>
          </cell>
          <cell r="CC1017" t="str">
            <v>PN      N1</v>
          </cell>
          <cell r="CD1017" t="str">
            <v xml:space="preserve">OPCOES COMPRA  </v>
          </cell>
          <cell r="CE1017" t="str">
            <v xml:space="preserve">Americano      </v>
          </cell>
        </row>
        <row r="1018">
          <cell r="AF1018">
            <v>1013</v>
          </cell>
          <cell r="AG1018">
            <v>0.11354788739714627</v>
          </cell>
          <cell r="BY1018" t="str">
            <v>BRTOO14</v>
          </cell>
          <cell r="BZ1018">
            <v>13.88</v>
          </cell>
          <cell r="CA1018" t="str">
            <v>16-03-2009</v>
          </cell>
          <cell r="CB1018" t="str">
            <v xml:space="preserve">BRTO        </v>
          </cell>
          <cell r="CC1018" t="str">
            <v>PN      N1</v>
          </cell>
          <cell r="CD1018" t="str">
            <v xml:space="preserve">OPCOES VENDA   </v>
          </cell>
          <cell r="CE1018" t="str">
            <v xml:space="preserve">Europeu        </v>
          </cell>
        </row>
        <row r="1019">
          <cell r="AF1019">
            <v>1014</v>
          </cell>
          <cell r="AG1019">
            <v>0.11356094234912995</v>
          </cell>
          <cell r="BY1019" t="str">
            <v>BRTPF2</v>
          </cell>
          <cell r="BZ1019">
            <v>24</v>
          </cell>
          <cell r="CA1019" t="str">
            <v>15-06-2009</v>
          </cell>
          <cell r="CB1019" t="str">
            <v xml:space="preserve">BRTP        </v>
          </cell>
          <cell r="CC1019" t="str">
            <v>PN      N1</v>
          </cell>
          <cell r="CD1019" t="str">
            <v xml:space="preserve">OPCOES COMPRA  </v>
          </cell>
          <cell r="CE1019" t="str">
            <v xml:space="preserve">Americano      </v>
          </cell>
        </row>
        <row r="1020">
          <cell r="AF1020">
            <v>1015</v>
          </cell>
          <cell r="AG1020">
            <v>0.11357397172967088</v>
          </cell>
          <cell r="BY1020" t="str">
            <v>BRTPR2</v>
          </cell>
          <cell r="BZ1020">
            <v>24</v>
          </cell>
          <cell r="CA1020" t="str">
            <v>15-06-2009</v>
          </cell>
          <cell r="CB1020" t="str">
            <v xml:space="preserve">BRTP        </v>
          </cell>
          <cell r="CC1020" t="str">
            <v>PN      N1</v>
          </cell>
          <cell r="CD1020" t="str">
            <v xml:space="preserve">OPCOES VENDA   </v>
          </cell>
          <cell r="CE1020" t="str">
            <v xml:space="preserve">Europeu        </v>
          </cell>
        </row>
        <row r="1021">
          <cell r="AF1021">
            <v>1016</v>
          </cell>
          <cell r="AG1021">
            <v>0.11358697561382725</v>
          </cell>
          <cell r="BY1021" t="str">
            <v>CMIGC26</v>
          </cell>
          <cell r="BZ1021">
            <v>26</v>
          </cell>
          <cell r="CA1021" t="str">
            <v>16-03-2009</v>
          </cell>
          <cell r="CB1021" t="str">
            <v xml:space="preserve">CMIG        </v>
          </cell>
          <cell r="CC1021" t="str">
            <v>PN      N1</v>
          </cell>
          <cell r="CD1021" t="str">
            <v xml:space="preserve">OPCOES COMPRA  </v>
          </cell>
          <cell r="CE1021" t="str">
            <v xml:space="preserve">Americano      </v>
          </cell>
        </row>
        <row r="1022">
          <cell r="AF1022">
            <v>1017</v>
          </cell>
          <cell r="AG1022">
            <v>0.11359995407636347</v>
          </cell>
          <cell r="BY1022" t="str">
            <v>CMIGC27</v>
          </cell>
          <cell r="BZ1022">
            <v>27</v>
          </cell>
          <cell r="CA1022" t="str">
            <v>16-03-2009</v>
          </cell>
          <cell r="CB1022" t="str">
            <v xml:space="preserve">CMIG        </v>
          </cell>
          <cell r="CC1022" t="str">
            <v>PN      N1</v>
          </cell>
          <cell r="CD1022" t="str">
            <v xml:space="preserve">OPCOES COMPRA  </v>
          </cell>
          <cell r="CE1022" t="str">
            <v xml:space="preserve">Europeu        </v>
          </cell>
        </row>
        <row r="1023">
          <cell r="AF1023">
            <v>1018</v>
          </cell>
          <cell r="AG1023">
            <v>0.11361290719175177</v>
          </cell>
          <cell r="BY1023" t="str">
            <v>CMIGC31</v>
          </cell>
          <cell r="BZ1023">
            <v>31</v>
          </cell>
          <cell r="CA1023" t="str">
            <v>16-03-2009</v>
          </cell>
          <cell r="CB1023" t="str">
            <v xml:space="preserve">CMIG        </v>
          </cell>
          <cell r="CC1023" t="str">
            <v>PN      N1</v>
          </cell>
          <cell r="CD1023" t="str">
            <v xml:space="preserve">OPCOES COMPRA  </v>
          </cell>
          <cell r="CE1023" t="str">
            <v xml:space="preserve">Europeu        </v>
          </cell>
        </row>
        <row r="1024">
          <cell r="AF1024">
            <v>1019</v>
          </cell>
          <cell r="AG1024">
            <v>0.11362583503417412</v>
          </cell>
          <cell r="BY1024" t="str">
            <v>CMIGC32</v>
          </cell>
          <cell r="BZ1024">
            <v>32</v>
          </cell>
          <cell r="CA1024" t="str">
            <v>16-03-2009</v>
          </cell>
          <cell r="CB1024" t="str">
            <v xml:space="preserve">CMIG        </v>
          </cell>
          <cell r="CC1024" t="str">
            <v>PN      N1</v>
          </cell>
          <cell r="CD1024" t="str">
            <v xml:space="preserve">OPCOES COMPRA  </v>
          </cell>
          <cell r="CE1024" t="str">
            <v xml:space="preserve">Americano      </v>
          </cell>
        </row>
        <row r="1025">
          <cell r="AF1025">
            <v>1020</v>
          </cell>
          <cell r="AG1025">
            <v>0.11363873767752297</v>
          </cell>
          <cell r="BY1025" t="str">
            <v>CMIGC33</v>
          </cell>
          <cell r="BZ1025">
            <v>33</v>
          </cell>
          <cell r="CA1025" t="str">
            <v>16-03-2009</v>
          </cell>
          <cell r="CB1025" t="str">
            <v xml:space="preserve">CMIG        </v>
          </cell>
          <cell r="CC1025" t="str">
            <v>PN      N1</v>
          </cell>
          <cell r="CD1025" t="str">
            <v xml:space="preserve">OPCOES COMPRA  </v>
          </cell>
          <cell r="CE1025" t="str">
            <v xml:space="preserve">Europeu        </v>
          </cell>
        </row>
        <row r="1026">
          <cell r="AF1026">
            <v>1021</v>
          </cell>
          <cell r="AG1026">
            <v>0.11365161519540323</v>
          </cell>
          <cell r="BY1026" t="str">
            <v>CMIGC34</v>
          </cell>
          <cell r="BZ1026">
            <v>34</v>
          </cell>
          <cell r="CA1026" t="str">
            <v>16-03-2009</v>
          </cell>
          <cell r="CB1026" t="str">
            <v xml:space="preserve">CMIG        </v>
          </cell>
          <cell r="CC1026" t="str">
            <v>PN      N1</v>
          </cell>
          <cell r="CD1026" t="str">
            <v xml:space="preserve">OPCOES COMPRA  </v>
          </cell>
          <cell r="CE1026" t="str">
            <v xml:space="preserve">Americano      </v>
          </cell>
        </row>
        <row r="1027">
          <cell r="AF1027">
            <v>1022</v>
          </cell>
          <cell r="AG1027">
            <v>0.11366446766113314</v>
          </cell>
          <cell r="BY1027" t="str">
            <v>CMIGC35</v>
          </cell>
          <cell r="BZ1027">
            <v>35</v>
          </cell>
          <cell r="CA1027" t="str">
            <v>16-03-2009</v>
          </cell>
          <cell r="CB1027" t="str">
            <v xml:space="preserve">CMIG        </v>
          </cell>
          <cell r="CC1027" t="str">
            <v>PN      N1</v>
          </cell>
          <cell r="CD1027" t="str">
            <v xml:space="preserve">OPCOES COMPRA  </v>
          </cell>
          <cell r="CE1027" t="str">
            <v xml:space="preserve">Europeu        </v>
          </cell>
        </row>
        <row r="1028">
          <cell r="AF1028">
            <v>1023</v>
          </cell>
          <cell r="AG1028">
            <v>0.11367729514774649</v>
          </cell>
          <cell r="BY1028" t="str">
            <v>CMIGC36</v>
          </cell>
          <cell r="BZ1028">
            <v>36</v>
          </cell>
          <cell r="CA1028" t="str">
            <v>16-03-2009</v>
          </cell>
          <cell r="CB1028" t="str">
            <v xml:space="preserve">CMIG        </v>
          </cell>
          <cell r="CC1028" t="str">
            <v>PN      N1</v>
          </cell>
          <cell r="CD1028" t="str">
            <v xml:space="preserve">OPCOES COMPRA  </v>
          </cell>
          <cell r="CE1028" t="str">
            <v xml:space="preserve">Americano      </v>
          </cell>
        </row>
        <row r="1029">
          <cell r="AF1029">
            <v>1024</v>
          </cell>
          <cell r="AG1029">
            <v>0.11369009772799266</v>
          </cell>
          <cell r="BY1029" t="str">
            <v>CMIGC37</v>
          </cell>
          <cell r="BZ1029">
            <v>37</v>
          </cell>
          <cell r="CA1029" t="str">
            <v>16-03-2009</v>
          </cell>
          <cell r="CB1029" t="str">
            <v xml:space="preserve">CMIG        </v>
          </cell>
          <cell r="CC1029" t="str">
            <v>PN      N1</v>
          </cell>
          <cell r="CD1029" t="str">
            <v xml:space="preserve">OPCOES COMPRA  </v>
          </cell>
          <cell r="CE1029" t="str">
            <v xml:space="preserve">Europeu        </v>
          </cell>
        </row>
        <row r="1030">
          <cell r="AF1030">
            <v>1025</v>
          </cell>
          <cell r="AG1030">
            <v>0.11370287547433966</v>
          </cell>
          <cell r="BY1030" t="str">
            <v>CMIGC38</v>
          </cell>
          <cell r="BZ1030">
            <v>38</v>
          </cell>
          <cell r="CA1030" t="str">
            <v>16-03-2009</v>
          </cell>
          <cell r="CB1030" t="str">
            <v xml:space="preserve">CMIG        </v>
          </cell>
          <cell r="CC1030" t="str">
            <v>PN      N1</v>
          </cell>
          <cell r="CD1030" t="str">
            <v xml:space="preserve">OPCOES COMPRA  </v>
          </cell>
          <cell r="CE1030" t="str">
            <v xml:space="preserve">Americano      </v>
          </cell>
        </row>
        <row r="1031">
          <cell r="AF1031">
            <v>1026</v>
          </cell>
          <cell r="AG1031">
            <v>0.11371562845897398</v>
          </cell>
          <cell r="BY1031" t="str">
            <v>CMIGD30</v>
          </cell>
          <cell r="BZ1031">
            <v>30</v>
          </cell>
          <cell r="CA1031" t="str">
            <v>20-04-2009</v>
          </cell>
          <cell r="CB1031" t="str">
            <v xml:space="preserve">CMIG        </v>
          </cell>
          <cell r="CC1031" t="str">
            <v>PN      N1</v>
          </cell>
          <cell r="CD1031" t="str">
            <v xml:space="preserve">OPCOES COMPRA  </v>
          </cell>
          <cell r="CE1031" t="str">
            <v xml:space="preserve">Americano      </v>
          </cell>
        </row>
        <row r="1032">
          <cell r="AF1032">
            <v>1027</v>
          </cell>
          <cell r="AG1032">
            <v>0.11372835675380322</v>
          </cell>
          <cell r="BY1032" t="str">
            <v>CMIGD31</v>
          </cell>
          <cell r="BZ1032">
            <v>31</v>
          </cell>
          <cell r="CA1032" t="str">
            <v>20-04-2009</v>
          </cell>
          <cell r="CB1032" t="str">
            <v xml:space="preserve">CMIG        </v>
          </cell>
          <cell r="CC1032" t="str">
            <v>PN      N1</v>
          </cell>
          <cell r="CD1032" t="str">
            <v xml:space="preserve">OPCOES COMPRA  </v>
          </cell>
          <cell r="CE1032" t="str">
            <v xml:space="preserve">Europeu        </v>
          </cell>
        </row>
        <row r="1033">
          <cell r="AF1033">
            <v>1028</v>
          </cell>
          <cell r="AG1033">
            <v>0.11374106043045606</v>
          </cell>
          <cell r="BY1033" t="str">
            <v>CMIGD32</v>
          </cell>
          <cell r="BZ1033">
            <v>32</v>
          </cell>
          <cell r="CA1033" t="str">
            <v>20-04-2009</v>
          </cell>
          <cell r="CB1033" t="str">
            <v xml:space="preserve">CMIG        </v>
          </cell>
          <cell r="CC1033" t="str">
            <v>PN      N1</v>
          </cell>
          <cell r="CD1033" t="str">
            <v xml:space="preserve">OPCOES COMPRA  </v>
          </cell>
          <cell r="CE1033" t="str">
            <v xml:space="preserve">Americano      </v>
          </cell>
        </row>
        <row r="1034">
          <cell r="AF1034">
            <v>1029</v>
          </cell>
          <cell r="AG1034">
            <v>0.11375373956028501</v>
          </cell>
          <cell r="BY1034" t="str">
            <v>CMIGD33</v>
          </cell>
          <cell r="BZ1034">
            <v>33</v>
          </cell>
          <cell r="CA1034" t="str">
            <v>20-04-2009</v>
          </cell>
          <cell r="CB1034" t="str">
            <v xml:space="preserve">CMIG        </v>
          </cell>
          <cell r="CC1034" t="str">
            <v>PN      N1</v>
          </cell>
          <cell r="CD1034" t="str">
            <v xml:space="preserve">OPCOES COMPRA  </v>
          </cell>
          <cell r="CE1034" t="str">
            <v xml:space="preserve">Europeu        </v>
          </cell>
        </row>
        <row r="1035">
          <cell r="AF1035">
            <v>1030</v>
          </cell>
          <cell r="AG1035">
            <v>0.11376639421436696</v>
          </cell>
          <cell r="BY1035" t="str">
            <v>CMIGD34</v>
          </cell>
          <cell r="BZ1035">
            <v>34</v>
          </cell>
          <cell r="CA1035" t="str">
            <v>20-04-2009</v>
          </cell>
          <cell r="CB1035" t="str">
            <v xml:space="preserve">CMIG        </v>
          </cell>
          <cell r="CC1035" t="str">
            <v>PN      N1</v>
          </cell>
          <cell r="CD1035" t="str">
            <v xml:space="preserve">OPCOES COMPRA  </v>
          </cell>
          <cell r="CE1035" t="str">
            <v xml:space="preserve">Americano      </v>
          </cell>
        </row>
        <row r="1036">
          <cell r="AF1036">
            <v>1031</v>
          </cell>
          <cell r="AG1036">
            <v>0.11377902446350441</v>
          </cell>
          <cell r="BY1036" t="str">
            <v>CMIGD35</v>
          </cell>
          <cell r="BZ1036">
            <v>35</v>
          </cell>
          <cell r="CA1036" t="str">
            <v>20-04-2009</v>
          </cell>
          <cell r="CB1036" t="str">
            <v xml:space="preserve">CMIG        </v>
          </cell>
          <cell r="CC1036" t="str">
            <v>PN      N1</v>
          </cell>
          <cell r="CD1036" t="str">
            <v xml:space="preserve">OPCOES COMPRA  </v>
          </cell>
          <cell r="CE1036" t="str">
            <v xml:space="preserve">Europeu        </v>
          </cell>
        </row>
        <row r="1037">
          <cell r="AF1037">
            <v>1032</v>
          </cell>
          <cell r="AG1037">
            <v>0.11379163037822737</v>
          </cell>
          <cell r="BY1037" t="str">
            <v>CMIGD36</v>
          </cell>
          <cell r="BZ1037">
            <v>36</v>
          </cell>
          <cell r="CA1037" t="str">
            <v>20-04-2009</v>
          </cell>
          <cell r="CB1037" t="str">
            <v xml:space="preserve">CMIG        </v>
          </cell>
          <cell r="CC1037" t="str">
            <v>PN      N1</v>
          </cell>
          <cell r="CD1037" t="str">
            <v xml:space="preserve">OPCOES COMPRA  </v>
          </cell>
          <cell r="CE1037" t="str">
            <v xml:space="preserve">Americano      </v>
          </cell>
        </row>
        <row r="1038">
          <cell r="AF1038">
            <v>1033</v>
          </cell>
          <cell r="AG1038">
            <v>0.11380421202879432</v>
          </cell>
          <cell r="BY1038" t="str">
            <v>CMIGD37</v>
          </cell>
          <cell r="BZ1038">
            <v>37</v>
          </cell>
          <cell r="CA1038" t="str">
            <v>20-04-2009</v>
          </cell>
          <cell r="CB1038" t="str">
            <v xml:space="preserve">CMIG        </v>
          </cell>
          <cell r="CC1038" t="str">
            <v>PN      N1</v>
          </cell>
          <cell r="CD1038" t="str">
            <v xml:space="preserve">OPCOES COMPRA  </v>
          </cell>
          <cell r="CE1038" t="str">
            <v xml:space="preserve">Europeu        </v>
          </cell>
        </row>
        <row r="1039">
          <cell r="AF1039">
            <v>1034</v>
          </cell>
          <cell r="AG1039">
            <v>0.11381676948519304</v>
          </cell>
          <cell r="BY1039" t="str">
            <v>CMIGD38</v>
          </cell>
          <cell r="BZ1039">
            <v>38</v>
          </cell>
          <cell r="CA1039" t="str">
            <v>20-04-2009</v>
          </cell>
          <cell r="CB1039" t="str">
            <v xml:space="preserve">CMIG        </v>
          </cell>
          <cell r="CC1039" t="str">
            <v>PN      N1</v>
          </cell>
          <cell r="CD1039" t="str">
            <v xml:space="preserve">OPCOES COMPRA  </v>
          </cell>
          <cell r="CE1039" t="str">
            <v xml:space="preserve">Americano      </v>
          </cell>
        </row>
        <row r="1040">
          <cell r="AF1040">
            <v>1035</v>
          </cell>
          <cell r="AG1040">
            <v>0.11382930281714332</v>
          </cell>
          <cell r="BY1040" t="str">
            <v>CMIGE26</v>
          </cell>
          <cell r="BZ1040">
            <v>26</v>
          </cell>
          <cell r="CA1040" t="str">
            <v>18-05-2009</v>
          </cell>
          <cell r="CB1040" t="str">
            <v xml:space="preserve">CMIG        </v>
          </cell>
          <cell r="CC1040" t="str">
            <v>PN      N1</v>
          </cell>
          <cell r="CD1040" t="str">
            <v xml:space="preserve">OPCOES COMPRA  </v>
          </cell>
          <cell r="CE1040" t="str">
            <v xml:space="preserve">Americano      </v>
          </cell>
        </row>
        <row r="1041">
          <cell r="AF1041">
            <v>1036</v>
          </cell>
          <cell r="AG1041">
            <v>0.11384181209409627</v>
          </cell>
          <cell r="BY1041" t="str">
            <v>CMIGE28</v>
          </cell>
          <cell r="BZ1041">
            <v>28</v>
          </cell>
          <cell r="CA1041" t="str">
            <v>18-05-2009</v>
          </cell>
          <cell r="CB1041" t="str">
            <v xml:space="preserve">CMIG        </v>
          </cell>
          <cell r="CC1041" t="str">
            <v>PN      N1</v>
          </cell>
          <cell r="CD1041" t="str">
            <v xml:space="preserve">OPCOES COMPRA  </v>
          </cell>
          <cell r="CE1041" t="str">
            <v xml:space="preserve">Americano      </v>
          </cell>
        </row>
        <row r="1042">
          <cell r="AF1042">
            <v>1037</v>
          </cell>
          <cell r="AG1042">
            <v>0.11385429738523745</v>
          </cell>
          <cell r="BY1042" t="str">
            <v>CMIGE30</v>
          </cell>
          <cell r="BZ1042">
            <v>30</v>
          </cell>
          <cell r="CA1042" t="str">
            <v>18-05-2009</v>
          </cell>
          <cell r="CB1042" t="str">
            <v xml:space="preserve">CMIG        </v>
          </cell>
          <cell r="CC1042" t="str">
            <v>PN      N1</v>
          </cell>
          <cell r="CD1042" t="str">
            <v xml:space="preserve">OPCOES COMPRA  </v>
          </cell>
          <cell r="CE1042" t="str">
            <v xml:space="preserve">Americano      </v>
          </cell>
        </row>
        <row r="1043">
          <cell r="AF1043">
            <v>1038</v>
          </cell>
          <cell r="AG1043">
            <v>0.11386675875948704</v>
          </cell>
          <cell r="BY1043" t="str">
            <v>CMIGE32</v>
          </cell>
          <cell r="BZ1043">
            <v>32</v>
          </cell>
          <cell r="CA1043" t="str">
            <v>18-05-2009</v>
          </cell>
          <cell r="CB1043" t="str">
            <v xml:space="preserve">CMIG        </v>
          </cell>
          <cell r="CC1043" t="str">
            <v>PN      N1</v>
          </cell>
          <cell r="CD1043" t="str">
            <v xml:space="preserve">OPCOES COMPRA  </v>
          </cell>
          <cell r="CE1043" t="str">
            <v xml:space="preserve">Americano      </v>
          </cell>
        </row>
        <row r="1044">
          <cell r="AF1044">
            <v>1039</v>
          </cell>
          <cell r="AG1044">
            <v>0.11387919628550147</v>
          </cell>
          <cell r="BY1044" t="str">
            <v>CMIGE34</v>
          </cell>
          <cell r="BZ1044">
            <v>34</v>
          </cell>
          <cell r="CA1044" t="str">
            <v>18-05-2009</v>
          </cell>
          <cell r="CB1044" t="str">
            <v xml:space="preserve">CMIG        </v>
          </cell>
          <cell r="CC1044" t="str">
            <v>PN      N1</v>
          </cell>
          <cell r="CD1044" t="str">
            <v xml:space="preserve">OPCOES COMPRA  </v>
          </cell>
          <cell r="CE1044" t="str">
            <v xml:space="preserve">Americano      </v>
          </cell>
        </row>
        <row r="1045">
          <cell r="AF1045">
            <v>1040</v>
          </cell>
          <cell r="AG1045">
            <v>0.11389161003167492</v>
          </cell>
          <cell r="BY1045" t="str">
            <v>CMIGE36</v>
          </cell>
          <cell r="BZ1045">
            <v>36</v>
          </cell>
          <cell r="CA1045" t="str">
            <v>18-05-2009</v>
          </cell>
          <cell r="CB1045" t="str">
            <v xml:space="preserve">CMIG        </v>
          </cell>
          <cell r="CC1045" t="str">
            <v>PN      N1</v>
          </cell>
          <cell r="CD1045" t="str">
            <v xml:space="preserve">OPCOES COMPRA  </v>
          </cell>
          <cell r="CE1045" t="str">
            <v xml:space="preserve">Americano      </v>
          </cell>
        </row>
        <row r="1046">
          <cell r="AF1046">
            <v>1041</v>
          </cell>
          <cell r="AG1046">
            <v>0.11390400006613954</v>
          </cell>
          <cell r="BY1046" t="str">
            <v>CMIGO26</v>
          </cell>
          <cell r="BZ1046">
            <v>26</v>
          </cell>
          <cell r="CA1046" t="str">
            <v>16-03-2009</v>
          </cell>
          <cell r="CB1046" t="str">
            <v xml:space="preserve">CMIG        </v>
          </cell>
          <cell r="CC1046" t="str">
            <v>PN      N1</v>
          </cell>
          <cell r="CD1046" t="str">
            <v xml:space="preserve">OPCOES VENDA   </v>
          </cell>
          <cell r="CE1046" t="str">
            <v xml:space="preserve">Europeu        </v>
          </cell>
        </row>
        <row r="1047">
          <cell r="AF1047">
            <v>1042</v>
          </cell>
          <cell r="AG1047">
            <v>0.11391636645676817</v>
          </cell>
          <cell r="BY1047" t="str">
            <v>CMIGO27</v>
          </cell>
          <cell r="BZ1047">
            <v>27</v>
          </cell>
          <cell r="CA1047" t="str">
            <v>16-03-2009</v>
          </cell>
          <cell r="CB1047" t="str">
            <v xml:space="preserve">CMIG        </v>
          </cell>
          <cell r="CC1047" t="str">
            <v>PN      N1</v>
          </cell>
          <cell r="CD1047" t="str">
            <v xml:space="preserve">OPCOES VENDA   </v>
          </cell>
          <cell r="CE1047" t="str">
            <v xml:space="preserve">Europeu        </v>
          </cell>
        </row>
        <row r="1048">
          <cell r="AF1048">
            <v>1043</v>
          </cell>
          <cell r="AG1048">
            <v>0.11392870927117515</v>
          </cell>
          <cell r="BY1048" t="str">
            <v>CMIGO31</v>
          </cell>
          <cell r="BZ1048">
            <v>31</v>
          </cell>
          <cell r="CA1048" t="str">
            <v>16-03-2009</v>
          </cell>
          <cell r="CB1048" t="str">
            <v xml:space="preserve">CMIG        </v>
          </cell>
          <cell r="CC1048" t="str">
            <v>PN      N1</v>
          </cell>
          <cell r="CD1048" t="str">
            <v xml:space="preserve">OPCOES VENDA   </v>
          </cell>
          <cell r="CE1048" t="str">
            <v xml:space="preserve">Europeu        </v>
          </cell>
        </row>
        <row r="1049">
          <cell r="AF1049">
            <v>1044</v>
          </cell>
          <cell r="AG1049">
            <v>0.11394102857671617</v>
          </cell>
          <cell r="BY1049" t="str">
            <v>CMIGO32</v>
          </cell>
          <cell r="BZ1049">
            <v>32</v>
          </cell>
          <cell r="CA1049" t="str">
            <v>16-03-2009</v>
          </cell>
          <cell r="CB1049" t="str">
            <v xml:space="preserve">CMIG        </v>
          </cell>
          <cell r="CC1049" t="str">
            <v>PN      N1</v>
          </cell>
          <cell r="CD1049" t="str">
            <v xml:space="preserve">OPCOES VENDA   </v>
          </cell>
          <cell r="CE1049" t="str">
            <v xml:space="preserve">Europeu        </v>
          </cell>
        </row>
        <row r="1050">
          <cell r="AF1050">
            <v>1045</v>
          </cell>
          <cell r="AG1050">
            <v>0.11395332444049111</v>
          </cell>
          <cell r="BY1050" t="str">
            <v>CMIGO33</v>
          </cell>
          <cell r="BZ1050">
            <v>33</v>
          </cell>
          <cell r="CA1050" t="str">
            <v>16-03-2009</v>
          </cell>
          <cell r="CB1050" t="str">
            <v xml:space="preserve">CMIG        </v>
          </cell>
          <cell r="CC1050" t="str">
            <v>PN      N1</v>
          </cell>
          <cell r="CD1050" t="str">
            <v xml:space="preserve">OPCOES VENDA   </v>
          </cell>
          <cell r="CE1050" t="str">
            <v xml:space="preserve">Europeu        </v>
          </cell>
        </row>
        <row r="1051">
          <cell r="AF1051">
            <v>1046</v>
          </cell>
          <cell r="AG1051">
            <v>0.11396559692934516</v>
          </cell>
          <cell r="BY1051" t="str">
            <v>CMIGO34</v>
          </cell>
          <cell r="BZ1051">
            <v>34</v>
          </cell>
          <cell r="CA1051" t="str">
            <v>16-03-2009</v>
          </cell>
          <cell r="CB1051" t="str">
            <v xml:space="preserve">CMIG        </v>
          </cell>
          <cell r="CC1051" t="str">
            <v>PN      N1</v>
          </cell>
          <cell r="CD1051" t="str">
            <v xml:space="preserve">OPCOES VENDA   </v>
          </cell>
          <cell r="CE1051" t="str">
            <v xml:space="preserve">Europeu        </v>
          </cell>
        </row>
        <row r="1052">
          <cell r="AF1052">
            <v>1047</v>
          </cell>
          <cell r="AG1052">
            <v>0.11397784610986905</v>
          </cell>
          <cell r="BY1052" t="str">
            <v>CMIGO35</v>
          </cell>
          <cell r="BZ1052">
            <v>35</v>
          </cell>
          <cell r="CA1052" t="str">
            <v>16-03-2009</v>
          </cell>
          <cell r="CB1052" t="str">
            <v xml:space="preserve">CMIG        </v>
          </cell>
          <cell r="CC1052" t="str">
            <v>PN      N1</v>
          </cell>
          <cell r="CD1052" t="str">
            <v xml:space="preserve">OPCOES VENDA   </v>
          </cell>
          <cell r="CE1052" t="str">
            <v xml:space="preserve">Europeu        </v>
          </cell>
        </row>
        <row r="1053">
          <cell r="AF1053">
            <v>1048</v>
          </cell>
          <cell r="AG1053">
            <v>0.11399007204840106</v>
          </cell>
          <cell r="BY1053" t="str">
            <v>CMIGO36</v>
          </cell>
          <cell r="BZ1053">
            <v>36</v>
          </cell>
          <cell r="CA1053" t="str">
            <v>16-03-2009</v>
          </cell>
          <cell r="CB1053" t="str">
            <v xml:space="preserve">CMIG        </v>
          </cell>
          <cell r="CC1053" t="str">
            <v>PN      N1</v>
          </cell>
          <cell r="CD1053" t="str">
            <v xml:space="preserve">OPCOES VENDA   </v>
          </cell>
          <cell r="CE1053" t="str">
            <v xml:space="preserve">Europeu        </v>
          </cell>
        </row>
        <row r="1054">
          <cell r="AF1054">
            <v>1049</v>
          </cell>
          <cell r="AG1054">
            <v>0.11400227481102787</v>
          </cell>
          <cell r="BY1054" t="str">
            <v>CMIGO37</v>
          </cell>
          <cell r="BZ1054">
            <v>37</v>
          </cell>
          <cell r="CA1054" t="str">
            <v>16-03-2009</v>
          </cell>
          <cell r="CB1054" t="str">
            <v xml:space="preserve">CMIG        </v>
          </cell>
          <cell r="CC1054" t="str">
            <v>PN      N1</v>
          </cell>
          <cell r="CD1054" t="str">
            <v xml:space="preserve">OPCOES VENDA   </v>
          </cell>
          <cell r="CE1054" t="str">
            <v xml:space="preserve">Europeu        </v>
          </cell>
        </row>
        <row r="1055">
          <cell r="AF1055">
            <v>1050</v>
          </cell>
          <cell r="AG1055">
            <v>0.11401445446358616</v>
          </cell>
          <cell r="BY1055" t="str">
            <v>CMIGO38</v>
          </cell>
          <cell r="BZ1055">
            <v>38</v>
          </cell>
          <cell r="CA1055" t="str">
            <v>16-03-2009</v>
          </cell>
          <cell r="CB1055" t="str">
            <v xml:space="preserve">CMIG        </v>
          </cell>
          <cell r="CC1055" t="str">
            <v>PN      N1</v>
          </cell>
          <cell r="CD1055" t="str">
            <v xml:space="preserve">OPCOES VENDA   </v>
          </cell>
          <cell r="CE1055" t="str">
            <v xml:space="preserve">Europeu        </v>
          </cell>
        </row>
        <row r="1056">
          <cell r="AF1056">
            <v>1051</v>
          </cell>
          <cell r="AG1056">
            <v>0.11402661107166256</v>
          </cell>
          <cell r="BY1056" t="str">
            <v>CMIGP30</v>
          </cell>
          <cell r="BZ1056">
            <v>30</v>
          </cell>
          <cell r="CA1056" t="str">
            <v>20-04-2009</v>
          </cell>
          <cell r="CB1056" t="str">
            <v xml:space="preserve">CMIG        </v>
          </cell>
          <cell r="CC1056" t="str">
            <v>PN      N1</v>
          </cell>
          <cell r="CD1056" t="str">
            <v xml:space="preserve">OPCOES VENDA   </v>
          </cell>
          <cell r="CE1056" t="str">
            <v xml:space="preserve">Europeu        </v>
          </cell>
        </row>
        <row r="1057">
          <cell r="AF1057">
            <v>1052</v>
          </cell>
          <cell r="AG1057">
            <v>0.11403874470059727</v>
          </cell>
          <cell r="BY1057" t="str">
            <v>CMIGP31</v>
          </cell>
          <cell r="BZ1057">
            <v>31</v>
          </cell>
          <cell r="CA1057" t="str">
            <v>20-04-2009</v>
          </cell>
          <cell r="CB1057" t="str">
            <v xml:space="preserve">CMIG        </v>
          </cell>
          <cell r="CC1057" t="str">
            <v>PN      N1</v>
          </cell>
          <cell r="CD1057" t="str">
            <v xml:space="preserve">OPCOES VENDA   </v>
          </cell>
          <cell r="CE1057" t="str">
            <v xml:space="preserve">Europeu        </v>
          </cell>
        </row>
        <row r="1058">
          <cell r="AF1058">
            <v>1053</v>
          </cell>
          <cell r="AG1058">
            <v>0.11405085541548243</v>
          </cell>
          <cell r="BY1058" t="str">
            <v>CMIGP32</v>
          </cell>
          <cell r="BZ1058">
            <v>32</v>
          </cell>
          <cell r="CA1058" t="str">
            <v>20-04-2009</v>
          </cell>
          <cell r="CB1058" t="str">
            <v xml:space="preserve">CMIG        </v>
          </cell>
          <cell r="CC1058" t="str">
            <v>PN      N1</v>
          </cell>
          <cell r="CD1058" t="str">
            <v xml:space="preserve">OPCOES VENDA   </v>
          </cell>
          <cell r="CE1058" t="str">
            <v xml:space="preserve">Europeu        </v>
          </cell>
        </row>
        <row r="1059">
          <cell r="AF1059">
            <v>1054</v>
          </cell>
          <cell r="AG1059">
            <v>0.11406294328116462</v>
          </cell>
          <cell r="BY1059" t="str">
            <v>CMIGP33</v>
          </cell>
          <cell r="BZ1059">
            <v>33</v>
          </cell>
          <cell r="CA1059" t="str">
            <v>20-04-2009</v>
          </cell>
          <cell r="CB1059" t="str">
            <v xml:space="preserve">CMIG        </v>
          </cell>
          <cell r="CC1059" t="str">
            <v>PN      N1</v>
          </cell>
          <cell r="CD1059" t="str">
            <v xml:space="preserve">OPCOES VENDA   </v>
          </cell>
          <cell r="CE1059" t="str">
            <v xml:space="preserve">Europeu        </v>
          </cell>
        </row>
        <row r="1060">
          <cell r="AF1060">
            <v>1055</v>
          </cell>
          <cell r="AG1060">
            <v>0.11407500836224704</v>
          </cell>
          <cell r="BY1060" t="str">
            <v>CMIGP34</v>
          </cell>
          <cell r="BZ1060">
            <v>34</v>
          </cell>
          <cell r="CA1060" t="str">
            <v>20-04-2009</v>
          </cell>
          <cell r="CB1060" t="str">
            <v xml:space="preserve">CMIG        </v>
          </cell>
          <cell r="CC1060" t="str">
            <v>PN      N1</v>
          </cell>
          <cell r="CD1060" t="str">
            <v xml:space="preserve">OPCOES VENDA   </v>
          </cell>
          <cell r="CE1060" t="str">
            <v xml:space="preserve">Europeu        </v>
          </cell>
        </row>
        <row r="1061">
          <cell r="AF1061">
            <v>1056</v>
          </cell>
          <cell r="AG1061">
            <v>0.11408705072308889</v>
          </cell>
          <cell r="BY1061" t="str">
            <v>CMIGP35</v>
          </cell>
          <cell r="BZ1061">
            <v>35</v>
          </cell>
          <cell r="CA1061" t="str">
            <v>20-04-2009</v>
          </cell>
          <cell r="CB1061" t="str">
            <v xml:space="preserve">CMIG        </v>
          </cell>
          <cell r="CC1061" t="str">
            <v>PN      N1</v>
          </cell>
          <cell r="CD1061" t="str">
            <v xml:space="preserve">OPCOES VENDA   </v>
          </cell>
          <cell r="CE1061" t="str">
            <v xml:space="preserve">Europeu        </v>
          </cell>
        </row>
        <row r="1062">
          <cell r="AF1062">
            <v>1057</v>
          </cell>
          <cell r="AG1062">
            <v>0.11409907042780665</v>
          </cell>
          <cell r="BY1062" t="str">
            <v>CMIGP36</v>
          </cell>
          <cell r="BZ1062">
            <v>36</v>
          </cell>
          <cell r="CA1062" t="str">
            <v>20-04-2009</v>
          </cell>
          <cell r="CB1062" t="str">
            <v xml:space="preserve">CMIG        </v>
          </cell>
          <cell r="CC1062" t="str">
            <v>PN      N1</v>
          </cell>
          <cell r="CD1062" t="str">
            <v xml:space="preserve">OPCOES VENDA   </v>
          </cell>
          <cell r="CE1062" t="str">
            <v xml:space="preserve">Europeu        </v>
          </cell>
        </row>
        <row r="1063">
          <cell r="AF1063">
            <v>1058</v>
          </cell>
          <cell r="AG1063">
            <v>0.11411106754027656</v>
          </cell>
          <cell r="BY1063" t="str">
            <v>CMIGP37</v>
          </cell>
          <cell r="BZ1063">
            <v>37</v>
          </cell>
          <cell r="CA1063" t="str">
            <v>20-04-2009</v>
          </cell>
          <cell r="CB1063" t="str">
            <v xml:space="preserve">CMIG        </v>
          </cell>
          <cell r="CC1063" t="str">
            <v>PN      N1</v>
          </cell>
          <cell r="CD1063" t="str">
            <v xml:space="preserve">OPCOES VENDA   </v>
          </cell>
          <cell r="CE1063" t="str">
            <v xml:space="preserve">Europeu        </v>
          </cell>
        </row>
        <row r="1064">
          <cell r="AF1064">
            <v>1059</v>
          </cell>
          <cell r="AG1064">
            <v>0.11412304212413438</v>
          </cell>
          <cell r="BY1064" t="str">
            <v>CMIGP38</v>
          </cell>
          <cell r="BZ1064">
            <v>38</v>
          </cell>
          <cell r="CA1064" t="str">
            <v>20-04-2009</v>
          </cell>
          <cell r="CB1064" t="str">
            <v xml:space="preserve">CMIG        </v>
          </cell>
          <cell r="CC1064" t="str">
            <v>PN      N1</v>
          </cell>
          <cell r="CD1064" t="str">
            <v xml:space="preserve">OPCOES VENDA   </v>
          </cell>
          <cell r="CE1064" t="str">
            <v xml:space="preserve">Europeu        </v>
          </cell>
        </row>
        <row r="1065">
          <cell r="AF1065">
            <v>1060</v>
          </cell>
          <cell r="AG1065">
            <v>0.11413499424277807</v>
          </cell>
          <cell r="BY1065" t="str">
            <v>CMIGQ26</v>
          </cell>
          <cell r="BZ1065">
            <v>26</v>
          </cell>
          <cell r="CA1065" t="str">
            <v>18-05-2009</v>
          </cell>
          <cell r="CB1065" t="str">
            <v xml:space="preserve">CMIG        </v>
          </cell>
          <cell r="CC1065" t="str">
            <v>PN      N1</v>
          </cell>
          <cell r="CD1065" t="str">
            <v xml:space="preserve">OPCOES VENDA   </v>
          </cell>
          <cell r="CE1065" t="str">
            <v xml:space="preserve">Europeu        </v>
          </cell>
        </row>
        <row r="1066">
          <cell r="AF1066">
            <v>1061</v>
          </cell>
          <cell r="AG1066">
            <v>0.11414692395936732</v>
          </cell>
          <cell r="BY1066" t="str">
            <v>CMIGQ28</v>
          </cell>
          <cell r="BZ1066">
            <v>28</v>
          </cell>
          <cell r="CA1066" t="str">
            <v>18-05-2009</v>
          </cell>
          <cell r="CB1066" t="str">
            <v xml:space="preserve">CMIG        </v>
          </cell>
          <cell r="CC1066" t="str">
            <v>PN      N1</v>
          </cell>
          <cell r="CD1066" t="str">
            <v xml:space="preserve">OPCOES VENDA   </v>
          </cell>
          <cell r="CE1066" t="str">
            <v xml:space="preserve">Europeu        </v>
          </cell>
        </row>
        <row r="1067">
          <cell r="AF1067">
            <v>1062</v>
          </cell>
          <cell r="AG1067">
            <v>0.11415883133682492</v>
          </cell>
          <cell r="BY1067" t="str">
            <v>CMIGQ30</v>
          </cell>
          <cell r="BZ1067">
            <v>30</v>
          </cell>
          <cell r="CA1067" t="str">
            <v>18-05-2009</v>
          </cell>
          <cell r="CB1067" t="str">
            <v xml:space="preserve">CMIG        </v>
          </cell>
          <cell r="CC1067" t="str">
            <v>PN      N1</v>
          </cell>
          <cell r="CD1067" t="str">
            <v xml:space="preserve">OPCOES VENDA   </v>
          </cell>
          <cell r="CE1067" t="str">
            <v xml:space="preserve">Europeu        </v>
          </cell>
        </row>
        <row r="1068">
          <cell r="AF1068">
            <v>1063</v>
          </cell>
          <cell r="AG1068">
            <v>0.11417071643783872</v>
          </cell>
          <cell r="BY1068" t="str">
            <v>CMIGQ32</v>
          </cell>
          <cell r="BZ1068">
            <v>32</v>
          </cell>
          <cell r="CA1068" t="str">
            <v>18-05-2009</v>
          </cell>
          <cell r="CB1068" t="str">
            <v xml:space="preserve">CMIG        </v>
          </cell>
          <cell r="CC1068" t="str">
            <v>PN      N1</v>
          </cell>
          <cell r="CD1068" t="str">
            <v xml:space="preserve">OPCOES VENDA   </v>
          </cell>
          <cell r="CE1068" t="str">
            <v xml:space="preserve">Europeu        </v>
          </cell>
        </row>
        <row r="1069">
          <cell r="AF1069">
            <v>1064</v>
          </cell>
          <cell r="AG1069">
            <v>0.11418257932486187</v>
          </cell>
          <cell r="BY1069" t="str">
            <v>CMIGQ34</v>
          </cell>
          <cell r="BZ1069">
            <v>34</v>
          </cell>
          <cell r="CA1069" t="str">
            <v>18-05-2009</v>
          </cell>
          <cell r="CB1069" t="str">
            <v xml:space="preserve">CMIG        </v>
          </cell>
          <cell r="CC1069" t="str">
            <v>PN      N1</v>
          </cell>
          <cell r="CD1069" t="str">
            <v xml:space="preserve">OPCOES VENDA   </v>
          </cell>
          <cell r="CE1069" t="str">
            <v xml:space="preserve">Europeu        </v>
          </cell>
        </row>
        <row r="1070">
          <cell r="AF1070">
            <v>1065</v>
          </cell>
          <cell r="AG1070">
            <v>0.11419442006011526</v>
          </cell>
          <cell r="BY1070" t="str">
            <v>CMIGQ36</v>
          </cell>
          <cell r="BZ1070">
            <v>36</v>
          </cell>
          <cell r="CA1070" t="str">
            <v>18-05-2009</v>
          </cell>
          <cell r="CB1070" t="str">
            <v xml:space="preserve">CMIG        </v>
          </cell>
          <cell r="CC1070" t="str">
            <v>PN      N1</v>
          </cell>
          <cell r="CD1070" t="str">
            <v xml:space="preserve">OPCOES VENDA   </v>
          </cell>
          <cell r="CE1070" t="str">
            <v xml:space="preserve">Europeu        </v>
          </cell>
        </row>
        <row r="1071">
          <cell r="AF1071">
            <v>1066</v>
          </cell>
          <cell r="AG1071">
            <v>0.11420623870558599</v>
          </cell>
          <cell r="BY1071" t="str">
            <v>CNFBF1</v>
          </cell>
          <cell r="BZ1071">
            <v>8</v>
          </cell>
          <cell r="CA1071" t="str">
            <v>15-06-2009</v>
          </cell>
          <cell r="CB1071" t="str">
            <v xml:space="preserve">CNFB        </v>
          </cell>
          <cell r="CC1071" t="str">
            <v>PN      N1</v>
          </cell>
          <cell r="CD1071" t="str">
            <v xml:space="preserve">OPCOES COMPRA  </v>
          </cell>
          <cell r="CE1071" t="str">
            <v xml:space="preserve">Americano      </v>
          </cell>
        </row>
        <row r="1072">
          <cell r="AF1072">
            <v>1067</v>
          </cell>
          <cell r="AG1072">
            <v>0.11421803532303199</v>
          </cell>
          <cell r="BY1072" t="str">
            <v>CNFBR1</v>
          </cell>
          <cell r="BZ1072">
            <v>8</v>
          </cell>
          <cell r="CA1072" t="str">
            <v>15-06-2009</v>
          </cell>
          <cell r="CB1072" t="str">
            <v xml:space="preserve">CNFB        </v>
          </cell>
          <cell r="CC1072" t="str">
            <v>PN      N1</v>
          </cell>
          <cell r="CD1072" t="str">
            <v xml:space="preserve">OPCOES VENDA   </v>
          </cell>
          <cell r="CE1072" t="str">
            <v xml:space="preserve">Europeu        </v>
          </cell>
        </row>
        <row r="1073">
          <cell r="AF1073">
            <v>1068</v>
          </cell>
          <cell r="AG1073">
            <v>0.11422980997397936</v>
          </cell>
          <cell r="BY1073" t="str">
            <v>DAYCF1</v>
          </cell>
          <cell r="BZ1073">
            <v>12</v>
          </cell>
          <cell r="CA1073" t="str">
            <v>15-06-2009</v>
          </cell>
          <cell r="CB1073" t="str">
            <v xml:space="preserve">DAYC        </v>
          </cell>
          <cell r="CC1073" t="str">
            <v>PN      N1</v>
          </cell>
          <cell r="CD1073" t="str">
            <v xml:space="preserve">OPCOES COMPRA  </v>
          </cell>
          <cell r="CE1073" t="str">
            <v xml:space="preserve">Americano      </v>
          </cell>
        </row>
        <row r="1074">
          <cell r="AF1074">
            <v>1069</v>
          </cell>
          <cell r="AG1074">
            <v>0.11424156271972663</v>
          </cell>
          <cell r="BY1074" t="str">
            <v>DAYCR1</v>
          </cell>
          <cell r="BZ1074">
            <v>12</v>
          </cell>
          <cell r="CA1074" t="str">
            <v>15-06-2009</v>
          </cell>
          <cell r="CB1074" t="str">
            <v xml:space="preserve">DAYC        </v>
          </cell>
          <cell r="CC1074" t="str">
            <v>PN      N1</v>
          </cell>
          <cell r="CD1074" t="str">
            <v xml:space="preserve">OPCOES VENDA   </v>
          </cell>
          <cell r="CE1074" t="str">
            <v xml:space="preserve">Europeu        </v>
          </cell>
        </row>
        <row r="1075">
          <cell r="AF1075">
            <v>1070</v>
          </cell>
          <cell r="AG1075">
            <v>0.11425329362134384</v>
          </cell>
          <cell r="BY1075" t="str">
            <v>GGBRC12</v>
          </cell>
          <cell r="BZ1075">
            <v>11.96</v>
          </cell>
          <cell r="CA1075" t="str">
            <v>16-03-2009</v>
          </cell>
          <cell r="CB1075" t="str">
            <v xml:space="preserve">GGBR    /ED </v>
          </cell>
          <cell r="CC1075" t="str">
            <v>PN      N1</v>
          </cell>
          <cell r="CD1075" t="str">
            <v xml:space="preserve">OPCOES COMPRA  </v>
          </cell>
          <cell r="CE1075" t="str">
            <v xml:space="preserve">Americano      </v>
          </cell>
        </row>
        <row r="1076">
          <cell r="AF1076">
            <v>1071</v>
          </cell>
          <cell r="AG1076">
            <v>0.11426500273967433</v>
          </cell>
          <cell r="BY1076" t="str">
            <v>GGBRC1</v>
          </cell>
          <cell r="BZ1076">
            <v>12.46</v>
          </cell>
          <cell r="CA1076" t="str">
            <v>16-03-2009</v>
          </cell>
          <cell r="CB1076" t="str">
            <v xml:space="preserve">GGBR    /ED </v>
          </cell>
          <cell r="CC1076" t="str">
            <v>PN      N1</v>
          </cell>
          <cell r="CD1076" t="str">
            <v xml:space="preserve">OPCOES COMPRA  </v>
          </cell>
          <cell r="CE1076" t="str">
            <v xml:space="preserve">Europeu        </v>
          </cell>
        </row>
        <row r="1077">
          <cell r="AF1077">
            <v>1072</v>
          </cell>
          <cell r="AG1077">
            <v>0.11427669013533581</v>
          </cell>
          <cell r="BY1077" t="str">
            <v>GGBRC13</v>
          </cell>
          <cell r="BZ1077">
            <v>12.96</v>
          </cell>
          <cell r="CA1077" t="str">
            <v>16-03-2009</v>
          </cell>
          <cell r="CB1077" t="str">
            <v xml:space="preserve">GGBR    /ED </v>
          </cell>
          <cell r="CC1077" t="str">
            <v>PN      N1</v>
          </cell>
          <cell r="CD1077" t="str">
            <v xml:space="preserve">OPCOES COMPRA  </v>
          </cell>
          <cell r="CE1077" t="str">
            <v xml:space="preserve">Americano      </v>
          </cell>
        </row>
        <row r="1078">
          <cell r="AF1078">
            <v>1073</v>
          </cell>
          <cell r="AG1078">
            <v>0.11428835586872155</v>
          </cell>
          <cell r="BY1078" t="str">
            <v>GGBRC2</v>
          </cell>
          <cell r="BZ1078">
            <v>13.46</v>
          </cell>
          <cell r="CA1078" t="str">
            <v>16-03-2009</v>
          </cell>
          <cell r="CB1078" t="str">
            <v xml:space="preserve">GGBR    /ED </v>
          </cell>
          <cell r="CC1078" t="str">
            <v>PN      N1</v>
          </cell>
          <cell r="CD1078" t="str">
            <v xml:space="preserve">OPCOES COMPRA  </v>
          </cell>
          <cell r="CE1078" t="str">
            <v xml:space="preserve">Europeu        </v>
          </cell>
        </row>
        <row r="1079">
          <cell r="AF1079">
            <v>1074</v>
          </cell>
          <cell r="AG1079">
            <v>0.11430000000000007</v>
          </cell>
          <cell r="BY1079" t="str">
            <v>GGBRC14</v>
          </cell>
          <cell r="BZ1079">
            <v>13.96</v>
          </cell>
          <cell r="CA1079" t="str">
            <v>16-03-2009</v>
          </cell>
          <cell r="CB1079" t="str">
            <v xml:space="preserve">GGBR    /ED </v>
          </cell>
          <cell r="CC1079" t="str">
            <v>PN      N1</v>
          </cell>
          <cell r="CD1079" t="str">
            <v xml:space="preserve">OPCOES COMPRA  </v>
          </cell>
          <cell r="CE1079" t="str">
            <v xml:space="preserve">Americano      </v>
          </cell>
        </row>
        <row r="1080">
          <cell r="AF1080">
            <v>1075</v>
          </cell>
          <cell r="AG1080">
            <v>0.11431646850843724</v>
          </cell>
          <cell r="BY1080" t="str">
            <v>GGBRC3</v>
          </cell>
          <cell r="BZ1080">
            <v>14.5</v>
          </cell>
          <cell r="CA1080" t="str">
            <v>16-03-2009</v>
          </cell>
          <cell r="CB1080" t="str">
            <v xml:space="preserve">GGBR    /ED </v>
          </cell>
          <cell r="CC1080" t="str">
            <v>PN      N1</v>
          </cell>
          <cell r="CD1080" t="str">
            <v xml:space="preserve">OPCOES COMPRA  </v>
          </cell>
          <cell r="CE1080" t="str">
            <v xml:space="preserve">Europeu        </v>
          </cell>
        </row>
        <row r="1081">
          <cell r="AF1081">
            <v>1076</v>
          </cell>
          <cell r="AG1081">
            <v>0.11433290664897844</v>
          </cell>
          <cell r="BY1081" t="str">
            <v>GGBRC15</v>
          </cell>
          <cell r="BZ1081">
            <v>14.96</v>
          </cell>
          <cell r="CA1081" t="str">
            <v>16-03-2009</v>
          </cell>
          <cell r="CB1081" t="str">
            <v xml:space="preserve">GGBR    /ED </v>
          </cell>
          <cell r="CC1081" t="str">
            <v>PN      N1</v>
          </cell>
          <cell r="CD1081" t="str">
            <v xml:space="preserve">OPCOES COMPRA  </v>
          </cell>
          <cell r="CE1081" t="str">
            <v xml:space="preserve">Americano      </v>
          </cell>
        </row>
        <row r="1082">
          <cell r="AF1082">
            <v>1077</v>
          </cell>
          <cell r="AG1082">
            <v>0.11434931450554098</v>
          </cell>
          <cell r="BY1082" t="str">
            <v>GGBRC4</v>
          </cell>
          <cell r="BZ1082">
            <v>15.46</v>
          </cell>
          <cell r="CA1082" t="str">
            <v>16-03-2009</v>
          </cell>
          <cell r="CB1082" t="str">
            <v xml:space="preserve">GGBR    /ED </v>
          </cell>
          <cell r="CC1082" t="str">
            <v>PN      N1</v>
          </cell>
          <cell r="CD1082" t="str">
            <v xml:space="preserve">OPCOES COMPRA  </v>
          </cell>
          <cell r="CE1082" t="str">
            <v xml:space="preserve">Europeu        </v>
          </cell>
        </row>
        <row r="1083">
          <cell r="AF1083">
            <v>1078</v>
          </cell>
          <cell r="AG1083">
            <v>0.11436569216173442</v>
          </cell>
          <cell r="BY1083" t="str">
            <v>GGBRC16</v>
          </cell>
          <cell r="BZ1083">
            <v>15.96</v>
          </cell>
          <cell r="CA1083" t="str">
            <v>16-03-2009</v>
          </cell>
          <cell r="CB1083" t="str">
            <v xml:space="preserve">GGBR    /ED </v>
          </cell>
          <cell r="CC1083" t="str">
            <v>PN      N1</v>
          </cell>
          <cell r="CD1083" t="str">
            <v xml:space="preserve">OPCOES COMPRA  </v>
          </cell>
          <cell r="CE1083" t="str">
            <v xml:space="preserve">Americano      </v>
          </cell>
        </row>
        <row r="1084">
          <cell r="AF1084">
            <v>1079</v>
          </cell>
          <cell r="AG1084">
            <v>0.11438203970086125</v>
          </cell>
          <cell r="BY1084" t="str">
            <v>GGBRC5</v>
          </cell>
          <cell r="BZ1084">
            <v>16.46</v>
          </cell>
          <cell r="CA1084" t="str">
            <v>16-03-2009</v>
          </cell>
          <cell r="CB1084" t="str">
            <v xml:space="preserve">GGBR    /ED </v>
          </cell>
          <cell r="CC1084" t="str">
            <v>PN      N1</v>
          </cell>
          <cell r="CD1084" t="str">
            <v xml:space="preserve">OPCOES COMPRA  </v>
          </cell>
          <cell r="CE1084" t="str">
            <v xml:space="preserve">Europeu        </v>
          </cell>
        </row>
        <row r="1085">
          <cell r="AF1085">
            <v>1080</v>
          </cell>
          <cell r="AG1085">
            <v>0.11439835720591707</v>
          </cell>
          <cell r="BY1085" t="str">
            <v>GGBRC17</v>
          </cell>
          <cell r="BZ1085">
            <v>16.96</v>
          </cell>
          <cell r="CA1085" t="str">
            <v>16-03-2009</v>
          </cell>
          <cell r="CB1085" t="str">
            <v xml:space="preserve">GGBR    /ED </v>
          </cell>
          <cell r="CC1085" t="str">
            <v>PN      N1</v>
          </cell>
          <cell r="CD1085" t="str">
            <v xml:space="preserve">OPCOES COMPRA  </v>
          </cell>
          <cell r="CE1085" t="str">
            <v xml:space="preserve">Americano      </v>
          </cell>
        </row>
        <row r="1086">
          <cell r="AF1086">
            <v>1081</v>
          </cell>
          <cell r="AG1086">
            <v>0.11441464475959329</v>
          </cell>
          <cell r="BY1086" t="str">
            <v>GGBRC6</v>
          </cell>
          <cell r="BZ1086">
            <v>17.46</v>
          </cell>
          <cell r="CA1086" t="str">
            <v>16-03-2009</v>
          </cell>
          <cell r="CB1086" t="str">
            <v xml:space="preserve">GGBR    /ED </v>
          </cell>
          <cell r="CC1086" t="str">
            <v>PN      N1</v>
          </cell>
          <cell r="CD1086" t="str">
            <v xml:space="preserve">OPCOES COMPRA  </v>
          </cell>
          <cell r="CE1086" t="str">
            <v xml:space="preserve">Europeu        </v>
          </cell>
        </row>
        <row r="1087">
          <cell r="AF1087">
            <v>1082</v>
          </cell>
          <cell r="AG1087">
            <v>0.11443090244427778</v>
          </cell>
          <cell r="BY1087" t="str">
            <v>GGBRC18</v>
          </cell>
          <cell r="BZ1087">
            <v>17.96</v>
          </cell>
          <cell r="CA1087" t="str">
            <v>16-03-2009</v>
          </cell>
          <cell r="CB1087" t="str">
            <v xml:space="preserve">GGBR    /ED </v>
          </cell>
          <cell r="CC1087" t="str">
            <v>PN      N1</v>
          </cell>
          <cell r="CD1087" t="str">
            <v xml:space="preserve">OPCOES COMPRA  </v>
          </cell>
          <cell r="CE1087" t="str">
            <v xml:space="preserve">Americano      </v>
          </cell>
        </row>
        <row r="1088">
          <cell r="AF1088">
            <v>1083</v>
          </cell>
          <cell r="AG1088">
            <v>0.11444713034205645</v>
          </cell>
          <cell r="BY1088" t="str">
            <v>GGBRC19</v>
          </cell>
          <cell r="BZ1088">
            <v>18.96</v>
          </cell>
          <cell r="CA1088" t="str">
            <v>16-03-2009</v>
          </cell>
          <cell r="CB1088" t="str">
            <v xml:space="preserve">GGBR    /ED </v>
          </cell>
          <cell r="CC1088" t="str">
            <v>PN      N1</v>
          </cell>
          <cell r="CD1088" t="str">
            <v xml:space="preserve">OPCOES COMPRA  </v>
          </cell>
          <cell r="CE1088" t="str">
            <v xml:space="preserve">Americano      </v>
          </cell>
        </row>
        <row r="1089">
          <cell r="AF1089">
            <v>1084</v>
          </cell>
          <cell r="AG1089">
            <v>0.11446332853471453</v>
          </cell>
          <cell r="BY1089" t="str">
            <v>GGBRC20</v>
          </cell>
          <cell r="BZ1089">
            <v>19.96</v>
          </cell>
          <cell r="CA1089" t="str">
            <v>16-03-2009</v>
          </cell>
          <cell r="CB1089" t="str">
            <v xml:space="preserve">GGBR    /ED </v>
          </cell>
          <cell r="CC1089" t="str">
            <v>PN      N1</v>
          </cell>
          <cell r="CD1089" t="str">
            <v xml:space="preserve">OPCOES COMPRA  </v>
          </cell>
          <cell r="CE1089" t="str">
            <v xml:space="preserve">Americano      </v>
          </cell>
        </row>
        <row r="1090">
          <cell r="AF1090">
            <v>1085</v>
          </cell>
          <cell r="AG1090">
            <v>0.11447949710373906</v>
          </cell>
          <cell r="BY1090" t="str">
            <v>GGBRD11</v>
          </cell>
          <cell r="BZ1090">
            <v>11</v>
          </cell>
          <cell r="CA1090" t="str">
            <v>20-04-2009</v>
          </cell>
          <cell r="CB1090" t="str">
            <v xml:space="preserve">GGBR    /ED </v>
          </cell>
          <cell r="CC1090" t="str">
            <v>PN      N1</v>
          </cell>
          <cell r="CD1090" t="str">
            <v xml:space="preserve">OPCOES COMPRA  </v>
          </cell>
          <cell r="CE1090" t="str">
            <v xml:space="preserve">Americano      </v>
          </cell>
        </row>
        <row r="1091">
          <cell r="AF1091">
            <v>1086</v>
          </cell>
          <cell r="AG1091">
            <v>0.11449563613031843</v>
          </cell>
          <cell r="BY1091" t="str">
            <v>GGBRD12</v>
          </cell>
          <cell r="BZ1091">
            <v>11.96</v>
          </cell>
          <cell r="CA1091" t="str">
            <v>20-04-2009</v>
          </cell>
          <cell r="CB1091" t="str">
            <v xml:space="preserve">GGBR    /ED </v>
          </cell>
          <cell r="CC1091" t="str">
            <v>PN      N1</v>
          </cell>
          <cell r="CD1091" t="str">
            <v xml:space="preserve">OPCOES COMPRA  </v>
          </cell>
          <cell r="CE1091" t="str">
            <v xml:space="preserve">Americano      </v>
          </cell>
        </row>
        <row r="1092">
          <cell r="AF1092">
            <v>1087</v>
          </cell>
          <cell r="AG1092">
            <v>0.11451174569534484</v>
          </cell>
          <cell r="BY1092" t="str">
            <v>GGBRD13</v>
          </cell>
          <cell r="BZ1092">
            <v>13</v>
          </cell>
          <cell r="CA1092" t="str">
            <v>20-04-2009</v>
          </cell>
          <cell r="CB1092" t="str">
            <v xml:space="preserve">GGBR    /ED </v>
          </cell>
          <cell r="CC1092" t="str">
            <v>PN      N1</v>
          </cell>
          <cell r="CD1092" t="str">
            <v xml:space="preserve">OPCOES COMPRA  </v>
          </cell>
          <cell r="CE1092" t="str">
            <v xml:space="preserve">Americano      </v>
          </cell>
        </row>
        <row r="1093">
          <cell r="AF1093">
            <v>1088</v>
          </cell>
          <cell r="AG1093">
            <v>0.11452782587941579</v>
          </cell>
          <cell r="BY1093" t="str">
            <v>GGBRD14</v>
          </cell>
          <cell r="BZ1093">
            <v>13.96</v>
          </cell>
          <cell r="CA1093" t="str">
            <v>20-04-2009</v>
          </cell>
          <cell r="CB1093" t="str">
            <v xml:space="preserve">GGBR    /ED </v>
          </cell>
          <cell r="CC1093" t="str">
            <v>PN      N1</v>
          </cell>
          <cell r="CD1093" t="str">
            <v xml:space="preserve">OPCOES COMPRA  </v>
          </cell>
          <cell r="CE1093" t="str">
            <v xml:space="preserve">Americano      </v>
          </cell>
        </row>
        <row r="1094">
          <cell r="AF1094">
            <v>1089</v>
          </cell>
          <cell r="AG1094">
            <v>0.1145438767628344</v>
          </cell>
          <cell r="BY1094" t="str">
            <v>GGBRD15</v>
          </cell>
          <cell r="BZ1094">
            <v>15</v>
          </cell>
          <cell r="CA1094" t="str">
            <v>20-04-2009</v>
          </cell>
          <cell r="CB1094" t="str">
            <v xml:space="preserve">GGBR    /ED </v>
          </cell>
          <cell r="CC1094" t="str">
            <v>PN      N1</v>
          </cell>
          <cell r="CD1094" t="str">
            <v xml:space="preserve">OPCOES COMPRA  </v>
          </cell>
          <cell r="CE1094" t="str">
            <v xml:space="preserve">Americano      </v>
          </cell>
        </row>
        <row r="1095">
          <cell r="AF1095">
            <v>1090</v>
          </cell>
          <cell r="AG1095">
            <v>0.11455989842561198</v>
          </cell>
          <cell r="BY1095" t="str">
            <v>GGBRD1</v>
          </cell>
          <cell r="BZ1095">
            <v>15.5</v>
          </cell>
          <cell r="CA1095" t="str">
            <v>20-04-2009</v>
          </cell>
          <cell r="CB1095" t="str">
            <v xml:space="preserve">GGBR    /ED </v>
          </cell>
          <cell r="CC1095" t="str">
            <v>PN      N1</v>
          </cell>
          <cell r="CD1095" t="str">
            <v xml:space="preserve">OPCOES COMPRA  </v>
          </cell>
          <cell r="CE1095" t="str">
            <v xml:space="preserve">Europeu        </v>
          </cell>
        </row>
        <row r="1096">
          <cell r="AF1096">
            <v>1091</v>
          </cell>
          <cell r="AG1096">
            <v>0.11457589094746834</v>
          </cell>
          <cell r="BY1096" t="str">
            <v>GGBRD16</v>
          </cell>
          <cell r="BZ1096">
            <v>16</v>
          </cell>
          <cell r="CA1096" t="str">
            <v>20-04-2009</v>
          </cell>
          <cell r="CB1096" t="str">
            <v xml:space="preserve">GGBR    /ED </v>
          </cell>
          <cell r="CC1096" t="str">
            <v>PN      N1</v>
          </cell>
          <cell r="CD1096" t="str">
            <v xml:space="preserve">OPCOES COMPRA  </v>
          </cell>
          <cell r="CE1096" t="str">
            <v xml:space="preserve">Americano      </v>
          </cell>
        </row>
        <row r="1097">
          <cell r="AF1097">
            <v>1092</v>
          </cell>
          <cell r="AG1097">
            <v>0.11459185440783393</v>
          </cell>
          <cell r="BY1097" t="str">
            <v>GGBRD3</v>
          </cell>
          <cell r="BZ1097">
            <v>16.5</v>
          </cell>
          <cell r="CA1097" t="str">
            <v>20-04-2009</v>
          </cell>
          <cell r="CB1097" t="str">
            <v xml:space="preserve">GGBR    /ED </v>
          </cell>
          <cell r="CC1097" t="str">
            <v>PN      N1</v>
          </cell>
          <cell r="CD1097" t="str">
            <v xml:space="preserve">OPCOES COMPRA  </v>
          </cell>
          <cell r="CE1097" t="str">
            <v xml:space="preserve">Europeu        </v>
          </cell>
        </row>
        <row r="1098">
          <cell r="AF1098">
            <v>1093</v>
          </cell>
          <cell r="AG1098">
            <v>0.11460778888585099</v>
          </cell>
          <cell r="BY1098" t="str">
            <v>GGBRD17</v>
          </cell>
          <cell r="BZ1098">
            <v>16.96</v>
          </cell>
          <cell r="CA1098" t="str">
            <v>20-04-2009</v>
          </cell>
          <cell r="CB1098" t="str">
            <v xml:space="preserve">GGBR    /ED </v>
          </cell>
          <cell r="CC1098" t="str">
            <v>PN      N1</v>
          </cell>
          <cell r="CD1098" t="str">
            <v xml:space="preserve">OPCOES COMPRA  </v>
          </cell>
          <cell r="CE1098" t="str">
            <v xml:space="preserve">Americano      </v>
          </cell>
        </row>
        <row r="1099">
          <cell r="AF1099">
            <v>1094</v>
          </cell>
          <cell r="AG1099">
            <v>0.11462369446037424</v>
          </cell>
          <cell r="BY1099" t="str">
            <v>GGBRD4</v>
          </cell>
          <cell r="BZ1099">
            <v>17.46</v>
          </cell>
          <cell r="CA1099" t="str">
            <v>20-04-2009</v>
          </cell>
          <cell r="CB1099" t="str">
            <v xml:space="preserve">GGBR    /ED </v>
          </cell>
          <cell r="CC1099" t="str">
            <v>PN      N1</v>
          </cell>
          <cell r="CD1099" t="str">
            <v xml:space="preserve">OPCOES COMPRA  </v>
          </cell>
          <cell r="CE1099" t="str">
            <v xml:space="preserve">Europeu        </v>
          </cell>
        </row>
        <row r="1100">
          <cell r="AF1100">
            <v>1095</v>
          </cell>
          <cell r="AG1100">
            <v>0.11463957120997237</v>
          </cell>
          <cell r="BY1100" t="str">
            <v>GGBRD18</v>
          </cell>
          <cell r="BZ1100">
            <v>18</v>
          </cell>
          <cell r="CA1100" t="str">
            <v>20-04-2009</v>
          </cell>
          <cell r="CB1100" t="str">
            <v xml:space="preserve">GGBR    /ED </v>
          </cell>
          <cell r="CC1100" t="str">
            <v>PN      N1</v>
          </cell>
          <cell r="CD1100" t="str">
            <v xml:space="preserve">OPCOES COMPRA  </v>
          </cell>
          <cell r="CE1100" t="str">
            <v xml:space="preserve">Americano      </v>
          </cell>
        </row>
        <row r="1101">
          <cell r="AF1101">
            <v>1096</v>
          </cell>
          <cell r="AG1101">
            <v>0.1146554192129301</v>
          </cell>
          <cell r="BY1101" t="str">
            <v>GGBRD5</v>
          </cell>
          <cell r="BZ1101">
            <v>18.46</v>
          </cell>
          <cell r="CA1101" t="str">
            <v>20-04-2009</v>
          </cell>
          <cell r="CB1101" t="str">
            <v xml:space="preserve">GGBR    /ED </v>
          </cell>
          <cell r="CC1101" t="str">
            <v>PN      N1</v>
          </cell>
          <cell r="CD1101" t="str">
            <v xml:space="preserve">OPCOES COMPRA  </v>
          </cell>
          <cell r="CE1101" t="str">
            <v xml:space="preserve">Europeu        </v>
          </cell>
        </row>
        <row r="1102">
          <cell r="AF1102">
            <v>1097</v>
          </cell>
          <cell r="AG1102">
            <v>0.11467123854724925</v>
          </cell>
          <cell r="BY1102" t="str">
            <v>GGBRD19</v>
          </cell>
          <cell r="BZ1102">
            <v>19</v>
          </cell>
          <cell r="CA1102" t="str">
            <v>20-04-2009</v>
          </cell>
          <cell r="CB1102" t="str">
            <v xml:space="preserve">GGBR    /ED </v>
          </cell>
          <cell r="CC1102" t="str">
            <v>PN      N1</v>
          </cell>
          <cell r="CD1102" t="str">
            <v xml:space="preserve">OPCOES COMPRA  </v>
          </cell>
          <cell r="CE1102" t="str">
            <v xml:space="preserve">Americano      </v>
          </cell>
        </row>
        <row r="1103">
          <cell r="AF1103">
            <v>1098</v>
          </cell>
          <cell r="AG1103">
            <v>0.11468702929064856</v>
          </cell>
          <cell r="BY1103" t="str">
            <v>GGBRD2</v>
          </cell>
          <cell r="BZ1103">
            <v>19.46</v>
          </cell>
          <cell r="CA1103" t="str">
            <v>20-04-2009</v>
          </cell>
          <cell r="CB1103" t="str">
            <v xml:space="preserve">GGBR    /ED </v>
          </cell>
          <cell r="CC1103" t="str">
            <v>PN      N1</v>
          </cell>
          <cell r="CD1103" t="str">
            <v xml:space="preserve">OPCOES COMPRA  </v>
          </cell>
          <cell r="CE1103" t="str">
            <v xml:space="preserve">Europeu        </v>
          </cell>
        </row>
        <row r="1104">
          <cell r="AF1104">
            <v>1099</v>
          </cell>
          <cell r="AG1104">
            <v>0.11470279152056695</v>
          </cell>
          <cell r="BY1104" t="str">
            <v>GGBRD20</v>
          </cell>
          <cell r="BZ1104">
            <v>20</v>
          </cell>
          <cell r="CA1104" t="str">
            <v>20-04-2009</v>
          </cell>
          <cell r="CB1104" t="str">
            <v xml:space="preserve">GGBR    /ED </v>
          </cell>
          <cell r="CC1104" t="str">
            <v>PN      N1</v>
          </cell>
          <cell r="CD1104" t="str">
            <v xml:space="preserve">OPCOES COMPRA  </v>
          </cell>
          <cell r="CE1104" t="str">
            <v xml:space="preserve">Americano      </v>
          </cell>
        </row>
        <row r="1105">
          <cell r="AF1105">
            <v>1100</v>
          </cell>
          <cell r="AG1105">
            <v>0.1147185253141636</v>
          </cell>
          <cell r="BY1105" t="str">
            <v>GGBRD6</v>
          </cell>
          <cell r="BZ1105">
            <v>20.46</v>
          </cell>
          <cell r="CA1105" t="str">
            <v>20-04-2009</v>
          </cell>
          <cell r="CB1105" t="str">
            <v xml:space="preserve">GGBR    /ED </v>
          </cell>
          <cell r="CC1105" t="str">
            <v>PN      N1</v>
          </cell>
          <cell r="CD1105" t="str">
            <v xml:space="preserve">OPCOES COMPRA  </v>
          </cell>
          <cell r="CE1105" t="str">
            <v xml:space="preserve">Europeu        </v>
          </cell>
        </row>
        <row r="1106">
          <cell r="AF1106">
            <v>1101</v>
          </cell>
          <cell r="AG1106">
            <v>0.11473423074832034</v>
          </cell>
          <cell r="BY1106" t="str">
            <v>GGBRE11</v>
          </cell>
          <cell r="BZ1106">
            <v>11</v>
          </cell>
          <cell r="CA1106" t="str">
            <v>18-05-2009</v>
          </cell>
          <cell r="CB1106" t="str">
            <v xml:space="preserve">GGBR    /ED </v>
          </cell>
          <cell r="CC1106" t="str">
            <v>PN      N1</v>
          </cell>
          <cell r="CD1106" t="str">
            <v xml:space="preserve">OPCOES COMPRA  </v>
          </cell>
          <cell r="CE1106" t="str">
            <v xml:space="preserve">Americano      </v>
          </cell>
        </row>
        <row r="1107">
          <cell r="AF1107">
            <v>1102</v>
          </cell>
          <cell r="AG1107">
            <v>0.11474990789964057</v>
          </cell>
          <cell r="BY1107" t="str">
            <v>GGBRE1</v>
          </cell>
          <cell r="BZ1107">
            <v>11.5</v>
          </cell>
          <cell r="CA1107" t="str">
            <v>18-05-2009</v>
          </cell>
          <cell r="CB1107" t="str">
            <v xml:space="preserve">GGBR    /ED </v>
          </cell>
          <cell r="CC1107" t="str">
            <v>PN      N1</v>
          </cell>
          <cell r="CD1107" t="str">
            <v xml:space="preserve">OPCOES COMPRA  </v>
          </cell>
          <cell r="CE1107" t="str">
            <v xml:space="preserve">Europeu        </v>
          </cell>
        </row>
        <row r="1108">
          <cell r="AF1108">
            <v>1103</v>
          </cell>
          <cell r="AG1108">
            <v>0.11476555684445344</v>
          </cell>
          <cell r="BY1108" t="str">
            <v>GGBRE12</v>
          </cell>
          <cell r="BZ1108">
            <v>12</v>
          </cell>
          <cell r="CA1108" t="str">
            <v>18-05-2009</v>
          </cell>
          <cell r="CB1108" t="str">
            <v xml:space="preserve">GGBR    /ED </v>
          </cell>
          <cell r="CC1108" t="str">
            <v>PN      N1</v>
          </cell>
          <cell r="CD1108" t="str">
            <v xml:space="preserve">OPCOES COMPRA  </v>
          </cell>
          <cell r="CE1108" t="str">
            <v xml:space="preserve">Americano      </v>
          </cell>
        </row>
        <row r="1109">
          <cell r="AF1109">
            <v>1104</v>
          </cell>
          <cell r="AG1109">
            <v>0.11478117765881302</v>
          </cell>
          <cell r="BY1109" t="str">
            <v>GGBRE2</v>
          </cell>
          <cell r="BZ1109">
            <v>12.5</v>
          </cell>
          <cell r="CA1109" t="str">
            <v>18-05-2009</v>
          </cell>
          <cell r="CB1109" t="str">
            <v xml:space="preserve">GGBR    /ED </v>
          </cell>
          <cell r="CC1109" t="str">
            <v>PN      N1</v>
          </cell>
          <cell r="CD1109" t="str">
            <v xml:space="preserve">OPCOES COMPRA  </v>
          </cell>
          <cell r="CE1109" t="str">
            <v xml:space="preserve">Europeu        </v>
          </cell>
        </row>
        <row r="1110">
          <cell r="AF1110">
            <v>1105</v>
          </cell>
          <cell r="AG1110">
            <v>0.11479677041850067</v>
          </cell>
          <cell r="BY1110" t="str">
            <v>GGBRE13</v>
          </cell>
          <cell r="BZ1110">
            <v>13</v>
          </cell>
          <cell r="CA1110" t="str">
            <v>18-05-2009</v>
          </cell>
          <cell r="CB1110" t="str">
            <v xml:space="preserve">GGBR    /ED </v>
          </cell>
          <cell r="CC1110" t="str">
            <v>PN      N1</v>
          </cell>
          <cell r="CD1110" t="str">
            <v xml:space="preserve">OPCOES COMPRA  </v>
          </cell>
          <cell r="CE1110" t="str">
            <v xml:space="preserve">Americano      </v>
          </cell>
        </row>
        <row r="1111">
          <cell r="AF1111">
            <v>1106</v>
          </cell>
          <cell r="AG1111">
            <v>0.11481233519902534</v>
          </cell>
          <cell r="BY1111" t="str">
            <v>GGBRE3</v>
          </cell>
          <cell r="BZ1111">
            <v>13.5</v>
          </cell>
          <cell r="CA1111" t="str">
            <v>18-05-2009</v>
          </cell>
          <cell r="CB1111" t="str">
            <v xml:space="preserve">GGBR    /ED </v>
          </cell>
          <cell r="CC1111" t="str">
            <v>PN      N1</v>
          </cell>
          <cell r="CD1111" t="str">
            <v xml:space="preserve">OPCOES COMPRA  </v>
          </cell>
          <cell r="CE1111" t="str">
            <v xml:space="preserve">Europeu        </v>
          </cell>
        </row>
        <row r="1112">
          <cell r="AF1112">
            <v>1107</v>
          </cell>
          <cell r="AG1112">
            <v>0.11482787207562506</v>
          </cell>
          <cell r="BY1112" t="str">
            <v>GGBRE14</v>
          </cell>
          <cell r="BZ1112">
            <v>14</v>
          </cell>
          <cell r="CA1112" t="str">
            <v>18-05-2009</v>
          </cell>
          <cell r="CB1112" t="str">
            <v xml:space="preserve">GGBR    /ED </v>
          </cell>
          <cell r="CC1112" t="str">
            <v>PN      N1</v>
          </cell>
          <cell r="CD1112" t="str">
            <v xml:space="preserve">OPCOES COMPRA  </v>
          </cell>
          <cell r="CE1112" t="str">
            <v xml:space="preserve">Americano      </v>
          </cell>
        </row>
        <row r="1113">
          <cell r="AF1113">
            <v>1108</v>
          </cell>
          <cell r="AG1113">
            <v>0.11484338112326919</v>
          </cell>
          <cell r="BY1113" t="str">
            <v>GGBRE4</v>
          </cell>
          <cell r="BZ1113">
            <v>14.5</v>
          </cell>
          <cell r="CA1113" t="str">
            <v>18-05-2009</v>
          </cell>
          <cell r="CB1113" t="str">
            <v xml:space="preserve">GGBR    /ED </v>
          </cell>
          <cell r="CC1113" t="str">
            <v>PN      N1</v>
          </cell>
          <cell r="CD1113" t="str">
            <v xml:space="preserve">OPCOES COMPRA  </v>
          </cell>
          <cell r="CE1113" t="str">
            <v xml:space="preserve">Europeu        </v>
          </cell>
        </row>
        <row r="1114">
          <cell r="AF1114">
            <v>1109</v>
          </cell>
          <cell r="AG1114">
            <v>0.11485886241665799</v>
          </cell>
          <cell r="BY1114" t="str">
            <v>GGBRE15</v>
          </cell>
          <cell r="BZ1114">
            <v>15</v>
          </cell>
          <cell r="CA1114" t="str">
            <v>18-05-2009</v>
          </cell>
          <cell r="CB1114" t="str">
            <v xml:space="preserve">GGBR    /ED </v>
          </cell>
          <cell r="CC1114" t="str">
            <v>PN      N1</v>
          </cell>
          <cell r="CD1114" t="str">
            <v xml:space="preserve">OPCOES COMPRA  </v>
          </cell>
          <cell r="CE1114" t="str">
            <v xml:space="preserve">Americano      </v>
          </cell>
        </row>
        <row r="1115">
          <cell r="AF1115">
            <v>1110</v>
          </cell>
          <cell r="AG1115">
            <v>0.11487431603022524</v>
          </cell>
          <cell r="BY1115" t="str">
            <v>GGBRK24</v>
          </cell>
          <cell r="BZ1115">
            <v>14.5</v>
          </cell>
          <cell r="CA1115" t="str">
            <v>16-11-2009</v>
          </cell>
          <cell r="CB1115" t="str">
            <v xml:space="preserve">GGBR    /ED </v>
          </cell>
          <cell r="CC1115" t="str">
            <v>PN      N1</v>
          </cell>
          <cell r="CD1115" t="str">
            <v xml:space="preserve">OPCOES COMPRA  </v>
          </cell>
          <cell r="CE1115" t="str">
            <v xml:space="preserve">Americano      </v>
          </cell>
        </row>
        <row r="1116">
          <cell r="AF1116">
            <v>1111</v>
          </cell>
          <cell r="AG1116">
            <v>0.11488974203813807</v>
          </cell>
          <cell r="BY1116" t="str">
            <v>GGBRK25</v>
          </cell>
          <cell r="BZ1116">
            <v>15</v>
          </cell>
          <cell r="CA1116" t="str">
            <v>16-11-2009</v>
          </cell>
          <cell r="CB1116" t="str">
            <v xml:space="preserve">GGBR    /ED </v>
          </cell>
          <cell r="CC1116" t="str">
            <v>PN      N1</v>
          </cell>
          <cell r="CD1116" t="str">
            <v xml:space="preserve">OPCOES COMPRA  </v>
          </cell>
          <cell r="CE1116" t="str">
            <v xml:space="preserve">Americano      </v>
          </cell>
        </row>
        <row r="1117">
          <cell r="AF1117">
            <v>1112</v>
          </cell>
          <cell r="AG1117">
            <v>0.11490514051429979</v>
          </cell>
          <cell r="BY1117" t="str">
            <v>GGBRK26</v>
          </cell>
          <cell r="BZ1117">
            <v>15.5</v>
          </cell>
          <cell r="CA1117" t="str">
            <v>16-11-2009</v>
          </cell>
          <cell r="CB1117" t="str">
            <v xml:space="preserve">GGBR    /ED </v>
          </cell>
          <cell r="CC1117" t="str">
            <v>PN      N1</v>
          </cell>
          <cell r="CD1117" t="str">
            <v xml:space="preserve">OPCOES COMPRA  </v>
          </cell>
          <cell r="CE1117" t="str">
            <v xml:space="preserve">Americano      </v>
          </cell>
        </row>
        <row r="1118">
          <cell r="AF1118">
            <v>1113</v>
          </cell>
          <cell r="AG1118">
            <v>0.11492051153234928</v>
          </cell>
          <cell r="BY1118" t="str">
            <v>GGBRK16</v>
          </cell>
          <cell r="BZ1118">
            <v>15.96</v>
          </cell>
          <cell r="CA1118" t="str">
            <v>16-11-2009</v>
          </cell>
          <cell r="CB1118" t="str">
            <v xml:space="preserve">GGBR    /ED </v>
          </cell>
          <cell r="CC1118" t="str">
            <v>PN      N1</v>
          </cell>
          <cell r="CD1118" t="str">
            <v xml:space="preserve">OPCOES COMPRA  </v>
          </cell>
          <cell r="CE1118" t="str">
            <v xml:space="preserve">Americano      </v>
          </cell>
        </row>
        <row r="1119">
          <cell r="AF1119">
            <v>1114</v>
          </cell>
          <cell r="AG1119">
            <v>0.1149358551656634</v>
          </cell>
          <cell r="BY1119" t="str">
            <v>GGBRK27</v>
          </cell>
          <cell r="BZ1119">
            <v>16.5</v>
          </cell>
          <cell r="CA1119" t="str">
            <v>16-11-2009</v>
          </cell>
          <cell r="CB1119" t="str">
            <v xml:space="preserve">GGBR    /ED </v>
          </cell>
          <cell r="CC1119" t="str">
            <v>PN      N1</v>
          </cell>
          <cell r="CD1119" t="str">
            <v xml:space="preserve">OPCOES COMPRA  </v>
          </cell>
          <cell r="CE1119" t="str">
            <v xml:space="preserve">Americano      </v>
          </cell>
        </row>
        <row r="1120">
          <cell r="AF1120">
            <v>1115</v>
          </cell>
          <cell r="AG1120">
            <v>0.11495117148735789</v>
          </cell>
          <cell r="BY1120" t="str">
            <v>GGBRK28</v>
          </cell>
          <cell r="BZ1120">
            <v>17</v>
          </cell>
          <cell r="CA1120" t="str">
            <v>16-11-2009</v>
          </cell>
          <cell r="CB1120" t="str">
            <v xml:space="preserve">GGBR    /ED </v>
          </cell>
          <cell r="CC1120" t="str">
            <v>PN      N1</v>
          </cell>
          <cell r="CD1120" t="str">
            <v xml:space="preserve">OPCOES COMPRA  </v>
          </cell>
          <cell r="CE1120" t="str">
            <v xml:space="preserve">Americano      </v>
          </cell>
        </row>
        <row r="1121">
          <cell r="AF1121">
            <v>1116</v>
          </cell>
          <cell r="AG1121">
            <v>0.1149664605702887</v>
          </cell>
          <cell r="BY1121" t="str">
            <v>GGBRK29</v>
          </cell>
          <cell r="BZ1121">
            <v>17.5</v>
          </cell>
          <cell r="CA1121" t="str">
            <v>16-11-2009</v>
          </cell>
          <cell r="CB1121" t="str">
            <v xml:space="preserve">GGBR    /ED </v>
          </cell>
          <cell r="CC1121" t="str">
            <v>PN      N1</v>
          </cell>
          <cell r="CD1121" t="str">
            <v xml:space="preserve">OPCOES COMPRA  </v>
          </cell>
          <cell r="CE1121" t="str">
            <v xml:space="preserve">Americano      </v>
          </cell>
        </row>
        <row r="1122">
          <cell r="AF1122">
            <v>1117</v>
          </cell>
          <cell r="AG1122">
            <v>0.11498172248705174</v>
          </cell>
          <cell r="BY1122" t="str">
            <v>GGBRL4</v>
          </cell>
          <cell r="BZ1122">
            <v>16</v>
          </cell>
          <cell r="CA1122" t="str">
            <v>21-12-2009</v>
          </cell>
          <cell r="CB1122" t="str">
            <v xml:space="preserve">GGBR    /ED </v>
          </cell>
          <cell r="CC1122" t="str">
            <v>PN      N1</v>
          </cell>
          <cell r="CD1122" t="str">
            <v xml:space="preserve">OPCOES COMPRA  </v>
          </cell>
          <cell r="CE1122" t="str">
            <v xml:space="preserve">Americano      </v>
          </cell>
        </row>
        <row r="1123">
          <cell r="AF1123">
            <v>1118</v>
          </cell>
          <cell r="AG1123">
            <v>0.11499695730998671</v>
          </cell>
          <cell r="BY1123" t="str">
            <v>GGBRL5</v>
          </cell>
          <cell r="BZ1123">
            <v>16.5</v>
          </cell>
          <cell r="CA1123" t="str">
            <v>21-12-2009</v>
          </cell>
          <cell r="CB1123" t="str">
            <v xml:space="preserve">GGBR    /ED </v>
          </cell>
          <cell r="CC1123" t="str">
            <v>PN      N1</v>
          </cell>
          <cell r="CD1123" t="str">
            <v xml:space="preserve">OPCOES COMPRA  </v>
          </cell>
          <cell r="CE1123" t="str">
            <v xml:space="preserve">Europeu        </v>
          </cell>
        </row>
        <row r="1124">
          <cell r="AF1124">
            <v>1119</v>
          </cell>
          <cell r="AG1124">
            <v>0.11501216511117573</v>
          </cell>
          <cell r="BY1124" t="str">
            <v>GGBRL6</v>
          </cell>
          <cell r="BZ1124">
            <v>17</v>
          </cell>
          <cell r="CA1124" t="str">
            <v>21-12-2009</v>
          </cell>
          <cell r="CB1124" t="str">
            <v xml:space="preserve">GGBR    /ED </v>
          </cell>
          <cell r="CC1124" t="str">
            <v>PN      N1</v>
          </cell>
          <cell r="CD1124" t="str">
            <v xml:space="preserve">OPCOES COMPRA  </v>
          </cell>
          <cell r="CE1124" t="str">
            <v xml:space="preserve">Europeu        </v>
          </cell>
        </row>
        <row r="1125">
          <cell r="AF1125">
            <v>1120</v>
          </cell>
          <cell r="AG1125">
            <v>0.11502734596244579</v>
          </cell>
          <cell r="BY1125" t="str">
            <v>GGBRL7</v>
          </cell>
          <cell r="BZ1125">
            <v>17.5</v>
          </cell>
          <cell r="CA1125" t="str">
            <v>21-12-2009</v>
          </cell>
          <cell r="CB1125" t="str">
            <v xml:space="preserve">GGBR    /ED </v>
          </cell>
          <cell r="CC1125" t="str">
            <v>PN      N1</v>
          </cell>
          <cell r="CD1125" t="str">
            <v xml:space="preserve">OPCOES COMPRA  </v>
          </cell>
          <cell r="CE1125" t="str">
            <v xml:space="preserve">Europeu        </v>
          </cell>
        </row>
        <row r="1126">
          <cell r="AF1126">
            <v>1121</v>
          </cell>
          <cell r="AG1126">
            <v>0.11504249993536941</v>
          </cell>
          <cell r="BY1126" t="str">
            <v>GGBRL8</v>
          </cell>
          <cell r="BZ1126">
            <v>17.96</v>
          </cell>
          <cell r="CA1126" t="str">
            <v>21-12-2009</v>
          </cell>
          <cell r="CB1126" t="str">
            <v xml:space="preserve">GGBR    /ED </v>
          </cell>
          <cell r="CC1126" t="str">
            <v>PN      N1</v>
          </cell>
          <cell r="CD1126" t="str">
            <v xml:space="preserve">OPCOES COMPRA  </v>
          </cell>
          <cell r="CE1126" t="str">
            <v xml:space="preserve">Americano      </v>
          </cell>
        </row>
        <row r="1127">
          <cell r="AF1127">
            <v>1122</v>
          </cell>
          <cell r="AG1127">
            <v>0.11505762710126577</v>
          </cell>
          <cell r="BY1127" t="str">
            <v>GGBRA9</v>
          </cell>
          <cell r="BZ1127">
            <v>9</v>
          </cell>
          <cell r="CA1127" t="str">
            <v>18-01-2010</v>
          </cell>
          <cell r="CB1127" t="str">
            <v xml:space="preserve">GGBR    /ED </v>
          </cell>
          <cell r="CC1127" t="str">
            <v>PN      N1</v>
          </cell>
          <cell r="CD1127" t="str">
            <v xml:space="preserve">OPCOES COMPRA  </v>
          </cell>
          <cell r="CE1127" t="str">
            <v xml:space="preserve">Americano      </v>
          </cell>
        </row>
        <row r="1128">
          <cell r="AF1128">
            <v>1123</v>
          </cell>
          <cell r="AG1128">
            <v>0.11507272753120246</v>
          </cell>
          <cell r="BY1128" t="str">
            <v>GGBRA13</v>
          </cell>
          <cell r="BZ1128">
            <v>13</v>
          </cell>
          <cell r="CA1128" t="str">
            <v>18-01-2010</v>
          </cell>
          <cell r="CB1128" t="str">
            <v xml:space="preserve">GGBR    /ED </v>
          </cell>
          <cell r="CC1128" t="str">
            <v>PN      N1</v>
          </cell>
          <cell r="CD1128" t="str">
            <v xml:space="preserve">OPCOES COMPRA  </v>
          </cell>
          <cell r="CE1128" t="str">
            <v xml:space="preserve">Americano      </v>
          </cell>
        </row>
        <row r="1129">
          <cell r="AF1129">
            <v>1124</v>
          </cell>
          <cell r="AG1129">
            <v>0.11508780129599572</v>
          </cell>
          <cell r="BY1129" t="str">
            <v>GGBRA15</v>
          </cell>
          <cell r="BZ1129">
            <v>15</v>
          </cell>
          <cell r="CA1129" t="str">
            <v>18-01-2010</v>
          </cell>
          <cell r="CB1129" t="str">
            <v xml:space="preserve">GGBR    /ED </v>
          </cell>
          <cell r="CC1129" t="str">
            <v>PN      N1</v>
          </cell>
          <cell r="CD1129" t="str">
            <v xml:space="preserve">OPCOES COMPRA  </v>
          </cell>
          <cell r="CE1129" t="str">
            <v xml:space="preserve">Americano      </v>
          </cell>
        </row>
        <row r="1130">
          <cell r="AF1130">
            <v>1125</v>
          </cell>
          <cell r="AG1130">
            <v>0.11510284846621155</v>
          </cell>
          <cell r="BY1130" t="str">
            <v>GGBRO12</v>
          </cell>
          <cell r="BZ1130">
            <v>12</v>
          </cell>
          <cell r="CA1130" t="str">
            <v>16-03-2009</v>
          </cell>
          <cell r="CB1130" t="str">
            <v xml:space="preserve">GGBR    /ED </v>
          </cell>
          <cell r="CC1130" t="str">
            <v>PN      N1</v>
          </cell>
          <cell r="CD1130" t="str">
            <v xml:space="preserve">OPCOES VENDA   </v>
          </cell>
          <cell r="CE1130" t="str">
            <v xml:space="preserve">Europeu        </v>
          </cell>
        </row>
        <row r="1131">
          <cell r="AF1131">
            <v>1126</v>
          </cell>
          <cell r="AG1131">
            <v>0.11511786911216815</v>
          </cell>
          <cell r="BY1131" t="str">
            <v>GGBRO1</v>
          </cell>
          <cell r="BZ1131">
            <v>12.5</v>
          </cell>
          <cell r="CA1131" t="str">
            <v>16-03-2009</v>
          </cell>
          <cell r="CB1131" t="str">
            <v xml:space="preserve">GGBR    /ED </v>
          </cell>
          <cell r="CC1131" t="str">
            <v>PN      N1</v>
          </cell>
          <cell r="CD1131" t="str">
            <v xml:space="preserve">OPCOES VENDA   </v>
          </cell>
          <cell r="CE1131" t="str">
            <v xml:space="preserve">Europeu        </v>
          </cell>
        </row>
        <row r="1132">
          <cell r="AF1132">
            <v>1127</v>
          </cell>
          <cell r="AG1132">
            <v>0.11513286330393502</v>
          </cell>
          <cell r="BY1132" t="str">
            <v>GGBRO13</v>
          </cell>
          <cell r="BZ1132">
            <v>12.96</v>
          </cell>
          <cell r="CA1132" t="str">
            <v>16-03-2009</v>
          </cell>
          <cell r="CB1132" t="str">
            <v xml:space="preserve">GGBR    /ED </v>
          </cell>
          <cell r="CC1132" t="str">
            <v>PN      N1</v>
          </cell>
          <cell r="CD1132" t="str">
            <v xml:space="preserve">OPCOES VENDA   </v>
          </cell>
          <cell r="CE1132" t="str">
            <v xml:space="preserve">Europeu        </v>
          </cell>
        </row>
        <row r="1133">
          <cell r="AF1133">
            <v>1128</v>
          </cell>
          <cell r="AG1133">
            <v>0.11514783111133586</v>
          </cell>
          <cell r="BY1133" t="str">
            <v>GGBRO2</v>
          </cell>
          <cell r="BZ1133">
            <v>13.46</v>
          </cell>
          <cell r="CA1133" t="str">
            <v>16-03-2009</v>
          </cell>
          <cell r="CB1133" t="str">
            <v xml:space="preserve">GGBR    /ED </v>
          </cell>
          <cell r="CC1133" t="str">
            <v>PN      N1</v>
          </cell>
          <cell r="CD1133" t="str">
            <v xml:space="preserve">OPCOES VENDA   </v>
          </cell>
          <cell r="CE1133" t="str">
            <v xml:space="preserve">Europeu        </v>
          </cell>
        </row>
        <row r="1134">
          <cell r="AF1134">
            <v>1129</v>
          </cell>
          <cell r="AG1134">
            <v>0.11516277260394836</v>
          </cell>
          <cell r="BY1134" t="str">
            <v>GGBRO14</v>
          </cell>
          <cell r="BZ1134">
            <v>14</v>
          </cell>
          <cell r="CA1134" t="str">
            <v>16-03-2009</v>
          </cell>
          <cell r="CB1134" t="str">
            <v xml:space="preserve">GGBR    /ED </v>
          </cell>
          <cell r="CC1134" t="str">
            <v>PN      N1</v>
          </cell>
          <cell r="CD1134" t="str">
            <v xml:space="preserve">OPCOES VENDA   </v>
          </cell>
          <cell r="CE1134" t="str">
            <v xml:space="preserve">Europeu        </v>
          </cell>
        </row>
        <row r="1135">
          <cell r="AF1135">
            <v>1130</v>
          </cell>
          <cell r="AG1135">
            <v>0.11517768785110594</v>
          </cell>
          <cell r="BY1135" t="str">
            <v>GGBRO3</v>
          </cell>
          <cell r="BZ1135">
            <v>14.46</v>
          </cell>
          <cell r="CA1135" t="str">
            <v>16-03-2009</v>
          </cell>
          <cell r="CB1135" t="str">
            <v xml:space="preserve">GGBR    /ED </v>
          </cell>
          <cell r="CC1135" t="str">
            <v>PN      N1</v>
          </cell>
          <cell r="CD1135" t="str">
            <v xml:space="preserve">OPCOES VENDA   </v>
          </cell>
          <cell r="CE1135" t="str">
            <v xml:space="preserve">Europeu        </v>
          </cell>
        </row>
        <row r="1136">
          <cell r="AF1136">
            <v>1131</v>
          </cell>
          <cell r="AG1136">
            <v>0.1151925769218991</v>
          </cell>
          <cell r="BY1136" t="str">
            <v>GGBRO15</v>
          </cell>
          <cell r="BZ1136">
            <v>14.96</v>
          </cell>
          <cell r="CA1136" t="str">
            <v>16-03-2009</v>
          </cell>
          <cell r="CB1136" t="str">
            <v xml:space="preserve">GGBR    /ED </v>
          </cell>
          <cell r="CC1136" t="str">
            <v>PN      N1</v>
          </cell>
          <cell r="CD1136" t="str">
            <v xml:space="preserve">OPCOES VENDA   </v>
          </cell>
          <cell r="CE1136" t="str">
            <v xml:space="preserve">Europeu        </v>
          </cell>
        </row>
        <row r="1137">
          <cell r="AF1137">
            <v>1132</v>
          </cell>
          <cell r="AG1137">
            <v>0.11520743988517523</v>
          </cell>
          <cell r="BY1137" t="str">
            <v>GGBRO4</v>
          </cell>
          <cell r="BZ1137">
            <v>15.46</v>
          </cell>
          <cell r="CA1137" t="str">
            <v>16-03-2009</v>
          </cell>
          <cell r="CB1137" t="str">
            <v xml:space="preserve">GGBR    /ED </v>
          </cell>
          <cell r="CC1137" t="str">
            <v>PN      N1</v>
          </cell>
          <cell r="CD1137" t="str">
            <v xml:space="preserve">OPCOES VENDA   </v>
          </cell>
          <cell r="CE1137" t="str">
            <v xml:space="preserve">Europeu        </v>
          </cell>
        </row>
        <row r="1138">
          <cell r="AF1138">
            <v>1133</v>
          </cell>
          <cell r="AG1138">
            <v>0.11522227680954145</v>
          </cell>
          <cell r="BY1138" t="str">
            <v>GGBRO16</v>
          </cell>
          <cell r="BZ1138">
            <v>16</v>
          </cell>
          <cell r="CA1138" t="str">
            <v>16-03-2009</v>
          </cell>
          <cell r="CB1138" t="str">
            <v xml:space="preserve">GGBR    /ED </v>
          </cell>
          <cell r="CC1138" t="str">
            <v>PN      N1</v>
          </cell>
          <cell r="CD1138" t="str">
            <v xml:space="preserve">OPCOES VENDA   </v>
          </cell>
          <cell r="CE1138" t="str">
            <v xml:space="preserve">Europeu        </v>
          </cell>
        </row>
        <row r="1139">
          <cell r="AF1139">
            <v>1134</v>
          </cell>
          <cell r="AG1139">
            <v>0.1152370877633635</v>
          </cell>
          <cell r="BY1139" t="str">
            <v>GGBRO5</v>
          </cell>
          <cell r="BZ1139">
            <v>16.46</v>
          </cell>
          <cell r="CA1139" t="str">
            <v>16-03-2009</v>
          </cell>
          <cell r="CB1139" t="str">
            <v xml:space="preserve">GGBR    /ED </v>
          </cell>
          <cell r="CC1139" t="str">
            <v>PN      N1</v>
          </cell>
          <cell r="CD1139" t="str">
            <v xml:space="preserve">OPCOES VENDA   </v>
          </cell>
          <cell r="CE1139" t="str">
            <v xml:space="preserve">Europeu        </v>
          </cell>
        </row>
        <row r="1140">
          <cell r="AF1140">
            <v>1135</v>
          </cell>
          <cell r="AG1140">
            <v>0.1152518728147689</v>
          </cell>
          <cell r="BY1140" t="str">
            <v>GGBRO17</v>
          </cell>
          <cell r="BZ1140">
            <v>16.96</v>
          </cell>
          <cell r="CA1140" t="str">
            <v>16-03-2009</v>
          </cell>
          <cell r="CB1140" t="str">
            <v xml:space="preserve">GGBR    /ED </v>
          </cell>
          <cell r="CC1140" t="str">
            <v>PN      N1</v>
          </cell>
          <cell r="CD1140" t="str">
            <v xml:space="preserve">OPCOES VENDA   </v>
          </cell>
          <cell r="CE1140" t="str">
            <v xml:space="preserve">Europeu        </v>
          </cell>
        </row>
        <row r="1141">
          <cell r="AF1141">
            <v>1136</v>
          </cell>
          <cell r="AG1141">
            <v>0.11526663203164755</v>
          </cell>
          <cell r="BY1141" t="str">
            <v>GGBRO6</v>
          </cell>
          <cell r="BZ1141">
            <v>17.46</v>
          </cell>
          <cell r="CA1141" t="str">
            <v>16-03-2009</v>
          </cell>
          <cell r="CB1141" t="str">
            <v xml:space="preserve">GGBR    /ED </v>
          </cell>
          <cell r="CC1141" t="str">
            <v>PN      N1</v>
          </cell>
          <cell r="CD1141" t="str">
            <v xml:space="preserve">OPCOES VENDA   </v>
          </cell>
          <cell r="CE1141" t="str">
            <v xml:space="preserve">Europeu        </v>
          </cell>
        </row>
        <row r="1142">
          <cell r="AF1142">
            <v>1137</v>
          </cell>
          <cell r="AG1142">
            <v>0.11528136548165047</v>
          </cell>
          <cell r="BY1142" t="str">
            <v>GGBRO18</v>
          </cell>
          <cell r="BZ1142">
            <v>18</v>
          </cell>
          <cell r="CA1142" t="str">
            <v>16-03-2009</v>
          </cell>
          <cell r="CB1142" t="str">
            <v xml:space="preserve">GGBR    /ED </v>
          </cell>
          <cell r="CC1142" t="str">
            <v>PN      N1</v>
          </cell>
          <cell r="CD1142" t="str">
            <v xml:space="preserve">OPCOES VENDA   </v>
          </cell>
          <cell r="CE1142" t="str">
            <v xml:space="preserve">Europeu        </v>
          </cell>
        </row>
        <row r="1143">
          <cell r="AF1143">
            <v>1138</v>
          </cell>
          <cell r="AG1143">
            <v>0.1152960732321946</v>
          </cell>
          <cell r="BY1143" t="str">
            <v>GGBRO19</v>
          </cell>
          <cell r="BZ1143">
            <v>19</v>
          </cell>
          <cell r="CA1143" t="str">
            <v>16-03-2009</v>
          </cell>
          <cell r="CB1143" t="str">
            <v xml:space="preserve">GGBR    /ED </v>
          </cell>
          <cell r="CC1143" t="str">
            <v>PN      N1</v>
          </cell>
          <cell r="CD1143" t="str">
            <v xml:space="preserve">OPCOES VENDA   </v>
          </cell>
          <cell r="CE1143" t="str">
            <v xml:space="preserve">Europeu        </v>
          </cell>
        </row>
        <row r="1144">
          <cell r="AF1144">
            <v>1139</v>
          </cell>
          <cell r="AG1144">
            <v>0.11531075535046131</v>
          </cell>
          <cell r="BY1144" t="str">
            <v>GGBRO20</v>
          </cell>
          <cell r="BZ1144">
            <v>20</v>
          </cell>
          <cell r="CA1144" t="str">
            <v>16-03-2009</v>
          </cell>
          <cell r="CB1144" t="str">
            <v xml:space="preserve">GGBR    /ED </v>
          </cell>
          <cell r="CC1144" t="str">
            <v>PN      N1</v>
          </cell>
          <cell r="CD1144" t="str">
            <v xml:space="preserve">OPCOES VENDA   </v>
          </cell>
          <cell r="CE1144" t="str">
            <v xml:space="preserve">Europeu        </v>
          </cell>
        </row>
        <row r="1145">
          <cell r="AF1145">
            <v>1140</v>
          </cell>
          <cell r="AG1145">
            <v>0.11532541190339773</v>
          </cell>
          <cell r="BY1145" t="str">
            <v>GGBRP11</v>
          </cell>
          <cell r="BZ1145">
            <v>11</v>
          </cell>
          <cell r="CA1145" t="str">
            <v>20-04-2009</v>
          </cell>
          <cell r="CB1145" t="str">
            <v xml:space="preserve">GGBR    /ED </v>
          </cell>
          <cell r="CC1145" t="str">
            <v>PN      N1</v>
          </cell>
          <cell r="CD1145" t="str">
            <v xml:space="preserve">OPCOES VENDA   </v>
          </cell>
          <cell r="CE1145" t="str">
            <v xml:space="preserve">Europeu        </v>
          </cell>
        </row>
        <row r="1146">
          <cell r="AF1146">
            <v>1141</v>
          </cell>
          <cell r="AG1146">
            <v>0.11534004295771783</v>
          </cell>
          <cell r="BY1146" t="str">
            <v>GGBRP12</v>
          </cell>
          <cell r="BZ1146">
            <v>12</v>
          </cell>
          <cell r="CA1146" t="str">
            <v>20-04-2009</v>
          </cell>
          <cell r="CB1146" t="str">
            <v xml:space="preserve">GGBR    /ED </v>
          </cell>
          <cell r="CC1146" t="str">
            <v>PN      N1</v>
          </cell>
          <cell r="CD1146" t="str">
            <v xml:space="preserve">OPCOES VENDA   </v>
          </cell>
          <cell r="CE1146" t="str">
            <v xml:space="preserve">Europeu        </v>
          </cell>
        </row>
        <row r="1147">
          <cell r="AF1147">
            <v>1142</v>
          </cell>
          <cell r="AG1147">
            <v>0.11535464857990441</v>
          </cell>
          <cell r="BY1147" t="str">
            <v>GGBRP13</v>
          </cell>
          <cell r="BZ1147">
            <v>12.96</v>
          </cell>
          <cell r="CA1147" t="str">
            <v>20-04-2009</v>
          </cell>
          <cell r="CB1147" t="str">
            <v xml:space="preserve">GGBR    /ED </v>
          </cell>
          <cell r="CC1147" t="str">
            <v>PN      N1</v>
          </cell>
          <cell r="CD1147" t="str">
            <v xml:space="preserve">OPCOES VENDA   </v>
          </cell>
          <cell r="CE1147" t="str">
            <v xml:space="preserve">Europeu        </v>
          </cell>
        </row>
        <row r="1148">
          <cell r="AF1148">
            <v>1143</v>
          </cell>
          <cell r="AG1148">
            <v>0.1153692288362087</v>
          </cell>
          <cell r="BY1148" t="str">
            <v>GGBRP14</v>
          </cell>
          <cell r="BZ1148">
            <v>14</v>
          </cell>
          <cell r="CA1148" t="str">
            <v>20-04-2009</v>
          </cell>
          <cell r="CB1148" t="str">
            <v xml:space="preserve">GGBR    /ED </v>
          </cell>
          <cell r="CC1148" t="str">
            <v>PN      N1</v>
          </cell>
          <cell r="CD1148" t="str">
            <v xml:space="preserve">OPCOES VENDA   </v>
          </cell>
          <cell r="CE1148" t="str">
            <v xml:space="preserve">Europeu        </v>
          </cell>
        </row>
        <row r="1149">
          <cell r="AF1149">
            <v>1144</v>
          </cell>
          <cell r="AG1149">
            <v>0.11538378379265235</v>
          </cell>
          <cell r="BY1149" t="str">
            <v>GGBRP15</v>
          </cell>
          <cell r="BZ1149">
            <v>15</v>
          </cell>
          <cell r="CA1149" t="str">
            <v>20-04-2009</v>
          </cell>
          <cell r="CB1149" t="str">
            <v xml:space="preserve">GGBR    /ED </v>
          </cell>
          <cell r="CC1149" t="str">
            <v>PN      N1</v>
          </cell>
          <cell r="CD1149" t="str">
            <v xml:space="preserve">OPCOES VENDA   </v>
          </cell>
          <cell r="CE1149" t="str">
            <v xml:space="preserve">Europeu        </v>
          </cell>
        </row>
        <row r="1150">
          <cell r="AF1150">
            <v>1145</v>
          </cell>
          <cell r="AG1150">
            <v>0.11539831351502827</v>
          </cell>
          <cell r="BY1150" t="str">
            <v>GGBRP1</v>
          </cell>
          <cell r="BZ1150">
            <v>15.46</v>
          </cell>
          <cell r="CA1150" t="str">
            <v>20-04-2009</v>
          </cell>
          <cell r="CB1150" t="str">
            <v xml:space="preserve">GGBR    /ED </v>
          </cell>
          <cell r="CC1150" t="str">
            <v>PN      N1</v>
          </cell>
          <cell r="CD1150" t="str">
            <v xml:space="preserve">OPCOES VENDA   </v>
          </cell>
          <cell r="CE1150" t="str">
            <v xml:space="preserve">Europeu        </v>
          </cell>
        </row>
        <row r="1151">
          <cell r="AF1151">
            <v>1146</v>
          </cell>
          <cell r="AG1151">
            <v>0.11541281806890114</v>
          </cell>
          <cell r="BY1151" t="str">
            <v>GGBRP16</v>
          </cell>
          <cell r="BZ1151">
            <v>16</v>
          </cell>
          <cell r="CA1151" t="str">
            <v>20-04-2009</v>
          </cell>
          <cell r="CB1151" t="str">
            <v xml:space="preserve">GGBR    /ED </v>
          </cell>
          <cell r="CC1151" t="str">
            <v>PN      N1</v>
          </cell>
          <cell r="CD1151" t="str">
            <v xml:space="preserve">OPCOES VENDA   </v>
          </cell>
          <cell r="CE1151" t="str">
            <v xml:space="preserve">Europeu        </v>
          </cell>
        </row>
        <row r="1152">
          <cell r="AF1152">
            <v>1147</v>
          </cell>
          <cell r="AG1152">
            <v>0.11542729751960845</v>
          </cell>
          <cell r="BY1152" t="str">
            <v>GGBRP3</v>
          </cell>
          <cell r="BZ1152">
            <v>16.5</v>
          </cell>
          <cell r="CA1152" t="str">
            <v>20-04-2009</v>
          </cell>
          <cell r="CB1152" t="str">
            <v xml:space="preserve">GGBR    /ED </v>
          </cell>
          <cell r="CC1152" t="str">
            <v>PN      N1</v>
          </cell>
          <cell r="CD1152" t="str">
            <v xml:space="preserve">OPCOES VENDA   </v>
          </cell>
          <cell r="CE1152" t="str">
            <v xml:space="preserve">Europeu        </v>
          </cell>
        </row>
        <row r="1153">
          <cell r="AF1153">
            <v>1148</v>
          </cell>
          <cell r="AG1153">
            <v>0.1154417519322628</v>
          </cell>
          <cell r="BY1153" t="str">
            <v>GGBRP17</v>
          </cell>
          <cell r="BZ1153">
            <v>16.96</v>
          </cell>
          <cell r="CA1153" t="str">
            <v>20-04-2009</v>
          </cell>
          <cell r="CB1153" t="str">
            <v xml:space="preserve">GGBR    /ED </v>
          </cell>
          <cell r="CC1153" t="str">
            <v>PN      N1</v>
          </cell>
          <cell r="CD1153" t="str">
            <v xml:space="preserve">OPCOES VENDA   </v>
          </cell>
          <cell r="CE1153" t="str">
            <v xml:space="preserve">Europeu        </v>
          </cell>
        </row>
        <row r="1154">
          <cell r="AF1154">
            <v>1149</v>
          </cell>
          <cell r="AG1154">
            <v>0.11545618137175029</v>
          </cell>
          <cell r="BY1154" t="str">
            <v>GGBRP4</v>
          </cell>
          <cell r="BZ1154">
            <v>17.46</v>
          </cell>
          <cell r="CA1154" t="str">
            <v>20-04-2009</v>
          </cell>
          <cell r="CB1154" t="str">
            <v xml:space="preserve">GGBR    /ED </v>
          </cell>
          <cell r="CC1154" t="str">
            <v>PN      N1</v>
          </cell>
          <cell r="CD1154" t="str">
            <v xml:space="preserve">OPCOES VENDA   </v>
          </cell>
          <cell r="CE1154" t="str">
            <v xml:space="preserve">Europeu        </v>
          </cell>
        </row>
        <row r="1155">
          <cell r="AF1155">
            <v>1150</v>
          </cell>
          <cell r="AG1155">
            <v>0.11547058590273407</v>
          </cell>
          <cell r="BY1155" t="str">
            <v>GGBRP18</v>
          </cell>
          <cell r="BZ1155">
            <v>18</v>
          </cell>
          <cell r="CA1155" t="str">
            <v>20-04-2009</v>
          </cell>
          <cell r="CB1155" t="str">
            <v xml:space="preserve">GGBR    /ED </v>
          </cell>
          <cell r="CC1155" t="str">
            <v>PN      N1</v>
          </cell>
          <cell r="CD1155" t="str">
            <v xml:space="preserve">OPCOES VENDA   </v>
          </cell>
          <cell r="CE1155" t="str">
            <v xml:space="preserve">Europeu        </v>
          </cell>
        </row>
        <row r="1156">
          <cell r="AF1156">
            <v>1151</v>
          </cell>
          <cell r="AG1156">
            <v>0.11548496558965415</v>
          </cell>
          <cell r="BY1156" t="str">
            <v>GGBRP5</v>
          </cell>
          <cell r="BZ1156">
            <v>18.46</v>
          </cell>
          <cell r="CA1156" t="str">
            <v>20-04-2009</v>
          </cell>
          <cell r="CB1156" t="str">
            <v xml:space="preserve">GGBR    /ED </v>
          </cell>
          <cell r="CC1156" t="str">
            <v>PN      N1</v>
          </cell>
          <cell r="CD1156" t="str">
            <v xml:space="preserve">OPCOES VENDA   </v>
          </cell>
          <cell r="CE1156" t="str">
            <v xml:space="preserve">Europeu        </v>
          </cell>
        </row>
        <row r="1157">
          <cell r="AF1157">
            <v>1152</v>
          </cell>
          <cell r="AG1157">
            <v>0.11549932049672784</v>
          </cell>
          <cell r="BY1157" t="str">
            <v>GGBRP19</v>
          </cell>
          <cell r="BZ1157">
            <v>19</v>
          </cell>
          <cell r="CA1157" t="str">
            <v>20-04-2009</v>
          </cell>
          <cell r="CB1157" t="str">
            <v xml:space="preserve">GGBR    /ED </v>
          </cell>
          <cell r="CC1157" t="str">
            <v>PN      N1</v>
          </cell>
          <cell r="CD1157" t="str">
            <v xml:space="preserve">OPCOES VENDA   </v>
          </cell>
          <cell r="CE1157" t="str">
            <v xml:space="preserve">Europeu        </v>
          </cell>
        </row>
        <row r="1158">
          <cell r="AF1158">
            <v>1153</v>
          </cell>
          <cell r="AG1158">
            <v>0.11551365068795194</v>
          </cell>
          <cell r="BY1158" t="str">
            <v>GGBRP2</v>
          </cell>
          <cell r="BZ1158">
            <v>19.46</v>
          </cell>
          <cell r="CA1158" t="str">
            <v>20-04-2009</v>
          </cell>
          <cell r="CB1158" t="str">
            <v xml:space="preserve">GGBR    /ED </v>
          </cell>
          <cell r="CC1158" t="str">
            <v>PN      N1</v>
          </cell>
          <cell r="CD1158" t="str">
            <v xml:space="preserve">OPCOES VENDA   </v>
          </cell>
          <cell r="CE1158" t="str">
            <v xml:space="preserve">Europeu        </v>
          </cell>
        </row>
        <row r="1159">
          <cell r="AF1159">
            <v>1154</v>
          </cell>
          <cell r="AG1159">
            <v>0.11552795622710321</v>
          </cell>
          <cell r="BY1159" t="str">
            <v>GGBRP20</v>
          </cell>
          <cell r="BZ1159">
            <v>20</v>
          </cell>
          <cell r="CA1159" t="str">
            <v>20-04-2009</v>
          </cell>
          <cell r="CB1159" t="str">
            <v xml:space="preserve">GGBR    /ED </v>
          </cell>
          <cell r="CC1159" t="str">
            <v>PN      N1</v>
          </cell>
          <cell r="CD1159" t="str">
            <v xml:space="preserve">OPCOES VENDA   </v>
          </cell>
          <cell r="CE1159" t="str">
            <v xml:space="preserve">Europeu        </v>
          </cell>
        </row>
        <row r="1160">
          <cell r="AF1160">
            <v>1155</v>
          </cell>
          <cell r="AG1160">
            <v>0.11554223717773859</v>
          </cell>
          <cell r="BY1160" t="str">
            <v>GGBRP6</v>
          </cell>
          <cell r="BZ1160">
            <v>20.46</v>
          </cell>
          <cell r="CA1160" t="str">
            <v>20-04-2009</v>
          </cell>
          <cell r="CB1160" t="str">
            <v xml:space="preserve">GGBR    /ED </v>
          </cell>
          <cell r="CC1160" t="str">
            <v>PN      N1</v>
          </cell>
          <cell r="CD1160" t="str">
            <v xml:space="preserve">OPCOES VENDA   </v>
          </cell>
          <cell r="CE1160" t="str">
            <v xml:space="preserve">Europeu        </v>
          </cell>
        </row>
        <row r="1161">
          <cell r="AF1161">
            <v>1156</v>
          </cell>
          <cell r="AG1161">
            <v>0.11555649360319675</v>
          </cell>
          <cell r="BY1161" t="str">
            <v>GGBRQ11</v>
          </cell>
          <cell r="BZ1161">
            <v>11</v>
          </cell>
          <cell r="CA1161" t="str">
            <v>18-05-2009</v>
          </cell>
          <cell r="CB1161" t="str">
            <v xml:space="preserve">GGBR    /ED </v>
          </cell>
          <cell r="CC1161" t="str">
            <v>PN      N1</v>
          </cell>
          <cell r="CD1161" t="str">
            <v xml:space="preserve">OPCOES VENDA   </v>
          </cell>
          <cell r="CE1161" t="str">
            <v xml:space="preserve">Europeu        </v>
          </cell>
        </row>
        <row r="1162">
          <cell r="AF1162">
            <v>1157</v>
          </cell>
          <cell r="AG1162">
            <v>0.11557072556659964</v>
          </cell>
          <cell r="BY1162" t="str">
            <v>GGBRQ1</v>
          </cell>
          <cell r="BZ1162">
            <v>11.5</v>
          </cell>
          <cell r="CA1162" t="str">
            <v>18-05-2009</v>
          </cell>
          <cell r="CB1162" t="str">
            <v xml:space="preserve">GGBR    /ED </v>
          </cell>
          <cell r="CC1162" t="str">
            <v>PN      N1</v>
          </cell>
          <cell r="CD1162" t="str">
            <v xml:space="preserve">OPCOES VENDA   </v>
          </cell>
          <cell r="CE1162" t="str">
            <v xml:space="preserve">Europeu        </v>
          </cell>
        </row>
        <row r="1163">
          <cell r="AF1163">
            <v>1158</v>
          </cell>
          <cell r="AG1163">
            <v>0.11558493313085205</v>
          </cell>
          <cell r="BY1163" t="str">
            <v>GGBRQ12</v>
          </cell>
          <cell r="BZ1163">
            <v>12</v>
          </cell>
          <cell r="CA1163" t="str">
            <v>18-05-2009</v>
          </cell>
          <cell r="CB1163" t="str">
            <v xml:space="preserve">GGBR    /ED </v>
          </cell>
          <cell r="CC1163" t="str">
            <v>PN      N1</v>
          </cell>
          <cell r="CD1163" t="str">
            <v xml:space="preserve">OPCOES VENDA   </v>
          </cell>
          <cell r="CE1163" t="str">
            <v xml:space="preserve">Europeu        </v>
          </cell>
        </row>
        <row r="1164">
          <cell r="AF1164">
            <v>1159</v>
          </cell>
          <cell r="AG1164">
            <v>0.11559911635864406</v>
          </cell>
          <cell r="BY1164" t="str">
            <v>GGBRQ2</v>
          </cell>
          <cell r="BZ1164">
            <v>12.5</v>
          </cell>
          <cell r="CA1164" t="str">
            <v>18-05-2009</v>
          </cell>
          <cell r="CB1164" t="str">
            <v xml:space="preserve">GGBR    /ED </v>
          </cell>
          <cell r="CC1164" t="str">
            <v>PN      N1</v>
          </cell>
          <cell r="CD1164" t="str">
            <v xml:space="preserve">OPCOES VENDA   </v>
          </cell>
          <cell r="CE1164" t="str">
            <v xml:space="preserve">Europeu        </v>
          </cell>
        </row>
        <row r="1165">
          <cell r="AF1165">
            <v>1160</v>
          </cell>
          <cell r="AG1165">
            <v>0.11561327531245014</v>
          </cell>
          <cell r="BY1165" t="str">
            <v>GGBRQ13</v>
          </cell>
          <cell r="BZ1165">
            <v>13</v>
          </cell>
          <cell r="CA1165" t="str">
            <v>18-05-2009</v>
          </cell>
          <cell r="CB1165" t="str">
            <v xml:space="preserve">GGBR    /ED </v>
          </cell>
          <cell r="CC1165" t="str">
            <v>PN      N1</v>
          </cell>
          <cell r="CD1165" t="str">
            <v xml:space="preserve">OPCOES VENDA   </v>
          </cell>
          <cell r="CE1165" t="str">
            <v xml:space="preserve">Europeu        </v>
          </cell>
        </row>
        <row r="1166">
          <cell r="AF1166">
            <v>1161</v>
          </cell>
          <cell r="AG1166">
            <v>0.11562741005453225</v>
          </cell>
          <cell r="BY1166" t="str">
            <v>GGBRQ3</v>
          </cell>
          <cell r="BZ1166">
            <v>13.5</v>
          </cell>
          <cell r="CA1166" t="str">
            <v>18-05-2009</v>
          </cell>
          <cell r="CB1166" t="str">
            <v xml:space="preserve">GGBR    /ED </v>
          </cell>
          <cell r="CC1166" t="str">
            <v>PN      N1</v>
          </cell>
          <cell r="CD1166" t="str">
            <v xml:space="preserve">OPCOES VENDA   </v>
          </cell>
          <cell r="CE1166" t="str">
            <v xml:space="preserve">Europeu        </v>
          </cell>
        </row>
        <row r="1167">
          <cell r="AF1167">
            <v>1162</v>
          </cell>
          <cell r="AG1167">
            <v>0.115641520646939</v>
          </cell>
          <cell r="BY1167" t="str">
            <v>GGBRQ14</v>
          </cell>
          <cell r="BZ1167">
            <v>14</v>
          </cell>
          <cell r="CA1167" t="str">
            <v>18-05-2009</v>
          </cell>
          <cell r="CB1167" t="str">
            <v xml:space="preserve">GGBR    /ED </v>
          </cell>
          <cell r="CC1167" t="str">
            <v>PN      N1</v>
          </cell>
          <cell r="CD1167" t="str">
            <v xml:space="preserve">OPCOES VENDA   </v>
          </cell>
          <cell r="CE1167" t="str">
            <v xml:space="preserve">Europeu        </v>
          </cell>
        </row>
        <row r="1168">
          <cell r="AF1168">
            <v>1163</v>
          </cell>
          <cell r="AG1168">
            <v>0.11565560715150669</v>
          </cell>
          <cell r="BY1168" t="str">
            <v>GGBRQ4</v>
          </cell>
          <cell r="BZ1168">
            <v>14.5</v>
          </cell>
          <cell r="CA1168" t="str">
            <v>18-05-2009</v>
          </cell>
          <cell r="CB1168" t="str">
            <v xml:space="preserve">GGBR    /ED </v>
          </cell>
          <cell r="CC1168" t="str">
            <v>PN      N1</v>
          </cell>
          <cell r="CD1168" t="str">
            <v xml:space="preserve">OPCOES VENDA   </v>
          </cell>
          <cell r="CE1168" t="str">
            <v xml:space="preserve">Europeu        </v>
          </cell>
        </row>
        <row r="1169">
          <cell r="AF1169">
            <v>1164</v>
          </cell>
          <cell r="AG1169">
            <v>0.11566966962986203</v>
          </cell>
          <cell r="BY1169" t="str">
            <v>GGBRQ15</v>
          </cell>
          <cell r="BZ1169">
            <v>15</v>
          </cell>
          <cell r="CA1169" t="str">
            <v>18-05-2009</v>
          </cell>
          <cell r="CB1169" t="str">
            <v xml:space="preserve">GGBR    /ED </v>
          </cell>
          <cell r="CC1169" t="str">
            <v>PN      N1</v>
          </cell>
          <cell r="CD1169" t="str">
            <v xml:space="preserve">OPCOES VENDA   </v>
          </cell>
          <cell r="CE1169" t="str">
            <v xml:space="preserve">Europeu        </v>
          </cell>
        </row>
        <row r="1170">
          <cell r="AF1170">
            <v>1165</v>
          </cell>
          <cell r="AG1170">
            <v>0.11568370814341988</v>
          </cell>
          <cell r="BY1170" t="str">
            <v>GGBRW24</v>
          </cell>
          <cell r="BZ1170">
            <v>14.5</v>
          </cell>
          <cell r="CA1170" t="str">
            <v>16-11-2009</v>
          </cell>
          <cell r="CB1170" t="str">
            <v xml:space="preserve">GGBR    /ED </v>
          </cell>
          <cell r="CC1170" t="str">
            <v>PN      N1</v>
          </cell>
          <cell r="CD1170" t="str">
            <v xml:space="preserve">OPCOES VENDA   </v>
          </cell>
          <cell r="CE1170" t="str">
            <v xml:space="preserve">Europeu        </v>
          </cell>
        </row>
        <row r="1171">
          <cell r="AF1171">
            <v>1166</v>
          </cell>
          <cell r="AG1171">
            <v>0.11569772275338752</v>
          </cell>
          <cell r="BY1171" t="str">
            <v>GGBRW25</v>
          </cell>
          <cell r="BZ1171">
            <v>15</v>
          </cell>
          <cell r="CA1171" t="str">
            <v>16-11-2009</v>
          </cell>
          <cell r="CB1171" t="str">
            <v xml:space="preserve">GGBR    /ED </v>
          </cell>
          <cell r="CC1171" t="str">
            <v>PN      N1</v>
          </cell>
          <cell r="CD1171" t="str">
            <v xml:space="preserve">OPCOES VENDA   </v>
          </cell>
          <cell r="CE1171" t="str">
            <v xml:space="preserve">Europeu        </v>
          </cell>
        </row>
        <row r="1172">
          <cell r="AF1172">
            <v>1167</v>
          </cell>
          <cell r="AG1172">
            <v>0.11571171352076393</v>
          </cell>
          <cell r="BY1172" t="str">
            <v>GGBRW26</v>
          </cell>
          <cell r="BZ1172">
            <v>15.5</v>
          </cell>
          <cell r="CA1172" t="str">
            <v>16-11-2009</v>
          </cell>
          <cell r="CB1172" t="str">
            <v xml:space="preserve">GGBR    /ED </v>
          </cell>
          <cell r="CC1172" t="str">
            <v>PN      N1</v>
          </cell>
          <cell r="CD1172" t="str">
            <v xml:space="preserve">OPCOES VENDA   </v>
          </cell>
          <cell r="CE1172" t="str">
            <v xml:space="preserve">Europeu        </v>
          </cell>
        </row>
        <row r="1173">
          <cell r="AF1173">
            <v>1168</v>
          </cell>
          <cell r="AG1173">
            <v>0.11572568050633958</v>
          </cell>
          <cell r="BY1173" t="str">
            <v>GGBRW16</v>
          </cell>
          <cell r="BZ1173">
            <v>15.96</v>
          </cell>
          <cell r="CA1173" t="str">
            <v>16-11-2009</v>
          </cell>
          <cell r="CB1173" t="str">
            <v xml:space="preserve">GGBR    /ED </v>
          </cell>
          <cell r="CC1173" t="str">
            <v>PN      N1</v>
          </cell>
          <cell r="CD1173" t="str">
            <v xml:space="preserve">OPCOES VENDA   </v>
          </cell>
          <cell r="CE1173" t="str">
            <v xml:space="preserve">Europeu        </v>
          </cell>
        </row>
        <row r="1174">
          <cell r="AF1174">
            <v>1169</v>
          </cell>
          <cell r="AG1174">
            <v>0.11573962377069913</v>
          </cell>
          <cell r="BY1174" t="str">
            <v>GGBRW27</v>
          </cell>
          <cell r="BZ1174">
            <v>16.5</v>
          </cell>
          <cell r="CA1174" t="str">
            <v>16-11-2009</v>
          </cell>
          <cell r="CB1174" t="str">
            <v xml:space="preserve">GGBR    /ED </v>
          </cell>
          <cell r="CC1174" t="str">
            <v>PN      N1</v>
          </cell>
          <cell r="CD1174" t="str">
            <v xml:space="preserve">OPCOES VENDA   </v>
          </cell>
          <cell r="CE1174" t="str">
            <v xml:space="preserve">Europeu        </v>
          </cell>
        </row>
        <row r="1175">
          <cell r="AF1175">
            <v>1170</v>
          </cell>
          <cell r="AG1175">
            <v>0.11575354337422139</v>
          </cell>
          <cell r="BY1175" t="str">
            <v>GGBRW28</v>
          </cell>
          <cell r="BZ1175">
            <v>17</v>
          </cell>
          <cell r="CA1175" t="str">
            <v>16-11-2009</v>
          </cell>
          <cell r="CB1175" t="str">
            <v xml:space="preserve">GGBR    /ED </v>
          </cell>
          <cell r="CC1175" t="str">
            <v>PN      N1</v>
          </cell>
          <cell r="CD1175" t="str">
            <v xml:space="preserve">OPCOES VENDA   </v>
          </cell>
          <cell r="CE1175" t="str">
            <v xml:space="preserve">Europeu        </v>
          </cell>
        </row>
        <row r="1176">
          <cell r="AF1176">
            <v>1171</v>
          </cell>
          <cell r="AG1176">
            <v>0.11576743937708134</v>
          </cell>
          <cell r="BY1176" t="str">
            <v>GGBRW29</v>
          </cell>
          <cell r="BZ1176">
            <v>17.5</v>
          </cell>
          <cell r="CA1176" t="str">
            <v>16-11-2009</v>
          </cell>
          <cell r="CB1176" t="str">
            <v xml:space="preserve">GGBR    /ED </v>
          </cell>
          <cell r="CC1176" t="str">
            <v>PN      N1</v>
          </cell>
          <cell r="CD1176" t="str">
            <v xml:space="preserve">OPCOES VENDA   </v>
          </cell>
          <cell r="CE1176" t="str">
            <v xml:space="preserve">Europeu        </v>
          </cell>
        </row>
        <row r="1177">
          <cell r="AF1177">
            <v>1172</v>
          </cell>
          <cell r="AG1177">
            <v>0.11578131183924878</v>
          </cell>
          <cell r="BY1177" t="str">
            <v>GGBRX4</v>
          </cell>
          <cell r="BZ1177">
            <v>16</v>
          </cell>
          <cell r="CA1177" t="str">
            <v>21-12-2009</v>
          </cell>
          <cell r="CB1177" t="str">
            <v xml:space="preserve">GGBR    /ED </v>
          </cell>
          <cell r="CC1177" t="str">
            <v>PN      N1</v>
          </cell>
          <cell r="CD1177" t="str">
            <v xml:space="preserve">OPCOES VENDA   </v>
          </cell>
          <cell r="CE1177" t="str">
            <v xml:space="preserve">Europeu        </v>
          </cell>
        </row>
        <row r="1178">
          <cell r="AF1178">
            <v>1173</v>
          </cell>
          <cell r="AG1178">
            <v>0.11579516082049168</v>
          </cell>
          <cell r="BY1178" t="str">
            <v>GGBRX5</v>
          </cell>
          <cell r="BZ1178">
            <v>16.5</v>
          </cell>
          <cell r="CA1178" t="str">
            <v>21-12-2009</v>
          </cell>
          <cell r="CB1178" t="str">
            <v xml:space="preserve">GGBR    /ED </v>
          </cell>
          <cell r="CC1178" t="str">
            <v>PN      N1</v>
          </cell>
          <cell r="CD1178" t="str">
            <v xml:space="preserve">OPCOES VENDA   </v>
          </cell>
          <cell r="CE1178" t="str">
            <v xml:space="preserve">Europeu        </v>
          </cell>
        </row>
        <row r="1179">
          <cell r="AF1179">
            <v>1174</v>
          </cell>
          <cell r="AG1179">
            <v>0.1158089863803744</v>
          </cell>
          <cell r="BY1179" t="str">
            <v>GGBRX6</v>
          </cell>
          <cell r="BZ1179">
            <v>17</v>
          </cell>
          <cell r="CA1179" t="str">
            <v>21-12-2009</v>
          </cell>
          <cell r="CB1179" t="str">
            <v xml:space="preserve">GGBR    /ED </v>
          </cell>
          <cell r="CC1179" t="str">
            <v>PN      N1</v>
          </cell>
          <cell r="CD1179" t="str">
            <v xml:space="preserve">OPCOES VENDA   </v>
          </cell>
          <cell r="CE1179" t="str">
            <v xml:space="preserve">Europeu        </v>
          </cell>
        </row>
        <row r="1180">
          <cell r="AF1180">
            <v>1175</v>
          </cell>
          <cell r="AG1180">
            <v>0.11582278857826167</v>
          </cell>
          <cell r="BY1180" t="str">
            <v>GGBRX7</v>
          </cell>
          <cell r="BZ1180">
            <v>17.5</v>
          </cell>
          <cell r="CA1180" t="str">
            <v>21-12-2009</v>
          </cell>
          <cell r="CB1180" t="str">
            <v xml:space="preserve">GGBR    /ED </v>
          </cell>
          <cell r="CC1180" t="str">
            <v>PN      N1</v>
          </cell>
          <cell r="CD1180" t="str">
            <v xml:space="preserve">OPCOES VENDA   </v>
          </cell>
          <cell r="CE1180" t="str">
            <v xml:space="preserve">Europeu        </v>
          </cell>
        </row>
        <row r="1181">
          <cell r="AF1181">
            <v>1176</v>
          </cell>
          <cell r="AG1181">
            <v>0.11583656747331683</v>
          </cell>
          <cell r="BY1181" t="str">
            <v>GGBRX8</v>
          </cell>
          <cell r="BZ1181">
            <v>17.96</v>
          </cell>
          <cell r="CA1181" t="str">
            <v>21-12-2009</v>
          </cell>
          <cell r="CB1181" t="str">
            <v xml:space="preserve">GGBR    /ED </v>
          </cell>
          <cell r="CC1181" t="str">
            <v>PN      N1</v>
          </cell>
          <cell r="CD1181" t="str">
            <v xml:space="preserve">OPCOES VENDA   </v>
          </cell>
          <cell r="CE1181" t="str">
            <v xml:space="preserve">Europeu        </v>
          </cell>
        </row>
        <row r="1182">
          <cell r="AF1182">
            <v>1177</v>
          </cell>
          <cell r="AG1182">
            <v>0.11585032312450338</v>
          </cell>
          <cell r="BY1182" t="str">
            <v>GGBRM9</v>
          </cell>
          <cell r="BZ1182">
            <v>9</v>
          </cell>
          <cell r="CA1182" t="str">
            <v>18-01-2010</v>
          </cell>
          <cell r="CB1182" t="str">
            <v xml:space="preserve">GGBR    /ED </v>
          </cell>
          <cell r="CC1182" t="str">
            <v>PN      N1</v>
          </cell>
          <cell r="CD1182" t="str">
            <v xml:space="preserve">OPCOES VENDA   </v>
          </cell>
          <cell r="CE1182" t="str">
            <v xml:space="preserve">Europeu        </v>
          </cell>
        </row>
        <row r="1183">
          <cell r="AF1183">
            <v>1178</v>
          </cell>
          <cell r="AG1183">
            <v>0.11586405559058699</v>
          </cell>
          <cell r="BY1183" t="str">
            <v>GGBRM13</v>
          </cell>
          <cell r="BZ1183">
            <v>13</v>
          </cell>
          <cell r="CA1183" t="str">
            <v>18-01-2010</v>
          </cell>
          <cell r="CB1183" t="str">
            <v xml:space="preserve">GGBR    /ED </v>
          </cell>
          <cell r="CC1183" t="str">
            <v>PN      N1</v>
          </cell>
          <cell r="CD1183" t="str">
            <v xml:space="preserve">OPCOES VENDA   </v>
          </cell>
          <cell r="CE1183" t="str">
            <v xml:space="preserve">Europeu        </v>
          </cell>
        </row>
        <row r="1184">
          <cell r="AF1184">
            <v>1179</v>
          </cell>
          <cell r="AG1184">
            <v>0.1158777649301348</v>
          </cell>
          <cell r="BY1184" t="str">
            <v>GGBRM15</v>
          </cell>
          <cell r="BZ1184">
            <v>15</v>
          </cell>
          <cell r="CA1184" t="str">
            <v>18-01-2010</v>
          </cell>
          <cell r="CB1184" t="str">
            <v xml:space="preserve">GGBR    /ED </v>
          </cell>
          <cell r="CC1184" t="str">
            <v>PN      N1</v>
          </cell>
          <cell r="CD1184" t="str">
            <v xml:space="preserve">OPCOES VENDA   </v>
          </cell>
          <cell r="CE1184" t="str">
            <v xml:space="preserve">Europeu        </v>
          </cell>
        </row>
        <row r="1185">
          <cell r="AF1185">
            <v>1180</v>
          </cell>
          <cell r="AG1185">
            <v>0.11589145120151656</v>
          </cell>
          <cell r="BY1185" t="str">
            <v>GOAUC17</v>
          </cell>
          <cell r="BZ1185">
            <v>17</v>
          </cell>
          <cell r="CA1185" t="str">
            <v>16-03-2009</v>
          </cell>
          <cell r="CB1185" t="str">
            <v xml:space="preserve">GOAU    /ED </v>
          </cell>
          <cell r="CC1185" t="str">
            <v>PN      N1</v>
          </cell>
          <cell r="CD1185" t="str">
            <v xml:space="preserve">OPCOES COMPRA  </v>
          </cell>
          <cell r="CE1185" t="str">
            <v xml:space="preserve">Americano      </v>
          </cell>
        </row>
        <row r="1186">
          <cell r="AF1186">
            <v>1181</v>
          </cell>
          <cell r="AG1186">
            <v>0.11590511446290663</v>
          </cell>
          <cell r="BY1186" t="str">
            <v>GOAUC1</v>
          </cell>
          <cell r="BZ1186">
            <v>17.5</v>
          </cell>
          <cell r="CA1186" t="str">
            <v>16-03-2009</v>
          </cell>
          <cell r="CB1186" t="str">
            <v xml:space="preserve">GOAU    /ED </v>
          </cell>
          <cell r="CC1186" t="str">
            <v>PN      N1</v>
          </cell>
          <cell r="CD1186" t="str">
            <v xml:space="preserve">OPCOES COMPRA  </v>
          </cell>
          <cell r="CE1186" t="str">
            <v xml:space="preserve">Europeu        </v>
          </cell>
        </row>
        <row r="1187">
          <cell r="AF1187">
            <v>1182</v>
          </cell>
          <cell r="AG1187">
            <v>0.11591875477228308</v>
          </cell>
          <cell r="BY1187" t="str">
            <v>GOAUC18</v>
          </cell>
          <cell r="BZ1187">
            <v>18</v>
          </cell>
          <cell r="CA1187" t="str">
            <v>16-03-2009</v>
          </cell>
          <cell r="CB1187" t="str">
            <v xml:space="preserve">GOAU    /ED </v>
          </cell>
          <cell r="CC1187" t="str">
            <v>PN      N1</v>
          </cell>
          <cell r="CD1187" t="str">
            <v xml:space="preserve">OPCOES COMPRA  </v>
          </cell>
          <cell r="CE1187" t="str">
            <v xml:space="preserve">Americano      </v>
          </cell>
        </row>
        <row r="1188">
          <cell r="AF1188">
            <v>1183</v>
          </cell>
          <cell r="AG1188">
            <v>0.11593237218742991</v>
          </cell>
          <cell r="BY1188" t="str">
            <v>GOAUC19</v>
          </cell>
          <cell r="BZ1188">
            <v>18.899999999999999</v>
          </cell>
          <cell r="CA1188" t="str">
            <v>16-03-2009</v>
          </cell>
          <cell r="CB1188" t="str">
            <v xml:space="preserve">GOAU    /ED </v>
          </cell>
          <cell r="CC1188" t="str">
            <v>PN      N1</v>
          </cell>
          <cell r="CD1188" t="str">
            <v xml:space="preserve">OPCOES COMPRA  </v>
          </cell>
          <cell r="CE1188" t="str">
            <v xml:space="preserve">Americano      </v>
          </cell>
        </row>
        <row r="1189">
          <cell r="AF1189">
            <v>1184</v>
          </cell>
          <cell r="AG1189">
            <v>0.11594596676593705</v>
          </cell>
          <cell r="BY1189" t="str">
            <v>GOAUC20</v>
          </cell>
          <cell r="BZ1189">
            <v>20</v>
          </cell>
          <cell r="CA1189" t="str">
            <v>16-03-2009</v>
          </cell>
          <cell r="CB1189" t="str">
            <v xml:space="preserve">GOAU    /ED </v>
          </cell>
          <cell r="CC1189" t="str">
            <v>PN      N1</v>
          </cell>
          <cell r="CD1189" t="str">
            <v xml:space="preserve">OPCOES COMPRA  </v>
          </cell>
          <cell r="CE1189" t="str">
            <v xml:space="preserve">Americano      </v>
          </cell>
        </row>
        <row r="1190">
          <cell r="AF1190">
            <v>1185</v>
          </cell>
          <cell r="AG1190">
            <v>0.11595953856520147</v>
          </cell>
          <cell r="BY1190" t="str">
            <v>GOAUC21</v>
          </cell>
          <cell r="BZ1190">
            <v>21</v>
          </cell>
          <cell r="CA1190" t="str">
            <v>16-03-2009</v>
          </cell>
          <cell r="CB1190" t="str">
            <v xml:space="preserve">GOAU    /ED </v>
          </cell>
          <cell r="CC1190" t="str">
            <v>PN      N1</v>
          </cell>
          <cell r="CD1190" t="str">
            <v xml:space="preserve">OPCOES COMPRA  </v>
          </cell>
          <cell r="CE1190" t="str">
            <v xml:space="preserve">Americano      </v>
          </cell>
        </row>
        <row r="1191">
          <cell r="AF1191">
            <v>1186</v>
          </cell>
          <cell r="AG1191">
            <v>0.11597308764242831</v>
          </cell>
          <cell r="BY1191" t="str">
            <v>GOAUC22</v>
          </cell>
          <cell r="BZ1191">
            <v>22</v>
          </cell>
          <cell r="CA1191" t="str">
            <v>16-03-2009</v>
          </cell>
          <cell r="CB1191" t="str">
            <v xml:space="preserve">GOAU    /ED </v>
          </cell>
          <cell r="CC1191" t="str">
            <v>PN      N1</v>
          </cell>
          <cell r="CD1191" t="str">
            <v xml:space="preserve">OPCOES COMPRA  </v>
          </cell>
          <cell r="CE1191" t="str">
            <v xml:space="preserve">Americano      </v>
          </cell>
        </row>
        <row r="1192">
          <cell r="AF1192">
            <v>1187</v>
          </cell>
          <cell r="AG1192">
            <v>0.1159866140546304</v>
          </cell>
          <cell r="BY1192" t="str">
            <v>GOAUC23</v>
          </cell>
          <cell r="BZ1192">
            <v>23</v>
          </cell>
          <cell r="CA1192" t="str">
            <v>16-03-2009</v>
          </cell>
          <cell r="CB1192" t="str">
            <v xml:space="preserve">GOAU    /ED </v>
          </cell>
          <cell r="CC1192" t="str">
            <v>PN      N1</v>
          </cell>
          <cell r="CD1192" t="str">
            <v xml:space="preserve">OPCOES COMPRA  </v>
          </cell>
          <cell r="CE1192" t="str">
            <v xml:space="preserve">Americano      </v>
          </cell>
        </row>
        <row r="1193">
          <cell r="AF1193">
            <v>1188</v>
          </cell>
          <cell r="AG1193">
            <v>0.11600011785863118</v>
          </cell>
          <cell r="BY1193" t="str">
            <v>GOAUC24</v>
          </cell>
          <cell r="BZ1193">
            <v>23.9</v>
          </cell>
          <cell r="CA1193" t="str">
            <v>16-03-2009</v>
          </cell>
          <cell r="CB1193" t="str">
            <v xml:space="preserve">GOAU    /ED </v>
          </cell>
          <cell r="CC1193" t="str">
            <v>PN      N1</v>
          </cell>
          <cell r="CD1193" t="str">
            <v xml:space="preserve">OPCOES COMPRA  </v>
          </cell>
          <cell r="CE1193" t="str">
            <v xml:space="preserve">Americano      </v>
          </cell>
        </row>
        <row r="1194">
          <cell r="AF1194">
            <v>1189</v>
          </cell>
          <cell r="AG1194">
            <v>0.11601359911106357</v>
          </cell>
          <cell r="BY1194" t="str">
            <v>GOAUD20</v>
          </cell>
          <cell r="BZ1194">
            <v>20</v>
          </cell>
          <cell r="CA1194" t="str">
            <v>20-04-2009</v>
          </cell>
          <cell r="CB1194" t="str">
            <v xml:space="preserve">GOAU    /ED </v>
          </cell>
          <cell r="CC1194" t="str">
            <v>PN      N1</v>
          </cell>
          <cell r="CD1194" t="str">
            <v xml:space="preserve">OPCOES COMPRA  </v>
          </cell>
          <cell r="CE1194" t="str">
            <v xml:space="preserve">Americano      </v>
          </cell>
        </row>
        <row r="1195">
          <cell r="AF1195">
            <v>1190</v>
          </cell>
          <cell r="AG1195">
            <v>0.11602705786837197</v>
          </cell>
          <cell r="BY1195" t="str">
            <v>GOAUD21</v>
          </cell>
          <cell r="BZ1195">
            <v>21</v>
          </cell>
          <cell r="CA1195" t="str">
            <v>20-04-2009</v>
          </cell>
          <cell r="CB1195" t="str">
            <v xml:space="preserve">GOAU    /ED </v>
          </cell>
          <cell r="CC1195" t="str">
            <v>PN      N1</v>
          </cell>
          <cell r="CD1195" t="str">
            <v xml:space="preserve">OPCOES COMPRA  </v>
          </cell>
          <cell r="CE1195" t="str">
            <v xml:space="preserve">Americano      </v>
          </cell>
        </row>
        <row r="1196">
          <cell r="AF1196">
            <v>1191</v>
          </cell>
          <cell r="AG1196">
            <v>0.11604049418681184</v>
          </cell>
          <cell r="BY1196" t="str">
            <v>GOAUD22</v>
          </cell>
          <cell r="BZ1196">
            <v>22</v>
          </cell>
          <cell r="CA1196" t="str">
            <v>20-04-2009</v>
          </cell>
          <cell r="CB1196" t="str">
            <v xml:space="preserve">GOAU    /ED </v>
          </cell>
          <cell r="CC1196" t="str">
            <v>PN      N1</v>
          </cell>
          <cell r="CD1196" t="str">
            <v xml:space="preserve">OPCOES COMPRA  </v>
          </cell>
          <cell r="CE1196" t="str">
            <v xml:space="preserve">Americano      </v>
          </cell>
        </row>
        <row r="1197">
          <cell r="AF1197">
            <v>1192</v>
          </cell>
          <cell r="AG1197">
            <v>0.11605390812245164</v>
          </cell>
          <cell r="BY1197" t="str">
            <v>GOAUD24</v>
          </cell>
          <cell r="BZ1197">
            <v>24</v>
          </cell>
          <cell r="CA1197" t="str">
            <v>20-04-2009</v>
          </cell>
          <cell r="CB1197" t="str">
            <v xml:space="preserve">GOAU    /ED </v>
          </cell>
          <cell r="CC1197" t="str">
            <v>PN      N1</v>
          </cell>
          <cell r="CD1197" t="str">
            <v xml:space="preserve">OPCOES COMPRA  </v>
          </cell>
          <cell r="CE1197" t="str">
            <v xml:space="preserve">Americano      </v>
          </cell>
        </row>
        <row r="1198">
          <cell r="AF1198">
            <v>1193</v>
          </cell>
          <cell r="AG1198">
            <v>0.1160672997311738</v>
          </cell>
          <cell r="BY1198" t="str">
            <v>GOAUD26</v>
          </cell>
          <cell r="BZ1198">
            <v>26</v>
          </cell>
          <cell r="CA1198" t="str">
            <v>20-04-2009</v>
          </cell>
          <cell r="CB1198" t="str">
            <v xml:space="preserve">GOAU    /ED </v>
          </cell>
          <cell r="CC1198" t="str">
            <v>PN      N1</v>
          </cell>
          <cell r="CD1198" t="str">
            <v xml:space="preserve">OPCOES COMPRA  </v>
          </cell>
          <cell r="CE1198" t="str">
            <v xml:space="preserve">Americano      </v>
          </cell>
        </row>
        <row r="1199">
          <cell r="AF1199">
            <v>1194</v>
          </cell>
          <cell r="AG1199">
            <v>0.11608066906867376</v>
          </cell>
          <cell r="BY1199" t="str">
            <v>GOAUO17</v>
          </cell>
          <cell r="BZ1199">
            <v>16.899999999999999</v>
          </cell>
          <cell r="CA1199" t="str">
            <v>16-03-2009</v>
          </cell>
          <cell r="CB1199" t="str">
            <v xml:space="preserve">GOAU    /ED </v>
          </cell>
          <cell r="CC1199" t="str">
            <v>PN      N1</v>
          </cell>
          <cell r="CD1199" t="str">
            <v xml:space="preserve">OPCOES VENDA   </v>
          </cell>
          <cell r="CE1199" t="str">
            <v xml:space="preserve">Europeu        </v>
          </cell>
        </row>
        <row r="1200">
          <cell r="AF1200">
            <v>1195</v>
          </cell>
          <cell r="AG1200">
            <v>0.11609401619046222</v>
          </cell>
          <cell r="BY1200" t="str">
            <v>GOAUO1</v>
          </cell>
          <cell r="BZ1200">
            <v>17.5</v>
          </cell>
          <cell r="CA1200" t="str">
            <v>16-03-2009</v>
          </cell>
          <cell r="CB1200" t="str">
            <v xml:space="preserve">GOAU    /ED </v>
          </cell>
          <cell r="CC1200" t="str">
            <v>PN      N1</v>
          </cell>
          <cell r="CD1200" t="str">
            <v xml:space="preserve">OPCOES VENDA   </v>
          </cell>
          <cell r="CE1200" t="str">
            <v xml:space="preserve">Europeu        </v>
          </cell>
        </row>
        <row r="1201">
          <cell r="AF1201">
            <v>1196</v>
          </cell>
          <cell r="AG1201">
            <v>0.11610734115186649</v>
          </cell>
          <cell r="BY1201" t="str">
            <v>GOAUO18</v>
          </cell>
          <cell r="BZ1201">
            <v>18</v>
          </cell>
          <cell r="CA1201" t="str">
            <v>16-03-2009</v>
          </cell>
          <cell r="CB1201" t="str">
            <v xml:space="preserve">GOAU    /ED </v>
          </cell>
          <cell r="CC1201" t="str">
            <v>PN      N1</v>
          </cell>
          <cell r="CD1201" t="str">
            <v xml:space="preserve">OPCOES VENDA   </v>
          </cell>
          <cell r="CE1201" t="str">
            <v xml:space="preserve">Europeu        </v>
          </cell>
        </row>
        <row r="1202">
          <cell r="AF1202">
            <v>1197</v>
          </cell>
          <cell r="AG1202">
            <v>0.11612064400802913</v>
          </cell>
          <cell r="BY1202" t="str">
            <v>GOAUO19</v>
          </cell>
          <cell r="BZ1202">
            <v>19</v>
          </cell>
          <cell r="CA1202" t="str">
            <v>16-03-2009</v>
          </cell>
          <cell r="CB1202" t="str">
            <v xml:space="preserve">GOAU    /ED </v>
          </cell>
          <cell r="CC1202" t="str">
            <v>PN      N1</v>
          </cell>
          <cell r="CD1202" t="str">
            <v xml:space="preserve">OPCOES VENDA   </v>
          </cell>
          <cell r="CE1202" t="str">
            <v xml:space="preserve">Europeu        </v>
          </cell>
        </row>
        <row r="1203">
          <cell r="AF1203">
            <v>1198</v>
          </cell>
          <cell r="AG1203">
            <v>0.11613392481391016</v>
          </cell>
          <cell r="BY1203" t="str">
            <v>GOAUO20</v>
          </cell>
          <cell r="BZ1203">
            <v>19.899999999999999</v>
          </cell>
          <cell r="CA1203" t="str">
            <v>16-03-2009</v>
          </cell>
          <cell r="CB1203" t="str">
            <v xml:space="preserve">GOAU    /ED </v>
          </cell>
          <cell r="CC1203" t="str">
            <v>PN      N1</v>
          </cell>
          <cell r="CD1203" t="str">
            <v xml:space="preserve">OPCOES VENDA   </v>
          </cell>
          <cell r="CE1203" t="str">
            <v xml:space="preserve">Europeu        </v>
          </cell>
        </row>
        <row r="1204">
          <cell r="AF1204">
            <v>1199</v>
          </cell>
          <cell r="AG1204">
            <v>0.11614718362428778</v>
          </cell>
          <cell r="BY1204" t="str">
            <v>GOAUO21</v>
          </cell>
          <cell r="BZ1204">
            <v>21</v>
          </cell>
          <cell r="CA1204" t="str">
            <v>16-03-2009</v>
          </cell>
          <cell r="CB1204" t="str">
            <v xml:space="preserve">GOAU    /ED </v>
          </cell>
          <cell r="CC1204" t="str">
            <v>PN      N1</v>
          </cell>
          <cell r="CD1204" t="str">
            <v xml:space="preserve">OPCOES VENDA   </v>
          </cell>
          <cell r="CE1204" t="str">
            <v xml:space="preserve">Europeu        </v>
          </cell>
        </row>
        <row r="1205">
          <cell r="AF1205">
            <v>1200</v>
          </cell>
          <cell r="AG1205">
            <v>0.11616042049375919</v>
          </cell>
          <cell r="BY1205" t="str">
            <v>GOAUO22</v>
          </cell>
          <cell r="BZ1205">
            <v>22</v>
          </cell>
          <cell r="CA1205" t="str">
            <v>16-03-2009</v>
          </cell>
          <cell r="CB1205" t="str">
            <v xml:space="preserve">GOAU    /ED </v>
          </cell>
          <cell r="CC1205" t="str">
            <v>PN      N1</v>
          </cell>
          <cell r="CD1205" t="str">
            <v xml:space="preserve">OPCOES VENDA   </v>
          </cell>
          <cell r="CE1205" t="str">
            <v xml:space="preserve">Europeu        </v>
          </cell>
        </row>
        <row r="1206">
          <cell r="AF1206">
            <v>1201</v>
          </cell>
          <cell r="AG1206">
            <v>0.11617363547674064</v>
          </cell>
          <cell r="BY1206" t="str">
            <v>GOAUO23</v>
          </cell>
          <cell r="BZ1206">
            <v>23</v>
          </cell>
          <cell r="CA1206" t="str">
            <v>16-03-2009</v>
          </cell>
          <cell r="CB1206" t="str">
            <v xml:space="preserve">GOAU    /ED </v>
          </cell>
          <cell r="CC1206" t="str">
            <v>PN      N1</v>
          </cell>
          <cell r="CD1206" t="str">
            <v xml:space="preserve">OPCOES VENDA   </v>
          </cell>
          <cell r="CE1206" t="str">
            <v xml:space="preserve">Europeu        </v>
          </cell>
        </row>
        <row r="1207">
          <cell r="AF1207">
            <v>1202</v>
          </cell>
          <cell r="AG1207">
            <v>0.11618682862746832</v>
          </cell>
          <cell r="BY1207" t="str">
            <v>GOAUO24</v>
          </cell>
          <cell r="BZ1207">
            <v>24</v>
          </cell>
          <cell r="CA1207" t="str">
            <v>16-03-2009</v>
          </cell>
          <cell r="CB1207" t="str">
            <v xml:space="preserve">GOAU    /ED </v>
          </cell>
          <cell r="CC1207" t="str">
            <v>PN      N1</v>
          </cell>
          <cell r="CD1207" t="str">
            <v xml:space="preserve">OPCOES VENDA   </v>
          </cell>
          <cell r="CE1207" t="str">
            <v xml:space="preserve">Europeu        </v>
          </cell>
        </row>
        <row r="1208">
          <cell r="AF1208">
            <v>1203</v>
          </cell>
          <cell r="AG1208">
            <v>0.11620000000000008</v>
          </cell>
          <cell r="BY1208" t="str">
            <v>GOAUP20</v>
          </cell>
          <cell r="BZ1208">
            <v>20</v>
          </cell>
          <cell r="CA1208" t="str">
            <v>20-04-2009</v>
          </cell>
          <cell r="CB1208" t="str">
            <v xml:space="preserve">GOAU    /ED </v>
          </cell>
          <cell r="CC1208" t="str">
            <v>PN      N1</v>
          </cell>
          <cell r="CD1208" t="str">
            <v xml:space="preserve">OPCOES VENDA   </v>
          </cell>
          <cell r="CE1208" t="str">
            <v xml:space="preserve">Europeu        </v>
          </cell>
        </row>
        <row r="1209">
          <cell r="AF1209">
            <v>1204</v>
          </cell>
          <cell r="AG1209">
            <v>0.11620623056955615</v>
          </cell>
          <cell r="BY1209" t="str">
            <v>GOAUP21</v>
          </cell>
          <cell r="BZ1209">
            <v>21</v>
          </cell>
          <cell r="CA1209" t="str">
            <v>20-04-2009</v>
          </cell>
          <cell r="CB1209" t="str">
            <v xml:space="preserve">GOAU    /ED </v>
          </cell>
          <cell r="CC1209" t="str">
            <v>PN      N1</v>
          </cell>
          <cell r="CD1209" t="str">
            <v xml:space="preserve">OPCOES VENDA   </v>
          </cell>
          <cell r="CE1209" t="str">
            <v xml:space="preserve">Europeu        </v>
          </cell>
        </row>
        <row r="1210">
          <cell r="AF1210">
            <v>1205</v>
          </cell>
          <cell r="AG1210">
            <v>0.11621245083260989</v>
          </cell>
          <cell r="BY1210" t="str">
            <v>GOAUP22</v>
          </cell>
          <cell r="BZ1210">
            <v>22</v>
          </cell>
          <cell r="CA1210" t="str">
            <v>20-04-2009</v>
          </cell>
          <cell r="CB1210" t="str">
            <v xml:space="preserve">GOAU    /ED </v>
          </cell>
          <cell r="CC1210" t="str">
            <v>PN      N1</v>
          </cell>
          <cell r="CD1210" t="str">
            <v xml:space="preserve">OPCOES VENDA   </v>
          </cell>
          <cell r="CE1210" t="str">
            <v xml:space="preserve">Europeu        </v>
          </cell>
        </row>
        <row r="1211">
          <cell r="AF1211">
            <v>1206</v>
          </cell>
          <cell r="AG1211">
            <v>0.11621866081471355</v>
          </cell>
          <cell r="BY1211" t="str">
            <v>GOAUP24</v>
          </cell>
          <cell r="BZ1211">
            <v>24</v>
          </cell>
          <cell r="CA1211" t="str">
            <v>20-04-2009</v>
          </cell>
          <cell r="CB1211" t="str">
            <v xml:space="preserve">GOAU    /ED </v>
          </cell>
          <cell r="CC1211" t="str">
            <v>PN      N1</v>
          </cell>
          <cell r="CD1211" t="str">
            <v xml:space="preserve">OPCOES VENDA   </v>
          </cell>
          <cell r="CE1211" t="str">
            <v xml:space="preserve">Europeu        </v>
          </cell>
        </row>
        <row r="1212">
          <cell r="AF1212">
            <v>1207</v>
          </cell>
          <cell r="AG1212">
            <v>0.11622486054133496</v>
          </cell>
          <cell r="BY1212" t="str">
            <v>GOAUP26</v>
          </cell>
          <cell r="BZ1212">
            <v>26</v>
          </cell>
          <cell r="CA1212" t="str">
            <v>20-04-2009</v>
          </cell>
          <cell r="CB1212" t="str">
            <v xml:space="preserve">GOAU    /ED </v>
          </cell>
          <cell r="CC1212" t="str">
            <v>PN      N1</v>
          </cell>
          <cell r="CD1212" t="str">
            <v xml:space="preserve">OPCOES VENDA   </v>
          </cell>
          <cell r="CE1212" t="str">
            <v xml:space="preserve">Europeu        </v>
          </cell>
        </row>
        <row r="1213">
          <cell r="AF1213">
            <v>1208</v>
          </cell>
          <cell r="AG1213">
            <v>0.11623105003785761</v>
          </cell>
          <cell r="BY1213" t="str">
            <v>ITAUC20</v>
          </cell>
          <cell r="BZ1213">
            <v>20</v>
          </cell>
          <cell r="CA1213" t="str">
            <v>16-03-2009</v>
          </cell>
          <cell r="CB1213" t="str">
            <v>ITAU    /EDJ</v>
          </cell>
          <cell r="CC1213" t="str">
            <v>PN      N1</v>
          </cell>
          <cell r="CD1213" t="str">
            <v xml:space="preserve">OPCOES COMPRA  </v>
          </cell>
          <cell r="CE1213" t="str">
            <v xml:space="preserve">Americano      </v>
          </cell>
        </row>
        <row r="1214">
          <cell r="AF1214">
            <v>1209</v>
          </cell>
          <cell r="AG1214">
            <v>0.1162372293295808</v>
          </cell>
          <cell r="BY1214" t="str">
            <v>ITAUC21</v>
          </cell>
          <cell r="BZ1214">
            <v>21</v>
          </cell>
          <cell r="CA1214" t="str">
            <v>16-03-2009</v>
          </cell>
          <cell r="CB1214" t="str">
            <v>ITAU    /EDJ</v>
          </cell>
          <cell r="CC1214" t="str">
            <v>PN      N1</v>
          </cell>
          <cell r="CD1214" t="str">
            <v xml:space="preserve">OPCOES COMPRA  </v>
          </cell>
          <cell r="CE1214" t="str">
            <v xml:space="preserve">Europeu        </v>
          </cell>
        </row>
        <row r="1215">
          <cell r="AF1215">
            <v>1210</v>
          </cell>
          <cell r="AG1215">
            <v>0.11624339844172193</v>
          </cell>
          <cell r="BY1215" t="str">
            <v>ITAUC22</v>
          </cell>
          <cell r="BZ1215">
            <v>21.81</v>
          </cell>
          <cell r="CA1215" t="str">
            <v>16-03-2009</v>
          </cell>
          <cell r="CB1215" t="str">
            <v>ITAU    /EDJ</v>
          </cell>
          <cell r="CC1215" t="str">
            <v>PN      N1</v>
          </cell>
          <cell r="CD1215" t="str">
            <v xml:space="preserve">OPCOES COMPRA  </v>
          </cell>
          <cell r="CE1215" t="str">
            <v xml:space="preserve">Americano      </v>
          </cell>
        </row>
        <row r="1216">
          <cell r="AF1216">
            <v>1211</v>
          </cell>
          <cell r="AG1216">
            <v>0.11624955739941423</v>
          </cell>
          <cell r="BY1216" t="str">
            <v>ITAUC23</v>
          </cell>
          <cell r="BZ1216">
            <v>22.81</v>
          </cell>
          <cell r="CA1216" t="str">
            <v>16-03-2009</v>
          </cell>
          <cell r="CB1216" t="str">
            <v>ITAU    /EDJ</v>
          </cell>
          <cell r="CC1216" t="str">
            <v>PN      N1</v>
          </cell>
          <cell r="CD1216" t="str">
            <v xml:space="preserve">OPCOES COMPRA  </v>
          </cell>
          <cell r="CE1216" t="str">
            <v xml:space="preserve">Europeu        </v>
          </cell>
        </row>
        <row r="1217">
          <cell r="AF1217">
            <v>1212</v>
          </cell>
          <cell r="AG1217">
            <v>0.11625570622770809</v>
          </cell>
          <cell r="BY1217" t="str">
            <v>ITAUC1</v>
          </cell>
          <cell r="BZ1217">
            <v>23.32</v>
          </cell>
          <cell r="CA1217" t="str">
            <v>16-03-2009</v>
          </cell>
          <cell r="CB1217" t="str">
            <v>ITAU    /EDJ</v>
          </cell>
          <cell r="CC1217" t="str">
            <v>PN      N1</v>
          </cell>
          <cell r="CD1217" t="str">
            <v xml:space="preserve">OPCOES COMPRA  </v>
          </cell>
          <cell r="CE1217" t="str">
            <v xml:space="preserve">Europeu        </v>
          </cell>
        </row>
        <row r="1218">
          <cell r="AF1218">
            <v>1213</v>
          </cell>
          <cell r="AG1218">
            <v>0.11626184495157266</v>
          </cell>
          <cell r="BY1218" t="str">
            <v>ITAUC24</v>
          </cell>
          <cell r="BZ1218">
            <v>23.81</v>
          </cell>
          <cell r="CA1218" t="str">
            <v>16-03-2009</v>
          </cell>
          <cell r="CB1218" t="str">
            <v>ITAU    /EDJ</v>
          </cell>
          <cell r="CC1218" t="str">
            <v>PN      N1</v>
          </cell>
          <cell r="CD1218" t="str">
            <v xml:space="preserve">OPCOES COMPRA  </v>
          </cell>
          <cell r="CE1218" t="str">
            <v xml:space="preserve">Americano      </v>
          </cell>
        </row>
        <row r="1219">
          <cell r="AF1219">
            <v>1214</v>
          </cell>
          <cell r="AG1219">
            <v>0.11626797359589403</v>
          </cell>
          <cell r="BY1219" t="str">
            <v>ITAUC25</v>
          </cell>
          <cell r="BZ1219">
            <v>24.81</v>
          </cell>
          <cell r="CA1219" t="str">
            <v>16-03-2009</v>
          </cell>
          <cell r="CB1219" t="str">
            <v>ITAU    /EDJ</v>
          </cell>
          <cell r="CC1219" t="str">
            <v>PN      N1</v>
          </cell>
          <cell r="CD1219" t="str">
            <v xml:space="preserve">OPCOES COMPRA  </v>
          </cell>
          <cell r="CE1219" t="str">
            <v xml:space="preserve">Europeu        </v>
          </cell>
        </row>
        <row r="1220">
          <cell r="AF1220">
            <v>1215</v>
          </cell>
          <cell r="AG1220">
            <v>0.11627409218547746</v>
          </cell>
          <cell r="BY1220" t="str">
            <v>ITAUC26</v>
          </cell>
          <cell r="BZ1220">
            <v>25.81</v>
          </cell>
          <cell r="CA1220" t="str">
            <v>16-03-2009</v>
          </cell>
          <cell r="CB1220" t="str">
            <v>ITAU    /EDJ</v>
          </cell>
          <cell r="CC1220" t="str">
            <v>PN      N1</v>
          </cell>
          <cell r="CD1220" t="str">
            <v xml:space="preserve">OPCOES COMPRA  </v>
          </cell>
          <cell r="CE1220" t="str">
            <v xml:space="preserve">Americano      </v>
          </cell>
        </row>
        <row r="1221">
          <cell r="AF1221">
            <v>1216</v>
          </cell>
          <cell r="AG1221">
            <v>0.1162802007450463</v>
          </cell>
          <cell r="BY1221" t="str">
            <v>ITAUC27</v>
          </cell>
          <cell r="BZ1221">
            <v>26.81</v>
          </cell>
          <cell r="CA1221" t="str">
            <v>16-03-2009</v>
          </cell>
          <cell r="CB1221" t="str">
            <v>ITAU    /EDJ</v>
          </cell>
          <cell r="CC1221" t="str">
            <v>PN      N1</v>
          </cell>
          <cell r="CD1221" t="str">
            <v xml:space="preserve">OPCOES COMPRA  </v>
          </cell>
          <cell r="CE1221" t="str">
            <v xml:space="preserve">Europeu        </v>
          </cell>
        </row>
        <row r="1222">
          <cell r="AF1222">
            <v>1217</v>
          </cell>
          <cell r="AG1222">
            <v>0.11628629929924239</v>
          </cell>
          <cell r="BY1222" t="str">
            <v>ITAUC28</v>
          </cell>
          <cell r="BZ1222">
            <v>27.8</v>
          </cell>
          <cell r="CA1222" t="str">
            <v>16-03-2009</v>
          </cell>
          <cell r="CB1222" t="str">
            <v>ITAU    /EDJ</v>
          </cell>
          <cell r="CC1222" t="str">
            <v>PN      N1</v>
          </cell>
          <cell r="CD1222" t="str">
            <v xml:space="preserve">OPCOES COMPRA  </v>
          </cell>
          <cell r="CE1222" t="str">
            <v xml:space="preserve">Americano      </v>
          </cell>
        </row>
        <row r="1223">
          <cell r="AF1223">
            <v>1218</v>
          </cell>
          <cell r="AG1223">
            <v>0.11629238787262897</v>
          </cell>
          <cell r="BY1223" t="str">
            <v>ITAUC30</v>
          </cell>
          <cell r="BZ1223">
            <v>29.8</v>
          </cell>
          <cell r="CA1223" t="str">
            <v>16-03-2009</v>
          </cell>
          <cell r="CB1223" t="str">
            <v>ITAU    /EDJ</v>
          </cell>
          <cell r="CC1223" t="str">
            <v>PN      N1</v>
          </cell>
          <cell r="CD1223" t="str">
            <v xml:space="preserve">OPCOES COMPRA  </v>
          </cell>
          <cell r="CE1223" t="str">
            <v xml:space="preserve">Americano      </v>
          </cell>
        </row>
        <row r="1224">
          <cell r="AF1224">
            <v>1219</v>
          </cell>
          <cell r="AG1224">
            <v>0.11629846648968667</v>
          </cell>
          <cell r="BY1224" t="str">
            <v>ITAUC32</v>
          </cell>
          <cell r="BZ1224">
            <v>32</v>
          </cell>
          <cell r="CA1224" t="str">
            <v>16-03-2009</v>
          </cell>
          <cell r="CB1224" t="str">
            <v>ITAU    /EDJ</v>
          </cell>
          <cell r="CC1224" t="str">
            <v>PN      N1</v>
          </cell>
          <cell r="CD1224" t="str">
            <v xml:space="preserve">OPCOES COMPRA  </v>
          </cell>
          <cell r="CE1224" t="str">
            <v xml:space="preserve">Americano      </v>
          </cell>
        </row>
        <row r="1225">
          <cell r="AF1225">
            <v>1220</v>
          </cell>
          <cell r="AG1225">
            <v>0.11630453517481731</v>
          </cell>
          <cell r="BY1225" t="str">
            <v>ITAUD20</v>
          </cell>
          <cell r="BZ1225">
            <v>19.82</v>
          </cell>
          <cell r="CA1225" t="str">
            <v>20-04-2009</v>
          </cell>
          <cell r="CB1225" t="str">
            <v>ITAU    /EDJ</v>
          </cell>
          <cell r="CC1225" t="str">
            <v>PN      N1</v>
          </cell>
          <cell r="CD1225" t="str">
            <v xml:space="preserve">OPCOES COMPRA  </v>
          </cell>
          <cell r="CE1225" t="str">
            <v xml:space="preserve">Americano      </v>
          </cell>
        </row>
        <row r="1226">
          <cell r="AF1226">
            <v>1221</v>
          </cell>
          <cell r="AG1226">
            <v>0.11631059395234278</v>
          </cell>
          <cell r="BY1226" t="str">
            <v>ITAUD21</v>
          </cell>
          <cell r="BZ1226">
            <v>21</v>
          </cell>
          <cell r="CA1226" t="str">
            <v>20-04-2009</v>
          </cell>
          <cell r="CB1226" t="str">
            <v>ITAU    /EDJ</v>
          </cell>
          <cell r="CC1226" t="str">
            <v>PN      N1</v>
          </cell>
          <cell r="CD1226" t="str">
            <v xml:space="preserve">OPCOES COMPRA  </v>
          </cell>
          <cell r="CE1226" t="str">
            <v xml:space="preserve">Europeu        </v>
          </cell>
        </row>
        <row r="1227">
          <cell r="AF1227">
            <v>1222</v>
          </cell>
          <cell r="AG1227">
            <v>0.11631664284650567</v>
          </cell>
          <cell r="BY1227" t="str">
            <v>ITAUD22</v>
          </cell>
          <cell r="BZ1227">
            <v>21.82</v>
          </cell>
          <cell r="CA1227" t="str">
            <v>20-04-2009</v>
          </cell>
          <cell r="CB1227" t="str">
            <v>ITAU    /EDJ</v>
          </cell>
          <cell r="CC1227" t="str">
            <v>PN      N1</v>
          </cell>
          <cell r="CD1227" t="str">
            <v xml:space="preserve">OPCOES COMPRA  </v>
          </cell>
          <cell r="CE1227" t="str">
            <v xml:space="preserve">Americano      </v>
          </cell>
        </row>
        <row r="1228">
          <cell r="AF1228">
            <v>1223</v>
          </cell>
          <cell r="AG1228">
            <v>0.11632268188146955</v>
          </cell>
          <cell r="BY1228" t="str">
            <v>ITAUD23</v>
          </cell>
          <cell r="BZ1228">
            <v>23</v>
          </cell>
          <cell r="CA1228" t="str">
            <v>20-04-2009</v>
          </cell>
          <cell r="CB1228" t="str">
            <v>ITAU    /EDJ</v>
          </cell>
          <cell r="CC1228" t="str">
            <v>PN      N1</v>
          </cell>
          <cell r="CD1228" t="str">
            <v xml:space="preserve">OPCOES COMPRA  </v>
          </cell>
          <cell r="CE1228" t="str">
            <v xml:space="preserve">Europeu        </v>
          </cell>
        </row>
        <row r="1229">
          <cell r="AF1229">
            <v>1224</v>
          </cell>
          <cell r="AG1229">
            <v>0.11632871108131893</v>
          </cell>
          <cell r="BY1229" t="str">
            <v>ITAUD24</v>
          </cell>
          <cell r="BZ1229">
            <v>23.81</v>
          </cell>
          <cell r="CA1229" t="str">
            <v>20-04-2009</v>
          </cell>
          <cell r="CB1229" t="str">
            <v>ITAU    /EDJ</v>
          </cell>
          <cell r="CC1229" t="str">
            <v>PN      N1</v>
          </cell>
          <cell r="CD1229" t="str">
            <v xml:space="preserve">OPCOES COMPRA  </v>
          </cell>
          <cell r="CE1229" t="str">
            <v xml:space="preserve">Americano      </v>
          </cell>
        </row>
        <row r="1230">
          <cell r="AF1230">
            <v>1225</v>
          </cell>
          <cell r="AG1230">
            <v>0.11633473047006038</v>
          </cell>
          <cell r="BY1230" t="str">
            <v>ITAUD97</v>
          </cell>
          <cell r="BZ1230">
            <v>24.37</v>
          </cell>
          <cell r="CA1230" t="str">
            <v>20-04-2009</v>
          </cell>
          <cell r="CB1230" t="str">
            <v>ITAU    /EDJ</v>
          </cell>
          <cell r="CC1230" t="str">
            <v>PN      N1</v>
          </cell>
          <cell r="CD1230" t="str">
            <v xml:space="preserve">OPCOES COMPRA  </v>
          </cell>
          <cell r="CE1230" t="str">
            <v xml:space="preserve">Europeu        </v>
          </cell>
        </row>
        <row r="1231">
          <cell r="AF1231">
            <v>1226</v>
          </cell>
          <cell r="AG1231">
            <v>0.1163407400716221</v>
          </cell>
          <cell r="BY1231" t="str">
            <v>ITAUD25</v>
          </cell>
          <cell r="BZ1231">
            <v>25</v>
          </cell>
          <cell r="CA1231" t="str">
            <v>20-04-2009</v>
          </cell>
          <cell r="CB1231" t="str">
            <v>ITAU    /EDJ</v>
          </cell>
          <cell r="CC1231" t="str">
            <v>PN      N1</v>
          </cell>
          <cell r="CD1231" t="str">
            <v xml:space="preserve">OPCOES COMPRA  </v>
          </cell>
          <cell r="CE1231" t="str">
            <v xml:space="preserve">Europeu        </v>
          </cell>
        </row>
        <row r="1232">
          <cell r="AF1232">
            <v>1227</v>
          </cell>
          <cell r="AG1232">
            <v>0.11634673990985522</v>
          </cell>
          <cell r="BY1232" t="str">
            <v>ITAUD96</v>
          </cell>
          <cell r="BZ1232">
            <v>25.88</v>
          </cell>
          <cell r="CA1232" t="str">
            <v>20-04-2009</v>
          </cell>
          <cell r="CB1232" t="str">
            <v>ITAU    /EDJ</v>
          </cell>
          <cell r="CC1232" t="str">
            <v>PN      N1</v>
          </cell>
          <cell r="CD1232" t="str">
            <v xml:space="preserve">OPCOES COMPRA  </v>
          </cell>
          <cell r="CE1232" t="str">
            <v xml:space="preserve">Europeu        </v>
          </cell>
        </row>
        <row r="1233">
          <cell r="AF1233">
            <v>1228</v>
          </cell>
          <cell r="AG1233">
            <v>0.11635273000853252</v>
          </cell>
          <cell r="BY1233" t="str">
            <v>ITAUD27</v>
          </cell>
          <cell r="BZ1233">
            <v>26.81</v>
          </cell>
          <cell r="CA1233" t="str">
            <v>20-04-2009</v>
          </cell>
          <cell r="CB1233" t="str">
            <v>ITAU    /EDJ</v>
          </cell>
          <cell r="CC1233" t="str">
            <v>PN      N1</v>
          </cell>
          <cell r="CD1233" t="str">
            <v xml:space="preserve">OPCOES COMPRA  </v>
          </cell>
          <cell r="CE1233" t="str">
            <v xml:space="preserve">Europeu        </v>
          </cell>
        </row>
        <row r="1234">
          <cell r="AF1234">
            <v>1229</v>
          </cell>
          <cell r="AG1234">
            <v>0.11635871039134971</v>
          </cell>
          <cell r="BY1234" t="str">
            <v>ITAUD28</v>
          </cell>
          <cell r="BZ1234">
            <v>27.81</v>
          </cell>
          <cell r="CA1234" t="str">
            <v>20-04-2009</v>
          </cell>
          <cell r="CB1234" t="str">
            <v>ITAU    /EDJ</v>
          </cell>
          <cell r="CC1234" t="str">
            <v>PN      N1</v>
          </cell>
          <cell r="CD1234" t="str">
            <v xml:space="preserve">OPCOES COMPRA  </v>
          </cell>
          <cell r="CE1234" t="str">
            <v xml:space="preserve">Americano      </v>
          </cell>
        </row>
        <row r="1235">
          <cell r="AF1235">
            <v>1230</v>
          </cell>
          <cell r="AG1235">
            <v>0.11636468108192699</v>
          </cell>
          <cell r="BY1235" t="str">
            <v>ITAUD30</v>
          </cell>
          <cell r="BZ1235">
            <v>30</v>
          </cell>
          <cell r="CA1235" t="str">
            <v>20-04-2009</v>
          </cell>
          <cell r="CB1235" t="str">
            <v>ITAU    /EDJ</v>
          </cell>
          <cell r="CC1235" t="str">
            <v>PN      N1</v>
          </cell>
          <cell r="CD1235" t="str">
            <v xml:space="preserve">OPCOES COMPRA  </v>
          </cell>
          <cell r="CE1235" t="str">
            <v xml:space="preserve">Americano      </v>
          </cell>
        </row>
        <row r="1236">
          <cell r="AF1236">
            <v>1231</v>
          </cell>
          <cell r="AG1236">
            <v>0.11637064210380621</v>
          </cell>
          <cell r="BY1236" t="str">
            <v>ITAUD98</v>
          </cell>
          <cell r="BZ1236">
            <v>32</v>
          </cell>
          <cell r="CA1236" t="str">
            <v>20-04-2009</v>
          </cell>
          <cell r="CB1236" t="str">
            <v>ITAU    /EDJ</v>
          </cell>
          <cell r="CC1236" t="str">
            <v>PN      N1</v>
          </cell>
          <cell r="CD1236" t="str">
            <v xml:space="preserve">OPCOES COMPRA  </v>
          </cell>
          <cell r="CE1236" t="str">
            <v xml:space="preserve">Europeu        </v>
          </cell>
        </row>
        <row r="1237">
          <cell r="AF1237">
            <v>1232</v>
          </cell>
          <cell r="AG1237">
            <v>0.11637659348045459</v>
          </cell>
          <cell r="BY1237" t="str">
            <v>ITAUD99</v>
          </cell>
          <cell r="BZ1237">
            <v>36</v>
          </cell>
          <cell r="CA1237" t="str">
            <v>20-04-2009</v>
          </cell>
          <cell r="CB1237" t="str">
            <v>ITAU    /EDJ</v>
          </cell>
          <cell r="CC1237" t="str">
            <v>PN      N1</v>
          </cell>
          <cell r="CD1237" t="str">
            <v xml:space="preserve">OPCOES COMPRA  </v>
          </cell>
          <cell r="CE1237" t="str">
            <v xml:space="preserve">Europeu        </v>
          </cell>
        </row>
        <row r="1238">
          <cell r="AF1238">
            <v>1233</v>
          </cell>
          <cell r="AG1238">
            <v>0.11638253523526232</v>
          </cell>
          <cell r="BY1238" t="str">
            <v>ITAUE18</v>
          </cell>
          <cell r="BZ1238">
            <v>18</v>
          </cell>
          <cell r="CA1238" t="str">
            <v>18-05-2009</v>
          </cell>
          <cell r="CB1238" t="str">
            <v>ITAU    /EDJ</v>
          </cell>
          <cell r="CC1238" t="str">
            <v>PN      N1</v>
          </cell>
          <cell r="CD1238" t="str">
            <v xml:space="preserve">OPCOES COMPRA  </v>
          </cell>
          <cell r="CE1238" t="str">
            <v xml:space="preserve">Americano      </v>
          </cell>
        </row>
        <row r="1239">
          <cell r="AF1239">
            <v>1234</v>
          </cell>
          <cell r="AG1239">
            <v>0.11638846739154474</v>
          </cell>
          <cell r="BY1239" t="str">
            <v>ITAUE20</v>
          </cell>
          <cell r="BZ1239">
            <v>19.82</v>
          </cell>
          <cell r="CA1239" t="str">
            <v>18-05-2009</v>
          </cell>
          <cell r="CB1239" t="str">
            <v>ITAU    /EDJ</v>
          </cell>
          <cell r="CC1239" t="str">
            <v>PN      N1</v>
          </cell>
          <cell r="CD1239" t="str">
            <v xml:space="preserve">OPCOES COMPRA  </v>
          </cell>
          <cell r="CE1239" t="str">
            <v xml:space="preserve">Americano      </v>
          </cell>
        </row>
        <row r="1240">
          <cell r="AF1240">
            <v>1235</v>
          </cell>
          <cell r="AG1240">
            <v>0.1163943899725417</v>
          </cell>
          <cell r="BY1240" t="str">
            <v>ITAUE21</v>
          </cell>
          <cell r="BZ1240">
            <v>20.82</v>
          </cell>
          <cell r="CA1240" t="str">
            <v>18-05-2009</v>
          </cell>
          <cell r="CB1240" t="str">
            <v>ITAU    /EDJ</v>
          </cell>
          <cell r="CC1240" t="str">
            <v>PN      N1</v>
          </cell>
          <cell r="CD1240" t="str">
            <v xml:space="preserve">OPCOES COMPRA  </v>
          </cell>
          <cell r="CE1240" t="str">
            <v xml:space="preserve">Europeu        </v>
          </cell>
        </row>
        <row r="1241">
          <cell r="AF1241">
            <v>1236</v>
          </cell>
          <cell r="AG1241">
            <v>0.11640030300141802</v>
          </cell>
          <cell r="BY1241" t="str">
            <v>ITAUE22</v>
          </cell>
          <cell r="BZ1241">
            <v>21.82</v>
          </cell>
          <cell r="CA1241" t="str">
            <v>18-05-2009</v>
          </cell>
          <cell r="CB1241" t="str">
            <v>ITAU    /EDJ</v>
          </cell>
          <cell r="CC1241" t="str">
            <v>PN      N1</v>
          </cell>
          <cell r="CD1241" t="str">
            <v xml:space="preserve">OPCOES COMPRA  </v>
          </cell>
          <cell r="CE1241" t="str">
            <v xml:space="preserve">Americano      </v>
          </cell>
        </row>
        <row r="1242">
          <cell r="AF1242">
            <v>1237</v>
          </cell>
          <cell r="AG1242">
            <v>0.1164062065012641</v>
          </cell>
          <cell r="BY1242" t="str">
            <v>ITAUE24</v>
          </cell>
          <cell r="BZ1242">
            <v>23.82</v>
          </cell>
          <cell r="CA1242" t="str">
            <v>18-05-2009</v>
          </cell>
          <cell r="CB1242" t="str">
            <v>ITAU    /EDJ</v>
          </cell>
          <cell r="CC1242" t="str">
            <v>PN      N1</v>
          </cell>
          <cell r="CD1242" t="str">
            <v xml:space="preserve">OPCOES COMPRA  </v>
          </cell>
          <cell r="CE1242" t="str">
            <v xml:space="preserve">Americano      </v>
          </cell>
        </row>
        <row r="1243">
          <cell r="AF1243">
            <v>1238</v>
          </cell>
          <cell r="AG1243">
            <v>0.11641210049509598</v>
          </cell>
          <cell r="BY1243" t="str">
            <v>ITAUE26</v>
          </cell>
          <cell r="BZ1243">
            <v>26</v>
          </cell>
          <cell r="CA1243" t="str">
            <v>18-05-2009</v>
          </cell>
          <cell r="CB1243" t="str">
            <v>ITAU    /EDJ</v>
          </cell>
          <cell r="CC1243" t="str">
            <v>PN      N1</v>
          </cell>
          <cell r="CD1243" t="str">
            <v xml:space="preserve">OPCOES COMPRA  </v>
          </cell>
          <cell r="CE1243" t="str">
            <v xml:space="preserve">Americano      </v>
          </cell>
        </row>
        <row r="1244">
          <cell r="AF1244">
            <v>1239</v>
          </cell>
          <cell r="AG1244">
            <v>0.11641798500585465</v>
          </cell>
          <cell r="BY1244" t="str">
            <v>ITAUE28</v>
          </cell>
          <cell r="BZ1244">
            <v>27.82</v>
          </cell>
          <cell r="CA1244" t="str">
            <v>18-05-2009</v>
          </cell>
          <cell r="CB1244" t="str">
            <v>ITAU    /EDJ</v>
          </cell>
          <cell r="CC1244" t="str">
            <v>PN      N1</v>
          </cell>
          <cell r="CD1244" t="str">
            <v xml:space="preserve">OPCOES COMPRA  </v>
          </cell>
          <cell r="CE1244" t="str">
            <v xml:space="preserve">Americano      </v>
          </cell>
        </row>
        <row r="1245">
          <cell r="AF1245">
            <v>1240</v>
          </cell>
          <cell r="AG1245">
            <v>0.11642386005640892</v>
          </cell>
          <cell r="BY1245" t="str">
            <v>ITAUF98</v>
          </cell>
          <cell r="BZ1245">
            <v>29.66</v>
          </cell>
          <cell r="CA1245" t="str">
            <v>15-06-2009</v>
          </cell>
          <cell r="CB1245" t="str">
            <v>ITAU    /EDJ</v>
          </cell>
          <cell r="CC1245" t="str">
            <v>PN      N1</v>
          </cell>
          <cell r="CD1245" t="str">
            <v xml:space="preserve">OPCOES COMPRA  </v>
          </cell>
          <cell r="CE1245" t="str">
            <v xml:space="preserve">Europeu        </v>
          </cell>
        </row>
        <row r="1246">
          <cell r="AF1246">
            <v>1241</v>
          </cell>
          <cell r="AG1246">
            <v>0.11642972566955323</v>
          </cell>
          <cell r="BY1246" t="str">
            <v>ITAUF97</v>
          </cell>
          <cell r="BZ1246">
            <v>31.22</v>
          </cell>
          <cell r="CA1246" t="str">
            <v>15-06-2009</v>
          </cell>
          <cell r="CB1246" t="str">
            <v>ITAU    /EDJ</v>
          </cell>
          <cell r="CC1246" t="str">
            <v>PN      N1</v>
          </cell>
          <cell r="CD1246" t="str">
            <v xml:space="preserve">OPCOES COMPRA  </v>
          </cell>
          <cell r="CE1246" t="str">
            <v xml:space="preserve">Europeu        </v>
          </cell>
        </row>
        <row r="1247">
          <cell r="AF1247">
            <v>1242</v>
          </cell>
          <cell r="AG1247">
            <v>0.11643558186800873</v>
          </cell>
          <cell r="BY1247" t="str">
            <v>ITAUF32</v>
          </cell>
          <cell r="BZ1247">
            <v>31.38</v>
          </cell>
          <cell r="CA1247" t="str">
            <v>15-06-2009</v>
          </cell>
          <cell r="CB1247" t="str">
            <v>ITAU    /EDJ</v>
          </cell>
          <cell r="CC1247" t="str">
            <v>PN      N1</v>
          </cell>
          <cell r="CD1247" t="str">
            <v xml:space="preserve">OPCOES COMPRA  </v>
          </cell>
          <cell r="CE1247" t="str">
            <v xml:space="preserve">Americano      </v>
          </cell>
        </row>
        <row r="1248">
          <cell r="AF1248">
            <v>1243</v>
          </cell>
          <cell r="AG1248">
            <v>0.1164414286744242</v>
          </cell>
          <cell r="BY1248" t="str">
            <v>ITAUF99</v>
          </cell>
          <cell r="BZ1248">
            <v>35</v>
          </cell>
          <cell r="CA1248" t="str">
            <v>15-06-2009</v>
          </cell>
          <cell r="CB1248" t="str">
            <v>ITAU    /EDJ</v>
          </cell>
          <cell r="CC1248" t="str">
            <v>PN      N1</v>
          </cell>
          <cell r="CD1248" t="str">
            <v xml:space="preserve">OPCOES COMPRA  </v>
          </cell>
          <cell r="CE1248" t="str">
            <v xml:space="preserve">Europeu        </v>
          </cell>
        </row>
        <row r="1249">
          <cell r="AF1249">
            <v>1244</v>
          </cell>
          <cell r="AG1249">
            <v>0.11644726611137535</v>
          </cell>
          <cell r="BY1249" t="str">
            <v>ITAUG21</v>
          </cell>
          <cell r="BZ1249">
            <v>20.72</v>
          </cell>
          <cell r="CA1249" t="str">
            <v>20-07-2009</v>
          </cell>
          <cell r="CB1249" t="str">
            <v>ITAU    /EDJ</v>
          </cell>
          <cell r="CC1249" t="str">
            <v>PN      N1</v>
          </cell>
          <cell r="CD1249" t="str">
            <v xml:space="preserve">OPCOES COMPRA  </v>
          </cell>
          <cell r="CE1249" t="str">
            <v xml:space="preserve">Europeu        </v>
          </cell>
        </row>
        <row r="1250">
          <cell r="AF1250">
            <v>1245</v>
          </cell>
          <cell r="AG1250">
            <v>0.11645309420136574</v>
          </cell>
          <cell r="BY1250" t="str">
            <v>ITAUH99</v>
          </cell>
          <cell r="BZ1250">
            <v>26.31</v>
          </cell>
          <cell r="CA1250" t="str">
            <v>17-08-2009</v>
          </cell>
          <cell r="CB1250" t="str">
            <v>ITAU    /EDJ</v>
          </cell>
          <cell r="CC1250" t="str">
            <v>PN      N1</v>
          </cell>
          <cell r="CD1250" t="str">
            <v xml:space="preserve">OPCOES COMPRA  </v>
          </cell>
          <cell r="CE1250" t="str">
            <v xml:space="preserve">Europeu        </v>
          </cell>
        </row>
        <row r="1251">
          <cell r="AF1251">
            <v>1246</v>
          </cell>
          <cell r="AG1251">
            <v>0.11645891296682742</v>
          </cell>
          <cell r="BY1251" t="str">
            <v>ITAUL3</v>
          </cell>
          <cell r="BZ1251">
            <v>30</v>
          </cell>
          <cell r="CA1251" t="str">
            <v>21-12-2009</v>
          </cell>
          <cell r="CB1251" t="str">
            <v>ITAU    /EDJ</v>
          </cell>
          <cell r="CC1251" t="str">
            <v>PN      N1</v>
          </cell>
          <cell r="CD1251" t="str">
            <v xml:space="preserve">OPCOES COMPRA  </v>
          </cell>
          <cell r="CE1251" t="str">
            <v xml:space="preserve">Americano      </v>
          </cell>
        </row>
        <row r="1252">
          <cell r="AF1252">
            <v>1247</v>
          </cell>
          <cell r="AG1252">
            <v>0.11646472243011985</v>
          </cell>
          <cell r="BY1252" t="str">
            <v>ITAUA25</v>
          </cell>
          <cell r="BZ1252">
            <v>25</v>
          </cell>
          <cell r="CA1252" t="str">
            <v>18-01-2010</v>
          </cell>
          <cell r="CB1252" t="str">
            <v>ITAU    /EDJ</v>
          </cell>
          <cell r="CC1252" t="str">
            <v>PN      N1</v>
          </cell>
          <cell r="CD1252" t="str">
            <v xml:space="preserve">OPCOES COMPRA  </v>
          </cell>
          <cell r="CE1252" t="str">
            <v xml:space="preserve">Europeu        </v>
          </cell>
        </row>
        <row r="1253">
          <cell r="AF1253">
            <v>1248</v>
          </cell>
          <cell r="AG1253">
            <v>0.11647052261353164</v>
          </cell>
          <cell r="BY1253" t="str">
            <v>ITAUA5</v>
          </cell>
          <cell r="BZ1253">
            <v>25.3</v>
          </cell>
          <cell r="CA1253" t="str">
            <v>18-01-2010</v>
          </cell>
          <cell r="CB1253" t="str">
            <v>ITAU    /EDJ</v>
          </cell>
          <cell r="CC1253" t="str">
            <v>PN      N1</v>
          </cell>
          <cell r="CD1253" t="str">
            <v xml:space="preserve">OPCOES COMPRA  </v>
          </cell>
          <cell r="CE1253" t="str">
            <v xml:space="preserve">Europeu        </v>
          </cell>
        </row>
        <row r="1254">
          <cell r="AF1254">
            <v>1249</v>
          </cell>
          <cell r="AG1254">
            <v>0.11647631353928056</v>
          </cell>
          <cell r="BY1254" t="str">
            <v>ITAUA7</v>
          </cell>
          <cell r="BZ1254">
            <v>27</v>
          </cell>
          <cell r="CA1254" t="str">
            <v>18-01-2010</v>
          </cell>
          <cell r="CB1254" t="str">
            <v>ITAU    /EDJ</v>
          </cell>
          <cell r="CC1254" t="str">
            <v>PN      N1</v>
          </cell>
          <cell r="CD1254" t="str">
            <v xml:space="preserve">OPCOES COMPRA  </v>
          </cell>
          <cell r="CE1254" t="str">
            <v xml:space="preserve">Europeu        </v>
          </cell>
        </row>
        <row r="1255">
          <cell r="AF1255">
            <v>1250</v>
          </cell>
          <cell r="AG1255">
            <v>0.11648209522951247</v>
          </cell>
          <cell r="BY1255" t="str">
            <v>ITAUA29</v>
          </cell>
          <cell r="BZ1255">
            <v>29</v>
          </cell>
          <cell r="CA1255" t="str">
            <v>18-01-2010</v>
          </cell>
          <cell r="CB1255" t="str">
            <v>ITAU    /EDJ</v>
          </cell>
          <cell r="CC1255" t="str">
            <v>PN      N1</v>
          </cell>
          <cell r="CD1255" t="str">
            <v xml:space="preserve">OPCOES COMPRA  </v>
          </cell>
          <cell r="CE1255" t="str">
            <v xml:space="preserve">Europeu        </v>
          </cell>
        </row>
        <row r="1256">
          <cell r="AF1256">
            <v>1251</v>
          </cell>
          <cell r="AG1256">
            <v>0.11648786770630348</v>
          </cell>
          <cell r="BY1256" t="str">
            <v>ITAUA31</v>
          </cell>
          <cell r="BZ1256">
            <v>31</v>
          </cell>
          <cell r="CA1256" t="str">
            <v>18-01-2010</v>
          </cell>
          <cell r="CB1256" t="str">
            <v>ITAU    /EDJ</v>
          </cell>
          <cell r="CC1256" t="str">
            <v>PN      N1</v>
          </cell>
          <cell r="CD1256" t="str">
            <v xml:space="preserve">OPCOES COMPRA  </v>
          </cell>
          <cell r="CE1256" t="str">
            <v xml:space="preserve">Europeu        </v>
          </cell>
        </row>
        <row r="1257">
          <cell r="AF1257">
            <v>1252</v>
          </cell>
          <cell r="AG1257">
            <v>0.11649363099165932</v>
          </cell>
          <cell r="BY1257" t="str">
            <v>ITAUO20</v>
          </cell>
          <cell r="BZ1257">
            <v>19.8</v>
          </cell>
          <cell r="CA1257" t="str">
            <v>16-03-2009</v>
          </cell>
          <cell r="CB1257" t="str">
            <v>ITAU    /EDJ</v>
          </cell>
          <cell r="CC1257" t="str">
            <v>PN      N1</v>
          </cell>
          <cell r="CD1257" t="str">
            <v xml:space="preserve">OPCOES VENDA   </v>
          </cell>
          <cell r="CE1257" t="str">
            <v xml:space="preserve">Europeu        </v>
          </cell>
        </row>
        <row r="1258">
          <cell r="AF1258">
            <v>1253</v>
          </cell>
          <cell r="AG1258">
            <v>0.11649938510751512</v>
          </cell>
          <cell r="BY1258" t="str">
            <v>ITAUO21</v>
          </cell>
          <cell r="BZ1258">
            <v>21</v>
          </cell>
          <cell r="CA1258" t="str">
            <v>16-03-2009</v>
          </cell>
          <cell r="CB1258" t="str">
            <v>ITAU    /EDJ</v>
          </cell>
          <cell r="CC1258" t="str">
            <v>PN      N1</v>
          </cell>
          <cell r="CD1258" t="str">
            <v xml:space="preserve">OPCOES VENDA   </v>
          </cell>
          <cell r="CE1258" t="str">
            <v xml:space="preserve">Europeu        </v>
          </cell>
        </row>
        <row r="1259">
          <cell r="AF1259">
            <v>1254</v>
          </cell>
          <cell r="AG1259">
            <v>0.11650513007573715</v>
          </cell>
          <cell r="BY1259" t="str">
            <v>ITAUO22</v>
          </cell>
          <cell r="BZ1259">
            <v>21.81</v>
          </cell>
          <cell r="CA1259" t="str">
            <v>16-03-2009</v>
          </cell>
          <cell r="CB1259" t="str">
            <v>ITAU    /EDJ</v>
          </cell>
          <cell r="CC1259" t="str">
            <v>PN      N1</v>
          </cell>
          <cell r="CD1259" t="str">
            <v xml:space="preserve">OPCOES VENDA   </v>
          </cell>
          <cell r="CE1259" t="str">
            <v xml:space="preserve">Europeu        </v>
          </cell>
        </row>
        <row r="1260">
          <cell r="AF1260">
            <v>1255</v>
          </cell>
          <cell r="AG1260">
            <v>0.11651086591812154</v>
          </cell>
          <cell r="BY1260" t="str">
            <v>ITAUO23</v>
          </cell>
          <cell r="BZ1260">
            <v>23</v>
          </cell>
          <cell r="CA1260" t="str">
            <v>16-03-2009</v>
          </cell>
          <cell r="CB1260" t="str">
            <v>ITAU    /EDJ</v>
          </cell>
          <cell r="CC1260" t="str">
            <v>PN      N1</v>
          </cell>
          <cell r="CD1260" t="str">
            <v xml:space="preserve">OPCOES VENDA   </v>
          </cell>
          <cell r="CE1260" t="str">
            <v xml:space="preserve">Europeu        </v>
          </cell>
        </row>
        <row r="1261">
          <cell r="AF1261">
            <v>1256</v>
          </cell>
          <cell r="AG1261">
            <v>0.11651659265639513</v>
          </cell>
          <cell r="BY1261" t="str">
            <v>ITAUO1</v>
          </cell>
          <cell r="BZ1261">
            <v>23.5</v>
          </cell>
          <cell r="CA1261" t="str">
            <v>16-03-2009</v>
          </cell>
          <cell r="CB1261" t="str">
            <v>ITAU    /EDJ</v>
          </cell>
          <cell r="CC1261" t="str">
            <v>PN      N1</v>
          </cell>
          <cell r="CD1261" t="str">
            <v xml:space="preserve">OPCOES VENDA   </v>
          </cell>
          <cell r="CE1261" t="str">
            <v xml:space="preserve">Europeu        </v>
          </cell>
        </row>
        <row r="1262">
          <cell r="AF1262">
            <v>1257</v>
          </cell>
          <cell r="AG1262">
            <v>0.11652231031221705</v>
          </cell>
          <cell r="BY1262" t="str">
            <v>ITAUO24</v>
          </cell>
          <cell r="BZ1262">
            <v>23.8</v>
          </cell>
          <cell r="CA1262" t="str">
            <v>16-03-2009</v>
          </cell>
          <cell r="CB1262" t="str">
            <v>ITAU    /EDJ</v>
          </cell>
          <cell r="CC1262" t="str">
            <v>PN      N1</v>
          </cell>
          <cell r="CD1262" t="str">
            <v xml:space="preserve">OPCOES VENDA   </v>
          </cell>
          <cell r="CE1262" t="str">
            <v xml:space="preserve">Europeu        </v>
          </cell>
        </row>
        <row r="1263">
          <cell r="AF1263">
            <v>1258</v>
          </cell>
          <cell r="AG1263">
            <v>0.11652801890717557</v>
          </cell>
          <cell r="BY1263" t="str">
            <v>ITAUO25</v>
          </cell>
          <cell r="BZ1263">
            <v>25</v>
          </cell>
          <cell r="CA1263" t="str">
            <v>16-03-2009</v>
          </cell>
          <cell r="CB1263" t="str">
            <v>ITAU    /EDJ</v>
          </cell>
          <cell r="CC1263" t="str">
            <v>PN      N1</v>
          </cell>
          <cell r="CD1263" t="str">
            <v xml:space="preserve">OPCOES VENDA   </v>
          </cell>
          <cell r="CE1263" t="str">
            <v xml:space="preserve">Europeu        </v>
          </cell>
        </row>
        <row r="1264">
          <cell r="AF1264">
            <v>1259</v>
          </cell>
          <cell r="AG1264">
            <v>0.11653371846279348</v>
          </cell>
          <cell r="BY1264" t="str">
            <v>ITAUO26</v>
          </cell>
          <cell r="BZ1264">
            <v>25.81</v>
          </cell>
          <cell r="CA1264" t="str">
            <v>16-03-2009</v>
          </cell>
          <cell r="CB1264" t="str">
            <v>ITAU    /EDJ</v>
          </cell>
          <cell r="CC1264" t="str">
            <v>PN      N1</v>
          </cell>
          <cell r="CD1264" t="str">
            <v xml:space="preserve">OPCOES VENDA   </v>
          </cell>
          <cell r="CE1264" t="str">
            <v xml:space="preserve">Europeu        </v>
          </cell>
        </row>
        <row r="1265">
          <cell r="AF1265">
            <v>1260</v>
          </cell>
          <cell r="AG1265">
            <v>0.11653940900052251</v>
          </cell>
          <cell r="BY1265" t="str">
            <v>ITAUO27</v>
          </cell>
          <cell r="BZ1265">
            <v>27</v>
          </cell>
          <cell r="CA1265" t="str">
            <v>16-03-2009</v>
          </cell>
          <cell r="CB1265" t="str">
            <v>ITAU    /EDJ</v>
          </cell>
          <cell r="CC1265" t="str">
            <v>PN      N1</v>
          </cell>
          <cell r="CD1265" t="str">
            <v xml:space="preserve">OPCOES VENDA   </v>
          </cell>
          <cell r="CE1265" t="str">
            <v xml:space="preserve">Europeu        </v>
          </cell>
        </row>
        <row r="1266">
          <cell r="AF1266">
            <v>1261</v>
          </cell>
          <cell r="AG1266">
            <v>0.11654509054174866</v>
          </cell>
          <cell r="BY1266" t="str">
            <v>ITAUO28</v>
          </cell>
          <cell r="BZ1266">
            <v>28</v>
          </cell>
          <cell r="CA1266" t="str">
            <v>16-03-2009</v>
          </cell>
          <cell r="CB1266" t="str">
            <v>ITAU    /EDJ</v>
          </cell>
          <cell r="CC1266" t="str">
            <v>PN      N1</v>
          </cell>
          <cell r="CD1266" t="str">
            <v xml:space="preserve">OPCOES VENDA   </v>
          </cell>
          <cell r="CE1266" t="str">
            <v xml:space="preserve">Europeu        </v>
          </cell>
        </row>
        <row r="1267">
          <cell r="AF1267">
            <v>1262</v>
          </cell>
          <cell r="AG1267">
            <v>0.11655076310778978</v>
          </cell>
          <cell r="BY1267" t="str">
            <v>ITAUO30</v>
          </cell>
          <cell r="BZ1267">
            <v>30</v>
          </cell>
          <cell r="CA1267" t="str">
            <v>16-03-2009</v>
          </cell>
          <cell r="CB1267" t="str">
            <v>ITAU    /EDJ</v>
          </cell>
          <cell r="CC1267" t="str">
            <v>PN      N1</v>
          </cell>
          <cell r="CD1267" t="str">
            <v xml:space="preserve">OPCOES VENDA   </v>
          </cell>
          <cell r="CE1267" t="str">
            <v xml:space="preserve">Europeu        </v>
          </cell>
        </row>
        <row r="1268">
          <cell r="AF1268">
            <v>1263</v>
          </cell>
          <cell r="AG1268">
            <v>0.11655642671989552</v>
          </cell>
          <cell r="BY1268" t="str">
            <v>ITAUO32</v>
          </cell>
          <cell r="BZ1268">
            <v>32</v>
          </cell>
          <cell r="CA1268" t="str">
            <v>16-03-2009</v>
          </cell>
          <cell r="CB1268" t="str">
            <v>ITAU    /EDJ</v>
          </cell>
          <cell r="CC1268" t="str">
            <v>PN      N1</v>
          </cell>
          <cell r="CD1268" t="str">
            <v xml:space="preserve">OPCOES VENDA   </v>
          </cell>
          <cell r="CE1268" t="str">
            <v xml:space="preserve">Europeu        </v>
          </cell>
        </row>
        <row r="1269">
          <cell r="AF1269">
            <v>1264</v>
          </cell>
          <cell r="AG1269">
            <v>0.11656208139924984</v>
          </cell>
          <cell r="BY1269" t="str">
            <v>ITAUP20</v>
          </cell>
          <cell r="BZ1269">
            <v>19.809999999999999</v>
          </cell>
          <cell r="CA1269" t="str">
            <v>20-04-2009</v>
          </cell>
          <cell r="CB1269" t="str">
            <v>ITAU    /EDJ</v>
          </cell>
          <cell r="CC1269" t="str">
            <v>PN      N1</v>
          </cell>
          <cell r="CD1269" t="str">
            <v xml:space="preserve">OPCOES VENDA   </v>
          </cell>
          <cell r="CE1269" t="str">
            <v xml:space="preserve">Europeu        </v>
          </cell>
        </row>
        <row r="1270">
          <cell r="AF1270">
            <v>1265</v>
          </cell>
          <cell r="AG1270">
            <v>0.11656772716696939</v>
          </cell>
          <cell r="BY1270" t="str">
            <v>ITAUP21</v>
          </cell>
          <cell r="BZ1270">
            <v>20.81</v>
          </cell>
          <cell r="CA1270" t="str">
            <v>20-04-2009</v>
          </cell>
          <cell r="CB1270" t="str">
            <v>ITAU    /EDJ</v>
          </cell>
          <cell r="CC1270" t="str">
            <v>PN      N1</v>
          </cell>
          <cell r="CD1270" t="str">
            <v xml:space="preserve">OPCOES VENDA   </v>
          </cell>
          <cell r="CE1270" t="str">
            <v xml:space="preserve">Europeu        </v>
          </cell>
        </row>
        <row r="1271">
          <cell r="AF1271">
            <v>1266</v>
          </cell>
          <cell r="AG1271">
            <v>0.11657336404410423</v>
          </cell>
          <cell r="BY1271" t="str">
            <v>ITAUP22</v>
          </cell>
          <cell r="BZ1271">
            <v>21.81</v>
          </cell>
          <cell r="CA1271" t="str">
            <v>20-04-2009</v>
          </cell>
          <cell r="CB1271" t="str">
            <v>ITAU    /EDJ</v>
          </cell>
          <cell r="CC1271" t="str">
            <v>PN      N1</v>
          </cell>
          <cell r="CD1271" t="str">
            <v xml:space="preserve">OPCOES VENDA   </v>
          </cell>
          <cell r="CE1271" t="str">
            <v xml:space="preserve">Europeu        </v>
          </cell>
        </row>
        <row r="1272">
          <cell r="AF1272">
            <v>1267</v>
          </cell>
          <cell r="AG1272">
            <v>0.11657899205163824</v>
          </cell>
          <cell r="BY1272" t="str">
            <v>ITAUP23</v>
          </cell>
          <cell r="BZ1272">
            <v>22.81</v>
          </cell>
          <cell r="CA1272" t="str">
            <v>20-04-2009</v>
          </cell>
          <cell r="CB1272" t="str">
            <v>ITAU    /EDJ</v>
          </cell>
          <cell r="CC1272" t="str">
            <v>PN      N1</v>
          </cell>
          <cell r="CD1272" t="str">
            <v xml:space="preserve">OPCOES VENDA   </v>
          </cell>
          <cell r="CE1272" t="str">
            <v xml:space="preserve">Europeu        </v>
          </cell>
        </row>
        <row r="1273">
          <cell r="AF1273">
            <v>1268</v>
          </cell>
          <cell r="AG1273">
            <v>0.11658461121048935</v>
          </cell>
          <cell r="BY1273" t="str">
            <v>ITAUP24</v>
          </cell>
          <cell r="BZ1273">
            <v>23.81</v>
          </cell>
          <cell r="CA1273" t="str">
            <v>20-04-2009</v>
          </cell>
          <cell r="CB1273" t="str">
            <v>ITAU    /EDJ</v>
          </cell>
          <cell r="CC1273" t="str">
            <v>PN      N1</v>
          </cell>
          <cell r="CD1273" t="str">
            <v xml:space="preserve">OPCOES VENDA   </v>
          </cell>
          <cell r="CE1273" t="str">
            <v xml:space="preserve">Europeu        </v>
          </cell>
        </row>
        <row r="1274">
          <cell r="AF1274">
            <v>1269</v>
          </cell>
          <cell r="AG1274">
            <v>0.11659022154150933</v>
          </cell>
          <cell r="BY1274" t="str">
            <v>ITAUP97</v>
          </cell>
          <cell r="BZ1274">
            <v>24.37</v>
          </cell>
          <cell r="CA1274" t="str">
            <v>20-04-2009</v>
          </cell>
          <cell r="CB1274" t="str">
            <v>ITAU    /EDJ</v>
          </cell>
          <cell r="CC1274" t="str">
            <v>PN      N1</v>
          </cell>
          <cell r="CD1274" t="str">
            <v xml:space="preserve">OPCOES VENDA   </v>
          </cell>
          <cell r="CE1274" t="str">
            <v xml:space="preserve">Europeu        </v>
          </cell>
        </row>
        <row r="1275">
          <cell r="AF1275">
            <v>1270</v>
          </cell>
          <cell r="AG1275">
            <v>0.1165958230654851</v>
          </cell>
          <cell r="BY1275" t="str">
            <v>ITAUP25</v>
          </cell>
          <cell r="BZ1275">
            <v>25</v>
          </cell>
          <cell r="CA1275" t="str">
            <v>20-04-2009</v>
          </cell>
          <cell r="CB1275" t="str">
            <v>ITAU    /EDJ</v>
          </cell>
          <cell r="CC1275" t="str">
            <v>PN      N1</v>
          </cell>
          <cell r="CD1275" t="str">
            <v xml:space="preserve">OPCOES VENDA   </v>
          </cell>
          <cell r="CE1275" t="str">
            <v xml:space="preserve">Europeu        </v>
          </cell>
        </row>
        <row r="1276">
          <cell r="AF1276">
            <v>1271</v>
          </cell>
          <cell r="AG1276">
            <v>0.11660141580313832</v>
          </cell>
          <cell r="BY1276" t="str">
            <v>ITAUP96</v>
          </cell>
          <cell r="BZ1276">
            <v>25.88</v>
          </cell>
          <cell r="CA1276" t="str">
            <v>20-04-2009</v>
          </cell>
          <cell r="CB1276" t="str">
            <v>ITAU    /EDJ</v>
          </cell>
          <cell r="CC1276" t="str">
            <v>PN      N1</v>
          </cell>
          <cell r="CD1276" t="str">
            <v xml:space="preserve">OPCOES VENDA   </v>
          </cell>
          <cell r="CE1276" t="str">
            <v xml:space="preserve">Europeu        </v>
          </cell>
        </row>
        <row r="1277">
          <cell r="AF1277">
            <v>1272</v>
          </cell>
          <cell r="AG1277">
            <v>0.11660699977512556</v>
          </cell>
          <cell r="BY1277" t="str">
            <v>ITAUP27</v>
          </cell>
          <cell r="BZ1277">
            <v>27</v>
          </cell>
          <cell r="CA1277" t="str">
            <v>20-04-2009</v>
          </cell>
          <cell r="CB1277" t="str">
            <v>ITAU    /EDJ</v>
          </cell>
          <cell r="CC1277" t="str">
            <v>PN      N1</v>
          </cell>
          <cell r="CD1277" t="str">
            <v xml:space="preserve">OPCOES VENDA   </v>
          </cell>
          <cell r="CE1277" t="str">
            <v xml:space="preserve">Europeu        </v>
          </cell>
        </row>
        <row r="1278">
          <cell r="AF1278">
            <v>1273</v>
          </cell>
          <cell r="AG1278">
            <v>0.11661257500203837</v>
          </cell>
          <cell r="BY1278" t="str">
            <v>ITAUP28</v>
          </cell>
          <cell r="BZ1278">
            <v>28</v>
          </cell>
          <cell r="CA1278" t="str">
            <v>20-04-2009</v>
          </cell>
          <cell r="CB1278" t="str">
            <v>ITAU    /EDJ</v>
          </cell>
          <cell r="CC1278" t="str">
            <v>PN      N1</v>
          </cell>
          <cell r="CD1278" t="str">
            <v xml:space="preserve">OPCOES VENDA   </v>
          </cell>
          <cell r="CE1278" t="str">
            <v xml:space="preserve">Europeu        </v>
          </cell>
        </row>
        <row r="1279">
          <cell r="AF1279">
            <v>1274</v>
          </cell>
          <cell r="AG1279">
            <v>0.1166181415044043</v>
          </cell>
          <cell r="BY1279" t="str">
            <v>ITAUP30</v>
          </cell>
          <cell r="BZ1279">
            <v>30</v>
          </cell>
          <cell r="CA1279" t="str">
            <v>20-04-2009</v>
          </cell>
          <cell r="CB1279" t="str">
            <v>ITAU    /EDJ</v>
          </cell>
          <cell r="CC1279" t="str">
            <v>PN      N1</v>
          </cell>
          <cell r="CD1279" t="str">
            <v xml:space="preserve">OPCOES VENDA   </v>
          </cell>
          <cell r="CE1279" t="str">
            <v xml:space="preserve">Europeu        </v>
          </cell>
        </row>
        <row r="1280">
          <cell r="AF1280">
            <v>1275</v>
          </cell>
          <cell r="AG1280">
            <v>0.11662369930268635</v>
          </cell>
          <cell r="BY1280" t="str">
            <v>ITAUP98</v>
          </cell>
          <cell r="BZ1280">
            <v>32</v>
          </cell>
          <cell r="CA1280" t="str">
            <v>20-04-2009</v>
          </cell>
          <cell r="CB1280" t="str">
            <v>ITAU    /EDJ</v>
          </cell>
          <cell r="CC1280" t="str">
            <v>PN      N1</v>
          </cell>
          <cell r="CD1280" t="str">
            <v xml:space="preserve">OPCOES VENDA   </v>
          </cell>
          <cell r="CE1280" t="str">
            <v xml:space="preserve">Europeu        </v>
          </cell>
        </row>
        <row r="1281">
          <cell r="AF1281">
            <v>1276</v>
          </cell>
          <cell r="AG1281">
            <v>0.11662924841728417</v>
          </cell>
          <cell r="BY1281" t="str">
            <v>ITAUP99</v>
          </cell>
          <cell r="BZ1281">
            <v>36</v>
          </cell>
          <cell r="CA1281" t="str">
            <v>20-04-2009</v>
          </cell>
          <cell r="CB1281" t="str">
            <v>ITAU    /EDJ</v>
          </cell>
          <cell r="CC1281" t="str">
            <v>PN      N1</v>
          </cell>
          <cell r="CD1281" t="str">
            <v xml:space="preserve">OPCOES VENDA   </v>
          </cell>
          <cell r="CE1281" t="str">
            <v xml:space="preserve">Europeu        </v>
          </cell>
        </row>
        <row r="1282">
          <cell r="AF1282">
            <v>1277</v>
          </cell>
          <cell r="AG1282">
            <v>0.11663478886853307</v>
          </cell>
          <cell r="BY1282" t="str">
            <v>ITAUQ18</v>
          </cell>
          <cell r="BZ1282">
            <v>17.82</v>
          </cell>
          <cell r="CA1282" t="str">
            <v>18-05-2009</v>
          </cell>
          <cell r="CB1282" t="str">
            <v>ITAU    /EDJ</v>
          </cell>
          <cell r="CC1282" t="str">
            <v>PN      N1</v>
          </cell>
          <cell r="CD1282" t="str">
            <v xml:space="preserve">OPCOES VENDA   </v>
          </cell>
          <cell r="CE1282" t="str">
            <v xml:space="preserve">Europeu        </v>
          </cell>
        </row>
        <row r="1283">
          <cell r="AF1283">
            <v>1278</v>
          </cell>
          <cell r="AG1283">
            <v>0.11664032067670504</v>
          </cell>
          <cell r="BY1283" t="str">
            <v>ITAUQ20</v>
          </cell>
          <cell r="BZ1283">
            <v>19.82</v>
          </cell>
          <cell r="CA1283" t="str">
            <v>18-05-2009</v>
          </cell>
          <cell r="CB1283" t="str">
            <v>ITAU    /EDJ</v>
          </cell>
          <cell r="CC1283" t="str">
            <v>PN      N1</v>
          </cell>
          <cell r="CD1283" t="str">
            <v xml:space="preserve">OPCOES VENDA   </v>
          </cell>
          <cell r="CE1283" t="str">
            <v xml:space="preserve">Europeu        </v>
          </cell>
        </row>
        <row r="1284">
          <cell r="AF1284">
            <v>1279</v>
          </cell>
          <cell r="AG1284">
            <v>0.11664584386200905</v>
          </cell>
          <cell r="BY1284" t="str">
            <v>ITAUQ21</v>
          </cell>
          <cell r="BZ1284">
            <v>21</v>
          </cell>
          <cell r="CA1284" t="str">
            <v>18-05-2009</v>
          </cell>
          <cell r="CB1284" t="str">
            <v>ITAU    /EDJ</v>
          </cell>
          <cell r="CC1284" t="str">
            <v>PN      N1</v>
          </cell>
          <cell r="CD1284" t="str">
            <v xml:space="preserve">OPCOES VENDA   </v>
          </cell>
          <cell r="CE1284" t="str">
            <v xml:space="preserve">Europeu        </v>
          </cell>
        </row>
        <row r="1285">
          <cell r="AF1285">
            <v>1280</v>
          </cell>
          <cell r="AG1285">
            <v>0.11665135844459096</v>
          </cell>
          <cell r="BY1285" t="str">
            <v>ITAUQ22</v>
          </cell>
          <cell r="BZ1285">
            <v>22</v>
          </cell>
          <cell r="CA1285" t="str">
            <v>18-05-2009</v>
          </cell>
          <cell r="CB1285" t="str">
            <v>ITAU    /EDJ</v>
          </cell>
          <cell r="CC1285" t="str">
            <v>PN      N1</v>
          </cell>
          <cell r="CD1285" t="str">
            <v xml:space="preserve">OPCOES VENDA   </v>
          </cell>
          <cell r="CE1285" t="str">
            <v xml:space="preserve">Europeu        </v>
          </cell>
        </row>
        <row r="1286">
          <cell r="AF1286">
            <v>1281</v>
          </cell>
          <cell r="AG1286">
            <v>0.11665686444453449</v>
          </cell>
          <cell r="BY1286" t="str">
            <v>ITAUQ24</v>
          </cell>
          <cell r="BZ1286">
            <v>24</v>
          </cell>
          <cell r="CA1286" t="str">
            <v>18-05-2009</v>
          </cell>
          <cell r="CB1286" t="str">
            <v>ITAU    /EDJ</v>
          </cell>
          <cell r="CC1286" t="str">
            <v>PN      N1</v>
          </cell>
          <cell r="CD1286" t="str">
            <v xml:space="preserve">OPCOES VENDA   </v>
          </cell>
          <cell r="CE1286" t="str">
            <v xml:space="preserve">Europeu        </v>
          </cell>
        </row>
        <row r="1287">
          <cell r="AF1287">
            <v>1282</v>
          </cell>
          <cell r="AG1287">
            <v>0.11666236188185986</v>
          </cell>
          <cell r="BY1287" t="str">
            <v>ITAUQ26</v>
          </cell>
          <cell r="BZ1287">
            <v>26</v>
          </cell>
          <cell r="CA1287" t="str">
            <v>18-05-2009</v>
          </cell>
          <cell r="CB1287" t="str">
            <v>ITAU    /EDJ</v>
          </cell>
          <cell r="CC1287" t="str">
            <v>PN      N1</v>
          </cell>
          <cell r="CD1287" t="str">
            <v xml:space="preserve">OPCOES VENDA   </v>
          </cell>
          <cell r="CE1287" t="str">
            <v xml:space="preserve">Europeu        </v>
          </cell>
        </row>
        <row r="1288">
          <cell r="AF1288">
            <v>1283</v>
          </cell>
          <cell r="AG1288">
            <v>0.11666785077652597</v>
          </cell>
          <cell r="BY1288" t="str">
            <v>ITAUQ28</v>
          </cell>
          <cell r="BZ1288">
            <v>28</v>
          </cell>
          <cell r="CA1288" t="str">
            <v>18-05-2009</v>
          </cell>
          <cell r="CB1288" t="str">
            <v>ITAU    /EDJ</v>
          </cell>
          <cell r="CC1288" t="str">
            <v>PN      N1</v>
          </cell>
          <cell r="CD1288" t="str">
            <v xml:space="preserve">OPCOES VENDA   </v>
          </cell>
          <cell r="CE1288" t="str">
            <v xml:space="preserve">Europeu        </v>
          </cell>
        </row>
        <row r="1289">
          <cell r="AF1289">
            <v>1284</v>
          </cell>
          <cell r="AG1289">
            <v>0.11667333114842937</v>
          </cell>
          <cell r="BY1289" t="str">
            <v>ITAUR98</v>
          </cell>
          <cell r="BZ1289">
            <v>29.66</v>
          </cell>
          <cell r="CA1289" t="str">
            <v>15-06-2009</v>
          </cell>
          <cell r="CB1289" t="str">
            <v>ITAU    /EDJ</v>
          </cell>
          <cell r="CC1289" t="str">
            <v>PN      N1</v>
          </cell>
          <cell r="CD1289" t="str">
            <v xml:space="preserve">OPCOES VENDA   </v>
          </cell>
          <cell r="CE1289" t="str">
            <v xml:space="preserve">Europeu        </v>
          </cell>
        </row>
        <row r="1290">
          <cell r="AF1290">
            <v>1285</v>
          </cell>
          <cell r="AG1290">
            <v>0.11667880301740441</v>
          </cell>
          <cell r="BY1290" t="str">
            <v>ITAUR97</v>
          </cell>
          <cell r="BZ1290">
            <v>31.22</v>
          </cell>
          <cell r="CA1290" t="str">
            <v>15-06-2009</v>
          </cell>
          <cell r="CB1290" t="str">
            <v>ITAU    /EDJ</v>
          </cell>
          <cell r="CC1290" t="str">
            <v>PN      N1</v>
          </cell>
          <cell r="CD1290" t="str">
            <v xml:space="preserve">OPCOES VENDA   </v>
          </cell>
          <cell r="CE1290" t="str">
            <v xml:space="preserve">Europeu        </v>
          </cell>
        </row>
        <row r="1291">
          <cell r="AF1291">
            <v>1286</v>
          </cell>
          <cell r="AG1291">
            <v>0.11668426640322527</v>
          </cell>
          <cell r="BY1291" t="str">
            <v>ITAUR32</v>
          </cell>
          <cell r="BZ1291">
            <v>32</v>
          </cell>
          <cell r="CA1291" t="str">
            <v>15-06-2009</v>
          </cell>
          <cell r="CB1291" t="str">
            <v>ITAU    /EDJ</v>
          </cell>
          <cell r="CC1291" t="str">
            <v>PN      N1</v>
          </cell>
          <cell r="CD1291" t="str">
            <v xml:space="preserve">OPCOES VENDA   </v>
          </cell>
          <cell r="CE1291" t="str">
            <v xml:space="preserve">Europeu        </v>
          </cell>
        </row>
        <row r="1292">
          <cell r="AF1292">
            <v>1287</v>
          </cell>
          <cell r="AG1292">
            <v>0.11668972132560329</v>
          </cell>
          <cell r="BY1292" t="str">
            <v>ITAUR99</v>
          </cell>
          <cell r="BZ1292">
            <v>35</v>
          </cell>
          <cell r="CA1292" t="str">
            <v>15-06-2009</v>
          </cell>
          <cell r="CB1292" t="str">
            <v>ITAU    /EDJ</v>
          </cell>
          <cell r="CC1292" t="str">
            <v>PN      N1</v>
          </cell>
          <cell r="CD1292" t="str">
            <v xml:space="preserve">OPCOES VENDA   </v>
          </cell>
          <cell r="CE1292" t="str">
            <v xml:space="preserve">Europeu        </v>
          </cell>
        </row>
        <row r="1293">
          <cell r="AF1293">
            <v>1288</v>
          </cell>
          <cell r="AG1293">
            <v>0.11669516780418987</v>
          </cell>
          <cell r="BY1293" t="str">
            <v>ITAUS21</v>
          </cell>
          <cell r="BZ1293">
            <v>21</v>
          </cell>
          <cell r="CA1293" t="str">
            <v>20-07-2009</v>
          </cell>
          <cell r="CB1293" t="str">
            <v>ITAU    /EDJ</v>
          </cell>
          <cell r="CC1293" t="str">
            <v>PN      N1</v>
          </cell>
          <cell r="CD1293" t="str">
            <v xml:space="preserve">OPCOES VENDA   </v>
          </cell>
          <cell r="CE1293" t="str">
            <v xml:space="preserve">Europeu        </v>
          </cell>
        </row>
        <row r="1294">
          <cell r="AF1294">
            <v>1289</v>
          </cell>
          <cell r="AG1294">
            <v>0.11670060585857556</v>
          </cell>
          <cell r="BY1294" t="str">
            <v>ITAUT99</v>
          </cell>
          <cell r="BZ1294">
            <v>26.31</v>
          </cell>
          <cell r="CA1294" t="str">
            <v>17-08-2009</v>
          </cell>
          <cell r="CB1294" t="str">
            <v>ITAU    /EDJ</v>
          </cell>
          <cell r="CC1294" t="str">
            <v>PN      N1</v>
          </cell>
          <cell r="CD1294" t="str">
            <v xml:space="preserve">OPCOES VENDA   </v>
          </cell>
          <cell r="CE1294" t="str">
            <v xml:space="preserve">Europeu        </v>
          </cell>
        </row>
        <row r="1295">
          <cell r="AF1295">
            <v>1290</v>
          </cell>
          <cell r="AG1295">
            <v>0.1167060355082894</v>
          </cell>
          <cell r="BY1295" t="str">
            <v>ITAUX3</v>
          </cell>
          <cell r="BZ1295">
            <v>30</v>
          </cell>
          <cell r="CA1295" t="str">
            <v>21-12-2009</v>
          </cell>
          <cell r="CB1295" t="str">
            <v>ITAU    /EDJ</v>
          </cell>
          <cell r="CC1295" t="str">
            <v>PN      N1</v>
          </cell>
          <cell r="CD1295" t="str">
            <v xml:space="preserve">OPCOES VENDA   </v>
          </cell>
          <cell r="CE1295" t="str">
            <v xml:space="preserve">Europeu        </v>
          </cell>
        </row>
        <row r="1296">
          <cell r="AF1296">
            <v>1291</v>
          </cell>
          <cell r="AG1296">
            <v>0.11671145677280115</v>
          </cell>
          <cell r="BY1296" t="str">
            <v>ITAUM25</v>
          </cell>
          <cell r="BZ1296">
            <v>25</v>
          </cell>
          <cell r="CA1296" t="str">
            <v>18-01-2010</v>
          </cell>
          <cell r="CB1296" t="str">
            <v>ITAU    /EDJ</v>
          </cell>
          <cell r="CC1296" t="str">
            <v>PN      N1</v>
          </cell>
          <cell r="CD1296" t="str">
            <v xml:space="preserve">OPCOES VENDA   </v>
          </cell>
          <cell r="CE1296" t="str">
            <v xml:space="preserve">Europeu        </v>
          </cell>
        </row>
        <row r="1297">
          <cell r="AF1297">
            <v>1292</v>
          </cell>
          <cell r="AG1297">
            <v>0.11671686967151995</v>
          </cell>
          <cell r="BY1297" t="str">
            <v>ITAUM5</v>
          </cell>
          <cell r="BZ1297">
            <v>25.3</v>
          </cell>
          <cell r="CA1297" t="str">
            <v>18-01-2010</v>
          </cell>
          <cell r="CB1297" t="str">
            <v>ITAU    /EDJ</v>
          </cell>
          <cell r="CC1297" t="str">
            <v>PN      N1</v>
          </cell>
          <cell r="CD1297" t="str">
            <v xml:space="preserve">OPCOES VENDA   </v>
          </cell>
          <cell r="CE1297" t="str">
            <v xml:space="preserve">Europeu        </v>
          </cell>
        </row>
        <row r="1298">
          <cell r="AF1298">
            <v>1293</v>
          </cell>
          <cell r="AG1298">
            <v>0.11672227422379544</v>
          </cell>
          <cell r="BY1298" t="str">
            <v>ITAUM7</v>
          </cell>
          <cell r="BZ1298">
            <v>27</v>
          </cell>
          <cell r="CA1298" t="str">
            <v>18-01-2010</v>
          </cell>
          <cell r="CB1298" t="str">
            <v>ITAU    /EDJ</v>
          </cell>
          <cell r="CC1298" t="str">
            <v>PN      N1</v>
          </cell>
          <cell r="CD1298" t="str">
            <v xml:space="preserve">OPCOES VENDA   </v>
          </cell>
          <cell r="CE1298" t="str">
            <v xml:space="preserve">Europeu        </v>
          </cell>
        </row>
        <row r="1299">
          <cell r="AF1299">
            <v>1294</v>
          </cell>
          <cell r="AG1299">
            <v>0.11672767044891752</v>
          </cell>
          <cell r="BY1299" t="str">
            <v>ITAUM29</v>
          </cell>
          <cell r="BZ1299">
            <v>29</v>
          </cell>
          <cell r="CA1299" t="str">
            <v>18-01-2010</v>
          </cell>
          <cell r="CB1299" t="str">
            <v>ITAU    /EDJ</v>
          </cell>
          <cell r="CC1299" t="str">
            <v>PN      N1</v>
          </cell>
          <cell r="CD1299" t="str">
            <v xml:space="preserve">OPCOES VENDA   </v>
          </cell>
          <cell r="CE1299" t="str">
            <v xml:space="preserve">Europeu        </v>
          </cell>
        </row>
        <row r="1300">
          <cell r="AF1300">
            <v>1295</v>
          </cell>
          <cell r="AG1300">
            <v>0.11673305836611658</v>
          </cell>
          <cell r="BY1300" t="str">
            <v>ITAUM31</v>
          </cell>
          <cell r="BZ1300">
            <v>31</v>
          </cell>
          <cell r="CA1300" t="str">
            <v>18-01-2010</v>
          </cell>
          <cell r="CB1300" t="str">
            <v>ITAU    /EDJ</v>
          </cell>
          <cell r="CC1300" t="str">
            <v>PN      N1</v>
          </cell>
          <cell r="CD1300" t="str">
            <v xml:space="preserve">OPCOES VENDA   </v>
          </cell>
          <cell r="CE1300" t="str">
            <v xml:space="preserve">Europeu        </v>
          </cell>
        </row>
        <row r="1301">
          <cell r="AF1301">
            <v>1296</v>
          </cell>
          <cell r="AG1301">
            <v>0.11673843799456329</v>
          </cell>
          <cell r="BY1301" t="str">
            <v>ITSAC6</v>
          </cell>
          <cell r="BZ1301">
            <v>6</v>
          </cell>
          <cell r="CA1301" t="str">
            <v>16-03-2009</v>
          </cell>
          <cell r="CB1301" t="str">
            <v>ITSA    /EDJ</v>
          </cell>
          <cell r="CC1301" t="str">
            <v>PN      N1</v>
          </cell>
          <cell r="CD1301" t="str">
            <v xml:space="preserve">OPCOES COMPRA  </v>
          </cell>
          <cell r="CE1301" t="str">
            <v xml:space="preserve">Americano      </v>
          </cell>
        </row>
        <row r="1302">
          <cell r="AF1302">
            <v>1297</v>
          </cell>
          <cell r="AG1302">
            <v>0.11674380935337059</v>
          </cell>
          <cell r="BY1302" t="str">
            <v>ITSAC1</v>
          </cell>
          <cell r="BZ1302">
            <v>6.5</v>
          </cell>
          <cell r="CA1302" t="str">
            <v>16-03-2009</v>
          </cell>
          <cell r="CB1302" t="str">
            <v>ITSA    /EDJ</v>
          </cell>
          <cell r="CC1302" t="str">
            <v>PN      N1</v>
          </cell>
          <cell r="CD1302" t="str">
            <v xml:space="preserve">OPCOES COMPRA  </v>
          </cell>
          <cell r="CE1302" t="str">
            <v xml:space="preserve">Europeu        </v>
          </cell>
        </row>
        <row r="1303">
          <cell r="AF1303">
            <v>1298</v>
          </cell>
          <cell r="AG1303">
            <v>0.11674917246159189</v>
          </cell>
          <cell r="BY1303" t="str">
            <v>ITSAC7</v>
          </cell>
          <cell r="BZ1303">
            <v>6.76</v>
          </cell>
          <cell r="CA1303" t="str">
            <v>16-03-2009</v>
          </cell>
          <cell r="CB1303" t="str">
            <v>ITSA    /EDJ</v>
          </cell>
          <cell r="CC1303" t="str">
            <v>PN      N1</v>
          </cell>
          <cell r="CD1303" t="str">
            <v xml:space="preserve">OPCOES COMPRA  </v>
          </cell>
          <cell r="CE1303" t="str">
            <v xml:space="preserve">Americano      </v>
          </cell>
        </row>
        <row r="1304">
          <cell r="AF1304">
            <v>1299</v>
          </cell>
          <cell r="AG1304">
            <v>0.11675452733822245</v>
          </cell>
          <cell r="BY1304" t="str">
            <v>ITSAC2</v>
          </cell>
          <cell r="BZ1304">
            <v>7.26</v>
          </cell>
          <cell r="CA1304" t="str">
            <v>16-03-2009</v>
          </cell>
          <cell r="CB1304" t="str">
            <v>ITSA    /EDJ</v>
          </cell>
          <cell r="CC1304" t="str">
            <v>PN      N1</v>
          </cell>
          <cell r="CD1304" t="str">
            <v xml:space="preserve">OPCOES COMPRA  </v>
          </cell>
          <cell r="CE1304" t="str">
            <v xml:space="preserve">Europeu        </v>
          </cell>
        </row>
        <row r="1305">
          <cell r="AF1305">
            <v>1300</v>
          </cell>
          <cell r="AG1305">
            <v>0.11675987400219889</v>
          </cell>
          <cell r="BY1305" t="str">
            <v>ITSAC8</v>
          </cell>
          <cell r="BZ1305">
            <v>7.76</v>
          </cell>
          <cell r="CA1305" t="str">
            <v>16-03-2009</v>
          </cell>
          <cell r="CB1305" t="str">
            <v>ITSA    /EDJ</v>
          </cell>
          <cell r="CC1305" t="str">
            <v>PN      N1</v>
          </cell>
          <cell r="CD1305" t="str">
            <v xml:space="preserve">OPCOES COMPRA  </v>
          </cell>
          <cell r="CE1305" t="str">
            <v xml:space="preserve">Americano      </v>
          </cell>
        </row>
        <row r="1306">
          <cell r="AF1306">
            <v>1301</v>
          </cell>
          <cell r="AG1306">
            <v>0.11676521247240013</v>
          </cell>
          <cell r="BY1306" t="str">
            <v>ITSAC3</v>
          </cell>
          <cell r="BZ1306">
            <v>8.5</v>
          </cell>
          <cell r="CA1306" t="str">
            <v>16-03-2009</v>
          </cell>
          <cell r="CB1306" t="str">
            <v>ITSA    /EDJ</v>
          </cell>
          <cell r="CC1306" t="str">
            <v>PN      N1</v>
          </cell>
          <cell r="CD1306" t="str">
            <v xml:space="preserve">OPCOES COMPRA  </v>
          </cell>
          <cell r="CE1306" t="str">
            <v xml:space="preserve">Europeu        </v>
          </cell>
        </row>
        <row r="1307">
          <cell r="AF1307">
            <v>1302</v>
          </cell>
          <cell r="AG1307">
            <v>0.11677054276764709</v>
          </cell>
          <cell r="BY1307" t="str">
            <v>ITSAC9</v>
          </cell>
          <cell r="BZ1307">
            <v>9</v>
          </cell>
          <cell r="CA1307" t="str">
            <v>16-03-2009</v>
          </cell>
          <cell r="CB1307" t="str">
            <v>ITSA    /EDJ</v>
          </cell>
          <cell r="CC1307" t="str">
            <v>PN      N1</v>
          </cell>
          <cell r="CD1307" t="str">
            <v xml:space="preserve">OPCOES COMPRA  </v>
          </cell>
          <cell r="CE1307" t="str">
            <v xml:space="preserve">Americano      </v>
          </cell>
        </row>
        <row r="1308">
          <cell r="AF1308">
            <v>1303</v>
          </cell>
          <cell r="AG1308">
            <v>0.11677586490670322</v>
          </cell>
          <cell r="BY1308" t="str">
            <v>ITSAC4</v>
          </cell>
          <cell r="BZ1308">
            <v>9.5</v>
          </cell>
          <cell r="CA1308" t="str">
            <v>16-03-2009</v>
          </cell>
          <cell r="CB1308" t="str">
            <v>ITSA    /EDJ</v>
          </cell>
          <cell r="CC1308" t="str">
            <v>PN      N1</v>
          </cell>
          <cell r="CD1308" t="str">
            <v xml:space="preserve">OPCOES COMPRA  </v>
          </cell>
          <cell r="CE1308" t="str">
            <v xml:space="preserve">Europeu        </v>
          </cell>
        </row>
        <row r="1309">
          <cell r="AF1309">
            <v>1304</v>
          </cell>
          <cell r="AG1309">
            <v>0.11678117890827466</v>
          </cell>
          <cell r="BY1309" t="str">
            <v>ITSAC10</v>
          </cell>
          <cell r="BZ1309">
            <v>10</v>
          </cell>
          <cell r="CA1309" t="str">
            <v>16-03-2009</v>
          </cell>
          <cell r="CB1309" t="str">
            <v>ITSA    /EDJ</v>
          </cell>
          <cell r="CC1309" t="str">
            <v>PN      N1</v>
          </cell>
          <cell r="CD1309" t="str">
            <v xml:space="preserve">OPCOES COMPRA  </v>
          </cell>
          <cell r="CE1309" t="str">
            <v xml:space="preserve">Americano      </v>
          </cell>
        </row>
        <row r="1310">
          <cell r="AF1310">
            <v>1305</v>
          </cell>
          <cell r="AG1310">
            <v>0.11678648479101006</v>
          </cell>
          <cell r="BY1310" t="str">
            <v>ITSAD5</v>
          </cell>
          <cell r="BZ1310">
            <v>5.5</v>
          </cell>
          <cell r="CA1310" t="str">
            <v>20-04-2009</v>
          </cell>
          <cell r="CB1310" t="str">
            <v>ITSA    /EDJ</v>
          </cell>
          <cell r="CC1310" t="str">
            <v>PN      N1</v>
          </cell>
          <cell r="CD1310" t="str">
            <v xml:space="preserve">OPCOES COMPRA  </v>
          </cell>
          <cell r="CE1310" t="str">
            <v xml:space="preserve">Europeu        </v>
          </cell>
        </row>
        <row r="1311">
          <cell r="AF1311">
            <v>1306</v>
          </cell>
          <cell r="AG1311">
            <v>0.11679178257350142</v>
          </cell>
          <cell r="BY1311" t="str">
            <v>ITSAD6</v>
          </cell>
          <cell r="BZ1311">
            <v>6</v>
          </cell>
          <cell r="CA1311" t="str">
            <v>20-04-2009</v>
          </cell>
          <cell r="CB1311" t="str">
            <v>ITSA    /EDJ</v>
          </cell>
          <cell r="CC1311" t="str">
            <v>PN      N1</v>
          </cell>
          <cell r="CD1311" t="str">
            <v xml:space="preserve">OPCOES COMPRA  </v>
          </cell>
          <cell r="CE1311" t="str">
            <v xml:space="preserve">Americano      </v>
          </cell>
        </row>
        <row r="1312">
          <cell r="AF1312">
            <v>1307</v>
          </cell>
          <cell r="AG1312">
            <v>0.11679707227428371</v>
          </cell>
          <cell r="BY1312" t="str">
            <v>ITSAD3</v>
          </cell>
          <cell r="BZ1312">
            <v>6.26</v>
          </cell>
          <cell r="CA1312" t="str">
            <v>20-04-2009</v>
          </cell>
          <cell r="CB1312" t="str">
            <v>ITSA    /EDJ</v>
          </cell>
          <cell r="CC1312" t="str">
            <v>PN      N1</v>
          </cell>
          <cell r="CD1312" t="str">
            <v xml:space="preserve">OPCOES COMPRA  </v>
          </cell>
          <cell r="CE1312" t="str">
            <v xml:space="preserve">Europeu        </v>
          </cell>
        </row>
        <row r="1313">
          <cell r="AF1313">
            <v>1308</v>
          </cell>
          <cell r="AG1313">
            <v>0.11680235391183591</v>
          </cell>
          <cell r="BY1313" t="str">
            <v>ITSAD7</v>
          </cell>
          <cell r="BZ1313">
            <v>6.76</v>
          </cell>
          <cell r="CA1313" t="str">
            <v>20-04-2009</v>
          </cell>
          <cell r="CB1313" t="str">
            <v>ITSA    /EDJ</v>
          </cell>
          <cell r="CC1313" t="str">
            <v>PN      N1</v>
          </cell>
          <cell r="CD1313" t="str">
            <v xml:space="preserve">OPCOES COMPRA  </v>
          </cell>
          <cell r="CE1313" t="str">
            <v xml:space="preserve">Americano      </v>
          </cell>
        </row>
        <row r="1314">
          <cell r="AF1314">
            <v>1309</v>
          </cell>
          <cell r="AG1314">
            <v>0.1168076275045804</v>
          </cell>
          <cell r="BY1314" t="str">
            <v>ITSAD20</v>
          </cell>
          <cell r="BZ1314">
            <v>6.9</v>
          </cell>
          <cell r="CA1314" t="str">
            <v>20-04-2009</v>
          </cell>
          <cell r="CB1314" t="str">
            <v>ITSA    /EDJ</v>
          </cell>
          <cell r="CC1314" t="str">
            <v>PN      N1</v>
          </cell>
          <cell r="CD1314" t="str">
            <v xml:space="preserve">OPCOES COMPRA  </v>
          </cell>
          <cell r="CE1314" t="str">
            <v xml:space="preserve">Europeu        </v>
          </cell>
        </row>
        <row r="1315">
          <cell r="AF1315">
            <v>1310</v>
          </cell>
          <cell r="AG1315">
            <v>0.11681289307088361</v>
          </cell>
          <cell r="BY1315" t="str">
            <v>ITSAD1</v>
          </cell>
          <cell r="BZ1315">
            <v>7.26</v>
          </cell>
          <cell r="CA1315" t="str">
            <v>20-04-2009</v>
          </cell>
          <cell r="CB1315" t="str">
            <v>ITSA    /EDJ</v>
          </cell>
          <cell r="CC1315" t="str">
            <v>PN      N1</v>
          </cell>
          <cell r="CD1315" t="str">
            <v xml:space="preserve">OPCOES COMPRA  </v>
          </cell>
          <cell r="CE1315" t="str">
            <v xml:space="preserve">Europeu        </v>
          </cell>
        </row>
        <row r="1316">
          <cell r="AF1316">
            <v>1311</v>
          </cell>
          <cell r="AG1316">
            <v>0.11681815062905554</v>
          </cell>
          <cell r="BY1316" t="str">
            <v>ITSAD8</v>
          </cell>
          <cell r="BZ1316">
            <v>7.76</v>
          </cell>
          <cell r="CA1316" t="str">
            <v>20-04-2009</v>
          </cell>
          <cell r="CB1316" t="str">
            <v>ITSA    /EDJ</v>
          </cell>
          <cell r="CC1316" t="str">
            <v>PN      N1</v>
          </cell>
          <cell r="CD1316" t="str">
            <v xml:space="preserve">OPCOES COMPRA  </v>
          </cell>
          <cell r="CE1316" t="str">
            <v xml:space="preserve">Americano      </v>
          </cell>
        </row>
        <row r="1317">
          <cell r="AF1317">
            <v>1312</v>
          </cell>
          <cell r="AG1317">
            <v>0.11682340019735138</v>
          </cell>
          <cell r="BY1317" t="str">
            <v>ITSAD2</v>
          </cell>
          <cell r="BZ1317">
            <v>8.26</v>
          </cell>
          <cell r="CA1317" t="str">
            <v>20-04-2009</v>
          </cell>
          <cell r="CB1317" t="str">
            <v>ITSA    /EDJ</v>
          </cell>
          <cell r="CC1317" t="str">
            <v>PN      N1</v>
          </cell>
          <cell r="CD1317" t="str">
            <v xml:space="preserve">OPCOES COMPRA  </v>
          </cell>
          <cell r="CE1317" t="str">
            <v xml:space="preserve">Europeu        </v>
          </cell>
        </row>
        <row r="1318">
          <cell r="AF1318">
            <v>1313</v>
          </cell>
          <cell r="AG1318">
            <v>0.11682864179397012</v>
          </cell>
          <cell r="BY1318" t="str">
            <v>ITSAD9</v>
          </cell>
          <cell r="BZ1318">
            <v>8.76</v>
          </cell>
          <cell r="CA1318" t="str">
            <v>20-04-2009</v>
          </cell>
          <cell r="CB1318" t="str">
            <v>ITSA    /EDJ</v>
          </cell>
          <cell r="CC1318" t="str">
            <v>PN      N1</v>
          </cell>
          <cell r="CD1318" t="str">
            <v xml:space="preserve">OPCOES COMPRA  </v>
          </cell>
          <cell r="CE1318" t="str">
            <v xml:space="preserve">Americano      </v>
          </cell>
        </row>
        <row r="1319">
          <cell r="AF1319">
            <v>1314</v>
          </cell>
          <cell r="AG1319">
            <v>0.11683387543705614</v>
          </cell>
          <cell r="BY1319" t="str">
            <v>ITSAD4</v>
          </cell>
          <cell r="BZ1319">
            <v>9.5</v>
          </cell>
          <cell r="CA1319" t="str">
            <v>20-04-2009</v>
          </cell>
          <cell r="CB1319" t="str">
            <v>ITSA    /EDJ</v>
          </cell>
          <cell r="CC1319" t="str">
            <v>PN      N1</v>
          </cell>
          <cell r="CD1319" t="str">
            <v xml:space="preserve">OPCOES COMPRA  </v>
          </cell>
          <cell r="CE1319" t="str">
            <v xml:space="preserve">Europeu        </v>
          </cell>
        </row>
        <row r="1320">
          <cell r="AF1320">
            <v>1315</v>
          </cell>
          <cell r="AG1320">
            <v>0.11683910114469853</v>
          </cell>
          <cell r="BY1320" t="str">
            <v>ITSAD10</v>
          </cell>
          <cell r="BZ1320">
            <v>10</v>
          </cell>
          <cell r="CA1320" t="str">
            <v>20-04-2009</v>
          </cell>
          <cell r="CB1320" t="str">
            <v>ITSA    /EDJ</v>
          </cell>
          <cell r="CC1320" t="str">
            <v>PN      N1</v>
          </cell>
          <cell r="CD1320" t="str">
            <v xml:space="preserve">OPCOES COMPRA  </v>
          </cell>
          <cell r="CE1320" t="str">
            <v xml:space="preserve">Americano      </v>
          </cell>
        </row>
        <row r="1321">
          <cell r="AF1321">
            <v>1316</v>
          </cell>
          <cell r="AG1321">
            <v>0.11684431893493175</v>
          </cell>
          <cell r="BY1321" t="str">
            <v>ITSAL6</v>
          </cell>
          <cell r="BZ1321">
            <v>5.72</v>
          </cell>
          <cell r="CA1321" t="str">
            <v>21-12-2009</v>
          </cell>
          <cell r="CB1321" t="str">
            <v>ITSA    /EDJ</v>
          </cell>
          <cell r="CC1321" t="str">
            <v>PN      N1</v>
          </cell>
          <cell r="CD1321" t="str">
            <v xml:space="preserve">OPCOES COMPRA  </v>
          </cell>
          <cell r="CE1321" t="str">
            <v xml:space="preserve">Europeu        </v>
          </cell>
        </row>
        <row r="1322">
          <cell r="AF1322">
            <v>1317</v>
          </cell>
          <cell r="AG1322">
            <v>0.11684952882573518</v>
          </cell>
          <cell r="BY1322" t="str">
            <v>ITSAO6</v>
          </cell>
          <cell r="BZ1322">
            <v>6</v>
          </cell>
          <cell r="CA1322" t="str">
            <v>16-03-2009</v>
          </cell>
          <cell r="CB1322" t="str">
            <v>ITSA    /EDJ</v>
          </cell>
          <cell r="CC1322" t="str">
            <v>PN      N1</v>
          </cell>
          <cell r="CD1322" t="str">
            <v xml:space="preserve">OPCOES VENDA   </v>
          </cell>
          <cell r="CE1322" t="str">
            <v xml:space="preserve">Europeu        </v>
          </cell>
        </row>
        <row r="1323">
          <cell r="AF1323">
            <v>1318</v>
          </cell>
          <cell r="AG1323">
            <v>0.11685473083503406</v>
          </cell>
          <cell r="BY1323" t="str">
            <v>ITSAO1</v>
          </cell>
          <cell r="BZ1323">
            <v>6.5</v>
          </cell>
          <cell r="CA1323" t="str">
            <v>16-03-2009</v>
          </cell>
          <cell r="CB1323" t="str">
            <v>ITSA    /EDJ</v>
          </cell>
          <cell r="CC1323" t="str">
            <v>PN      N1</v>
          </cell>
          <cell r="CD1323" t="str">
            <v xml:space="preserve">OPCOES VENDA   </v>
          </cell>
          <cell r="CE1323" t="str">
            <v xml:space="preserve">Europeu        </v>
          </cell>
        </row>
        <row r="1324">
          <cell r="AF1324">
            <v>1319</v>
          </cell>
          <cell r="AG1324">
            <v>0.11685992498069986</v>
          </cell>
          <cell r="BY1324" t="str">
            <v>ITSAO7</v>
          </cell>
          <cell r="BZ1324">
            <v>7</v>
          </cell>
          <cell r="CA1324" t="str">
            <v>16-03-2009</v>
          </cell>
          <cell r="CB1324" t="str">
            <v>ITSA    /EDJ</v>
          </cell>
          <cell r="CC1324" t="str">
            <v>PN      N1</v>
          </cell>
          <cell r="CD1324" t="str">
            <v xml:space="preserve">OPCOES VENDA   </v>
          </cell>
          <cell r="CE1324" t="str">
            <v xml:space="preserve">Europeu        </v>
          </cell>
        </row>
        <row r="1325">
          <cell r="AF1325">
            <v>1320</v>
          </cell>
          <cell r="AG1325">
            <v>0.11686511128054944</v>
          </cell>
          <cell r="BY1325" t="str">
            <v>ITSAO2</v>
          </cell>
          <cell r="BZ1325">
            <v>7.5</v>
          </cell>
          <cell r="CA1325" t="str">
            <v>16-03-2009</v>
          </cell>
          <cell r="CB1325" t="str">
            <v>ITSA    /EDJ</v>
          </cell>
          <cell r="CC1325" t="str">
            <v>PN      N1</v>
          </cell>
          <cell r="CD1325" t="str">
            <v xml:space="preserve">OPCOES VENDA   </v>
          </cell>
          <cell r="CE1325" t="str">
            <v xml:space="preserve">Europeu        </v>
          </cell>
        </row>
        <row r="1326">
          <cell r="AF1326">
            <v>1321</v>
          </cell>
          <cell r="AG1326">
            <v>0.11687028975234615</v>
          </cell>
          <cell r="BY1326" t="str">
            <v>ITSAO8</v>
          </cell>
          <cell r="BZ1326">
            <v>8</v>
          </cell>
          <cell r="CA1326" t="str">
            <v>16-03-2009</v>
          </cell>
          <cell r="CB1326" t="str">
            <v>ITSA    /EDJ</v>
          </cell>
          <cell r="CC1326" t="str">
            <v>PN      N1</v>
          </cell>
          <cell r="CD1326" t="str">
            <v xml:space="preserve">OPCOES VENDA   </v>
          </cell>
          <cell r="CE1326" t="str">
            <v xml:space="preserve">Europeu        </v>
          </cell>
        </row>
        <row r="1327">
          <cell r="AF1327">
            <v>1322</v>
          </cell>
          <cell r="AG1327">
            <v>0.11687546041379981</v>
          </cell>
          <cell r="BY1327" t="str">
            <v>ITSAO3</v>
          </cell>
          <cell r="BZ1327">
            <v>8.5</v>
          </cell>
          <cell r="CA1327" t="str">
            <v>16-03-2009</v>
          </cell>
          <cell r="CB1327" t="str">
            <v>ITSA    /EDJ</v>
          </cell>
          <cell r="CC1327" t="str">
            <v>PN      N1</v>
          </cell>
          <cell r="CD1327" t="str">
            <v xml:space="preserve">OPCOES VENDA   </v>
          </cell>
          <cell r="CE1327" t="str">
            <v xml:space="preserve">Europeu        </v>
          </cell>
        </row>
        <row r="1328">
          <cell r="AF1328">
            <v>1323</v>
          </cell>
          <cell r="AG1328">
            <v>0.11688062328256654</v>
          </cell>
          <cell r="BY1328" t="str">
            <v>ITSAO9</v>
          </cell>
          <cell r="BZ1328">
            <v>9</v>
          </cell>
          <cell r="CA1328" t="str">
            <v>16-03-2009</v>
          </cell>
          <cell r="CB1328" t="str">
            <v>ITSA    /EDJ</v>
          </cell>
          <cell r="CC1328" t="str">
            <v>PN      N1</v>
          </cell>
          <cell r="CD1328" t="str">
            <v xml:space="preserve">OPCOES VENDA   </v>
          </cell>
          <cell r="CE1328" t="str">
            <v xml:space="preserve">Europeu        </v>
          </cell>
        </row>
        <row r="1329">
          <cell r="AF1329">
            <v>1324</v>
          </cell>
          <cell r="AG1329">
            <v>0.11688577837624958</v>
          </cell>
          <cell r="BY1329" t="str">
            <v>ITSAO4</v>
          </cell>
          <cell r="BZ1329">
            <v>9.5</v>
          </cell>
          <cell r="CA1329" t="str">
            <v>16-03-2009</v>
          </cell>
          <cell r="CB1329" t="str">
            <v>ITSA    /EDJ</v>
          </cell>
          <cell r="CC1329" t="str">
            <v>PN      N1</v>
          </cell>
          <cell r="CD1329" t="str">
            <v xml:space="preserve">OPCOES VENDA   </v>
          </cell>
          <cell r="CE1329" t="str">
            <v xml:space="preserve">Europeu        </v>
          </cell>
        </row>
        <row r="1330">
          <cell r="AF1330">
            <v>1325</v>
          </cell>
          <cell r="AG1330">
            <v>0.11689092571239956</v>
          </cell>
          <cell r="BY1330" t="str">
            <v>ITSAO10</v>
          </cell>
          <cell r="BZ1330">
            <v>10</v>
          </cell>
          <cell r="CA1330" t="str">
            <v>16-03-2009</v>
          </cell>
          <cell r="CB1330" t="str">
            <v>ITSA    /EDJ</v>
          </cell>
          <cell r="CC1330" t="str">
            <v>PN      N1</v>
          </cell>
          <cell r="CD1330" t="str">
            <v xml:space="preserve">OPCOES VENDA   </v>
          </cell>
          <cell r="CE1330" t="str">
            <v xml:space="preserve">Europeu        </v>
          </cell>
        </row>
        <row r="1331">
          <cell r="AF1331">
            <v>1326</v>
          </cell>
          <cell r="AG1331">
            <v>0.11689606530851337</v>
          </cell>
          <cell r="BY1331" t="str">
            <v>ITSAP5</v>
          </cell>
          <cell r="BZ1331">
            <v>5.27</v>
          </cell>
          <cell r="CA1331" t="str">
            <v>20-04-2009</v>
          </cell>
          <cell r="CB1331" t="str">
            <v>ITSA    /EDJ</v>
          </cell>
          <cell r="CC1331" t="str">
            <v>PN      N1</v>
          </cell>
          <cell r="CD1331" t="str">
            <v xml:space="preserve">OPCOES VENDA   </v>
          </cell>
          <cell r="CE1331" t="str">
            <v xml:space="preserve">Europeu        </v>
          </cell>
        </row>
        <row r="1332">
          <cell r="AF1332">
            <v>1327</v>
          </cell>
          <cell r="AG1332">
            <v>0.11690119718203595</v>
          </cell>
          <cell r="BY1332" t="str">
            <v>ITSAP6</v>
          </cell>
          <cell r="BZ1332">
            <v>5.76</v>
          </cell>
          <cell r="CA1332" t="str">
            <v>20-04-2009</v>
          </cell>
          <cell r="CB1332" t="str">
            <v>ITSA    /EDJ</v>
          </cell>
          <cell r="CC1332" t="str">
            <v>PN      N1</v>
          </cell>
          <cell r="CD1332" t="str">
            <v xml:space="preserve">OPCOES VENDA   </v>
          </cell>
          <cell r="CE1332" t="str">
            <v xml:space="preserve">Europeu        </v>
          </cell>
        </row>
        <row r="1333">
          <cell r="AF1333">
            <v>1328</v>
          </cell>
          <cell r="AG1333">
            <v>0.11690632135035983</v>
          </cell>
          <cell r="BY1333" t="str">
            <v>ITSAP3</v>
          </cell>
          <cell r="BZ1333">
            <v>6.26</v>
          </cell>
          <cell r="CA1333" t="str">
            <v>20-04-2009</v>
          </cell>
          <cell r="CB1333" t="str">
            <v>ITSA    /EDJ</v>
          </cell>
          <cell r="CC1333" t="str">
            <v>PN      N1</v>
          </cell>
          <cell r="CD1333" t="str">
            <v xml:space="preserve">OPCOES VENDA   </v>
          </cell>
          <cell r="CE1333" t="str">
            <v xml:space="preserve">Europeu        </v>
          </cell>
        </row>
        <row r="1334">
          <cell r="AF1334">
            <v>1329</v>
          </cell>
          <cell r="AG1334">
            <v>0.1169114378308258</v>
          </cell>
          <cell r="BY1334" t="str">
            <v>ITSAP20</v>
          </cell>
          <cell r="BZ1334">
            <v>6.9</v>
          </cell>
          <cell r="CA1334" t="str">
            <v>20-04-2009</v>
          </cell>
          <cell r="CB1334" t="str">
            <v>ITSA    /EDJ</v>
          </cell>
          <cell r="CC1334" t="str">
            <v>PN      N1</v>
          </cell>
          <cell r="CD1334" t="str">
            <v xml:space="preserve">OPCOES VENDA   </v>
          </cell>
          <cell r="CE1334" t="str">
            <v xml:space="preserve">Europeu        </v>
          </cell>
        </row>
        <row r="1335">
          <cell r="AF1335">
            <v>1330</v>
          </cell>
          <cell r="AG1335">
            <v>0.11691654664072115</v>
          </cell>
          <cell r="BY1335" t="str">
            <v>ITSAP7</v>
          </cell>
          <cell r="BZ1335">
            <v>7</v>
          </cell>
          <cell r="CA1335" t="str">
            <v>20-04-2009</v>
          </cell>
          <cell r="CB1335" t="str">
            <v>ITSA    /EDJ</v>
          </cell>
          <cell r="CC1335" t="str">
            <v>PN      N1</v>
          </cell>
          <cell r="CD1335" t="str">
            <v xml:space="preserve">OPCOES VENDA   </v>
          </cell>
          <cell r="CE1335" t="str">
            <v xml:space="preserve">Europeu        </v>
          </cell>
        </row>
        <row r="1336">
          <cell r="AF1336">
            <v>1331</v>
          </cell>
          <cell r="AG1336">
            <v>0.11692164779728298</v>
          </cell>
          <cell r="BY1336" t="str">
            <v>ITSAP1</v>
          </cell>
          <cell r="BZ1336">
            <v>7.26</v>
          </cell>
          <cell r="CA1336" t="str">
            <v>20-04-2009</v>
          </cell>
          <cell r="CB1336" t="str">
            <v>ITSA    /EDJ</v>
          </cell>
          <cell r="CC1336" t="str">
            <v>PN      N1</v>
          </cell>
          <cell r="CD1336" t="str">
            <v xml:space="preserve">OPCOES VENDA   </v>
          </cell>
          <cell r="CE1336" t="str">
            <v xml:space="preserve">Europeu        </v>
          </cell>
        </row>
        <row r="1337">
          <cell r="AF1337">
            <v>1332</v>
          </cell>
          <cell r="AG1337">
            <v>0.11692674131769598</v>
          </cell>
          <cell r="BY1337" t="str">
            <v>ITSAP8</v>
          </cell>
          <cell r="BZ1337">
            <v>8</v>
          </cell>
          <cell r="CA1337" t="str">
            <v>20-04-2009</v>
          </cell>
          <cell r="CB1337" t="str">
            <v>ITSA    /EDJ</v>
          </cell>
          <cell r="CC1337" t="str">
            <v>PN      N1</v>
          </cell>
          <cell r="CD1337" t="str">
            <v xml:space="preserve">OPCOES VENDA   </v>
          </cell>
          <cell r="CE1337" t="str">
            <v xml:space="preserve">Europeu        </v>
          </cell>
        </row>
        <row r="1338">
          <cell r="AF1338">
            <v>1333</v>
          </cell>
          <cell r="AG1338">
            <v>0.11693182721909356</v>
          </cell>
          <cell r="BY1338" t="str">
            <v>ITSAP2</v>
          </cell>
          <cell r="BZ1338">
            <v>8.5</v>
          </cell>
          <cell r="CA1338" t="str">
            <v>20-04-2009</v>
          </cell>
          <cell r="CB1338" t="str">
            <v>ITSA    /EDJ</v>
          </cell>
          <cell r="CC1338" t="str">
            <v>PN      N1</v>
          </cell>
          <cell r="CD1338" t="str">
            <v xml:space="preserve">OPCOES VENDA   </v>
          </cell>
          <cell r="CE1338" t="str">
            <v xml:space="preserve">Europeu        </v>
          </cell>
        </row>
        <row r="1339">
          <cell r="AF1339">
            <v>1334</v>
          </cell>
          <cell r="AG1339">
            <v>0.11693690551855829</v>
          </cell>
          <cell r="BY1339" t="str">
            <v>ITSAP9</v>
          </cell>
          <cell r="BZ1339">
            <v>9</v>
          </cell>
          <cell r="CA1339" t="str">
            <v>20-04-2009</v>
          </cell>
          <cell r="CB1339" t="str">
            <v>ITSA    /EDJ</v>
          </cell>
          <cell r="CC1339" t="str">
            <v>PN      N1</v>
          </cell>
          <cell r="CD1339" t="str">
            <v xml:space="preserve">OPCOES VENDA   </v>
          </cell>
          <cell r="CE1339" t="str">
            <v xml:space="preserve">Europeu        </v>
          </cell>
        </row>
        <row r="1340">
          <cell r="AF1340">
            <v>1335</v>
          </cell>
          <cell r="AG1340">
            <v>0.11694197623312075</v>
          </cell>
          <cell r="BY1340" t="str">
            <v>ITSAP4</v>
          </cell>
          <cell r="BZ1340">
            <v>9.5</v>
          </cell>
          <cell r="CA1340" t="str">
            <v>20-04-2009</v>
          </cell>
          <cell r="CB1340" t="str">
            <v>ITSA    /EDJ</v>
          </cell>
          <cell r="CC1340" t="str">
            <v>PN      N1</v>
          </cell>
          <cell r="CD1340" t="str">
            <v xml:space="preserve">OPCOES VENDA   </v>
          </cell>
          <cell r="CE1340" t="str">
            <v xml:space="preserve">Europeu        </v>
          </cell>
        </row>
        <row r="1341">
          <cell r="AF1341">
            <v>1336</v>
          </cell>
          <cell r="AG1341">
            <v>0.11694703937976225</v>
          </cell>
          <cell r="BY1341" t="str">
            <v>ITSAP10</v>
          </cell>
          <cell r="BZ1341">
            <v>10</v>
          </cell>
          <cell r="CA1341" t="str">
            <v>20-04-2009</v>
          </cell>
          <cell r="CB1341" t="str">
            <v>ITSA    /EDJ</v>
          </cell>
          <cell r="CC1341" t="str">
            <v>PN      N1</v>
          </cell>
          <cell r="CD1341" t="str">
            <v xml:space="preserve">OPCOES VENDA   </v>
          </cell>
          <cell r="CE1341" t="str">
            <v xml:space="preserve">Europeu        </v>
          </cell>
        </row>
        <row r="1342">
          <cell r="AF1342">
            <v>1337</v>
          </cell>
          <cell r="AG1342">
            <v>0.1169520949754117</v>
          </cell>
          <cell r="BY1342" t="str">
            <v>ITSAX6</v>
          </cell>
          <cell r="BZ1342">
            <v>6</v>
          </cell>
          <cell r="CA1342" t="str">
            <v>21-12-2009</v>
          </cell>
          <cell r="CB1342" t="str">
            <v>ITSA    /EDJ</v>
          </cell>
          <cell r="CC1342" t="str">
            <v>PN      N1</v>
          </cell>
          <cell r="CD1342" t="str">
            <v xml:space="preserve">OPCOES VENDA   </v>
          </cell>
          <cell r="CE1342" t="str">
            <v xml:space="preserve">Europeu        </v>
          </cell>
        </row>
        <row r="1343">
          <cell r="AF1343">
            <v>1338</v>
          </cell>
          <cell r="AG1343">
            <v>0.11695714303694871</v>
          </cell>
          <cell r="BY1343" t="str">
            <v>PCARC30</v>
          </cell>
          <cell r="BZ1343">
            <v>30</v>
          </cell>
          <cell r="CA1343" t="str">
            <v>16-03-2009</v>
          </cell>
          <cell r="CB1343" t="str">
            <v xml:space="preserve">PCAR        </v>
          </cell>
          <cell r="CC1343" t="str">
            <v>PN      N1</v>
          </cell>
          <cell r="CD1343" t="str">
            <v xml:space="preserve">OPCOES COMPRA  </v>
          </cell>
          <cell r="CE1343" t="str">
            <v xml:space="preserve">Americano      </v>
          </cell>
        </row>
        <row r="1344">
          <cell r="AF1344">
            <v>1339</v>
          </cell>
          <cell r="AG1344">
            <v>0.11696218358120203</v>
          </cell>
          <cell r="BY1344" t="str">
            <v>PCARC32</v>
          </cell>
          <cell r="BZ1344">
            <v>32</v>
          </cell>
          <cell r="CA1344" t="str">
            <v>16-03-2009</v>
          </cell>
          <cell r="CB1344" t="str">
            <v xml:space="preserve">PCAR        </v>
          </cell>
          <cell r="CC1344" t="str">
            <v>PN      N1</v>
          </cell>
          <cell r="CD1344" t="str">
            <v xml:space="preserve">OPCOES COMPRA  </v>
          </cell>
          <cell r="CE1344" t="str">
            <v xml:space="preserve">Americano      </v>
          </cell>
        </row>
        <row r="1345">
          <cell r="AF1345">
            <v>1340</v>
          </cell>
          <cell r="AG1345">
            <v>0.11696721662495113</v>
          </cell>
          <cell r="BY1345" t="str">
            <v>PCARC34</v>
          </cell>
          <cell r="BZ1345">
            <v>34</v>
          </cell>
          <cell r="CA1345" t="str">
            <v>16-03-2009</v>
          </cell>
          <cell r="CB1345" t="str">
            <v xml:space="preserve">PCAR        </v>
          </cell>
          <cell r="CC1345" t="str">
            <v>PN      N1</v>
          </cell>
          <cell r="CD1345" t="str">
            <v xml:space="preserve">OPCOES COMPRA  </v>
          </cell>
          <cell r="CE1345" t="str">
            <v xml:space="preserve">Americano      </v>
          </cell>
        </row>
        <row r="1346">
          <cell r="AF1346">
            <v>1341</v>
          </cell>
          <cell r="AG1346">
            <v>0.11697224218492441</v>
          </cell>
          <cell r="BY1346" t="str">
            <v>PCARO30</v>
          </cell>
          <cell r="BZ1346">
            <v>30</v>
          </cell>
          <cell r="CA1346" t="str">
            <v>16-03-2009</v>
          </cell>
          <cell r="CB1346" t="str">
            <v xml:space="preserve">PCAR        </v>
          </cell>
          <cell r="CC1346" t="str">
            <v>PN      N1</v>
          </cell>
          <cell r="CD1346" t="str">
            <v xml:space="preserve">OPCOES VENDA   </v>
          </cell>
          <cell r="CE1346" t="str">
            <v xml:space="preserve">Europeu        </v>
          </cell>
        </row>
        <row r="1347">
          <cell r="AF1347">
            <v>1342</v>
          </cell>
          <cell r="AG1347">
            <v>0.11697726027780142</v>
          </cell>
          <cell r="BY1347" t="str">
            <v>PCARO32</v>
          </cell>
          <cell r="BZ1347">
            <v>32</v>
          </cell>
          <cell r="CA1347" t="str">
            <v>16-03-2009</v>
          </cell>
          <cell r="CB1347" t="str">
            <v xml:space="preserve">PCAR        </v>
          </cell>
          <cell r="CC1347" t="str">
            <v>PN      N1</v>
          </cell>
          <cell r="CD1347" t="str">
            <v xml:space="preserve">OPCOES VENDA   </v>
          </cell>
          <cell r="CE1347" t="str">
            <v xml:space="preserve">Europeu        </v>
          </cell>
        </row>
        <row r="1348">
          <cell r="AF1348">
            <v>1343</v>
          </cell>
          <cell r="AG1348">
            <v>0.11698227092021196</v>
          </cell>
          <cell r="BY1348" t="str">
            <v>PCARO34</v>
          </cell>
          <cell r="BZ1348">
            <v>34</v>
          </cell>
          <cell r="CA1348" t="str">
            <v>16-03-2009</v>
          </cell>
          <cell r="CB1348" t="str">
            <v xml:space="preserve">PCAR        </v>
          </cell>
          <cell r="CC1348" t="str">
            <v>PN      N1</v>
          </cell>
          <cell r="CD1348" t="str">
            <v xml:space="preserve">OPCOES VENDA   </v>
          </cell>
          <cell r="CE1348" t="str">
            <v xml:space="preserve">Europeu        </v>
          </cell>
        </row>
        <row r="1349">
          <cell r="AF1349">
            <v>1344</v>
          </cell>
          <cell r="AG1349">
            <v>0.11698727412873655</v>
          </cell>
          <cell r="BY1349" t="str">
            <v>RAPTC5</v>
          </cell>
          <cell r="BZ1349">
            <v>5</v>
          </cell>
          <cell r="CA1349" t="str">
            <v>16-03-2009</v>
          </cell>
          <cell r="CB1349" t="str">
            <v xml:space="preserve">RAPT        </v>
          </cell>
          <cell r="CC1349" t="str">
            <v>PN      N1</v>
          </cell>
          <cell r="CD1349" t="str">
            <v xml:space="preserve">OPCOES COMPRA  </v>
          </cell>
          <cell r="CE1349" t="str">
            <v xml:space="preserve">Americano      </v>
          </cell>
        </row>
        <row r="1350">
          <cell r="AF1350">
            <v>1345</v>
          </cell>
          <cell r="AG1350">
            <v>0.11699226991990619</v>
          </cell>
          <cell r="BY1350" t="str">
            <v>RAPTC1</v>
          </cell>
          <cell r="BZ1350">
            <v>5.5</v>
          </cell>
          <cell r="CA1350" t="str">
            <v>16-03-2009</v>
          </cell>
          <cell r="CB1350" t="str">
            <v xml:space="preserve">RAPT        </v>
          </cell>
          <cell r="CC1350" t="str">
            <v>PN      N1</v>
          </cell>
          <cell r="CD1350" t="str">
            <v xml:space="preserve">OPCOES COMPRA  </v>
          </cell>
          <cell r="CE1350" t="str">
            <v xml:space="preserve">Europeu        </v>
          </cell>
        </row>
        <row r="1351">
          <cell r="AF1351">
            <v>1346</v>
          </cell>
          <cell r="AG1351">
            <v>0.11699725831020347</v>
          </cell>
          <cell r="BY1351" t="str">
            <v>RAPTC6</v>
          </cell>
          <cell r="BZ1351">
            <v>6</v>
          </cell>
          <cell r="CA1351" t="str">
            <v>16-03-2009</v>
          </cell>
          <cell r="CB1351" t="str">
            <v xml:space="preserve">RAPT        </v>
          </cell>
          <cell r="CC1351" t="str">
            <v>PN      N1</v>
          </cell>
          <cell r="CD1351" t="str">
            <v xml:space="preserve">OPCOES COMPRA  </v>
          </cell>
          <cell r="CE1351" t="str">
            <v xml:space="preserve">Americano      </v>
          </cell>
        </row>
        <row r="1352">
          <cell r="AF1352">
            <v>1347</v>
          </cell>
          <cell r="AG1352">
            <v>0.11700223931606168</v>
          </cell>
          <cell r="BY1352" t="str">
            <v>RAPTD1</v>
          </cell>
          <cell r="BZ1352">
            <v>6.5</v>
          </cell>
          <cell r="CA1352" t="str">
            <v>20-04-2009</v>
          </cell>
          <cell r="CB1352" t="str">
            <v xml:space="preserve">RAPT        </v>
          </cell>
          <cell r="CC1352" t="str">
            <v>PN      N1</v>
          </cell>
          <cell r="CD1352" t="str">
            <v xml:space="preserve">OPCOES COMPRA  </v>
          </cell>
          <cell r="CE1352" t="str">
            <v xml:space="preserve">Europeu        </v>
          </cell>
        </row>
        <row r="1353">
          <cell r="AF1353">
            <v>1348</v>
          </cell>
          <cell r="AG1353">
            <v>0.11700721295386596</v>
          </cell>
          <cell r="BY1353" t="str">
            <v>RAPTF1</v>
          </cell>
          <cell r="BZ1353">
            <v>16</v>
          </cell>
          <cell r="CA1353" t="str">
            <v>15-06-2009</v>
          </cell>
          <cell r="CB1353" t="str">
            <v xml:space="preserve">RAPT        </v>
          </cell>
          <cell r="CC1353" t="str">
            <v>PN      N1</v>
          </cell>
          <cell r="CD1353" t="str">
            <v xml:space="preserve">OPCOES COMPRA  </v>
          </cell>
          <cell r="CE1353" t="str">
            <v xml:space="preserve">Americano      </v>
          </cell>
        </row>
        <row r="1354">
          <cell r="AF1354">
            <v>1349</v>
          </cell>
          <cell r="AG1354">
            <v>0.11701217923995255</v>
          </cell>
          <cell r="BY1354" t="str">
            <v>RAPTO5</v>
          </cell>
          <cell r="BZ1354">
            <v>5</v>
          </cell>
          <cell r="CA1354" t="str">
            <v>16-03-2009</v>
          </cell>
          <cell r="CB1354" t="str">
            <v xml:space="preserve">RAPT        </v>
          </cell>
          <cell r="CC1354" t="str">
            <v>PN      N1</v>
          </cell>
          <cell r="CD1354" t="str">
            <v xml:space="preserve">OPCOES VENDA   </v>
          </cell>
          <cell r="CE1354" t="str">
            <v xml:space="preserve">Europeu        </v>
          </cell>
        </row>
        <row r="1355">
          <cell r="AF1355">
            <v>1350</v>
          </cell>
          <cell r="AG1355">
            <v>0.11701713819060977</v>
          </cell>
          <cell r="BY1355" t="str">
            <v>RAPTO1</v>
          </cell>
          <cell r="BZ1355">
            <v>5.5</v>
          </cell>
          <cell r="CA1355" t="str">
            <v>16-03-2009</v>
          </cell>
          <cell r="CB1355" t="str">
            <v xml:space="preserve">RAPT        </v>
          </cell>
          <cell r="CC1355" t="str">
            <v>PN      N1</v>
          </cell>
          <cell r="CD1355" t="str">
            <v xml:space="preserve">OPCOES VENDA   </v>
          </cell>
          <cell r="CE1355" t="str">
            <v xml:space="preserve">Europeu        </v>
          </cell>
        </row>
        <row r="1356">
          <cell r="AF1356">
            <v>1351</v>
          </cell>
          <cell r="AG1356">
            <v>0.11702208982207729</v>
          </cell>
          <cell r="BY1356" t="str">
            <v>RAPTO6</v>
          </cell>
          <cell r="BZ1356">
            <v>6</v>
          </cell>
          <cell r="CA1356" t="str">
            <v>16-03-2009</v>
          </cell>
          <cell r="CB1356" t="str">
            <v xml:space="preserve">RAPT        </v>
          </cell>
          <cell r="CC1356" t="str">
            <v>PN      N1</v>
          </cell>
          <cell r="CD1356" t="str">
            <v xml:space="preserve">OPCOES VENDA   </v>
          </cell>
          <cell r="CE1356" t="str">
            <v xml:space="preserve">Europeu        </v>
          </cell>
        </row>
        <row r="1357">
          <cell r="AF1357">
            <v>1352</v>
          </cell>
          <cell r="AG1357">
            <v>0.11702703415054794</v>
          </cell>
          <cell r="BY1357" t="str">
            <v>RAPTP1</v>
          </cell>
          <cell r="BZ1357">
            <v>6.5</v>
          </cell>
          <cell r="CA1357" t="str">
            <v>20-04-2009</v>
          </cell>
          <cell r="CB1357" t="str">
            <v xml:space="preserve">RAPT        </v>
          </cell>
          <cell r="CC1357" t="str">
            <v>PN      N1</v>
          </cell>
          <cell r="CD1357" t="str">
            <v xml:space="preserve">OPCOES VENDA   </v>
          </cell>
          <cell r="CE1357" t="str">
            <v xml:space="preserve">Europeu        </v>
          </cell>
        </row>
        <row r="1358">
          <cell r="AF1358">
            <v>1353</v>
          </cell>
          <cell r="AG1358">
            <v>0.11703197119216546</v>
          </cell>
          <cell r="BY1358" t="str">
            <v>RAPTR1</v>
          </cell>
          <cell r="BZ1358">
            <v>16</v>
          </cell>
          <cell r="CA1358" t="str">
            <v>15-06-2009</v>
          </cell>
          <cell r="CB1358" t="str">
            <v xml:space="preserve">RAPT        </v>
          </cell>
          <cell r="CC1358" t="str">
            <v>PN      N1</v>
          </cell>
          <cell r="CD1358" t="str">
            <v xml:space="preserve">OPCOES VENDA   </v>
          </cell>
          <cell r="CE1358" t="str">
            <v xml:space="preserve">Europeu        </v>
          </cell>
        </row>
        <row r="1359">
          <cell r="AF1359">
            <v>1354</v>
          </cell>
          <cell r="AG1359">
            <v>0.11703690096302743</v>
          </cell>
          <cell r="BY1359" t="str">
            <v>SDIAC5</v>
          </cell>
          <cell r="BZ1359">
            <v>2.5</v>
          </cell>
          <cell r="CA1359" t="str">
            <v>16-03-2009</v>
          </cell>
          <cell r="CB1359" t="str">
            <v xml:space="preserve">SDIA        </v>
          </cell>
          <cell r="CC1359" t="str">
            <v>PN      N1</v>
          </cell>
          <cell r="CD1359" t="str">
            <v xml:space="preserve">OPCOES COMPRA  </v>
          </cell>
          <cell r="CE1359" t="str">
            <v xml:space="preserve">Americano      </v>
          </cell>
        </row>
        <row r="1360">
          <cell r="AF1360">
            <v>1355</v>
          </cell>
          <cell r="AG1360">
            <v>0.11704182347918324</v>
          </cell>
          <cell r="BY1360" t="str">
            <v>SDIAC3</v>
          </cell>
          <cell r="BZ1360">
            <v>3</v>
          </cell>
          <cell r="CA1360" t="str">
            <v>16-03-2009</v>
          </cell>
          <cell r="CB1360" t="str">
            <v xml:space="preserve">SDIA        </v>
          </cell>
          <cell r="CC1360" t="str">
            <v>PN      N1</v>
          </cell>
          <cell r="CD1360" t="str">
            <v xml:space="preserve">OPCOES COMPRA  </v>
          </cell>
          <cell r="CE1360" t="str">
            <v xml:space="preserve">Americano      </v>
          </cell>
        </row>
        <row r="1361">
          <cell r="AF1361">
            <v>1356</v>
          </cell>
          <cell r="AG1361">
            <v>0.11704673875663496</v>
          </cell>
          <cell r="BY1361" t="str">
            <v>SDIAC6</v>
          </cell>
          <cell r="BZ1361">
            <v>3.3</v>
          </cell>
          <cell r="CA1361" t="str">
            <v>16-03-2009</v>
          </cell>
          <cell r="CB1361" t="str">
            <v xml:space="preserve">SDIA        </v>
          </cell>
          <cell r="CC1361" t="str">
            <v>PN      N1</v>
          </cell>
          <cell r="CD1361" t="str">
            <v xml:space="preserve">OPCOES COMPRA  </v>
          </cell>
          <cell r="CE1361" t="str">
            <v xml:space="preserve">Europeu        </v>
          </cell>
        </row>
        <row r="1362">
          <cell r="AF1362">
            <v>1357</v>
          </cell>
          <cell r="AG1362">
            <v>0.11705164681133806</v>
          </cell>
          <cell r="BY1362" t="str">
            <v>SDIAC1</v>
          </cell>
          <cell r="BZ1362">
            <v>3.5</v>
          </cell>
          <cell r="CA1362" t="str">
            <v>16-03-2009</v>
          </cell>
          <cell r="CB1362" t="str">
            <v xml:space="preserve">SDIA        </v>
          </cell>
          <cell r="CC1362" t="str">
            <v>PN      N1</v>
          </cell>
          <cell r="CD1362" t="str">
            <v xml:space="preserve">OPCOES COMPRA  </v>
          </cell>
          <cell r="CE1362" t="str">
            <v xml:space="preserve">Americano      </v>
          </cell>
        </row>
        <row r="1363">
          <cell r="AF1363">
            <v>1358</v>
          </cell>
          <cell r="AG1363">
            <v>0.11705654765920093</v>
          </cell>
          <cell r="BY1363" t="str">
            <v>SDIAC4</v>
          </cell>
          <cell r="BZ1363">
            <v>4</v>
          </cell>
          <cell r="CA1363" t="str">
            <v>16-03-2009</v>
          </cell>
          <cell r="CB1363" t="str">
            <v xml:space="preserve">SDIA        </v>
          </cell>
          <cell r="CC1363" t="str">
            <v>PN      N1</v>
          </cell>
          <cell r="CD1363" t="str">
            <v xml:space="preserve">OPCOES COMPRA  </v>
          </cell>
          <cell r="CE1363" t="str">
            <v xml:space="preserve">Americano      </v>
          </cell>
        </row>
        <row r="1364">
          <cell r="AF1364">
            <v>1359</v>
          </cell>
          <cell r="AG1364">
            <v>0.11706144131608576</v>
          </cell>
          <cell r="BY1364" t="str">
            <v>SDIAC2</v>
          </cell>
          <cell r="BZ1364">
            <v>4.5</v>
          </cell>
          <cell r="CA1364" t="str">
            <v>16-03-2009</v>
          </cell>
          <cell r="CB1364" t="str">
            <v xml:space="preserve">SDIA        </v>
          </cell>
          <cell r="CC1364" t="str">
            <v>PN      N1</v>
          </cell>
          <cell r="CD1364" t="str">
            <v xml:space="preserve">OPCOES COMPRA  </v>
          </cell>
          <cell r="CE1364" t="str">
            <v xml:space="preserve">Americano      </v>
          </cell>
        </row>
        <row r="1365">
          <cell r="AF1365">
            <v>1360</v>
          </cell>
          <cell r="AG1365">
            <v>0.11706632779780723</v>
          </cell>
          <cell r="BY1365" t="str">
            <v>SDIAD5</v>
          </cell>
          <cell r="BZ1365">
            <v>2.5</v>
          </cell>
          <cell r="CA1365" t="str">
            <v>20-04-2009</v>
          </cell>
          <cell r="CB1365" t="str">
            <v xml:space="preserve">SDIA        </v>
          </cell>
          <cell r="CC1365" t="str">
            <v>PN      N1</v>
          </cell>
          <cell r="CD1365" t="str">
            <v xml:space="preserve">OPCOES COMPRA  </v>
          </cell>
          <cell r="CE1365" t="str">
            <v xml:space="preserve">Americano      </v>
          </cell>
        </row>
        <row r="1366">
          <cell r="AF1366">
            <v>1361</v>
          </cell>
          <cell r="AG1366">
            <v>0.11707120712013452</v>
          </cell>
          <cell r="BY1366" t="str">
            <v>SDIAD3</v>
          </cell>
          <cell r="BZ1366">
            <v>3</v>
          </cell>
          <cell r="CA1366" t="str">
            <v>20-04-2009</v>
          </cell>
          <cell r="CB1366" t="str">
            <v xml:space="preserve">SDIA        </v>
          </cell>
          <cell r="CC1366" t="str">
            <v>PN      N1</v>
          </cell>
          <cell r="CD1366" t="str">
            <v xml:space="preserve">OPCOES COMPRA  </v>
          </cell>
          <cell r="CE1366" t="str">
            <v xml:space="preserve">Americano      </v>
          </cell>
        </row>
        <row r="1367">
          <cell r="AF1367">
            <v>1362</v>
          </cell>
          <cell r="AG1367">
            <v>0.11707607929879016</v>
          </cell>
          <cell r="BY1367" t="str">
            <v>SDIAD1</v>
          </cell>
          <cell r="BZ1367">
            <v>3.5</v>
          </cell>
          <cell r="CA1367" t="str">
            <v>20-04-2009</v>
          </cell>
          <cell r="CB1367" t="str">
            <v xml:space="preserve">SDIA        </v>
          </cell>
          <cell r="CC1367" t="str">
            <v>PN      N1</v>
          </cell>
          <cell r="CD1367" t="str">
            <v xml:space="preserve">OPCOES COMPRA  </v>
          </cell>
          <cell r="CE1367" t="str">
            <v xml:space="preserve">Americano      </v>
          </cell>
        </row>
        <row r="1368">
          <cell r="AF1368">
            <v>1363</v>
          </cell>
          <cell r="AG1368">
            <v>0.11708094434945138</v>
          </cell>
          <cell r="BY1368" t="str">
            <v>SDIAD4</v>
          </cell>
          <cell r="BZ1368">
            <v>4</v>
          </cell>
          <cell r="CA1368" t="str">
            <v>20-04-2009</v>
          </cell>
          <cell r="CB1368" t="str">
            <v xml:space="preserve">SDIA        </v>
          </cell>
          <cell r="CC1368" t="str">
            <v>PN      N1</v>
          </cell>
          <cell r="CD1368" t="str">
            <v xml:space="preserve">OPCOES COMPRA  </v>
          </cell>
          <cell r="CE1368" t="str">
            <v xml:space="preserve">Americano      </v>
          </cell>
        </row>
        <row r="1369">
          <cell r="AF1369">
            <v>1364</v>
          </cell>
          <cell r="AG1369">
            <v>0.11708580228774856</v>
          </cell>
          <cell r="BY1369" t="str">
            <v>SDIAD2</v>
          </cell>
          <cell r="BZ1369">
            <v>4.5</v>
          </cell>
          <cell r="CA1369" t="str">
            <v>20-04-2009</v>
          </cell>
          <cell r="CB1369" t="str">
            <v xml:space="preserve">SDIA        </v>
          </cell>
          <cell r="CC1369" t="str">
            <v>PN      N1</v>
          </cell>
          <cell r="CD1369" t="str">
            <v xml:space="preserve">OPCOES COMPRA  </v>
          </cell>
          <cell r="CE1369" t="str">
            <v xml:space="preserve">Americano      </v>
          </cell>
        </row>
        <row r="1370">
          <cell r="AF1370">
            <v>1365</v>
          </cell>
          <cell r="AG1370">
            <v>0.11709065312926703</v>
          </cell>
          <cell r="BY1370" t="str">
            <v>SDIAO5</v>
          </cell>
          <cell r="BZ1370">
            <v>2.5</v>
          </cell>
          <cell r="CA1370" t="str">
            <v>16-03-2009</v>
          </cell>
          <cell r="CB1370" t="str">
            <v xml:space="preserve">SDIA        </v>
          </cell>
          <cell r="CC1370" t="str">
            <v>PN      N1</v>
          </cell>
          <cell r="CD1370" t="str">
            <v xml:space="preserve">OPCOES VENDA   </v>
          </cell>
          <cell r="CE1370" t="str">
            <v xml:space="preserve">Europeu        </v>
          </cell>
        </row>
        <row r="1371">
          <cell r="AF1371">
            <v>1366</v>
          </cell>
          <cell r="AG1371">
            <v>0.11709549688954657</v>
          </cell>
          <cell r="BY1371" t="str">
            <v>SDIAO3</v>
          </cell>
          <cell r="BZ1371">
            <v>3</v>
          </cell>
          <cell r="CA1371" t="str">
            <v>16-03-2009</v>
          </cell>
          <cell r="CB1371" t="str">
            <v xml:space="preserve">SDIA        </v>
          </cell>
          <cell r="CC1371" t="str">
            <v>PN      N1</v>
          </cell>
          <cell r="CD1371" t="str">
            <v xml:space="preserve">OPCOES VENDA   </v>
          </cell>
          <cell r="CE1371" t="str">
            <v xml:space="preserve">Europeu        </v>
          </cell>
        </row>
        <row r="1372">
          <cell r="AF1372">
            <v>1367</v>
          </cell>
          <cell r="AG1372">
            <v>0.11710033358408167</v>
          </cell>
          <cell r="BY1372" t="str">
            <v>SDIAO6</v>
          </cell>
          <cell r="BZ1372">
            <v>3.3</v>
          </cell>
          <cell r="CA1372" t="str">
            <v>16-03-2009</v>
          </cell>
          <cell r="CB1372" t="str">
            <v xml:space="preserve">SDIA        </v>
          </cell>
          <cell r="CC1372" t="str">
            <v>PN      N1</v>
          </cell>
          <cell r="CD1372" t="str">
            <v xml:space="preserve">OPCOES VENDA   </v>
          </cell>
          <cell r="CE1372" t="str">
            <v xml:space="preserve">Europeu        </v>
          </cell>
        </row>
        <row r="1373">
          <cell r="AF1373">
            <v>1368</v>
          </cell>
          <cell r="AG1373">
            <v>0.11710516322832176</v>
          </cell>
          <cell r="BY1373" t="str">
            <v>SDIAO1</v>
          </cell>
          <cell r="BZ1373">
            <v>3.5</v>
          </cell>
          <cell r="CA1373" t="str">
            <v>16-03-2009</v>
          </cell>
          <cell r="CB1373" t="str">
            <v xml:space="preserve">SDIA        </v>
          </cell>
          <cell r="CC1373" t="str">
            <v>PN      N1</v>
          </cell>
          <cell r="CD1373" t="str">
            <v xml:space="preserve">OPCOES VENDA   </v>
          </cell>
          <cell r="CE1373" t="str">
            <v xml:space="preserve">Europeu        </v>
          </cell>
        </row>
        <row r="1374">
          <cell r="AF1374">
            <v>1369</v>
          </cell>
          <cell r="AG1374">
            <v>0.11710998583767052</v>
          </cell>
          <cell r="BY1374" t="str">
            <v>SDIAO4</v>
          </cell>
          <cell r="BZ1374">
            <v>4</v>
          </cell>
          <cell r="CA1374" t="str">
            <v>16-03-2009</v>
          </cell>
          <cell r="CB1374" t="str">
            <v xml:space="preserve">SDIA        </v>
          </cell>
          <cell r="CC1374" t="str">
            <v>PN      N1</v>
          </cell>
          <cell r="CD1374" t="str">
            <v xml:space="preserve">OPCOES VENDA   </v>
          </cell>
          <cell r="CE1374" t="str">
            <v xml:space="preserve">Europeu        </v>
          </cell>
        </row>
        <row r="1375">
          <cell r="AF1375">
            <v>1370</v>
          </cell>
          <cell r="AG1375">
            <v>0.11711480142748765</v>
          </cell>
          <cell r="BY1375" t="str">
            <v>SDIAO2</v>
          </cell>
          <cell r="BZ1375">
            <v>4.5</v>
          </cell>
          <cell r="CA1375" t="str">
            <v>16-03-2009</v>
          </cell>
          <cell r="CB1375" t="str">
            <v xml:space="preserve">SDIA        </v>
          </cell>
          <cell r="CC1375" t="str">
            <v>PN      N1</v>
          </cell>
          <cell r="CD1375" t="str">
            <v xml:space="preserve">OPCOES VENDA   </v>
          </cell>
          <cell r="CE1375" t="str">
            <v xml:space="preserve">Europeu        </v>
          </cell>
        </row>
        <row r="1376">
          <cell r="AF1376">
            <v>1371</v>
          </cell>
          <cell r="AG1376">
            <v>0.11711961001308779</v>
          </cell>
          <cell r="BY1376" t="str">
            <v>SDIAP5</v>
          </cell>
          <cell r="BZ1376">
            <v>2.5</v>
          </cell>
          <cell r="CA1376" t="str">
            <v>20-04-2009</v>
          </cell>
          <cell r="CB1376" t="str">
            <v xml:space="preserve">SDIA        </v>
          </cell>
          <cell r="CC1376" t="str">
            <v>PN      N1</v>
          </cell>
          <cell r="CD1376" t="str">
            <v xml:space="preserve">OPCOES VENDA   </v>
          </cell>
          <cell r="CE1376" t="str">
            <v xml:space="preserve">Europeu        </v>
          </cell>
        </row>
        <row r="1377">
          <cell r="AF1377">
            <v>1372</v>
          </cell>
          <cell r="AG1377">
            <v>0.11712441160974119</v>
          </cell>
          <cell r="BY1377" t="str">
            <v>SDIAP3</v>
          </cell>
          <cell r="BZ1377">
            <v>3</v>
          </cell>
          <cell r="CA1377" t="str">
            <v>20-04-2009</v>
          </cell>
          <cell r="CB1377" t="str">
            <v xml:space="preserve">SDIA        </v>
          </cell>
          <cell r="CC1377" t="str">
            <v>PN      N1</v>
          </cell>
          <cell r="CD1377" t="str">
            <v xml:space="preserve">OPCOES VENDA   </v>
          </cell>
          <cell r="CE1377" t="str">
            <v xml:space="preserve">Europeu        </v>
          </cell>
        </row>
        <row r="1378">
          <cell r="AF1378">
            <v>1373</v>
          </cell>
          <cell r="AG1378">
            <v>0.11712920623267342</v>
          </cell>
          <cell r="BY1378" t="str">
            <v>SDIAP1</v>
          </cell>
          <cell r="BZ1378">
            <v>3.5</v>
          </cell>
          <cell r="CA1378" t="str">
            <v>20-04-2009</v>
          </cell>
          <cell r="CB1378" t="str">
            <v xml:space="preserve">SDIA        </v>
          </cell>
          <cell r="CC1378" t="str">
            <v>PN      N1</v>
          </cell>
          <cell r="CD1378" t="str">
            <v xml:space="preserve">OPCOES VENDA   </v>
          </cell>
          <cell r="CE1378" t="str">
            <v xml:space="preserve">Europeu        </v>
          </cell>
        </row>
        <row r="1379">
          <cell r="AF1379">
            <v>1374</v>
          </cell>
          <cell r="AG1379">
            <v>0.11713399389706636</v>
          </cell>
          <cell r="BY1379" t="str">
            <v>SDIAP4</v>
          </cell>
          <cell r="BZ1379">
            <v>4</v>
          </cell>
          <cell r="CA1379" t="str">
            <v>20-04-2009</v>
          </cell>
          <cell r="CB1379" t="str">
            <v xml:space="preserve">SDIA        </v>
          </cell>
          <cell r="CC1379" t="str">
            <v>PN      N1</v>
          </cell>
          <cell r="CD1379" t="str">
            <v xml:space="preserve">OPCOES VENDA   </v>
          </cell>
          <cell r="CE1379" t="str">
            <v xml:space="preserve">Europeu        </v>
          </cell>
        </row>
        <row r="1380">
          <cell r="AF1380">
            <v>1375</v>
          </cell>
          <cell r="AG1380">
            <v>0.11713877461805722</v>
          </cell>
          <cell r="BY1380" t="str">
            <v>SDIAP2</v>
          </cell>
          <cell r="BZ1380">
            <v>4.5</v>
          </cell>
          <cell r="CA1380" t="str">
            <v>20-04-2009</v>
          </cell>
          <cell r="CB1380" t="str">
            <v xml:space="preserve">SDIA        </v>
          </cell>
          <cell r="CC1380" t="str">
            <v>PN      N1</v>
          </cell>
          <cell r="CD1380" t="str">
            <v xml:space="preserve">OPCOES VENDA   </v>
          </cell>
          <cell r="CE1380" t="str">
            <v xml:space="preserve">Europeu        </v>
          </cell>
        </row>
        <row r="1381">
          <cell r="AF1381">
            <v>1376</v>
          </cell>
          <cell r="AG1381">
            <v>0.11714354841074037</v>
          </cell>
          <cell r="BY1381" t="str">
            <v>TRPLC40</v>
          </cell>
          <cell r="BZ1381">
            <v>40</v>
          </cell>
          <cell r="CA1381" t="str">
            <v>16-03-2009</v>
          </cell>
          <cell r="CB1381" t="str">
            <v xml:space="preserve">TRPL        </v>
          </cell>
          <cell r="CC1381" t="str">
            <v>PN      N1</v>
          </cell>
          <cell r="CD1381" t="str">
            <v xml:space="preserve">OPCOES COMPRA  </v>
          </cell>
          <cell r="CE1381" t="str">
            <v xml:space="preserve">Americano      </v>
          </cell>
        </row>
        <row r="1382">
          <cell r="AF1382">
            <v>1377</v>
          </cell>
          <cell r="AG1382">
            <v>0.11714831529016534</v>
          </cell>
          <cell r="BY1382" t="str">
            <v>TRPLC42</v>
          </cell>
          <cell r="BZ1382">
            <v>42</v>
          </cell>
          <cell r="CA1382" t="str">
            <v>16-03-2009</v>
          </cell>
          <cell r="CB1382" t="str">
            <v xml:space="preserve">TRPL        </v>
          </cell>
          <cell r="CC1382" t="str">
            <v>PN      N1</v>
          </cell>
          <cell r="CD1382" t="str">
            <v xml:space="preserve">OPCOES COMPRA  </v>
          </cell>
          <cell r="CE1382" t="str">
            <v xml:space="preserve">Americano      </v>
          </cell>
        </row>
        <row r="1383">
          <cell r="AF1383">
            <v>1378</v>
          </cell>
          <cell r="AG1383">
            <v>0.11715307527133878</v>
          </cell>
          <cell r="BY1383" t="str">
            <v>TRPLC44</v>
          </cell>
          <cell r="BZ1383">
            <v>44</v>
          </cell>
          <cell r="CA1383" t="str">
            <v>16-03-2009</v>
          </cell>
          <cell r="CB1383" t="str">
            <v xml:space="preserve">TRPL        </v>
          </cell>
          <cell r="CC1383" t="str">
            <v>PN      N1</v>
          </cell>
          <cell r="CD1383" t="str">
            <v xml:space="preserve">OPCOES COMPRA  </v>
          </cell>
          <cell r="CE1383" t="str">
            <v xml:space="preserve">Americano      </v>
          </cell>
        </row>
        <row r="1384">
          <cell r="AF1384">
            <v>1379</v>
          </cell>
          <cell r="AG1384">
            <v>0.11715782836922317</v>
          </cell>
          <cell r="BY1384" t="str">
            <v>TRPLC46</v>
          </cell>
          <cell r="BZ1384">
            <v>46</v>
          </cell>
          <cell r="CA1384" t="str">
            <v>16-03-2009</v>
          </cell>
          <cell r="CB1384" t="str">
            <v xml:space="preserve">TRPL        </v>
          </cell>
          <cell r="CC1384" t="str">
            <v>PN      N1</v>
          </cell>
          <cell r="CD1384" t="str">
            <v xml:space="preserve">OPCOES COMPRA  </v>
          </cell>
          <cell r="CE1384" t="str">
            <v xml:space="preserve">Americano      </v>
          </cell>
        </row>
        <row r="1385">
          <cell r="AF1385">
            <v>1380</v>
          </cell>
          <cell r="AG1385">
            <v>0.11716257459873902</v>
          </cell>
          <cell r="BY1385" t="str">
            <v>TRPLD40</v>
          </cell>
          <cell r="BZ1385">
            <v>40</v>
          </cell>
          <cell r="CA1385" t="str">
            <v>20-04-2009</v>
          </cell>
          <cell r="CB1385" t="str">
            <v xml:space="preserve">TRPL        </v>
          </cell>
          <cell r="CC1385" t="str">
            <v>PN      N1</v>
          </cell>
          <cell r="CD1385" t="str">
            <v xml:space="preserve">OPCOES COMPRA  </v>
          </cell>
          <cell r="CE1385" t="str">
            <v xml:space="preserve">Americano      </v>
          </cell>
        </row>
        <row r="1386">
          <cell r="AF1386">
            <v>1381</v>
          </cell>
          <cell r="AG1386">
            <v>0.11716731397476265</v>
          </cell>
          <cell r="BY1386" t="str">
            <v>TRPLD44</v>
          </cell>
          <cell r="BZ1386">
            <v>44</v>
          </cell>
          <cell r="CA1386" t="str">
            <v>20-04-2009</v>
          </cell>
          <cell r="CB1386" t="str">
            <v xml:space="preserve">TRPL        </v>
          </cell>
          <cell r="CC1386" t="str">
            <v>PN      N1</v>
          </cell>
          <cell r="CD1386" t="str">
            <v xml:space="preserve">OPCOES COMPRA  </v>
          </cell>
          <cell r="CE1386" t="str">
            <v xml:space="preserve">Americano      </v>
          </cell>
        </row>
        <row r="1387">
          <cell r="AF1387">
            <v>1382</v>
          </cell>
          <cell r="AG1387">
            <v>0.11717204651212798</v>
          </cell>
          <cell r="BY1387" t="str">
            <v>TRPLD46</v>
          </cell>
          <cell r="BZ1387">
            <v>46</v>
          </cell>
          <cell r="CA1387" t="str">
            <v>20-04-2009</v>
          </cell>
          <cell r="CB1387" t="str">
            <v xml:space="preserve">TRPL        </v>
          </cell>
          <cell r="CC1387" t="str">
            <v>PN      N1</v>
          </cell>
          <cell r="CD1387" t="str">
            <v xml:space="preserve">OPCOES COMPRA  </v>
          </cell>
          <cell r="CE1387" t="str">
            <v xml:space="preserve">Americano      </v>
          </cell>
        </row>
        <row r="1388">
          <cell r="AF1388">
            <v>1383</v>
          </cell>
          <cell r="AG1388">
            <v>0.11717677222562606</v>
          </cell>
          <cell r="BY1388" t="str">
            <v>TRPLF1</v>
          </cell>
          <cell r="BZ1388">
            <v>49.66</v>
          </cell>
          <cell r="CA1388" t="str">
            <v>15-06-2009</v>
          </cell>
          <cell r="CB1388" t="str">
            <v xml:space="preserve">TRPL        </v>
          </cell>
          <cell r="CC1388" t="str">
            <v>PN      N1</v>
          </cell>
          <cell r="CD1388" t="str">
            <v xml:space="preserve">OPCOES COMPRA  </v>
          </cell>
          <cell r="CE1388" t="str">
            <v xml:space="preserve">Americano      </v>
          </cell>
        </row>
        <row r="1389">
          <cell r="AF1389">
            <v>1384</v>
          </cell>
          <cell r="AG1389">
            <v>0.11718149113000487</v>
          </cell>
          <cell r="BY1389" t="str">
            <v>TRPLO40</v>
          </cell>
          <cell r="BZ1389">
            <v>40</v>
          </cell>
          <cell r="CA1389" t="str">
            <v>16-03-2009</v>
          </cell>
          <cell r="CB1389" t="str">
            <v xml:space="preserve">TRPL        </v>
          </cell>
          <cell r="CC1389" t="str">
            <v>PN      N1</v>
          </cell>
          <cell r="CD1389" t="str">
            <v xml:space="preserve">OPCOES VENDA   </v>
          </cell>
          <cell r="CE1389" t="str">
            <v xml:space="preserve">Europeu        </v>
          </cell>
          <cell r="CF1389">
            <v>0</v>
          </cell>
          <cell r="CG1389">
            <v>0</v>
          </cell>
        </row>
        <row r="1390">
          <cell r="AF1390">
            <v>1385</v>
          </cell>
          <cell r="AG1390">
            <v>0.11718620323997131</v>
          </cell>
          <cell r="BY1390" t="str">
            <v>TRPLO42</v>
          </cell>
          <cell r="BZ1390">
            <v>42</v>
          </cell>
          <cell r="CA1390" t="str">
            <v>16-03-2009</v>
          </cell>
          <cell r="CB1390" t="str">
            <v xml:space="preserve">TRPL        </v>
          </cell>
          <cell r="CC1390" t="str">
            <v>PN      N1</v>
          </cell>
          <cell r="CD1390" t="str">
            <v xml:space="preserve">OPCOES VENDA   </v>
          </cell>
          <cell r="CE1390" t="str">
            <v xml:space="preserve">Europeu        </v>
          </cell>
        </row>
        <row r="1391">
          <cell r="AF1391">
            <v>1386</v>
          </cell>
          <cell r="AG1391">
            <v>0.11719090857018744</v>
          </cell>
          <cell r="BY1391" t="str">
            <v>TRPLO44</v>
          </cell>
          <cell r="BZ1391">
            <v>44</v>
          </cell>
          <cell r="CA1391" t="str">
            <v>16-03-2009</v>
          </cell>
          <cell r="CB1391" t="str">
            <v xml:space="preserve">TRPL        </v>
          </cell>
          <cell r="CC1391" t="str">
            <v>PN      N1</v>
          </cell>
          <cell r="CD1391" t="str">
            <v xml:space="preserve">OPCOES VENDA   </v>
          </cell>
          <cell r="CE1391" t="str">
            <v xml:space="preserve">Europeu        </v>
          </cell>
        </row>
        <row r="1392">
          <cell r="AF1392">
            <v>1387</v>
          </cell>
          <cell r="AG1392">
            <v>0.11719560713527599</v>
          </cell>
          <cell r="BY1392" t="str">
            <v>TRPLO46</v>
          </cell>
          <cell r="BZ1392">
            <v>46</v>
          </cell>
          <cell r="CA1392" t="str">
            <v>16-03-2009</v>
          </cell>
          <cell r="CB1392" t="str">
            <v xml:space="preserve">TRPL        </v>
          </cell>
          <cell r="CC1392" t="str">
            <v>PN      N1</v>
          </cell>
          <cell r="CD1392" t="str">
            <v xml:space="preserve">OPCOES VENDA   </v>
          </cell>
          <cell r="CE1392" t="str">
            <v xml:space="preserve">Europeu        </v>
          </cell>
        </row>
        <row r="1393">
          <cell r="AF1393">
            <v>1388</v>
          </cell>
          <cell r="AG1393">
            <v>0.11720029894981576</v>
          </cell>
          <cell r="BY1393" t="str">
            <v>TRPLP40</v>
          </cell>
          <cell r="BZ1393">
            <v>40</v>
          </cell>
          <cell r="CA1393" t="str">
            <v>20-04-2009</v>
          </cell>
          <cell r="CB1393" t="str">
            <v xml:space="preserve">TRPL        </v>
          </cell>
          <cell r="CC1393" t="str">
            <v>PN      N1</v>
          </cell>
          <cell r="CD1393" t="str">
            <v xml:space="preserve">OPCOES VENDA   </v>
          </cell>
          <cell r="CE1393" t="str">
            <v xml:space="preserve">Europeu        </v>
          </cell>
        </row>
        <row r="1394">
          <cell r="AF1394">
            <v>1389</v>
          </cell>
          <cell r="AG1394">
            <v>0.11720498402834467</v>
          </cell>
          <cell r="BY1394" t="str">
            <v>TRPLP44</v>
          </cell>
          <cell r="BZ1394">
            <v>44</v>
          </cell>
          <cell r="CA1394" t="str">
            <v>20-04-2009</v>
          </cell>
          <cell r="CB1394" t="str">
            <v xml:space="preserve">TRPL        </v>
          </cell>
          <cell r="CC1394" t="str">
            <v>PN      N1</v>
          </cell>
          <cell r="CD1394" t="str">
            <v xml:space="preserve">OPCOES VENDA   </v>
          </cell>
          <cell r="CE1394" t="str">
            <v xml:space="preserve">Europeu        </v>
          </cell>
        </row>
        <row r="1395">
          <cell r="AF1395">
            <v>1390</v>
          </cell>
          <cell r="AG1395">
            <v>0.11720966238535779</v>
          </cell>
          <cell r="BY1395" t="str">
            <v>TRPLP46</v>
          </cell>
          <cell r="BZ1395">
            <v>46</v>
          </cell>
          <cell r="CA1395" t="str">
            <v>20-04-2009</v>
          </cell>
          <cell r="CB1395" t="str">
            <v xml:space="preserve">TRPL        </v>
          </cell>
          <cell r="CC1395" t="str">
            <v>PN      N1</v>
          </cell>
          <cell r="CD1395" t="str">
            <v xml:space="preserve">OPCOES VENDA   </v>
          </cell>
          <cell r="CE1395" t="str">
            <v xml:space="preserve">Europeu        </v>
          </cell>
        </row>
        <row r="1396">
          <cell r="AF1396">
            <v>1391</v>
          </cell>
          <cell r="AG1396">
            <v>0.11721433403531023</v>
          </cell>
          <cell r="BY1396" t="str">
            <v>TRPLR1</v>
          </cell>
          <cell r="BZ1396">
            <v>49.66</v>
          </cell>
          <cell r="CA1396" t="str">
            <v>15-06-2009</v>
          </cell>
          <cell r="CB1396" t="str">
            <v xml:space="preserve">TRPL        </v>
          </cell>
          <cell r="CC1396" t="str">
            <v>PN      N1</v>
          </cell>
          <cell r="CD1396" t="str">
            <v xml:space="preserve">OPCOES VENDA   </v>
          </cell>
          <cell r="CE1396" t="str">
            <v xml:space="preserve">Europeu        </v>
          </cell>
        </row>
        <row r="1397">
          <cell r="AF1397">
            <v>1392</v>
          </cell>
          <cell r="AG1397">
            <v>0.11721899899261445</v>
          </cell>
          <cell r="BY1397" t="str">
            <v>VCPAC2</v>
          </cell>
          <cell r="BZ1397">
            <v>11.5</v>
          </cell>
          <cell r="CA1397" t="str">
            <v>16-03-2009</v>
          </cell>
          <cell r="CB1397" t="str">
            <v xml:space="preserve">VCPA    /ES </v>
          </cell>
          <cell r="CC1397" t="str">
            <v>PN      N1</v>
          </cell>
          <cell r="CD1397" t="str">
            <v xml:space="preserve">OPCOES COMPRA  </v>
          </cell>
          <cell r="CE1397" t="str">
            <v xml:space="preserve">Europeu        </v>
          </cell>
        </row>
        <row r="1398">
          <cell r="AF1398">
            <v>1393</v>
          </cell>
          <cell r="AG1398">
            <v>0.11722365727164208</v>
          </cell>
          <cell r="BY1398" t="str">
            <v>VCPAC12</v>
          </cell>
          <cell r="BZ1398">
            <v>12</v>
          </cell>
          <cell r="CA1398" t="str">
            <v>16-03-2009</v>
          </cell>
          <cell r="CB1398" t="str">
            <v xml:space="preserve">VCPA    /ES </v>
          </cell>
          <cell r="CC1398" t="str">
            <v>PN      N1</v>
          </cell>
          <cell r="CD1398" t="str">
            <v xml:space="preserve">OPCOES COMPRA  </v>
          </cell>
          <cell r="CE1398" t="str">
            <v xml:space="preserve">Americano      </v>
          </cell>
        </row>
        <row r="1399">
          <cell r="AF1399">
            <v>1394</v>
          </cell>
          <cell r="AG1399">
            <v>0.11722830888672364</v>
          </cell>
          <cell r="BY1399" t="str">
            <v>VCPAC3</v>
          </cell>
          <cell r="BZ1399">
            <v>13.5</v>
          </cell>
          <cell r="CA1399" t="str">
            <v>16-03-2009</v>
          </cell>
          <cell r="CB1399" t="str">
            <v xml:space="preserve">VCPA    /ES </v>
          </cell>
          <cell r="CC1399" t="str">
            <v>PN      N1</v>
          </cell>
          <cell r="CD1399" t="str">
            <v xml:space="preserve">OPCOES COMPRA  </v>
          </cell>
          <cell r="CE1399" t="str">
            <v xml:space="preserve">Europeu        </v>
          </cell>
        </row>
        <row r="1400">
          <cell r="AF1400">
            <v>1395</v>
          </cell>
          <cell r="AG1400">
            <v>0.11723295385214882</v>
          </cell>
          <cell r="BY1400" t="str">
            <v>VCPAC1</v>
          </cell>
          <cell r="BZ1400">
            <v>14.5</v>
          </cell>
          <cell r="CA1400" t="str">
            <v>16-03-2009</v>
          </cell>
          <cell r="CB1400" t="str">
            <v xml:space="preserve">VCPA    /ES </v>
          </cell>
          <cell r="CC1400" t="str">
            <v>PN      N1</v>
          </cell>
          <cell r="CD1400" t="str">
            <v xml:space="preserve">OPCOES COMPRA  </v>
          </cell>
          <cell r="CE1400" t="str">
            <v xml:space="preserve">Europeu        </v>
          </cell>
        </row>
        <row r="1401">
          <cell r="AF1401">
            <v>1396</v>
          </cell>
          <cell r="AG1401">
            <v>0.11723759218216578</v>
          </cell>
          <cell r="BY1401" t="str">
            <v>VCPAC16</v>
          </cell>
          <cell r="BZ1401">
            <v>16</v>
          </cell>
          <cell r="CA1401" t="str">
            <v>16-03-2009</v>
          </cell>
          <cell r="CB1401" t="str">
            <v xml:space="preserve">VCPA    /ES </v>
          </cell>
          <cell r="CC1401" t="str">
            <v>PN      N1</v>
          </cell>
          <cell r="CD1401" t="str">
            <v xml:space="preserve">OPCOES COMPRA  </v>
          </cell>
          <cell r="CE1401" t="str">
            <v xml:space="preserve">Americano      </v>
          </cell>
        </row>
        <row r="1402">
          <cell r="AF1402">
            <v>1397</v>
          </cell>
          <cell r="AG1402">
            <v>0.11724222389098293</v>
          </cell>
          <cell r="BY1402" t="str">
            <v>VCPAC17</v>
          </cell>
          <cell r="BZ1402">
            <v>17</v>
          </cell>
          <cell r="CA1402" t="str">
            <v>16-03-2009</v>
          </cell>
          <cell r="CB1402" t="str">
            <v xml:space="preserve">VCPA    /ES </v>
          </cell>
          <cell r="CC1402" t="str">
            <v>PN      N1</v>
          </cell>
          <cell r="CD1402" t="str">
            <v xml:space="preserve">OPCOES COMPRA  </v>
          </cell>
          <cell r="CE1402" t="str">
            <v xml:space="preserve">Americano      </v>
          </cell>
        </row>
        <row r="1403">
          <cell r="AF1403">
            <v>1398</v>
          </cell>
          <cell r="AG1403">
            <v>0.1172468489927676</v>
          </cell>
          <cell r="BY1403" t="str">
            <v>VCPAC18</v>
          </cell>
          <cell r="BZ1403">
            <v>18</v>
          </cell>
          <cell r="CA1403" t="str">
            <v>16-03-2009</v>
          </cell>
          <cell r="CB1403" t="str">
            <v xml:space="preserve">VCPA    /ES </v>
          </cell>
          <cell r="CC1403" t="str">
            <v>PN      N1</v>
          </cell>
          <cell r="CD1403" t="str">
            <v xml:space="preserve">OPCOES COMPRA  </v>
          </cell>
          <cell r="CE1403" t="str">
            <v xml:space="preserve">Americano      </v>
          </cell>
        </row>
        <row r="1404">
          <cell r="AF1404">
            <v>1399</v>
          </cell>
          <cell r="AG1404">
            <v>0.11725146750164672</v>
          </cell>
          <cell r="BY1404" t="str">
            <v>VCPAF1</v>
          </cell>
          <cell r="BZ1404">
            <v>44</v>
          </cell>
          <cell r="CA1404" t="str">
            <v>15-06-2009</v>
          </cell>
          <cell r="CB1404" t="str">
            <v xml:space="preserve">VCPA    /ES </v>
          </cell>
          <cell r="CC1404" t="str">
            <v>PN      N1</v>
          </cell>
          <cell r="CD1404" t="str">
            <v xml:space="preserve">OPCOES COMPRA  </v>
          </cell>
          <cell r="CE1404" t="str">
            <v xml:space="preserve">Americano      </v>
          </cell>
        </row>
        <row r="1405">
          <cell r="AF1405">
            <v>1400</v>
          </cell>
          <cell r="AG1405">
            <v>0.11725607943170724</v>
          </cell>
          <cell r="BY1405" t="str">
            <v>VCPAO2</v>
          </cell>
          <cell r="BZ1405">
            <v>11.5</v>
          </cell>
          <cell r="CA1405" t="str">
            <v>16-03-2009</v>
          </cell>
          <cell r="CB1405" t="str">
            <v xml:space="preserve">VCPA    /ES </v>
          </cell>
          <cell r="CC1405" t="str">
            <v>PN      N1</v>
          </cell>
          <cell r="CD1405" t="str">
            <v xml:space="preserve">OPCOES VENDA   </v>
          </cell>
          <cell r="CE1405" t="str">
            <v xml:space="preserve">Europeu        </v>
          </cell>
        </row>
        <row r="1406">
          <cell r="AF1406">
            <v>1401</v>
          </cell>
          <cell r="AG1406">
            <v>0.11726068479699614</v>
          </cell>
          <cell r="BY1406" t="str">
            <v>VCPAO12</v>
          </cell>
          <cell r="BZ1406">
            <v>12</v>
          </cell>
          <cell r="CA1406" t="str">
            <v>16-03-2009</v>
          </cell>
          <cell r="CB1406" t="str">
            <v xml:space="preserve">VCPA    /ES </v>
          </cell>
          <cell r="CC1406" t="str">
            <v>PN      N1</v>
          </cell>
          <cell r="CD1406" t="str">
            <v xml:space="preserve">OPCOES VENDA   </v>
          </cell>
          <cell r="CE1406" t="str">
            <v xml:space="preserve">Europeu        </v>
          </cell>
        </row>
        <row r="1407">
          <cell r="AF1407">
            <v>1402</v>
          </cell>
          <cell r="AG1407">
            <v>0.11726528361151978</v>
          </cell>
          <cell r="BY1407" t="str">
            <v>VCPAO3</v>
          </cell>
          <cell r="BZ1407">
            <v>13.5</v>
          </cell>
          <cell r="CA1407" t="str">
            <v>16-03-2009</v>
          </cell>
          <cell r="CB1407" t="str">
            <v xml:space="preserve">VCPA    /ES </v>
          </cell>
          <cell r="CC1407" t="str">
            <v>PN      N1</v>
          </cell>
          <cell r="CD1407" t="str">
            <v xml:space="preserve">OPCOES VENDA   </v>
          </cell>
          <cell r="CE1407" t="str">
            <v xml:space="preserve">Europeu        </v>
          </cell>
        </row>
        <row r="1408">
          <cell r="AF1408">
            <v>1403</v>
          </cell>
          <cell r="AG1408">
            <v>0.11726987588924498</v>
          </cell>
          <cell r="BY1408" t="str">
            <v>VCPAO1</v>
          </cell>
          <cell r="BZ1408">
            <v>14.5</v>
          </cell>
          <cell r="CA1408" t="str">
            <v>16-03-2009</v>
          </cell>
          <cell r="CB1408" t="str">
            <v xml:space="preserve">VCPA    /ES </v>
          </cell>
          <cell r="CC1408" t="str">
            <v>PN      N1</v>
          </cell>
          <cell r="CD1408" t="str">
            <v xml:space="preserve">OPCOES VENDA   </v>
          </cell>
          <cell r="CE1408" t="str">
            <v xml:space="preserve">Europeu        </v>
          </cell>
        </row>
        <row r="1409">
          <cell r="AF1409">
            <v>1404</v>
          </cell>
          <cell r="AG1409">
            <v>0.11727446164409971</v>
          </cell>
          <cell r="BY1409" t="str">
            <v>VCPAO16</v>
          </cell>
          <cell r="BZ1409">
            <v>16</v>
          </cell>
          <cell r="CA1409" t="str">
            <v>16-03-2009</v>
          </cell>
          <cell r="CB1409" t="str">
            <v xml:space="preserve">VCPA    /ES </v>
          </cell>
          <cell r="CC1409" t="str">
            <v>PN      N1</v>
          </cell>
          <cell r="CD1409" t="str">
            <v xml:space="preserve">OPCOES VENDA   </v>
          </cell>
          <cell r="CE1409" t="str">
            <v xml:space="preserve">Europeu        </v>
          </cell>
        </row>
        <row r="1410">
          <cell r="AF1410">
            <v>1405</v>
          </cell>
          <cell r="AG1410">
            <v>0.11727904088997132</v>
          </cell>
          <cell r="BY1410" t="str">
            <v>VCPAO17</v>
          </cell>
          <cell r="BZ1410">
            <v>17</v>
          </cell>
          <cell r="CA1410" t="str">
            <v>16-03-2009</v>
          </cell>
          <cell r="CB1410" t="str">
            <v xml:space="preserve">VCPA    /ES </v>
          </cell>
          <cell r="CC1410" t="str">
            <v>PN      N1</v>
          </cell>
          <cell r="CD1410" t="str">
            <v xml:space="preserve">OPCOES VENDA   </v>
          </cell>
          <cell r="CE1410" t="str">
            <v xml:space="preserve">Europeu        </v>
          </cell>
        </row>
        <row r="1411">
          <cell r="AF1411">
            <v>1406</v>
          </cell>
          <cell r="AG1411">
            <v>0.11728361364070783</v>
          </cell>
          <cell r="BY1411" t="str">
            <v>VCPAO18</v>
          </cell>
          <cell r="BZ1411">
            <v>18</v>
          </cell>
          <cell r="CA1411" t="str">
            <v>16-03-2009</v>
          </cell>
          <cell r="CB1411" t="str">
            <v xml:space="preserve">VCPA    /ES </v>
          </cell>
          <cell r="CC1411" t="str">
            <v>PN      N1</v>
          </cell>
          <cell r="CD1411" t="str">
            <v xml:space="preserve">OPCOES VENDA   </v>
          </cell>
          <cell r="CE1411" t="str">
            <v xml:space="preserve">Europeu        </v>
          </cell>
        </row>
        <row r="1412">
          <cell r="AF1412">
            <v>1407</v>
          </cell>
          <cell r="AG1412">
            <v>0.11728817991011864</v>
          </cell>
          <cell r="BY1412" t="str">
            <v>VCPAR1</v>
          </cell>
          <cell r="BZ1412">
            <v>44</v>
          </cell>
          <cell r="CA1412" t="str">
            <v>15-06-2009</v>
          </cell>
          <cell r="CB1412" t="str">
            <v xml:space="preserve">VCPA    /ES </v>
          </cell>
          <cell r="CC1412" t="str">
            <v>PN      N1</v>
          </cell>
          <cell r="CD1412" t="str">
            <v xml:space="preserve">OPCOES VENDA   </v>
          </cell>
          <cell r="CE1412" t="str">
            <v xml:space="preserve">Europeu        </v>
          </cell>
        </row>
        <row r="1413">
          <cell r="AF1413">
            <v>1408</v>
          </cell>
          <cell r="AG1413">
            <v>0.1172927397119734</v>
          </cell>
          <cell r="BY1413" t="str">
            <v>GOLLC11</v>
          </cell>
          <cell r="BZ1413">
            <v>11</v>
          </cell>
          <cell r="CA1413" t="str">
            <v>16-03-2009</v>
          </cell>
          <cell r="CB1413" t="str">
            <v xml:space="preserve">GOLL        </v>
          </cell>
          <cell r="CC1413" t="str">
            <v>PN      N2</v>
          </cell>
          <cell r="CD1413" t="str">
            <v xml:space="preserve">OPCOES COMPRA  </v>
          </cell>
          <cell r="CE1413" t="str">
            <v xml:space="preserve">Americano      </v>
          </cell>
        </row>
        <row r="1414">
          <cell r="AF1414">
            <v>1409</v>
          </cell>
          <cell r="AG1414">
            <v>0.11729729306000358</v>
          </cell>
          <cell r="BY1414" t="str">
            <v>GOLLO11</v>
          </cell>
          <cell r="BZ1414">
            <v>11</v>
          </cell>
          <cell r="CA1414" t="str">
            <v>16-03-2009</v>
          </cell>
          <cell r="CB1414" t="str">
            <v xml:space="preserve">GOLL        </v>
          </cell>
          <cell r="CC1414" t="str">
            <v>PN      N2</v>
          </cell>
          <cell r="CD1414" t="str">
            <v xml:space="preserve">OPCOES VENDA   </v>
          </cell>
          <cell r="CE1414" t="str">
            <v xml:space="preserve">Europeu        </v>
          </cell>
        </row>
        <row r="1415">
          <cell r="AF1415">
            <v>1410</v>
          </cell>
          <cell r="AG1415">
            <v>0.11730183996790111</v>
          </cell>
          <cell r="BY1415" t="str">
            <v>NETCC1</v>
          </cell>
          <cell r="BZ1415">
            <v>12.49</v>
          </cell>
          <cell r="CA1415" t="str">
            <v>16-03-2009</v>
          </cell>
          <cell r="CB1415" t="str">
            <v xml:space="preserve">NETC        </v>
          </cell>
          <cell r="CC1415" t="str">
            <v>PN      N2</v>
          </cell>
          <cell r="CD1415" t="str">
            <v xml:space="preserve">OPCOES COMPRA  </v>
          </cell>
          <cell r="CE1415" t="str">
            <v xml:space="preserve">Europeu        </v>
          </cell>
        </row>
        <row r="1416">
          <cell r="AF1416">
            <v>1411</v>
          </cell>
          <cell r="AG1416">
            <v>0.11730638044931907</v>
          </cell>
          <cell r="BY1416" t="str">
            <v>NETCC2</v>
          </cell>
          <cell r="BZ1416">
            <v>13.49</v>
          </cell>
          <cell r="CA1416" t="str">
            <v>16-03-2009</v>
          </cell>
          <cell r="CB1416" t="str">
            <v xml:space="preserve">NETC        </v>
          </cell>
          <cell r="CC1416" t="str">
            <v>PN      N2</v>
          </cell>
          <cell r="CD1416" t="str">
            <v xml:space="preserve">OPCOES COMPRA  </v>
          </cell>
          <cell r="CE1416" t="str">
            <v xml:space="preserve">Europeu        </v>
          </cell>
        </row>
        <row r="1417">
          <cell r="AF1417">
            <v>1412</v>
          </cell>
          <cell r="AG1417">
            <v>0.11731091451787279</v>
          </cell>
          <cell r="BY1417" t="str">
            <v>NETCC3</v>
          </cell>
          <cell r="BZ1417">
            <v>14.5</v>
          </cell>
          <cell r="CA1417" t="str">
            <v>16-03-2009</v>
          </cell>
          <cell r="CB1417" t="str">
            <v xml:space="preserve">NETC        </v>
          </cell>
          <cell r="CC1417" t="str">
            <v>PN      N2</v>
          </cell>
          <cell r="CD1417" t="str">
            <v xml:space="preserve">OPCOES COMPRA  </v>
          </cell>
          <cell r="CE1417" t="str">
            <v xml:space="preserve">Europeu        </v>
          </cell>
        </row>
        <row r="1418">
          <cell r="AF1418">
            <v>1413</v>
          </cell>
          <cell r="AG1418">
            <v>0.11731544218713852</v>
          </cell>
          <cell r="BY1418" t="str">
            <v>NETCC4</v>
          </cell>
          <cell r="BZ1418">
            <v>15.5</v>
          </cell>
          <cell r="CA1418" t="str">
            <v>16-03-2009</v>
          </cell>
          <cell r="CB1418" t="str">
            <v xml:space="preserve">NETC        </v>
          </cell>
          <cell r="CC1418" t="str">
            <v>PN      N2</v>
          </cell>
          <cell r="CD1418" t="str">
            <v xml:space="preserve">OPCOES COMPRA  </v>
          </cell>
          <cell r="CE1418" t="str">
            <v xml:space="preserve">Europeu        </v>
          </cell>
        </row>
        <row r="1419">
          <cell r="AF1419">
            <v>1414</v>
          </cell>
          <cell r="AG1419">
            <v>0.11731996347065432</v>
          </cell>
          <cell r="BY1419" t="str">
            <v>NETCC5</v>
          </cell>
          <cell r="BZ1419">
            <v>16.489999999999998</v>
          </cell>
          <cell r="CA1419" t="str">
            <v>16-03-2009</v>
          </cell>
          <cell r="CB1419" t="str">
            <v xml:space="preserve">NETC        </v>
          </cell>
          <cell r="CC1419" t="str">
            <v>PN      N2</v>
          </cell>
          <cell r="CD1419" t="str">
            <v xml:space="preserve">OPCOES COMPRA  </v>
          </cell>
          <cell r="CE1419" t="str">
            <v xml:space="preserve">Europeu        </v>
          </cell>
        </row>
        <row r="1420">
          <cell r="AF1420">
            <v>1415</v>
          </cell>
          <cell r="AG1420">
            <v>0.11732447838192051</v>
          </cell>
          <cell r="BY1420" t="str">
            <v>NETCC6</v>
          </cell>
          <cell r="BZ1420">
            <v>17.489999999999998</v>
          </cell>
          <cell r="CA1420" t="str">
            <v>16-03-2009</v>
          </cell>
          <cell r="CB1420" t="str">
            <v xml:space="preserve">NETC        </v>
          </cell>
          <cell r="CC1420" t="str">
            <v>PN      N2</v>
          </cell>
          <cell r="CD1420" t="str">
            <v xml:space="preserve">OPCOES COMPRA  </v>
          </cell>
          <cell r="CE1420" t="str">
            <v xml:space="preserve">Europeu        </v>
          </cell>
        </row>
        <row r="1421">
          <cell r="AF1421">
            <v>1416</v>
          </cell>
          <cell r="AG1421">
            <v>0.11732898693439853</v>
          </cell>
          <cell r="BY1421" t="str">
            <v>NETCC7</v>
          </cell>
          <cell r="BZ1421">
            <v>18.5</v>
          </cell>
          <cell r="CA1421" t="str">
            <v>16-03-2009</v>
          </cell>
          <cell r="CB1421" t="str">
            <v xml:space="preserve">NETC        </v>
          </cell>
          <cell r="CC1421" t="str">
            <v>PN      N2</v>
          </cell>
          <cell r="CD1421" t="str">
            <v xml:space="preserve">OPCOES COMPRA  </v>
          </cell>
          <cell r="CE1421" t="str">
            <v xml:space="preserve">Europeu        </v>
          </cell>
        </row>
        <row r="1422">
          <cell r="AF1422">
            <v>1417</v>
          </cell>
          <cell r="AG1422">
            <v>0.11733348914151276</v>
          </cell>
          <cell r="BY1422" t="str">
            <v>NETCC8</v>
          </cell>
          <cell r="BZ1422">
            <v>19.5</v>
          </cell>
          <cell r="CA1422" t="str">
            <v>16-03-2009</v>
          </cell>
          <cell r="CB1422" t="str">
            <v xml:space="preserve">NETC        </v>
          </cell>
          <cell r="CC1422" t="str">
            <v>PN      N2</v>
          </cell>
          <cell r="CD1422" t="str">
            <v xml:space="preserve">OPCOES COMPRA  </v>
          </cell>
          <cell r="CE1422" t="str">
            <v xml:space="preserve">Europeu        </v>
          </cell>
        </row>
        <row r="1423">
          <cell r="AF1423">
            <v>1418</v>
          </cell>
          <cell r="AG1423">
            <v>0.11733798501664938</v>
          </cell>
          <cell r="BY1423" t="str">
            <v>NETCC9</v>
          </cell>
          <cell r="BZ1423">
            <v>20.49</v>
          </cell>
          <cell r="CA1423" t="str">
            <v>16-03-2009</v>
          </cell>
          <cell r="CB1423" t="str">
            <v xml:space="preserve">NETC        </v>
          </cell>
          <cell r="CC1423" t="str">
            <v>PN      N2</v>
          </cell>
          <cell r="CD1423" t="str">
            <v xml:space="preserve">OPCOES COMPRA  </v>
          </cell>
          <cell r="CE1423" t="str">
            <v xml:space="preserve">Europeu        </v>
          </cell>
        </row>
        <row r="1424">
          <cell r="AF1424">
            <v>1419</v>
          </cell>
          <cell r="AG1424">
            <v>0.11734247457315727</v>
          </cell>
          <cell r="BY1424" t="str">
            <v>NETCD1</v>
          </cell>
          <cell r="BZ1424">
            <v>12.5</v>
          </cell>
          <cell r="CA1424" t="str">
            <v>20-04-2009</v>
          </cell>
          <cell r="CB1424" t="str">
            <v xml:space="preserve">NETC        </v>
          </cell>
          <cell r="CC1424" t="str">
            <v>PN      N2</v>
          </cell>
          <cell r="CD1424" t="str">
            <v xml:space="preserve">OPCOES COMPRA  </v>
          </cell>
          <cell r="CE1424" t="str">
            <v xml:space="preserve">Europeu        </v>
          </cell>
        </row>
        <row r="1425">
          <cell r="AF1425">
            <v>1420</v>
          </cell>
          <cell r="AG1425">
            <v>0.11734695782434712</v>
          </cell>
          <cell r="BY1425" t="str">
            <v>NETCD2</v>
          </cell>
          <cell r="BZ1425">
            <v>13.5</v>
          </cell>
          <cell r="CA1425" t="str">
            <v>20-04-2009</v>
          </cell>
          <cell r="CB1425" t="str">
            <v xml:space="preserve">NETC        </v>
          </cell>
          <cell r="CC1425" t="str">
            <v>PN      N2</v>
          </cell>
          <cell r="CD1425" t="str">
            <v xml:space="preserve">OPCOES COMPRA  </v>
          </cell>
          <cell r="CE1425" t="str">
            <v xml:space="preserve">Europeu        </v>
          </cell>
        </row>
        <row r="1426">
          <cell r="AF1426">
            <v>1421</v>
          </cell>
          <cell r="AG1426">
            <v>0.11735143478349341</v>
          </cell>
          <cell r="BY1426" t="str">
            <v>NETCD3</v>
          </cell>
          <cell r="BZ1426">
            <v>14.5</v>
          </cell>
          <cell r="CA1426" t="str">
            <v>20-04-2009</v>
          </cell>
          <cell r="CB1426" t="str">
            <v xml:space="preserve">NETC        </v>
          </cell>
          <cell r="CC1426" t="str">
            <v>PN      N2</v>
          </cell>
          <cell r="CD1426" t="str">
            <v xml:space="preserve">OPCOES COMPRA  </v>
          </cell>
          <cell r="CE1426" t="str">
            <v xml:space="preserve">Europeu        </v>
          </cell>
        </row>
        <row r="1427">
          <cell r="AF1427">
            <v>1422</v>
          </cell>
          <cell r="AG1427">
            <v>0.11735590546383223</v>
          </cell>
          <cell r="BY1427" t="str">
            <v>NETCD4</v>
          </cell>
          <cell r="BZ1427">
            <v>15.5</v>
          </cell>
          <cell r="CA1427" t="str">
            <v>20-04-2009</v>
          </cell>
          <cell r="CB1427" t="str">
            <v xml:space="preserve">NETC        </v>
          </cell>
          <cell r="CC1427" t="str">
            <v>PN      N2</v>
          </cell>
          <cell r="CD1427" t="str">
            <v xml:space="preserve">OPCOES COMPRA  </v>
          </cell>
          <cell r="CE1427" t="str">
            <v xml:space="preserve">Europeu        </v>
          </cell>
        </row>
        <row r="1428">
          <cell r="AF1428">
            <v>1423</v>
          </cell>
          <cell r="AG1428">
            <v>0.11736036987856324</v>
          </cell>
          <cell r="BY1428" t="str">
            <v>NETCD5</v>
          </cell>
          <cell r="BZ1428">
            <v>16.5</v>
          </cell>
          <cell r="CA1428" t="str">
            <v>20-04-2009</v>
          </cell>
          <cell r="CB1428" t="str">
            <v xml:space="preserve">NETC        </v>
          </cell>
          <cell r="CC1428" t="str">
            <v>PN      N2</v>
          </cell>
          <cell r="CD1428" t="str">
            <v xml:space="preserve">OPCOES COMPRA  </v>
          </cell>
          <cell r="CE1428" t="str">
            <v xml:space="preserve">Europeu        </v>
          </cell>
        </row>
        <row r="1429">
          <cell r="AF1429">
            <v>1424</v>
          </cell>
          <cell r="AG1429">
            <v>0.11736482804084902</v>
          </cell>
          <cell r="BY1429" t="str">
            <v>NETCD6</v>
          </cell>
          <cell r="BZ1429">
            <v>17.5</v>
          </cell>
          <cell r="CA1429" t="str">
            <v>20-04-2009</v>
          </cell>
          <cell r="CB1429" t="str">
            <v xml:space="preserve">NETC        </v>
          </cell>
          <cell r="CC1429" t="str">
            <v>PN      N2</v>
          </cell>
          <cell r="CD1429" t="str">
            <v xml:space="preserve">OPCOES COMPRA  </v>
          </cell>
          <cell r="CE1429" t="str">
            <v xml:space="preserve">Europeu        </v>
          </cell>
        </row>
        <row r="1430">
          <cell r="AF1430">
            <v>1425</v>
          </cell>
          <cell r="AG1430">
            <v>0.1173692799638153</v>
          </cell>
          <cell r="BY1430" t="str">
            <v>NETCD7</v>
          </cell>
          <cell r="BZ1430">
            <v>18.5</v>
          </cell>
          <cell r="CA1430" t="str">
            <v>20-04-2009</v>
          </cell>
          <cell r="CB1430" t="str">
            <v xml:space="preserve">NETC        </v>
          </cell>
          <cell r="CC1430" t="str">
            <v>PN      N2</v>
          </cell>
          <cell r="CD1430" t="str">
            <v xml:space="preserve">OPCOES COMPRA  </v>
          </cell>
          <cell r="CE1430" t="str">
            <v xml:space="preserve">Europeu        </v>
          </cell>
        </row>
        <row r="1431">
          <cell r="AF1431">
            <v>1426</v>
          </cell>
          <cell r="AG1431">
            <v>0.11737372566055049</v>
          </cell>
          <cell r="BY1431" t="str">
            <v>NETCE1</v>
          </cell>
          <cell r="BZ1431">
            <v>12.5</v>
          </cell>
          <cell r="CA1431" t="str">
            <v>18-05-2009</v>
          </cell>
          <cell r="CB1431" t="str">
            <v xml:space="preserve">NETC        </v>
          </cell>
          <cell r="CC1431" t="str">
            <v>PN      N2</v>
          </cell>
          <cell r="CD1431" t="str">
            <v xml:space="preserve">OPCOES COMPRA  </v>
          </cell>
          <cell r="CE1431" t="str">
            <v xml:space="preserve">Europeu        </v>
          </cell>
        </row>
        <row r="1432">
          <cell r="AF1432">
            <v>1427</v>
          </cell>
          <cell r="AG1432">
            <v>0.11737816514410748</v>
          </cell>
          <cell r="BY1432" t="str">
            <v>NETCE2</v>
          </cell>
          <cell r="BZ1432">
            <v>13.5</v>
          </cell>
          <cell r="CA1432" t="str">
            <v>18-05-2009</v>
          </cell>
          <cell r="CB1432" t="str">
            <v xml:space="preserve">NETC        </v>
          </cell>
          <cell r="CC1432" t="str">
            <v>PN      N2</v>
          </cell>
          <cell r="CD1432" t="str">
            <v xml:space="preserve">OPCOES COMPRA  </v>
          </cell>
          <cell r="CE1432" t="str">
            <v xml:space="preserve">Europeu        </v>
          </cell>
        </row>
        <row r="1433">
          <cell r="AF1433">
            <v>1428</v>
          </cell>
          <cell r="AG1433">
            <v>0.11738259842750209</v>
          </cell>
          <cell r="BY1433" t="str">
            <v>NETCE3</v>
          </cell>
          <cell r="BZ1433">
            <v>14.5</v>
          </cell>
          <cell r="CA1433" t="str">
            <v>18-05-2009</v>
          </cell>
          <cell r="CB1433" t="str">
            <v xml:space="preserve">NETC        </v>
          </cell>
          <cell r="CC1433" t="str">
            <v>PN      N2</v>
          </cell>
          <cell r="CD1433" t="str">
            <v xml:space="preserve">OPCOES COMPRA  </v>
          </cell>
          <cell r="CE1433" t="str">
            <v xml:space="preserve">Europeu        </v>
          </cell>
        </row>
        <row r="1434">
          <cell r="AF1434">
            <v>1429</v>
          </cell>
          <cell r="AG1434">
            <v>0.11738702552371372</v>
          </cell>
          <cell r="BY1434" t="str">
            <v>NETCE4</v>
          </cell>
          <cell r="BZ1434">
            <v>15.5</v>
          </cell>
          <cell r="CA1434" t="str">
            <v>18-05-2009</v>
          </cell>
          <cell r="CB1434" t="str">
            <v xml:space="preserve">NETC        </v>
          </cell>
          <cell r="CC1434" t="str">
            <v>PN      N2</v>
          </cell>
          <cell r="CD1434" t="str">
            <v xml:space="preserve">OPCOES COMPRA  </v>
          </cell>
          <cell r="CE1434" t="str">
            <v xml:space="preserve">Europeu        </v>
          </cell>
        </row>
        <row r="1435">
          <cell r="AF1435">
            <v>1430</v>
          </cell>
          <cell r="AG1435">
            <v>0.117391446445686</v>
          </cell>
          <cell r="BY1435" t="str">
            <v>NETCE5</v>
          </cell>
          <cell r="BZ1435">
            <v>16.5</v>
          </cell>
          <cell r="CA1435" t="str">
            <v>18-05-2009</v>
          </cell>
          <cell r="CB1435" t="str">
            <v xml:space="preserve">NETC        </v>
          </cell>
          <cell r="CC1435" t="str">
            <v>PN      N2</v>
          </cell>
          <cell r="CD1435" t="str">
            <v xml:space="preserve">OPCOES COMPRA  </v>
          </cell>
          <cell r="CE1435" t="str">
            <v xml:space="preserve">Europeu        </v>
          </cell>
        </row>
        <row r="1436">
          <cell r="AF1436">
            <v>1431</v>
          </cell>
          <cell r="AG1436">
            <v>0.11739586120632617</v>
          </cell>
          <cell r="BY1436" t="str">
            <v>NETCE6</v>
          </cell>
          <cell r="BZ1436">
            <v>17.5</v>
          </cell>
          <cell r="CA1436" t="str">
            <v>18-05-2009</v>
          </cell>
          <cell r="CB1436" t="str">
            <v xml:space="preserve">NETC        </v>
          </cell>
          <cell r="CC1436" t="str">
            <v>PN      N2</v>
          </cell>
          <cell r="CD1436" t="str">
            <v xml:space="preserve">OPCOES COMPRA  </v>
          </cell>
          <cell r="CE1436" t="str">
            <v xml:space="preserve">Europeu        </v>
          </cell>
        </row>
        <row r="1437">
          <cell r="AF1437">
            <v>1432</v>
          </cell>
          <cell r="AG1437">
            <v>0.11740026981850549</v>
          </cell>
          <cell r="BY1437" t="str">
            <v>NETCE7</v>
          </cell>
          <cell r="BZ1437">
            <v>18.5</v>
          </cell>
          <cell r="CA1437" t="str">
            <v>18-05-2009</v>
          </cell>
          <cell r="CB1437" t="str">
            <v xml:space="preserve">NETC        </v>
          </cell>
          <cell r="CC1437" t="str">
            <v>PN      N2</v>
          </cell>
          <cell r="CD1437" t="str">
            <v xml:space="preserve">OPCOES COMPRA  </v>
          </cell>
          <cell r="CE1437" t="str">
            <v xml:space="preserve">Europeu        </v>
          </cell>
        </row>
        <row r="1438">
          <cell r="AF1438">
            <v>1433</v>
          </cell>
          <cell r="AG1438">
            <v>0.11740467229505946</v>
          </cell>
          <cell r="BY1438" t="str">
            <v>NETCO1</v>
          </cell>
          <cell r="BZ1438">
            <v>12.49</v>
          </cell>
          <cell r="CA1438" t="str">
            <v>16-03-2009</v>
          </cell>
          <cell r="CB1438" t="str">
            <v xml:space="preserve">NETC        </v>
          </cell>
          <cell r="CC1438" t="str">
            <v>PN      N2</v>
          </cell>
          <cell r="CD1438" t="str">
            <v xml:space="preserve">OPCOES VENDA   </v>
          </cell>
          <cell r="CE1438" t="str">
            <v xml:space="preserve">Europeu        </v>
          </cell>
        </row>
        <row r="1439">
          <cell r="AF1439">
            <v>1434</v>
          </cell>
          <cell r="AG1439">
            <v>0.11740906864878786</v>
          </cell>
          <cell r="BY1439" t="str">
            <v>NETCO2</v>
          </cell>
          <cell r="BZ1439">
            <v>13.49</v>
          </cell>
          <cell r="CA1439" t="str">
            <v>16-03-2009</v>
          </cell>
          <cell r="CB1439" t="str">
            <v xml:space="preserve">NETC        </v>
          </cell>
          <cell r="CC1439" t="str">
            <v>PN      N2</v>
          </cell>
          <cell r="CD1439" t="str">
            <v xml:space="preserve">OPCOES VENDA   </v>
          </cell>
          <cell r="CE1439" t="str">
            <v xml:space="preserve">Europeu        </v>
          </cell>
        </row>
        <row r="1440">
          <cell r="AF1440">
            <v>1435</v>
          </cell>
          <cell r="AG1440">
            <v>0.11741345889245491</v>
          </cell>
          <cell r="BY1440" t="str">
            <v>NETCO3</v>
          </cell>
          <cell r="BZ1440">
            <v>14.5</v>
          </cell>
          <cell r="CA1440" t="str">
            <v>16-03-2009</v>
          </cell>
          <cell r="CB1440" t="str">
            <v xml:space="preserve">NETC        </v>
          </cell>
          <cell r="CC1440" t="str">
            <v>PN      N2</v>
          </cell>
          <cell r="CD1440" t="str">
            <v xml:space="preserve">OPCOES VENDA   </v>
          </cell>
          <cell r="CE1440" t="str">
            <v xml:space="preserve">Europeu        </v>
          </cell>
        </row>
        <row r="1441">
          <cell r="AF1441">
            <v>1436</v>
          </cell>
          <cell r="AG1441">
            <v>0.11741784303878977</v>
          </cell>
          <cell r="BY1441" t="str">
            <v>NETCO4</v>
          </cell>
          <cell r="BZ1441">
            <v>15.5</v>
          </cell>
          <cell r="CA1441" t="str">
            <v>16-03-2009</v>
          </cell>
          <cell r="CB1441" t="str">
            <v xml:space="preserve">NETC        </v>
          </cell>
          <cell r="CC1441" t="str">
            <v>PN      N2</v>
          </cell>
          <cell r="CD1441" t="str">
            <v xml:space="preserve">OPCOES VENDA   </v>
          </cell>
          <cell r="CE1441" t="str">
            <v xml:space="preserve">Europeu        </v>
          </cell>
        </row>
        <row r="1442">
          <cell r="AF1442">
            <v>1437</v>
          </cell>
          <cell r="AG1442">
            <v>0.11742222110048539</v>
          </cell>
          <cell r="BY1442" t="str">
            <v>NETCO5</v>
          </cell>
          <cell r="BZ1442">
            <v>16.489999999999998</v>
          </cell>
          <cell r="CA1442" t="str">
            <v>16-03-2009</v>
          </cell>
          <cell r="CB1442" t="str">
            <v xml:space="preserve">NETC        </v>
          </cell>
          <cell r="CC1442" t="str">
            <v>PN      N2</v>
          </cell>
          <cell r="CD1442" t="str">
            <v xml:space="preserve">OPCOES VENDA   </v>
          </cell>
          <cell r="CE1442" t="str">
            <v xml:space="preserve">Europeu        </v>
          </cell>
        </row>
        <row r="1443">
          <cell r="AF1443">
            <v>1438</v>
          </cell>
          <cell r="AG1443">
            <v>0.11742659309020054</v>
          </cell>
          <cell r="BY1443" t="str">
            <v>NETCO6</v>
          </cell>
          <cell r="BZ1443">
            <v>17.489999999999998</v>
          </cell>
          <cell r="CA1443" t="str">
            <v>16-03-2009</v>
          </cell>
          <cell r="CB1443" t="str">
            <v xml:space="preserve">NETC        </v>
          </cell>
          <cell r="CC1443" t="str">
            <v>PN      N2</v>
          </cell>
          <cell r="CD1443" t="str">
            <v xml:space="preserve">OPCOES VENDA   </v>
          </cell>
          <cell r="CE1443" t="str">
            <v xml:space="preserve">Europeu        </v>
          </cell>
        </row>
        <row r="1444">
          <cell r="AF1444">
            <v>1439</v>
          </cell>
          <cell r="AG1444">
            <v>0.11743095902055756</v>
          </cell>
          <cell r="BY1444" t="str">
            <v>NETCO7</v>
          </cell>
          <cell r="BZ1444">
            <v>18.5</v>
          </cell>
          <cell r="CA1444" t="str">
            <v>16-03-2009</v>
          </cell>
          <cell r="CB1444" t="str">
            <v xml:space="preserve">NETC        </v>
          </cell>
          <cell r="CC1444" t="str">
            <v>PN      N2</v>
          </cell>
          <cell r="CD1444" t="str">
            <v xml:space="preserve">OPCOES VENDA   </v>
          </cell>
          <cell r="CE1444" t="str">
            <v xml:space="preserve">Europeu        </v>
          </cell>
        </row>
        <row r="1445">
          <cell r="AF1445">
            <v>1440</v>
          </cell>
          <cell r="AG1445">
            <v>0.11743531890414571</v>
          </cell>
          <cell r="BY1445" t="str">
            <v>NETCO8</v>
          </cell>
          <cell r="BZ1445">
            <v>19.5</v>
          </cell>
          <cell r="CA1445" t="str">
            <v>16-03-2009</v>
          </cell>
          <cell r="CB1445" t="str">
            <v xml:space="preserve">NETC        </v>
          </cell>
          <cell r="CC1445" t="str">
            <v>PN      N2</v>
          </cell>
          <cell r="CD1445" t="str">
            <v xml:space="preserve">OPCOES VENDA   </v>
          </cell>
          <cell r="CE1445" t="str">
            <v xml:space="preserve">Europeu        </v>
          </cell>
        </row>
        <row r="1446">
          <cell r="AF1446">
            <v>1441</v>
          </cell>
          <cell r="AG1446">
            <v>0.11743967275351763</v>
          </cell>
          <cell r="BY1446" t="str">
            <v>NETCO9</v>
          </cell>
          <cell r="BZ1446">
            <v>20.49</v>
          </cell>
          <cell r="CA1446" t="str">
            <v>16-03-2009</v>
          </cell>
          <cell r="CB1446" t="str">
            <v xml:space="preserve">NETC        </v>
          </cell>
          <cell r="CC1446" t="str">
            <v>PN      N2</v>
          </cell>
          <cell r="CD1446" t="str">
            <v xml:space="preserve">OPCOES VENDA   </v>
          </cell>
          <cell r="CE1446" t="str">
            <v xml:space="preserve">Europeu        </v>
          </cell>
        </row>
        <row r="1447">
          <cell r="AF1447">
            <v>1442</v>
          </cell>
          <cell r="AG1447">
            <v>0.11744402058119174</v>
          </cell>
          <cell r="BY1447" t="str">
            <v>NETCP1</v>
          </cell>
          <cell r="BZ1447">
            <v>12.5</v>
          </cell>
          <cell r="CA1447" t="str">
            <v>20-04-2009</v>
          </cell>
          <cell r="CB1447" t="str">
            <v xml:space="preserve">NETC        </v>
          </cell>
          <cell r="CC1447" t="str">
            <v>PN      N2</v>
          </cell>
          <cell r="CD1447" t="str">
            <v xml:space="preserve">OPCOES VENDA   </v>
          </cell>
          <cell r="CE1447" t="str">
            <v xml:space="preserve">Europeu        </v>
          </cell>
        </row>
        <row r="1448">
          <cell r="AF1448">
            <v>1443</v>
          </cell>
          <cell r="AG1448">
            <v>0.11744836239965251</v>
          </cell>
          <cell r="BY1448" t="str">
            <v>NETCP2</v>
          </cell>
          <cell r="BZ1448">
            <v>13.5</v>
          </cell>
          <cell r="CA1448" t="str">
            <v>20-04-2009</v>
          </cell>
          <cell r="CB1448" t="str">
            <v xml:space="preserve">NETC        </v>
          </cell>
          <cell r="CC1448" t="str">
            <v>PN      N2</v>
          </cell>
          <cell r="CD1448" t="str">
            <v xml:space="preserve">OPCOES VENDA   </v>
          </cell>
          <cell r="CE1448" t="str">
            <v xml:space="preserve">Europeu        </v>
          </cell>
        </row>
        <row r="1449">
          <cell r="AF1449">
            <v>1444</v>
          </cell>
          <cell r="AG1449">
            <v>0.11745269822134974</v>
          </cell>
          <cell r="BY1449" t="str">
            <v>NETCP3</v>
          </cell>
          <cell r="BZ1449">
            <v>14.5</v>
          </cell>
          <cell r="CA1449" t="str">
            <v>20-04-2009</v>
          </cell>
          <cell r="CB1449" t="str">
            <v xml:space="preserve">NETC        </v>
          </cell>
          <cell r="CC1449" t="str">
            <v>PN      N2</v>
          </cell>
          <cell r="CD1449" t="str">
            <v xml:space="preserve">OPCOES VENDA   </v>
          </cell>
          <cell r="CE1449" t="str">
            <v xml:space="preserve">Europeu        </v>
          </cell>
        </row>
        <row r="1450">
          <cell r="AF1450">
            <v>1445</v>
          </cell>
          <cell r="AG1450">
            <v>0.11745702805869795</v>
          </cell>
          <cell r="BY1450" t="str">
            <v>NETCP4</v>
          </cell>
          <cell r="BZ1450">
            <v>15.5</v>
          </cell>
          <cell r="CA1450" t="str">
            <v>20-04-2009</v>
          </cell>
          <cell r="CB1450" t="str">
            <v xml:space="preserve">NETC        </v>
          </cell>
          <cell r="CC1450" t="str">
            <v>PN      N2</v>
          </cell>
          <cell r="CD1450" t="str">
            <v xml:space="preserve">OPCOES VENDA   </v>
          </cell>
          <cell r="CE1450" t="str">
            <v xml:space="preserve">Europeu        </v>
          </cell>
        </row>
        <row r="1451">
          <cell r="AF1451">
            <v>1446</v>
          </cell>
          <cell r="AG1451">
            <v>0.11746135192407836</v>
          </cell>
          <cell r="BY1451" t="str">
            <v>NETCP5</v>
          </cell>
          <cell r="BZ1451">
            <v>16.5</v>
          </cell>
          <cell r="CA1451" t="str">
            <v>20-04-2009</v>
          </cell>
          <cell r="CB1451" t="str">
            <v xml:space="preserve">NETC        </v>
          </cell>
          <cell r="CC1451" t="str">
            <v>PN      N2</v>
          </cell>
          <cell r="CD1451" t="str">
            <v xml:space="preserve">OPCOES VENDA   </v>
          </cell>
          <cell r="CE1451" t="str">
            <v xml:space="preserve">Europeu        </v>
          </cell>
        </row>
        <row r="1452">
          <cell r="AF1452">
            <v>1447</v>
          </cell>
          <cell r="AG1452">
            <v>0.11746566982983775</v>
          </cell>
          <cell r="BY1452" t="str">
            <v>NETCP6</v>
          </cell>
          <cell r="BZ1452">
            <v>17.5</v>
          </cell>
          <cell r="CA1452" t="str">
            <v>20-04-2009</v>
          </cell>
          <cell r="CB1452" t="str">
            <v xml:space="preserve">NETC        </v>
          </cell>
          <cell r="CC1452" t="str">
            <v>PN      N2</v>
          </cell>
          <cell r="CD1452" t="str">
            <v xml:space="preserve">OPCOES VENDA   </v>
          </cell>
          <cell r="CE1452" t="str">
            <v xml:space="preserve">Europeu        </v>
          </cell>
        </row>
        <row r="1453">
          <cell r="AF1453">
            <v>1448</v>
          </cell>
          <cell r="AG1453">
            <v>0.11746998178828871</v>
          </cell>
          <cell r="BY1453" t="str">
            <v>NETCP7</v>
          </cell>
          <cell r="BZ1453">
            <v>18.5</v>
          </cell>
          <cell r="CA1453" t="str">
            <v>20-04-2009</v>
          </cell>
          <cell r="CB1453" t="str">
            <v xml:space="preserve">NETC        </v>
          </cell>
          <cell r="CC1453" t="str">
            <v>PN      N2</v>
          </cell>
          <cell r="CD1453" t="str">
            <v xml:space="preserve">OPCOES VENDA   </v>
          </cell>
          <cell r="CE1453" t="str">
            <v xml:space="preserve">Europeu        </v>
          </cell>
        </row>
        <row r="1454">
          <cell r="AF1454">
            <v>1449</v>
          </cell>
          <cell r="AG1454">
            <v>0.11747428781171054</v>
          </cell>
          <cell r="BY1454" t="str">
            <v>NETCQ1</v>
          </cell>
          <cell r="BZ1454">
            <v>12.5</v>
          </cell>
          <cell r="CA1454" t="str">
            <v>18-05-2009</v>
          </cell>
          <cell r="CB1454" t="str">
            <v xml:space="preserve">NETC        </v>
          </cell>
          <cell r="CC1454" t="str">
            <v>PN      N2</v>
          </cell>
          <cell r="CD1454" t="str">
            <v xml:space="preserve">OPCOES VENDA   </v>
          </cell>
          <cell r="CE1454" t="str">
            <v xml:space="preserve">Europeu        </v>
          </cell>
        </row>
        <row r="1455">
          <cell r="AF1455">
            <v>1450</v>
          </cell>
          <cell r="AG1455">
            <v>0.11747858791234811</v>
          </cell>
          <cell r="BY1455" t="str">
            <v>NETCQ2</v>
          </cell>
          <cell r="BZ1455">
            <v>13.5</v>
          </cell>
          <cell r="CA1455" t="str">
            <v>18-05-2009</v>
          </cell>
          <cell r="CB1455" t="str">
            <v xml:space="preserve">NETC        </v>
          </cell>
          <cell r="CC1455" t="str">
            <v>PN      N2</v>
          </cell>
          <cell r="CD1455" t="str">
            <v xml:space="preserve">OPCOES VENDA   </v>
          </cell>
          <cell r="CE1455" t="str">
            <v xml:space="preserve">Europeu        </v>
          </cell>
        </row>
        <row r="1456">
          <cell r="AF1456">
            <v>1451</v>
          </cell>
          <cell r="AG1456">
            <v>0.11748288210241253</v>
          </cell>
          <cell r="BY1456" t="str">
            <v>NETCQ3</v>
          </cell>
          <cell r="BZ1456">
            <v>14.5</v>
          </cell>
          <cell r="CA1456" t="str">
            <v>18-05-2009</v>
          </cell>
          <cell r="CB1456" t="str">
            <v xml:space="preserve">NETC        </v>
          </cell>
          <cell r="CC1456" t="str">
            <v>PN      N2</v>
          </cell>
          <cell r="CD1456" t="str">
            <v xml:space="preserve">OPCOES VENDA   </v>
          </cell>
          <cell r="CE1456" t="str">
            <v xml:space="preserve">Europeu        </v>
          </cell>
        </row>
        <row r="1457">
          <cell r="AF1457">
            <v>1452</v>
          </cell>
          <cell r="AG1457">
            <v>0.1174871703940823</v>
          </cell>
          <cell r="BY1457" t="str">
            <v>NETCQ4</v>
          </cell>
          <cell r="BZ1457">
            <v>15.5</v>
          </cell>
          <cell r="CA1457" t="str">
            <v>18-05-2009</v>
          </cell>
          <cell r="CB1457" t="str">
            <v xml:space="preserve">NETC        </v>
          </cell>
          <cell r="CC1457" t="str">
            <v>PN      N2</v>
          </cell>
          <cell r="CD1457" t="str">
            <v xml:space="preserve">OPCOES VENDA   </v>
          </cell>
          <cell r="CE1457" t="str">
            <v xml:space="preserve">Europeu        </v>
          </cell>
        </row>
        <row r="1458">
          <cell r="AF1458">
            <v>1453</v>
          </cell>
          <cell r="AG1458">
            <v>0.11749145279950146</v>
          </cell>
          <cell r="BY1458" t="str">
            <v>NETCQ5</v>
          </cell>
          <cell r="BZ1458">
            <v>16.5</v>
          </cell>
          <cell r="CA1458" t="str">
            <v>18-05-2009</v>
          </cell>
          <cell r="CB1458" t="str">
            <v xml:space="preserve">NETC        </v>
          </cell>
          <cell r="CC1458" t="str">
            <v>PN      N2</v>
          </cell>
          <cell r="CD1458" t="str">
            <v xml:space="preserve">OPCOES VENDA   </v>
          </cell>
          <cell r="CE1458" t="str">
            <v xml:space="preserve">Europeu        </v>
          </cell>
        </row>
        <row r="1459">
          <cell r="AF1459">
            <v>1454</v>
          </cell>
          <cell r="AG1459">
            <v>0.11749572933078145</v>
          </cell>
          <cell r="BY1459" t="str">
            <v>NETCQ6</v>
          </cell>
          <cell r="BZ1459">
            <v>17.5</v>
          </cell>
          <cell r="CA1459" t="str">
            <v>18-05-2009</v>
          </cell>
          <cell r="CB1459" t="str">
            <v xml:space="preserve">NETC        </v>
          </cell>
          <cell r="CC1459" t="str">
            <v>PN      N2</v>
          </cell>
          <cell r="CD1459" t="str">
            <v xml:space="preserve">OPCOES VENDA   </v>
          </cell>
          <cell r="CE1459" t="str">
            <v xml:space="preserve">Europeu        </v>
          </cell>
        </row>
        <row r="1460">
          <cell r="AF1460">
            <v>1455</v>
          </cell>
          <cell r="AG1460">
            <v>0.11749999999999994</v>
          </cell>
          <cell r="BY1460" t="str">
            <v>NETCQ7</v>
          </cell>
          <cell r="BZ1460">
            <v>18.5</v>
          </cell>
          <cell r="CA1460" t="str">
            <v>18-05-2009</v>
          </cell>
          <cell r="CB1460" t="str">
            <v xml:space="preserve">NETC        </v>
          </cell>
          <cell r="CC1460" t="str">
            <v>PN      N2</v>
          </cell>
          <cell r="CD1460" t="str">
            <v xml:space="preserve">OPCOES VENDA   </v>
          </cell>
          <cell r="CE1460" t="str">
            <v xml:space="preserve">Europeu        </v>
          </cell>
        </row>
        <row r="1461">
          <cell r="AF1461">
            <v>1456</v>
          </cell>
          <cell r="AG1461">
            <v>0.11750399358980057</v>
          </cell>
          <cell r="BY1461" t="str">
            <v>POMOF1</v>
          </cell>
          <cell r="BZ1461">
            <v>5.79</v>
          </cell>
          <cell r="CA1461" t="str">
            <v>15-06-2009</v>
          </cell>
          <cell r="CB1461" t="str">
            <v xml:space="preserve">POMO        </v>
          </cell>
          <cell r="CC1461" t="str">
            <v>PN      N2</v>
          </cell>
          <cell r="CD1461" t="str">
            <v xml:space="preserve">OPCOES COMPRA  </v>
          </cell>
          <cell r="CE1461" t="str">
            <v xml:space="preserve">Americano      </v>
          </cell>
        </row>
        <row r="1462">
          <cell r="AF1462">
            <v>1457</v>
          </cell>
          <cell r="AG1462">
            <v>0.11750798171190802</v>
          </cell>
          <cell r="BY1462" t="str">
            <v>POMOR1</v>
          </cell>
          <cell r="BZ1462">
            <v>5.79</v>
          </cell>
          <cell r="CA1462" t="str">
            <v>15-06-2009</v>
          </cell>
          <cell r="CB1462" t="str">
            <v xml:space="preserve">POMO        </v>
          </cell>
          <cell r="CC1462" t="str">
            <v>PN      N2</v>
          </cell>
          <cell r="CD1462" t="str">
            <v xml:space="preserve">OPCOES VENDA   </v>
          </cell>
          <cell r="CE1462" t="str">
            <v xml:space="preserve">Europeu        </v>
          </cell>
        </row>
        <row r="1463">
          <cell r="AF1463">
            <v>1458</v>
          </cell>
          <cell r="AG1463">
            <v>0.11751196437754419</v>
          </cell>
          <cell r="BY1463" t="str">
            <v>TAMMC1</v>
          </cell>
          <cell r="BZ1463">
            <v>17.5</v>
          </cell>
          <cell r="CA1463" t="str">
            <v>16-03-2009</v>
          </cell>
          <cell r="CB1463" t="str">
            <v xml:space="preserve">TAMM        </v>
          </cell>
          <cell r="CC1463" t="str">
            <v>PN      N2</v>
          </cell>
          <cell r="CD1463" t="str">
            <v xml:space="preserve">OPCOES COMPRA  </v>
          </cell>
          <cell r="CE1463" t="str">
            <v xml:space="preserve">Europeu        </v>
          </cell>
        </row>
        <row r="1464">
          <cell r="AF1464">
            <v>1459</v>
          </cell>
          <cell r="AG1464">
            <v>0.1175159415978988</v>
          </cell>
          <cell r="BY1464" t="str">
            <v>TAMMC18</v>
          </cell>
          <cell r="BZ1464">
            <v>18</v>
          </cell>
          <cell r="CA1464" t="str">
            <v>16-03-2009</v>
          </cell>
          <cell r="CB1464" t="str">
            <v xml:space="preserve">TAMM        </v>
          </cell>
          <cell r="CC1464" t="str">
            <v>PN      N2</v>
          </cell>
          <cell r="CD1464" t="str">
            <v xml:space="preserve">OPCOES COMPRA  </v>
          </cell>
          <cell r="CE1464" t="str">
            <v xml:space="preserve">Americano      </v>
          </cell>
        </row>
        <row r="1465">
          <cell r="AF1465">
            <v>1460</v>
          </cell>
          <cell r="AG1465">
            <v>0.1175199133841327</v>
          </cell>
          <cell r="BY1465" t="str">
            <v>TAMMO1</v>
          </cell>
          <cell r="BZ1465">
            <v>17.5</v>
          </cell>
          <cell r="CA1465" t="str">
            <v>16-03-2009</v>
          </cell>
          <cell r="CB1465" t="str">
            <v xml:space="preserve">TAMM        </v>
          </cell>
          <cell r="CC1465" t="str">
            <v>PN      N2</v>
          </cell>
          <cell r="CD1465" t="str">
            <v xml:space="preserve">OPCOES VENDA   </v>
          </cell>
          <cell r="CE1465" t="str">
            <v xml:space="preserve">Europeu        </v>
          </cell>
        </row>
        <row r="1466">
          <cell r="AF1466">
            <v>1461</v>
          </cell>
          <cell r="AG1466">
            <v>0.11752387974737455</v>
          </cell>
          <cell r="BY1466" t="str">
            <v>TAMMO18</v>
          </cell>
          <cell r="BZ1466">
            <v>18</v>
          </cell>
          <cell r="CA1466" t="str">
            <v>16-03-2009</v>
          </cell>
          <cell r="CB1466" t="str">
            <v xml:space="preserve">TAMM        </v>
          </cell>
          <cell r="CC1466" t="str">
            <v>PN      N2</v>
          </cell>
          <cell r="CD1466" t="str">
            <v xml:space="preserve">OPCOES VENDA   </v>
          </cell>
          <cell r="CE1466" t="str">
            <v xml:space="preserve">Europeu        </v>
          </cell>
        </row>
        <row r="1467">
          <cell r="AF1467">
            <v>1462</v>
          </cell>
          <cell r="AG1467">
            <v>0.11752784069872391</v>
          </cell>
          <cell r="BY1467" t="str">
            <v>UOLLL11</v>
          </cell>
          <cell r="BZ1467">
            <v>11</v>
          </cell>
          <cell r="CA1467" t="str">
            <v>21-12-2009</v>
          </cell>
          <cell r="CB1467" t="str">
            <v xml:space="preserve">UOLL        </v>
          </cell>
          <cell r="CC1467" t="str">
            <v>PN      N2</v>
          </cell>
          <cell r="CD1467" t="str">
            <v xml:space="preserve">OPCOES COMPRA  </v>
          </cell>
          <cell r="CE1467" t="str">
            <v xml:space="preserve">Americano      </v>
          </cell>
        </row>
        <row r="1468">
          <cell r="AF1468">
            <v>1463</v>
          </cell>
          <cell r="AG1468">
            <v>0.11753179624924903</v>
          </cell>
          <cell r="BY1468" t="str">
            <v>UOLLX11</v>
          </cell>
          <cell r="BZ1468">
            <v>11</v>
          </cell>
          <cell r="CA1468" t="str">
            <v>21-12-2009</v>
          </cell>
          <cell r="CB1468" t="str">
            <v xml:space="preserve">UOLL        </v>
          </cell>
          <cell r="CC1468" t="str">
            <v>PN      N2</v>
          </cell>
          <cell r="CD1468" t="str">
            <v xml:space="preserve">OPCOES VENDA   </v>
          </cell>
          <cell r="CE1468" t="str">
            <v xml:space="preserve">Europeu        </v>
          </cell>
        </row>
        <row r="1469">
          <cell r="AF1469">
            <v>1464</v>
          </cell>
          <cell r="AG1469">
            <v>0.11753574640998887</v>
          </cell>
          <cell r="BY1469" t="str">
            <v>CGASF1</v>
          </cell>
          <cell r="BZ1469">
            <v>48</v>
          </cell>
          <cell r="CA1469" t="str">
            <v>15-06-2009</v>
          </cell>
          <cell r="CB1469" t="str">
            <v xml:space="preserve">CGAS        </v>
          </cell>
          <cell r="CC1469" t="str">
            <v xml:space="preserve">PNA       </v>
          </cell>
          <cell r="CD1469" t="str">
            <v xml:space="preserve">OPCOES COMPRA  </v>
          </cell>
          <cell r="CE1469" t="str">
            <v xml:space="preserve">Americano      </v>
          </cell>
        </row>
        <row r="1470">
          <cell r="AF1470">
            <v>1465</v>
          </cell>
          <cell r="AG1470">
            <v>0.11753969119195218</v>
          </cell>
          <cell r="BY1470" t="str">
            <v>CGASR1</v>
          </cell>
          <cell r="BZ1470">
            <v>48</v>
          </cell>
          <cell r="CA1470" t="str">
            <v>15-06-2009</v>
          </cell>
          <cell r="CB1470" t="str">
            <v xml:space="preserve">CGAS        </v>
          </cell>
          <cell r="CC1470" t="str">
            <v xml:space="preserve">PNA       </v>
          </cell>
          <cell r="CD1470" t="str">
            <v xml:space="preserve">OPCOES VENDA   </v>
          </cell>
          <cell r="CE1470" t="str">
            <v xml:space="preserve">Europeu        </v>
          </cell>
        </row>
        <row r="1471">
          <cell r="AF1471">
            <v>1466</v>
          </cell>
          <cell r="AG1471">
            <v>0.11754363060611683</v>
          </cell>
          <cell r="BY1471" t="str">
            <v>USIMC23</v>
          </cell>
          <cell r="BZ1471">
            <v>23</v>
          </cell>
          <cell r="CA1471" t="str">
            <v>16-03-2009</v>
          </cell>
          <cell r="CB1471" t="str">
            <v xml:space="preserve">USIM    /ED </v>
          </cell>
          <cell r="CC1471" t="str">
            <v>PNA     N1</v>
          </cell>
          <cell r="CD1471" t="str">
            <v xml:space="preserve">OPCOES COMPRA  </v>
          </cell>
          <cell r="CE1471" t="str">
            <v xml:space="preserve">Europeu        </v>
          </cell>
        </row>
        <row r="1472">
          <cell r="AF1472">
            <v>1467</v>
          </cell>
          <cell r="AG1472">
            <v>0.1175475646634323</v>
          </cell>
          <cell r="BY1472" t="str">
            <v>USIMC24</v>
          </cell>
          <cell r="BZ1472">
            <v>24</v>
          </cell>
          <cell r="CA1472" t="str">
            <v>16-03-2009</v>
          </cell>
          <cell r="CB1472" t="str">
            <v xml:space="preserve">USIM    /ED </v>
          </cell>
          <cell r="CC1472" t="str">
            <v>PNA     N1</v>
          </cell>
          <cell r="CD1472" t="str">
            <v xml:space="preserve">OPCOES COMPRA  </v>
          </cell>
          <cell r="CE1472" t="str">
            <v xml:space="preserve">Americano      </v>
          </cell>
        </row>
        <row r="1473">
          <cell r="AF1473">
            <v>1468</v>
          </cell>
          <cell r="AG1473">
            <v>0.11755149337481718</v>
          </cell>
          <cell r="BY1473" t="str">
            <v>USIMC26</v>
          </cell>
          <cell r="BZ1473">
            <v>25.5</v>
          </cell>
          <cell r="CA1473" t="str">
            <v>16-03-2009</v>
          </cell>
          <cell r="CB1473" t="str">
            <v xml:space="preserve">USIM    /ED </v>
          </cell>
          <cell r="CC1473" t="str">
            <v>PNA     N1</v>
          </cell>
          <cell r="CD1473" t="str">
            <v xml:space="preserve">OPCOES COMPRA  </v>
          </cell>
          <cell r="CE1473" t="str">
            <v xml:space="preserve">Americano      </v>
          </cell>
        </row>
        <row r="1474">
          <cell r="AF1474">
            <v>1469</v>
          </cell>
          <cell r="AG1474">
            <v>0.11755541675116121</v>
          </cell>
          <cell r="BY1474" t="str">
            <v>USIMC5</v>
          </cell>
          <cell r="BZ1474">
            <v>27</v>
          </cell>
          <cell r="CA1474" t="str">
            <v>16-03-2009</v>
          </cell>
          <cell r="CB1474" t="str">
            <v xml:space="preserve">USIM    /ED </v>
          </cell>
          <cell r="CC1474" t="str">
            <v>PNA     N1</v>
          </cell>
          <cell r="CD1474" t="str">
            <v xml:space="preserve">OPCOES COMPRA  </v>
          </cell>
          <cell r="CE1474" t="str">
            <v xml:space="preserve">Europeu        </v>
          </cell>
        </row>
        <row r="1475">
          <cell r="AF1475">
            <v>1470</v>
          </cell>
          <cell r="AG1475">
            <v>0.11755933480332392</v>
          </cell>
          <cell r="BY1475" t="str">
            <v>USIMC28</v>
          </cell>
          <cell r="BZ1475">
            <v>27.5</v>
          </cell>
          <cell r="CA1475" t="str">
            <v>16-03-2009</v>
          </cell>
          <cell r="CB1475" t="str">
            <v xml:space="preserve">USIM    /ED </v>
          </cell>
          <cell r="CC1475" t="str">
            <v>PNA     N1</v>
          </cell>
          <cell r="CD1475" t="str">
            <v xml:space="preserve">OPCOES COMPRA  </v>
          </cell>
          <cell r="CE1475" t="str">
            <v xml:space="preserve">Americano      </v>
          </cell>
        </row>
        <row r="1476">
          <cell r="AF1476">
            <v>1471</v>
          </cell>
          <cell r="AG1476">
            <v>0.11756324754213554</v>
          </cell>
          <cell r="BY1476" t="str">
            <v>USIMC4</v>
          </cell>
          <cell r="BZ1476">
            <v>28</v>
          </cell>
          <cell r="CA1476" t="str">
            <v>16-03-2009</v>
          </cell>
          <cell r="CB1476" t="str">
            <v xml:space="preserve">USIM    /ED </v>
          </cell>
          <cell r="CC1476" t="str">
            <v>PNA     N1</v>
          </cell>
          <cell r="CD1476" t="str">
            <v xml:space="preserve">OPCOES COMPRA  </v>
          </cell>
          <cell r="CE1476" t="str">
            <v xml:space="preserve">Europeu        </v>
          </cell>
        </row>
        <row r="1477">
          <cell r="AF1477">
            <v>1472</v>
          </cell>
          <cell r="AG1477">
            <v>0.11756715497839698</v>
          </cell>
          <cell r="BY1477" t="str">
            <v>USIMC29</v>
          </cell>
          <cell r="BZ1477">
            <v>28.5</v>
          </cell>
          <cell r="CA1477" t="str">
            <v>16-03-2009</v>
          </cell>
          <cell r="CB1477" t="str">
            <v xml:space="preserve">USIM    /ED </v>
          </cell>
          <cell r="CC1477" t="str">
            <v>PNA     N1</v>
          </cell>
          <cell r="CD1477" t="str">
            <v xml:space="preserve">OPCOES COMPRA  </v>
          </cell>
          <cell r="CE1477" t="str">
            <v xml:space="preserve">Europeu        </v>
          </cell>
        </row>
        <row r="1478">
          <cell r="AF1478">
            <v>1473</v>
          </cell>
          <cell r="AG1478">
            <v>0.11757105712287985</v>
          </cell>
          <cell r="BY1478" t="str">
            <v>USIMC30</v>
          </cell>
          <cell r="BZ1478">
            <v>29.5</v>
          </cell>
          <cell r="CA1478" t="str">
            <v>16-03-2009</v>
          </cell>
          <cell r="CB1478" t="str">
            <v xml:space="preserve">USIM    /ED </v>
          </cell>
          <cell r="CC1478" t="str">
            <v>PNA     N1</v>
          </cell>
          <cell r="CD1478" t="str">
            <v xml:space="preserve">OPCOES COMPRA  </v>
          </cell>
          <cell r="CE1478" t="str">
            <v xml:space="preserve">Americano      </v>
          </cell>
        </row>
        <row r="1479">
          <cell r="AF1479">
            <v>1474</v>
          </cell>
          <cell r="AG1479">
            <v>0.11757495398632734</v>
          </cell>
          <cell r="BY1479" t="str">
            <v>USIMC31</v>
          </cell>
          <cell r="BZ1479">
            <v>30.5</v>
          </cell>
          <cell r="CA1479" t="str">
            <v>16-03-2009</v>
          </cell>
          <cell r="CB1479" t="str">
            <v xml:space="preserve">USIM    /ED </v>
          </cell>
          <cell r="CC1479" t="str">
            <v>PNA     N1</v>
          </cell>
          <cell r="CD1479" t="str">
            <v xml:space="preserve">OPCOES COMPRA  </v>
          </cell>
          <cell r="CE1479" t="str">
            <v xml:space="preserve">Europeu        </v>
          </cell>
        </row>
        <row r="1480">
          <cell r="AF1480">
            <v>1475</v>
          </cell>
          <cell r="AG1480">
            <v>0.11757884557945264</v>
          </cell>
          <cell r="BY1480" t="str">
            <v>USIMC32</v>
          </cell>
          <cell r="BZ1480">
            <v>31.5</v>
          </cell>
          <cell r="CA1480" t="str">
            <v>16-03-2009</v>
          </cell>
          <cell r="CB1480" t="str">
            <v xml:space="preserve">USIM    /ED </v>
          </cell>
          <cell r="CC1480" t="str">
            <v>PNA     N1</v>
          </cell>
          <cell r="CD1480" t="str">
            <v xml:space="preserve">OPCOES COMPRA  </v>
          </cell>
          <cell r="CE1480" t="str">
            <v xml:space="preserve">Americano      </v>
          </cell>
        </row>
        <row r="1481">
          <cell r="AF1481">
            <v>1476</v>
          </cell>
          <cell r="AG1481">
            <v>0.11758273191294011</v>
          </cell>
          <cell r="BY1481" t="str">
            <v>USIMC1</v>
          </cell>
          <cell r="BZ1481">
            <v>32</v>
          </cell>
          <cell r="CA1481" t="str">
            <v>16-03-2009</v>
          </cell>
          <cell r="CB1481" t="str">
            <v xml:space="preserve">USIM    /ED </v>
          </cell>
          <cell r="CC1481" t="str">
            <v>PNA     N1</v>
          </cell>
          <cell r="CD1481" t="str">
            <v xml:space="preserve">OPCOES COMPRA  </v>
          </cell>
          <cell r="CE1481" t="str">
            <v xml:space="preserve">Europeu        </v>
          </cell>
        </row>
        <row r="1482">
          <cell r="AF1482">
            <v>1477</v>
          </cell>
          <cell r="AG1482">
            <v>0.11758661299744522</v>
          </cell>
          <cell r="BY1482" t="str">
            <v>USIMC2</v>
          </cell>
          <cell r="BZ1482">
            <v>33</v>
          </cell>
          <cell r="CA1482" t="str">
            <v>16-03-2009</v>
          </cell>
          <cell r="CB1482" t="str">
            <v xml:space="preserve">USIM    /ED </v>
          </cell>
          <cell r="CC1482" t="str">
            <v>PNA     N1</v>
          </cell>
          <cell r="CD1482" t="str">
            <v xml:space="preserve">OPCOES COMPRA  </v>
          </cell>
          <cell r="CE1482" t="str">
            <v xml:space="preserve">Europeu        </v>
          </cell>
        </row>
        <row r="1483">
          <cell r="AF1483">
            <v>1478</v>
          </cell>
          <cell r="AG1483">
            <v>0.11759048884359546</v>
          </cell>
          <cell r="BY1483" t="str">
            <v>USIMC34</v>
          </cell>
          <cell r="BZ1483">
            <v>33.5</v>
          </cell>
          <cell r="CA1483" t="str">
            <v>16-03-2009</v>
          </cell>
          <cell r="CB1483" t="str">
            <v xml:space="preserve">USIM    /ED </v>
          </cell>
          <cell r="CC1483" t="str">
            <v>PNA     N1</v>
          </cell>
          <cell r="CD1483" t="str">
            <v xml:space="preserve">OPCOES COMPRA  </v>
          </cell>
          <cell r="CE1483" t="str">
            <v xml:space="preserve">Americano      </v>
          </cell>
        </row>
        <row r="1484">
          <cell r="AF1484">
            <v>1479</v>
          </cell>
          <cell r="AG1484">
            <v>0.11759435946198882</v>
          </cell>
          <cell r="BY1484" t="str">
            <v>USIMC3</v>
          </cell>
          <cell r="BZ1484">
            <v>34</v>
          </cell>
          <cell r="CA1484" t="str">
            <v>16-03-2009</v>
          </cell>
          <cell r="CB1484" t="str">
            <v xml:space="preserve">USIM    /ED </v>
          </cell>
          <cell r="CC1484" t="str">
            <v>PNA     N1</v>
          </cell>
          <cell r="CD1484" t="str">
            <v xml:space="preserve">OPCOES COMPRA  </v>
          </cell>
          <cell r="CE1484" t="str">
            <v xml:space="preserve">Europeu        </v>
          </cell>
        </row>
        <row r="1485">
          <cell r="AF1485">
            <v>1480</v>
          </cell>
          <cell r="AG1485">
            <v>0.11759822486319482</v>
          </cell>
          <cell r="BY1485" t="str">
            <v>USIMC36</v>
          </cell>
          <cell r="BZ1485">
            <v>35.5</v>
          </cell>
          <cell r="CA1485" t="str">
            <v>16-03-2009</v>
          </cell>
          <cell r="CB1485" t="str">
            <v xml:space="preserve">USIM    /ED </v>
          </cell>
          <cell r="CC1485" t="str">
            <v>PNA     N1</v>
          </cell>
          <cell r="CD1485" t="str">
            <v xml:space="preserve">OPCOES COMPRA  </v>
          </cell>
          <cell r="CE1485" t="str">
            <v xml:space="preserve">Americano      </v>
          </cell>
        </row>
        <row r="1486">
          <cell r="AF1486">
            <v>1481</v>
          </cell>
          <cell r="AG1486">
            <v>0.11760208505775527</v>
          </cell>
          <cell r="BY1486" t="str">
            <v>USIMD2</v>
          </cell>
          <cell r="BZ1486">
            <v>22.5</v>
          </cell>
          <cell r="CA1486" t="str">
            <v>20-04-2009</v>
          </cell>
          <cell r="CB1486" t="str">
            <v xml:space="preserve">USIM    /ED </v>
          </cell>
          <cell r="CC1486" t="str">
            <v>PNA     N1</v>
          </cell>
          <cell r="CD1486" t="str">
            <v xml:space="preserve">OPCOES COMPRA  </v>
          </cell>
          <cell r="CE1486" t="str">
            <v xml:space="preserve">Europeu        </v>
          </cell>
        </row>
        <row r="1487">
          <cell r="AF1487">
            <v>1482</v>
          </cell>
          <cell r="AG1487">
            <v>0.11760594005618175</v>
          </cell>
          <cell r="BY1487" t="str">
            <v>USIMD24</v>
          </cell>
          <cell r="BZ1487">
            <v>24</v>
          </cell>
          <cell r="CA1487" t="str">
            <v>20-04-2009</v>
          </cell>
          <cell r="CB1487" t="str">
            <v xml:space="preserve">USIM    /ED </v>
          </cell>
          <cell r="CC1487" t="str">
            <v>PNA     N1</v>
          </cell>
          <cell r="CD1487" t="str">
            <v xml:space="preserve">OPCOES COMPRA  </v>
          </cell>
          <cell r="CE1487" t="str">
            <v xml:space="preserve">Americano      </v>
          </cell>
        </row>
        <row r="1488">
          <cell r="AF1488">
            <v>1483</v>
          </cell>
          <cell r="AG1488">
            <v>0.11760978986896009</v>
          </cell>
          <cell r="BY1488" t="str">
            <v>USIMD25</v>
          </cell>
          <cell r="BZ1488">
            <v>24.5</v>
          </cell>
          <cell r="CA1488" t="str">
            <v>20-04-2009</v>
          </cell>
          <cell r="CB1488" t="str">
            <v xml:space="preserve">USIM    /ED </v>
          </cell>
          <cell r="CC1488" t="str">
            <v>PNA     N1</v>
          </cell>
          <cell r="CD1488" t="str">
            <v xml:space="preserve">OPCOES COMPRA  </v>
          </cell>
          <cell r="CE1488" t="str">
            <v xml:space="preserve">Europeu        </v>
          </cell>
        </row>
        <row r="1489">
          <cell r="AF1489">
            <v>1484</v>
          </cell>
          <cell r="AG1489">
            <v>0.11761363450654616</v>
          </cell>
          <cell r="BY1489" t="str">
            <v>USIMD26</v>
          </cell>
          <cell r="BZ1489">
            <v>26</v>
          </cell>
          <cell r="CA1489" t="str">
            <v>20-04-2009</v>
          </cell>
          <cell r="CB1489" t="str">
            <v xml:space="preserve">USIM    /ED </v>
          </cell>
          <cell r="CC1489" t="str">
            <v>PNA     N1</v>
          </cell>
          <cell r="CD1489" t="str">
            <v xml:space="preserve">OPCOES COMPRA  </v>
          </cell>
          <cell r="CE1489" t="str">
            <v xml:space="preserve">Americano      </v>
          </cell>
        </row>
        <row r="1490">
          <cell r="AF1490">
            <v>1485</v>
          </cell>
          <cell r="AG1490">
            <v>0.11761747397936828</v>
          </cell>
          <cell r="BY1490" t="str">
            <v>USIMD27</v>
          </cell>
          <cell r="BZ1490">
            <v>27</v>
          </cell>
          <cell r="CA1490" t="str">
            <v>20-04-2009</v>
          </cell>
          <cell r="CB1490" t="str">
            <v xml:space="preserve">USIM    /ED </v>
          </cell>
          <cell r="CC1490" t="str">
            <v>PNA     N1</v>
          </cell>
          <cell r="CD1490" t="str">
            <v xml:space="preserve">OPCOES COMPRA  </v>
          </cell>
          <cell r="CE1490" t="str">
            <v xml:space="preserve">Europeu        </v>
          </cell>
        </row>
        <row r="1491">
          <cell r="AF1491">
            <v>1486</v>
          </cell>
          <cell r="AG1491">
            <v>0.11762130829782658</v>
          </cell>
          <cell r="BY1491" t="str">
            <v>USIMD28</v>
          </cell>
          <cell r="BZ1491">
            <v>27.5</v>
          </cell>
          <cell r="CA1491" t="str">
            <v>20-04-2009</v>
          </cell>
          <cell r="CB1491" t="str">
            <v xml:space="preserve">USIM    /ED </v>
          </cell>
          <cell r="CC1491" t="str">
            <v>PNA     N1</v>
          </cell>
          <cell r="CD1491" t="str">
            <v xml:space="preserve">OPCOES COMPRA  </v>
          </cell>
          <cell r="CE1491" t="str">
            <v xml:space="preserve">Americano      </v>
          </cell>
        </row>
        <row r="1492">
          <cell r="AF1492">
            <v>1487</v>
          </cell>
          <cell r="AG1492">
            <v>0.11762513747229297</v>
          </cell>
          <cell r="BY1492" t="str">
            <v>USIMD29</v>
          </cell>
          <cell r="BZ1492">
            <v>29</v>
          </cell>
          <cell r="CA1492" t="str">
            <v>20-04-2009</v>
          </cell>
          <cell r="CB1492" t="str">
            <v xml:space="preserve">USIM    /ED </v>
          </cell>
          <cell r="CC1492" t="str">
            <v>PNA     N1</v>
          </cell>
          <cell r="CD1492" t="str">
            <v xml:space="preserve">OPCOES COMPRA  </v>
          </cell>
          <cell r="CE1492" t="str">
            <v xml:space="preserve">Europeu        </v>
          </cell>
        </row>
        <row r="1493">
          <cell r="AF1493">
            <v>1488</v>
          </cell>
          <cell r="AG1493">
            <v>0.11762896151311297</v>
          </cell>
          <cell r="BY1493" t="str">
            <v>USIMD30</v>
          </cell>
          <cell r="BZ1493">
            <v>29.5</v>
          </cell>
          <cell r="CA1493" t="str">
            <v>20-04-2009</v>
          </cell>
          <cell r="CB1493" t="str">
            <v xml:space="preserve">USIM    /ED </v>
          </cell>
          <cell r="CC1493" t="str">
            <v>PNA     N1</v>
          </cell>
          <cell r="CD1493" t="str">
            <v xml:space="preserve">OPCOES COMPRA  </v>
          </cell>
          <cell r="CE1493" t="str">
            <v xml:space="preserve">Americano      </v>
          </cell>
        </row>
        <row r="1494">
          <cell r="AF1494">
            <v>1489</v>
          </cell>
          <cell r="AG1494">
            <v>0.11763278043060277</v>
          </cell>
          <cell r="BY1494" t="str">
            <v>USIMD1</v>
          </cell>
          <cell r="BZ1494">
            <v>30</v>
          </cell>
          <cell r="CA1494" t="str">
            <v>20-04-2009</v>
          </cell>
          <cell r="CB1494" t="str">
            <v xml:space="preserve">USIM    /ED </v>
          </cell>
          <cell r="CC1494" t="str">
            <v>PNA     N1</v>
          </cell>
          <cell r="CD1494" t="str">
            <v xml:space="preserve">OPCOES COMPRA  </v>
          </cell>
          <cell r="CE1494" t="str">
            <v xml:space="preserve">Europeu        </v>
          </cell>
        </row>
        <row r="1495">
          <cell r="AF1495">
            <v>1490</v>
          </cell>
          <cell r="AG1495">
            <v>0.11763659423505191</v>
          </cell>
          <cell r="BY1495" t="str">
            <v>USIMD31</v>
          </cell>
          <cell r="BZ1495">
            <v>31</v>
          </cell>
          <cell r="CA1495" t="str">
            <v>20-04-2009</v>
          </cell>
          <cell r="CB1495" t="str">
            <v xml:space="preserve">USIM    /ED </v>
          </cell>
          <cell r="CC1495" t="str">
            <v>PNA     N1</v>
          </cell>
          <cell r="CD1495" t="str">
            <v xml:space="preserve">OPCOES COMPRA  </v>
          </cell>
          <cell r="CE1495" t="str">
            <v xml:space="preserve">Europeu        </v>
          </cell>
        </row>
        <row r="1496">
          <cell r="AF1496">
            <v>1491</v>
          </cell>
          <cell r="AG1496">
            <v>0.11764040293672196</v>
          </cell>
          <cell r="BY1496" t="str">
            <v>USIMD32</v>
          </cell>
          <cell r="BZ1496">
            <v>31.5</v>
          </cell>
          <cell r="CA1496" t="str">
            <v>20-04-2009</v>
          </cell>
          <cell r="CB1496" t="str">
            <v xml:space="preserve">USIM    /ED </v>
          </cell>
          <cell r="CC1496" t="str">
            <v>PNA     N1</v>
          </cell>
          <cell r="CD1496" t="str">
            <v xml:space="preserve">OPCOES COMPRA  </v>
          </cell>
          <cell r="CE1496" t="str">
            <v xml:space="preserve">Americano      </v>
          </cell>
        </row>
        <row r="1497">
          <cell r="AF1497">
            <v>1492</v>
          </cell>
          <cell r="AG1497">
            <v>0.11764420654584673</v>
          </cell>
          <cell r="BY1497" t="str">
            <v>USIMD33</v>
          </cell>
          <cell r="BZ1497">
            <v>33</v>
          </cell>
          <cell r="CA1497" t="str">
            <v>20-04-2009</v>
          </cell>
          <cell r="CB1497" t="str">
            <v xml:space="preserve">USIM    /ED </v>
          </cell>
          <cell r="CC1497" t="str">
            <v>PNA     N1</v>
          </cell>
          <cell r="CD1497" t="str">
            <v xml:space="preserve">OPCOES COMPRA  </v>
          </cell>
          <cell r="CE1497" t="str">
            <v xml:space="preserve">Europeu        </v>
          </cell>
        </row>
        <row r="1498">
          <cell r="AF1498">
            <v>1493</v>
          </cell>
          <cell r="AG1498">
            <v>0.11764800507263362</v>
          </cell>
          <cell r="BY1498" t="str">
            <v>USIMD34</v>
          </cell>
          <cell r="BZ1498">
            <v>33.5</v>
          </cell>
          <cell r="CA1498" t="str">
            <v>20-04-2009</v>
          </cell>
          <cell r="CB1498" t="str">
            <v xml:space="preserve">USIM    /ED </v>
          </cell>
          <cell r="CC1498" t="str">
            <v>PNA     N1</v>
          </cell>
          <cell r="CD1498" t="str">
            <v xml:space="preserve">OPCOES COMPRA  </v>
          </cell>
          <cell r="CE1498" t="str">
            <v xml:space="preserve">Americano      </v>
          </cell>
        </row>
        <row r="1499">
          <cell r="AF1499">
            <v>1494</v>
          </cell>
          <cell r="AG1499">
            <v>0.11765179852726226</v>
          </cell>
          <cell r="BY1499" t="str">
            <v>USIMD35</v>
          </cell>
          <cell r="BZ1499">
            <v>35</v>
          </cell>
          <cell r="CA1499" t="str">
            <v>20-04-2009</v>
          </cell>
          <cell r="CB1499" t="str">
            <v xml:space="preserve">USIM    /ED </v>
          </cell>
          <cell r="CC1499" t="str">
            <v>PNA     N1</v>
          </cell>
          <cell r="CD1499" t="str">
            <v xml:space="preserve">OPCOES COMPRA  </v>
          </cell>
          <cell r="CE1499" t="str">
            <v xml:space="preserve">Europeu        </v>
          </cell>
        </row>
        <row r="1500">
          <cell r="AF1500">
            <v>1495</v>
          </cell>
          <cell r="AG1500">
            <v>0.11765558691988431</v>
          </cell>
          <cell r="BY1500" t="str">
            <v>USIMD36</v>
          </cell>
          <cell r="BZ1500">
            <v>36</v>
          </cell>
          <cell r="CA1500" t="str">
            <v>20-04-2009</v>
          </cell>
          <cell r="CB1500" t="str">
            <v xml:space="preserve">USIM    /ED </v>
          </cell>
          <cell r="CC1500" t="str">
            <v>PNA     N1</v>
          </cell>
          <cell r="CD1500" t="str">
            <v xml:space="preserve">OPCOES COMPRA  </v>
          </cell>
          <cell r="CE1500" t="str">
            <v xml:space="preserve">Americano      </v>
          </cell>
        </row>
        <row r="1501">
          <cell r="BY1501" t="str">
            <v>USIMD98</v>
          </cell>
          <cell r="BZ1501">
            <v>66.17</v>
          </cell>
          <cell r="CA1501" t="str">
            <v>20-04-2009</v>
          </cell>
          <cell r="CB1501" t="str">
            <v xml:space="preserve">USIM    /ED </v>
          </cell>
          <cell r="CC1501" t="str">
            <v>PNA     N1</v>
          </cell>
          <cell r="CD1501" t="str">
            <v xml:space="preserve">OPCOES COMPRA  </v>
          </cell>
          <cell r="CE1501" t="str">
            <v xml:space="preserve">Europeu        </v>
          </cell>
        </row>
        <row r="1502">
          <cell r="BY1502" t="str">
            <v>USIMD99</v>
          </cell>
          <cell r="BZ1502">
            <v>72.83</v>
          </cell>
          <cell r="CA1502" t="str">
            <v>20-04-2009</v>
          </cell>
          <cell r="CB1502" t="str">
            <v xml:space="preserve">USIM    /ED </v>
          </cell>
          <cell r="CC1502" t="str">
            <v>PNA     N1</v>
          </cell>
          <cell r="CD1502" t="str">
            <v xml:space="preserve">OPCOES COMPRA  </v>
          </cell>
          <cell r="CE1502" t="str">
            <v xml:space="preserve">Europeu        </v>
          </cell>
        </row>
        <row r="1503">
          <cell r="BY1503" t="str">
            <v>USIME24</v>
          </cell>
          <cell r="BZ1503">
            <v>24</v>
          </cell>
          <cell r="CA1503" t="str">
            <v>18-05-2009</v>
          </cell>
          <cell r="CB1503" t="str">
            <v xml:space="preserve">USIM    /ED </v>
          </cell>
          <cell r="CC1503" t="str">
            <v>PNA     N1</v>
          </cell>
          <cell r="CD1503" t="str">
            <v xml:space="preserve">OPCOES COMPRA  </v>
          </cell>
          <cell r="CE1503" t="str">
            <v xml:space="preserve">Americano      </v>
          </cell>
        </row>
        <row r="1504">
          <cell r="BY1504" t="str">
            <v>USIME26</v>
          </cell>
          <cell r="BZ1504">
            <v>26</v>
          </cell>
          <cell r="CA1504" t="str">
            <v>18-05-2009</v>
          </cell>
          <cell r="CB1504" t="str">
            <v xml:space="preserve">USIM    /ED </v>
          </cell>
          <cell r="CC1504" t="str">
            <v>PNA     N1</v>
          </cell>
          <cell r="CD1504" t="str">
            <v xml:space="preserve">OPCOES COMPRA  </v>
          </cell>
          <cell r="CE1504" t="str">
            <v xml:space="preserve">Americano      </v>
          </cell>
        </row>
        <row r="1505">
          <cell r="BY1505" t="str">
            <v>USIME28</v>
          </cell>
          <cell r="BZ1505">
            <v>28</v>
          </cell>
          <cell r="CA1505" t="str">
            <v>18-05-2009</v>
          </cell>
          <cell r="CB1505" t="str">
            <v xml:space="preserve">USIM    /ED </v>
          </cell>
          <cell r="CC1505" t="str">
            <v>PNA     N1</v>
          </cell>
          <cell r="CD1505" t="str">
            <v xml:space="preserve">OPCOES COMPRA  </v>
          </cell>
          <cell r="CE1505" t="str">
            <v xml:space="preserve">Americano      </v>
          </cell>
        </row>
        <row r="1506">
          <cell r="BY1506" t="str">
            <v>USIME30</v>
          </cell>
          <cell r="BZ1506">
            <v>30</v>
          </cell>
          <cell r="CA1506" t="str">
            <v>18-05-2009</v>
          </cell>
          <cell r="CB1506" t="str">
            <v xml:space="preserve">USIM    /ED </v>
          </cell>
          <cell r="CC1506" t="str">
            <v>PNA     N1</v>
          </cell>
          <cell r="CD1506" t="str">
            <v xml:space="preserve">OPCOES COMPRA  </v>
          </cell>
          <cell r="CE1506" t="str">
            <v xml:space="preserve">Americano      </v>
          </cell>
        </row>
        <row r="1507">
          <cell r="BY1507" t="str">
            <v>USIME32</v>
          </cell>
          <cell r="BZ1507">
            <v>32</v>
          </cell>
          <cell r="CA1507" t="str">
            <v>18-05-2009</v>
          </cell>
          <cell r="CB1507" t="str">
            <v xml:space="preserve">USIM    /ED </v>
          </cell>
          <cell r="CC1507" t="str">
            <v>PNA     N1</v>
          </cell>
          <cell r="CD1507" t="str">
            <v xml:space="preserve">OPCOES COMPRA  </v>
          </cell>
          <cell r="CE1507" t="str">
            <v xml:space="preserve">Americano      </v>
          </cell>
        </row>
        <row r="1508">
          <cell r="BY1508" t="str">
            <v>USIMF98</v>
          </cell>
          <cell r="BZ1508">
            <v>74.5</v>
          </cell>
          <cell r="CA1508" t="str">
            <v>15-06-2009</v>
          </cell>
          <cell r="CB1508" t="str">
            <v xml:space="preserve">USIM    /ED </v>
          </cell>
          <cell r="CC1508" t="str">
            <v>PNA     N1</v>
          </cell>
          <cell r="CD1508" t="str">
            <v xml:space="preserve">OPCOES COMPRA  </v>
          </cell>
          <cell r="CE1508" t="str">
            <v xml:space="preserve">Europeu        </v>
          </cell>
        </row>
        <row r="1509">
          <cell r="BY1509" t="str">
            <v>USIMF99</v>
          </cell>
          <cell r="BZ1509">
            <v>84.5</v>
          </cell>
          <cell r="CA1509" t="str">
            <v>15-06-2009</v>
          </cell>
          <cell r="CB1509" t="str">
            <v xml:space="preserve">USIM    /ED </v>
          </cell>
          <cell r="CC1509" t="str">
            <v>PNA     N1</v>
          </cell>
          <cell r="CD1509" t="str">
            <v xml:space="preserve">OPCOES COMPRA  </v>
          </cell>
          <cell r="CE1509" t="str">
            <v xml:space="preserve">Europeu        </v>
          </cell>
        </row>
        <row r="1510">
          <cell r="BY1510" t="str">
            <v>USIMO23</v>
          </cell>
          <cell r="BZ1510">
            <v>22.5</v>
          </cell>
          <cell r="CA1510" t="str">
            <v>16-03-2009</v>
          </cell>
          <cell r="CB1510" t="str">
            <v xml:space="preserve">USIM    /ED </v>
          </cell>
          <cell r="CC1510" t="str">
            <v>PNA     N1</v>
          </cell>
          <cell r="CD1510" t="str">
            <v xml:space="preserve">OPCOES VENDA   </v>
          </cell>
          <cell r="CE1510" t="str">
            <v xml:space="preserve">Europeu        </v>
          </cell>
        </row>
        <row r="1511">
          <cell r="BY1511" t="str">
            <v>USIMO24</v>
          </cell>
          <cell r="BZ1511">
            <v>23.5</v>
          </cell>
          <cell r="CA1511" t="str">
            <v>16-03-2009</v>
          </cell>
          <cell r="CB1511" t="str">
            <v xml:space="preserve">USIM    /ED </v>
          </cell>
          <cell r="CC1511" t="str">
            <v>PNA     N1</v>
          </cell>
          <cell r="CD1511" t="str">
            <v xml:space="preserve">OPCOES VENDA   </v>
          </cell>
          <cell r="CE1511" t="str">
            <v xml:space="preserve">Europeu        </v>
          </cell>
        </row>
        <row r="1512">
          <cell r="BY1512" t="str">
            <v>USIMO26</v>
          </cell>
          <cell r="BZ1512">
            <v>25.5</v>
          </cell>
          <cell r="CA1512" t="str">
            <v>16-03-2009</v>
          </cell>
          <cell r="CB1512" t="str">
            <v xml:space="preserve">USIM    /ED </v>
          </cell>
          <cell r="CC1512" t="str">
            <v>PNA     N1</v>
          </cell>
          <cell r="CD1512" t="str">
            <v xml:space="preserve">OPCOES VENDA   </v>
          </cell>
          <cell r="CE1512" t="str">
            <v xml:space="preserve">Europeu        </v>
          </cell>
        </row>
        <row r="1513">
          <cell r="BY1513" t="str">
            <v>USIMO27</v>
          </cell>
          <cell r="BZ1513">
            <v>27</v>
          </cell>
          <cell r="CA1513" t="str">
            <v>16-03-2009</v>
          </cell>
          <cell r="CB1513" t="str">
            <v xml:space="preserve">USIM    /ED </v>
          </cell>
          <cell r="CC1513" t="str">
            <v>PNA     N1</v>
          </cell>
          <cell r="CD1513" t="str">
            <v xml:space="preserve">OPCOES VENDA   </v>
          </cell>
          <cell r="CE1513" t="str">
            <v xml:space="preserve">Europeu        </v>
          </cell>
        </row>
        <row r="1514">
          <cell r="BY1514" t="str">
            <v>USIMO28</v>
          </cell>
          <cell r="BZ1514">
            <v>27.5</v>
          </cell>
          <cell r="CA1514" t="str">
            <v>16-03-2009</v>
          </cell>
          <cell r="CB1514" t="str">
            <v xml:space="preserve">USIM    /ED </v>
          </cell>
          <cell r="CC1514" t="str">
            <v>PNA     N1</v>
          </cell>
          <cell r="CD1514" t="str">
            <v xml:space="preserve">OPCOES VENDA   </v>
          </cell>
          <cell r="CE1514" t="str">
            <v xml:space="preserve">Europeu        </v>
          </cell>
        </row>
        <row r="1515">
          <cell r="BY1515" t="str">
            <v>USIMO4</v>
          </cell>
          <cell r="BZ1515">
            <v>28.5</v>
          </cell>
          <cell r="CA1515" t="str">
            <v>16-03-2009</v>
          </cell>
          <cell r="CB1515" t="str">
            <v xml:space="preserve">USIM    /ED </v>
          </cell>
          <cell r="CC1515" t="str">
            <v>PNA     N1</v>
          </cell>
          <cell r="CD1515" t="str">
            <v xml:space="preserve">OPCOES VENDA   </v>
          </cell>
          <cell r="CE1515" t="str">
            <v xml:space="preserve">Europeu        </v>
          </cell>
        </row>
        <row r="1516">
          <cell r="BY1516" t="str">
            <v>USIMO29</v>
          </cell>
          <cell r="BZ1516">
            <v>29</v>
          </cell>
          <cell r="CA1516" t="str">
            <v>16-03-2009</v>
          </cell>
          <cell r="CB1516" t="str">
            <v xml:space="preserve">USIM    /ED </v>
          </cell>
          <cell r="CC1516" t="str">
            <v>PNA     N1</v>
          </cell>
          <cell r="CD1516" t="str">
            <v xml:space="preserve">OPCOES VENDA   </v>
          </cell>
          <cell r="CE1516" t="str">
            <v xml:space="preserve">Europeu        </v>
          </cell>
        </row>
        <row r="1517">
          <cell r="BY1517" t="str">
            <v>USIMO30</v>
          </cell>
          <cell r="BZ1517">
            <v>29.5</v>
          </cell>
          <cell r="CA1517" t="str">
            <v>16-03-2009</v>
          </cell>
          <cell r="CB1517" t="str">
            <v xml:space="preserve">USIM    /ED </v>
          </cell>
          <cell r="CC1517" t="str">
            <v>PNA     N1</v>
          </cell>
          <cell r="CD1517" t="str">
            <v xml:space="preserve">OPCOES VENDA   </v>
          </cell>
          <cell r="CE1517" t="str">
            <v xml:space="preserve">Europeu        </v>
          </cell>
        </row>
        <row r="1518">
          <cell r="BY1518" t="str">
            <v>USIMO31</v>
          </cell>
          <cell r="BZ1518">
            <v>31</v>
          </cell>
          <cell r="CA1518" t="str">
            <v>16-03-2009</v>
          </cell>
          <cell r="CB1518" t="str">
            <v xml:space="preserve">USIM    /ED </v>
          </cell>
          <cell r="CC1518" t="str">
            <v>PNA     N1</v>
          </cell>
          <cell r="CD1518" t="str">
            <v xml:space="preserve">OPCOES VENDA   </v>
          </cell>
          <cell r="CE1518" t="str">
            <v xml:space="preserve">Europeu        </v>
          </cell>
        </row>
        <row r="1519">
          <cell r="BY1519" t="str">
            <v>USIMO32</v>
          </cell>
          <cell r="BZ1519">
            <v>32</v>
          </cell>
          <cell r="CA1519" t="str">
            <v>16-03-2009</v>
          </cell>
          <cell r="CB1519" t="str">
            <v xml:space="preserve">USIM    /ED </v>
          </cell>
          <cell r="CC1519" t="str">
            <v>PNA     N1</v>
          </cell>
          <cell r="CD1519" t="str">
            <v xml:space="preserve">OPCOES VENDA   </v>
          </cell>
          <cell r="CE1519" t="str">
            <v xml:space="preserve">Europeu        </v>
          </cell>
        </row>
        <row r="1520">
          <cell r="BY1520" t="str">
            <v>USIMO1</v>
          </cell>
          <cell r="BZ1520">
            <v>32.5</v>
          </cell>
          <cell r="CA1520" t="str">
            <v>16-03-2009</v>
          </cell>
          <cell r="CB1520" t="str">
            <v xml:space="preserve">USIM    /ED </v>
          </cell>
          <cell r="CC1520" t="str">
            <v>PNA     N1</v>
          </cell>
          <cell r="CD1520" t="str">
            <v xml:space="preserve">OPCOES VENDA   </v>
          </cell>
          <cell r="CE1520" t="str">
            <v xml:space="preserve">Europeu        </v>
          </cell>
        </row>
        <row r="1521">
          <cell r="BY1521" t="str">
            <v>USIMO2</v>
          </cell>
          <cell r="BZ1521">
            <v>33.5</v>
          </cell>
          <cell r="CA1521" t="str">
            <v>16-03-2009</v>
          </cell>
          <cell r="CB1521" t="str">
            <v xml:space="preserve">USIM    /ED </v>
          </cell>
          <cell r="CC1521" t="str">
            <v>PNA     N1</v>
          </cell>
          <cell r="CD1521" t="str">
            <v xml:space="preserve">OPCOES VENDA   </v>
          </cell>
          <cell r="CE1521" t="str">
            <v xml:space="preserve">Europeu        </v>
          </cell>
        </row>
        <row r="1522">
          <cell r="BY1522" t="str">
            <v>USIMO34</v>
          </cell>
          <cell r="BZ1522">
            <v>34</v>
          </cell>
          <cell r="CA1522" t="str">
            <v>16-03-2009</v>
          </cell>
          <cell r="CB1522" t="str">
            <v xml:space="preserve">USIM    /ED </v>
          </cell>
          <cell r="CC1522" t="str">
            <v>PNA     N1</v>
          </cell>
          <cell r="CD1522" t="str">
            <v xml:space="preserve">OPCOES VENDA   </v>
          </cell>
          <cell r="CE1522" t="str">
            <v xml:space="preserve">Europeu        </v>
          </cell>
        </row>
        <row r="1523">
          <cell r="BY1523" t="str">
            <v>USIMO3</v>
          </cell>
          <cell r="BZ1523">
            <v>34.5</v>
          </cell>
          <cell r="CA1523" t="str">
            <v>16-03-2009</v>
          </cell>
          <cell r="CB1523" t="str">
            <v xml:space="preserve">USIM    /ED </v>
          </cell>
          <cell r="CC1523" t="str">
            <v>PNA     N1</v>
          </cell>
          <cell r="CD1523" t="str">
            <v xml:space="preserve">OPCOES VENDA   </v>
          </cell>
          <cell r="CE1523" t="str">
            <v xml:space="preserve">Europeu        </v>
          </cell>
        </row>
        <row r="1524">
          <cell r="BY1524" t="str">
            <v>USIMO36</v>
          </cell>
          <cell r="BZ1524">
            <v>36</v>
          </cell>
          <cell r="CA1524" t="str">
            <v>16-03-2009</v>
          </cell>
          <cell r="CB1524" t="str">
            <v xml:space="preserve">USIM    /ED </v>
          </cell>
          <cell r="CC1524" t="str">
            <v>PNA     N1</v>
          </cell>
          <cell r="CD1524" t="str">
            <v xml:space="preserve">OPCOES VENDA   </v>
          </cell>
          <cell r="CE1524" t="str">
            <v xml:space="preserve">Europeu        </v>
          </cell>
        </row>
        <row r="1525">
          <cell r="BY1525" t="str">
            <v>USIMP2</v>
          </cell>
          <cell r="BZ1525">
            <v>22</v>
          </cell>
          <cell r="CA1525" t="str">
            <v>20-04-2009</v>
          </cell>
          <cell r="CB1525" t="str">
            <v xml:space="preserve">USIM    /ED </v>
          </cell>
          <cell r="CC1525" t="str">
            <v>PNA     N1</v>
          </cell>
          <cell r="CD1525" t="str">
            <v xml:space="preserve">OPCOES VENDA   </v>
          </cell>
          <cell r="CE1525" t="str">
            <v xml:space="preserve">Europeu        </v>
          </cell>
        </row>
        <row r="1526">
          <cell r="BY1526" t="str">
            <v>USIMP24</v>
          </cell>
          <cell r="BZ1526">
            <v>23.5</v>
          </cell>
          <cell r="CA1526" t="str">
            <v>20-04-2009</v>
          </cell>
          <cell r="CB1526" t="str">
            <v xml:space="preserve">USIM    /ED </v>
          </cell>
          <cell r="CC1526" t="str">
            <v>PNA     N1</v>
          </cell>
          <cell r="CD1526" t="str">
            <v xml:space="preserve">OPCOES VENDA   </v>
          </cell>
          <cell r="CE1526" t="str">
            <v xml:space="preserve">Europeu        </v>
          </cell>
        </row>
        <row r="1527">
          <cell r="BY1527" t="str">
            <v>USIMP25</v>
          </cell>
          <cell r="BZ1527">
            <v>24.5</v>
          </cell>
          <cell r="CA1527" t="str">
            <v>20-04-2009</v>
          </cell>
          <cell r="CB1527" t="str">
            <v xml:space="preserve">USIM    /ED </v>
          </cell>
          <cell r="CC1527" t="str">
            <v>PNA     N1</v>
          </cell>
          <cell r="CD1527" t="str">
            <v xml:space="preserve">OPCOES VENDA   </v>
          </cell>
          <cell r="CE1527" t="str">
            <v xml:space="preserve">Europeu        </v>
          </cell>
        </row>
        <row r="1528">
          <cell r="BY1528" t="str">
            <v>USIMP26</v>
          </cell>
          <cell r="BZ1528">
            <v>26</v>
          </cell>
          <cell r="CA1528" t="str">
            <v>20-04-2009</v>
          </cell>
          <cell r="CB1528" t="str">
            <v xml:space="preserve">USIM    /ED </v>
          </cell>
          <cell r="CC1528" t="str">
            <v>PNA     N1</v>
          </cell>
          <cell r="CD1528" t="str">
            <v xml:space="preserve">OPCOES VENDA   </v>
          </cell>
          <cell r="CE1528" t="str">
            <v xml:space="preserve">Europeu        </v>
          </cell>
        </row>
        <row r="1529">
          <cell r="BY1529" t="str">
            <v>USIMP27</v>
          </cell>
          <cell r="BZ1529">
            <v>27</v>
          </cell>
          <cell r="CA1529" t="str">
            <v>20-04-2009</v>
          </cell>
          <cell r="CB1529" t="str">
            <v xml:space="preserve">USIM    /ED </v>
          </cell>
          <cell r="CC1529" t="str">
            <v>PNA     N1</v>
          </cell>
          <cell r="CD1529" t="str">
            <v xml:space="preserve">OPCOES VENDA   </v>
          </cell>
          <cell r="CE1529" t="str">
            <v xml:space="preserve">Europeu        </v>
          </cell>
        </row>
        <row r="1530">
          <cell r="BY1530" t="str">
            <v>USIMP28</v>
          </cell>
          <cell r="BZ1530">
            <v>28</v>
          </cell>
          <cell r="CA1530" t="str">
            <v>20-04-2009</v>
          </cell>
          <cell r="CB1530" t="str">
            <v xml:space="preserve">USIM    /ED </v>
          </cell>
          <cell r="CC1530" t="str">
            <v>PNA     N1</v>
          </cell>
          <cell r="CD1530" t="str">
            <v xml:space="preserve">OPCOES VENDA   </v>
          </cell>
          <cell r="CE1530" t="str">
            <v xml:space="preserve">Europeu        </v>
          </cell>
        </row>
        <row r="1531">
          <cell r="BY1531" t="str">
            <v>USIMP29</v>
          </cell>
          <cell r="BZ1531">
            <v>29</v>
          </cell>
          <cell r="CA1531" t="str">
            <v>20-04-2009</v>
          </cell>
          <cell r="CB1531" t="str">
            <v xml:space="preserve">USIM    /ED </v>
          </cell>
          <cell r="CC1531" t="str">
            <v>PNA     N1</v>
          </cell>
          <cell r="CD1531" t="str">
            <v xml:space="preserve">OPCOES VENDA   </v>
          </cell>
          <cell r="CE1531" t="str">
            <v xml:space="preserve">Europeu        </v>
          </cell>
        </row>
        <row r="1532">
          <cell r="BY1532" t="str">
            <v>USIMP30</v>
          </cell>
          <cell r="BZ1532">
            <v>30</v>
          </cell>
          <cell r="CA1532" t="str">
            <v>20-04-2009</v>
          </cell>
          <cell r="CB1532" t="str">
            <v xml:space="preserve">USIM    /ED </v>
          </cell>
          <cell r="CC1532" t="str">
            <v>PNA     N1</v>
          </cell>
          <cell r="CD1532" t="str">
            <v xml:space="preserve">OPCOES VENDA   </v>
          </cell>
          <cell r="CE1532" t="str">
            <v xml:space="preserve">Europeu        </v>
          </cell>
        </row>
        <row r="1533">
          <cell r="BY1533" t="str">
            <v>USIMP1</v>
          </cell>
          <cell r="BZ1533">
            <v>30.5</v>
          </cell>
          <cell r="CA1533" t="str">
            <v>20-04-2009</v>
          </cell>
          <cell r="CB1533" t="str">
            <v xml:space="preserve">USIM    /ED </v>
          </cell>
          <cell r="CC1533" t="str">
            <v>PNA     N1</v>
          </cell>
          <cell r="CD1533" t="str">
            <v xml:space="preserve">OPCOES VENDA   </v>
          </cell>
          <cell r="CE1533" t="str">
            <v xml:space="preserve">Europeu        </v>
          </cell>
        </row>
        <row r="1534">
          <cell r="BY1534" t="str">
            <v>USIMP31</v>
          </cell>
          <cell r="BZ1534">
            <v>31</v>
          </cell>
          <cell r="CA1534" t="str">
            <v>20-04-2009</v>
          </cell>
          <cell r="CB1534" t="str">
            <v xml:space="preserve">USIM    /ED </v>
          </cell>
          <cell r="CC1534" t="str">
            <v>PNA     N1</v>
          </cell>
          <cell r="CD1534" t="str">
            <v xml:space="preserve">OPCOES VENDA   </v>
          </cell>
          <cell r="CE1534" t="str">
            <v xml:space="preserve">Europeu        </v>
          </cell>
        </row>
        <row r="1535">
          <cell r="BY1535" t="str">
            <v>USIMP32</v>
          </cell>
          <cell r="BZ1535">
            <v>32</v>
          </cell>
          <cell r="CA1535" t="str">
            <v>20-04-2009</v>
          </cell>
          <cell r="CB1535" t="str">
            <v xml:space="preserve">USIM    /ED </v>
          </cell>
          <cell r="CC1535" t="str">
            <v>PNA     N1</v>
          </cell>
          <cell r="CD1535" t="str">
            <v xml:space="preserve">OPCOES VENDA   </v>
          </cell>
          <cell r="CE1535" t="str">
            <v xml:space="preserve">Europeu        </v>
          </cell>
        </row>
        <row r="1536">
          <cell r="BY1536" t="str">
            <v>USIMP33</v>
          </cell>
          <cell r="BZ1536">
            <v>33</v>
          </cell>
          <cell r="CA1536" t="str">
            <v>20-04-2009</v>
          </cell>
          <cell r="CB1536" t="str">
            <v xml:space="preserve">USIM    /ED </v>
          </cell>
          <cell r="CC1536" t="str">
            <v>PNA     N1</v>
          </cell>
          <cell r="CD1536" t="str">
            <v xml:space="preserve">OPCOES VENDA   </v>
          </cell>
          <cell r="CE1536" t="str">
            <v xml:space="preserve">Europeu        </v>
          </cell>
        </row>
        <row r="1537">
          <cell r="BY1537" t="str">
            <v>USIMP34</v>
          </cell>
          <cell r="BZ1537">
            <v>34</v>
          </cell>
          <cell r="CA1537" t="str">
            <v>20-04-2009</v>
          </cell>
          <cell r="CB1537" t="str">
            <v xml:space="preserve">USIM    /ED </v>
          </cell>
          <cell r="CC1537" t="str">
            <v>PNA     N1</v>
          </cell>
          <cell r="CD1537" t="str">
            <v xml:space="preserve">OPCOES VENDA   </v>
          </cell>
          <cell r="CE1537" t="str">
            <v xml:space="preserve">Europeu        </v>
          </cell>
        </row>
        <row r="1538">
          <cell r="BY1538" t="str">
            <v>USIMP35</v>
          </cell>
          <cell r="BZ1538">
            <v>35</v>
          </cell>
          <cell r="CA1538" t="str">
            <v>20-04-2009</v>
          </cell>
          <cell r="CB1538" t="str">
            <v xml:space="preserve">USIM    /ED </v>
          </cell>
          <cell r="CC1538" t="str">
            <v>PNA     N1</v>
          </cell>
          <cell r="CD1538" t="str">
            <v xml:space="preserve">OPCOES VENDA   </v>
          </cell>
          <cell r="CE1538" t="str">
            <v xml:space="preserve">Europeu        </v>
          </cell>
        </row>
        <row r="1539">
          <cell r="BY1539" t="str">
            <v>USIMP36</v>
          </cell>
          <cell r="BZ1539">
            <v>36</v>
          </cell>
          <cell r="CA1539" t="str">
            <v>20-04-2009</v>
          </cell>
          <cell r="CB1539" t="str">
            <v xml:space="preserve">USIM    /ED </v>
          </cell>
          <cell r="CC1539" t="str">
            <v>PNA     N1</v>
          </cell>
          <cell r="CD1539" t="str">
            <v xml:space="preserve">OPCOES VENDA   </v>
          </cell>
          <cell r="CE1539" t="str">
            <v xml:space="preserve">Europeu        </v>
          </cell>
        </row>
        <row r="1540">
          <cell r="BY1540" t="str">
            <v>USIMP98</v>
          </cell>
          <cell r="BZ1540">
            <v>66.17</v>
          </cell>
          <cell r="CA1540" t="str">
            <v>20-04-2009</v>
          </cell>
          <cell r="CB1540" t="str">
            <v xml:space="preserve">USIM    /ED </v>
          </cell>
          <cell r="CC1540" t="str">
            <v>PNA     N1</v>
          </cell>
          <cell r="CD1540" t="str">
            <v xml:space="preserve">OPCOES VENDA   </v>
          </cell>
          <cell r="CE1540" t="str">
            <v xml:space="preserve">Europeu        </v>
          </cell>
        </row>
        <row r="1541">
          <cell r="BY1541" t="str">
            <v>USIMP99</v>
          </cell>
          <cell r="BZ1541">
            <v>72.83</v>
          </cell>
          <cell r="CA1541" t="str">
            <v>20-04-2009</v>
          </cell>
          <cell r="CB1541" t="str">
            <v xml:space="preserve">USIM    /ED </v>
          </cell>
          <cell r="CC1541" t="str">
            <v>PNA     N1</v>
          </cell>
          <cell r="CD1541" t="str">
            <v xml:space="preserve">OPCOES VENDA   </v>
          </cell>
          <cell r="CE1541" t="str">
            <v xml:space="preserve">Europeu        </v>
          </cell>
        </row>
        <row r="1542">
          <cell r="BY1542" t="str">
            <v>USIMQ24</v>
          </cell>
          <cell r="BZ1542">
            <v>24</v>
          </cell>
          <cell r="CA1542" t="str">
            <v>18-05-2009</v>
          </cell>
          <cell r="CB1542" t="str">
            <v xml:space="preserve">USIM    /ED </v>
          </cell>
          <cell r="CC1542" t="str">
            <v>PNA     N1</v>
          </cell>
          <cell r="CD1542" t="str">
            <v xml:space="preserve">OPCOES VENDA   </v>
          </cell>
          <cell r="CE1542" t="str">
            <v xml:space="preserve">Europeu        </v>
          </cell>
        </row>
        <row r="1543">
          <cell r="BY1543" t="str">
            <v>USIMQ26</v>
          </cell>
          <cell r="BZ1543">
            <v>26</v>
          </cell>
          <cell r="CA1543" t="str">
            <v>18-05-2009</v>
          </cell>
          <cell r="CB1543" t="str">
            <v xml:space="preserve">USIM    /ED </v>
          </cell>
          <cell r="CC1543" t="str">
            <v>PNA     N1</v>
          </cell>
          <cell r="CD1543" t="str">
            <v xml:space="preserve">OPCOES VENDA   </v>
          </cell>
          <cell r="CE1543" t="str">
            <v xml:space="preserve">Europeu        </v>
          </cell>
        </row>
        <row r="1544">
          <cell r="BY1544" t="str">
            <v>USIMQ28</v>
          </cell>
          <cell r="BZ1544">
            <v>28</v>
          </cell>
          <cell r="CA1544" t="str">
            <v>18-05-2009</v>
          </cell>
          <cell r="CB1544" t="str">
            <v xml:space="preserve">USIM    /ED </v>
          </cell>
          <cell r="CC1544" t="str">
            <v>PNA     N1</v>
          </cell>
          <cell r="CD1544" t="str">
            <v xml:space="preserve">OPCOES VENDA   </v>
          </cell>
          <cell r="CE1544" t="str">
            <v xml:space="preserve">Europeu        </v>
          </cell>
        </row>
        <row r="1545">
          <cell r="BY1545" t="str">
            <v>USIMQ30</v>
          </cell>
          <cell r="BZ1545">
            <v>30</v>
          </cell>
          <cell r="CA1545" t="str">
            <v>18-05-2009</v>
          </cell>
          <cell r="CB1545" t="str">
            <v xml:space="preserve">USIM    /ED </v>
          </cell>
          <cell r="CC1545" t="str">
            <v>PNA     N1</v>
          </cell>
          <cell r="CD1545" t="str">
            <v xml:space="preserve">OPCOES VENDA   </v>
          </cell>
          <cell r="CE1545" t="str">
            <v xml:space="preserve">Europeu        </v>
          </cell>
        </row>
        <row r="1546">
          <cell r="BY1546" t="str">
            <v>USIMQ32</v>
          </cell>
          <cell r="BZ1546">
            <v>32</v>
          </cell>
          <cell r="CA1546" t="str">
            <v>18-05-2009</v>
          </cell>
          <cell r="CB1546" t="str">
            <v xml:space="preserve">USIM    /ED </v>
          </cell>
          <cell r="CC1546" t="str">
            <v>PNA     N1</v>
          </cell>
          <cell r="CD1546" t="str">
            <v xml:space="preserve">OPCOES VENDA   </v>
          </cell>
          <cell r="CE1546" t="str">
            <v xml:space="preserve">Europeu        </v>
          </cell>
        </row>
        <row r="1547">
          <cell r="BY1547" t="str">
            <v>USIMR98</v>
          </cell>
          <cell r="BZ1547">
            <v>74.5</v>
          </cell>
          <cell r="CA1547" t="str">
            <v>15-06-2009</v>
          </cell>
          <cell r="CB1547" t="str">
            <v xml:space="preserve">USIM    /ED </v>
          </cell>
          <cell r="CC1547" t="str">
            <v>PNA     N1</v>
          </cell>
          <cell r="CD1547" t="str">
            <v xml:space="preserve">OPCOES VENDA   </v>
          </cell>
          <cell r="CE1547" t="str">
            <v xml:space="preserve">Europeu        </v>
          </cell>
        </row>
        <row r="1548">
          <cell r="BY1548" t="str">
            <v>USIMR99</v>
          </cell>
          <cell r="BZ1548">
            <v>84.5</v>
          </cell>
          <cell r="CA1548" t="str">
            <v>15-06-2009</v>
          </cell>
          <cell r="CB1548" t="str">
            <v xml:space="preserve">USIM    /ED </v>
          </cell>
          <cell r="CC1548" t="str">
            <v>PNA     N1</v>
          </cell>
          <cell r="CD1548" t="str">
            <v xml:space="preserve">OPCOES VENDA   </v>
          </cell>
          <cell r="CE1548" t="str">
            <v xml:space="preserve">Europeu        </v>
          </cell>
        </row>
        <row r="1549">
          <cell r="BY1549" t="str">
            <v>VALEC18</v>
          </cell>
          <cell r="BZ1549">
            <v>18</v>
          </cell>
          <cell r="CA1549" t="str">
            <v>16-03-2009</v>
          </cell>
          <cell r="CB1549" t="str">
            <v xml:space="preserve">VALE        </v>
          </cell>
          <cell r="CC1549" t="str">
            <v>PNA     N1</v>
          </cell>
          <cell r="CD1549" t="str">
            <v xml:space="preserve">OPCOES COMPRA  </v>
          </cell>
          <cell r="CE1549" t="str">
            <v xml:space="preserve">Americano      </v>
          </cell>
        </row>
        <row r="1550">
          <cell r="BY1550" t="str">
            <v>VALEC20</v>
          </cell>
          <cell r="BZ1550">
            <v>20</v>
          </cell>
          <cell r="CA1550" t="str">
            <v>16-03-2009</v>
          </cell>
          <cell r="CB1550" t="str">
            <v xml:space="preserve">VALE        </v>
          </cell>
          <cell r="CC1550" t="str">
            <v>PNA     N1</v>
          </cell>
          <cell r="CD1550" t="str">
            <v xml:space="preserve">OPCOES COMPRA  </v>
          </cell>
          <cell r="CE1550" t="str">
            <v xml:space="preserve">Americano      </v>
          </cell>
        </row>
        <row r="1551">
          <cell r="BY1551" t="str">
            <v>VALEC22</v>
          </cell>
          <cell r="BZ1551">
            <v>22</v>
          </cell>
          <cell r="CA1551" t="str">
            <v>16-03-2009</v>
          </cell>
          <cell r="CB1551" t="str">
            <v xml:space="preserve">VALE        </v>
          </cell>
          <cell r="CC1551" t="str">
            <v>PNA     N1</v>
          </cell>
          <cell r="CD1551" t="str">
            <v xml:space="preserve">OPCOES COMPRA  </v>
          </cell>
          <cell r="CE1551" t="str">
            <v xml:space="preserve">Americano      </v>
          </cell>
        </row>
        <row r="1552">
          <cell r="BY1552" t="str">
            <v>VALEC23</v>
          </cell>
          <cell r="BZ1552">
            <v>23</v>
          </cell>
          <cell r="CA1552" t="str">
            <v>16-03-2009</v>
          </cell>
          <cell r="CB1552" t="str">
            <v xml:space="preserve">VALE        </v>
          </cell>
          <cell r="CC1552" t="str">
            <v>PNA     N1</v>
          </cell>
          <cell r="CD1552" t="str">
            <v xml:space="preserve">OPCOES COMPRA  </v>
          </cell>
          <cell r="CE1552" t="str">
            <v xml:space="preserve">Europeu        </v>
          </cell>
        </row>
        <row r="1553">
          <cell r="BY1553" t="str">
            <v>VALEC24</v>
          </cell>
          <cell r="BZ1553">
            <v>24</v>
          </cell>
          <cell r="CA1553" t="str">
            <v>16-03-2009</v>
          </cell>
          <cell r="CB1553" t="str">
            <v xml:space="preserve">VALE        </v>
          </cell>
          <cell r="CC1553" t="str">
            <v>PNA     N1</v>
          </cell>
          <cell r="CD1553" t="str">
            <v xml:space="preserve">OPCOES COMPRA  </v>
          </cell>
          <cell r="CE1553" t="str">
            <v xml:space="preserve">Americano      </v>
          </cell>
        </row>
        <row r="1554">
          <cell r="BY1554" t="str">
            <v>VALEC25</v>
          </cell>
          <cell r="BZ1554">
            <v>25</v>
          </cell>
          <cell r="CA1554" t="str">
            <v>16-03-2009</v>
          </cell>
          <cell r="CB1554" t="str">
            <v xml:space="preserve">VALE        </v>
          </cell>
          <cell r="CC1554" t="str">
            <v>PNA     N1</v>
          </cell>
          <cell r="CD1554" t="str">
            <v xml:space="preserve">OPCOES COMPRA  </v>
          </cell>
          <cell r="CE1554" t="str">
            <v xml:space="preserve">Europeu        </v>
          </cell>
        </row>
        <row r="1555">
          <cell r="BY1555" t="str">
            <v>VALEC26</v>
          </cell>
          <cell r="BZ1555">
            <v>26</v>
          </cell>
          <cell r="CA1555" t="str">
            <v>16-03-2009</v>
          </cell>
          <cell r="CB1555" t="str">
            <v xml:space="preserve">VALE        </v>
          </cell>
          <cell r="CC1555" t="str">
            <v>PNA     N1</v>
          </cell>
          <cell r="CD1555" t="str">
            <v xml:space="preserve">OPCOES COMPRA  </v>
          </cell>
          <cell r="CE1555" t="str">
            <v xml:space="preserve">Americano      </v>
          </cell>
        </row>
        <row r="1556">
          <cell r="BY1556" t="str">
            <v>VALEC4</v>
          </cell>
          <cell r="BZ1556">
            <v>26.5</v>
          </cell>
          <cell r="CA1556" t="str">
            <v>16-03-2009</v>
          </cell>
          <cell r="CB1556" t="str">
            <v xml:space="preserve">VALE        </v>
          </cell>
          <cell r="CC1556" t="str">
            <v>PNA     N1</v>
          </cell>
          <cell r="CD1556" t="str">
            <v xml:space="preserve">OPCOES COMPRA  </v>
          </cell>
          <cell r="CE1556" t="str">
            <v xml:space="preserve">Europeu        </v>
          </cell>
        </row>
        <row r="1557">
          <cell r="BY1557" t="str">
            <v>VALEC27</v>
          </cell>
          <cell r="BZ1557">
            <v>27</v>
          </cell>
          <cell r="CA1557" t="str">
            <v>16-03-2009</v>
          </cell>
          <cell r="CB1557" t="str">
            <v xml:space="preserve">VALE        </v>
          </cell>
          <cell r="CC1557" t="str">
            <v>PNA     N1</v>
          </cell>
          <cell r="CD1557" t="str">
            <v xml:space="preserve">OPCOES COMPRA  </v>
          </cell>
          <cell r="CE1557" t="str">
            <v xml:space="preserve">Europeu        </v>
          </cell>
        </row>
        <row r="1558">
          <cell r="BY1558" t="str">
            <v>VALEC5</v>
          </cell>
          <cell r="BZ1558">
            <v>27.5</v>
          </cell>
          <cell r="CA1558" t="str">
            <v>16-03-2009</v>
          </cell>
          <cell r="CB1558" t="str">
            <v xml:space="preserve">VALE        </v>
          </cell>
          <cell r="CC1558" t="str">
            <v>PNA     N1</v>
          </cell>
          <cell r="CD1558" t="str">
            <v xml:space="preserve">OPCOES COMPRA  </v>
          </cell>
          <cell r="CE1558" t="str">
            <v xml:space="preserve">Europeu        </v>
          </cell>
        </row>
        <row r="1559">
          <cell r="BY1559" t="str">
            <v>VALEC28</v>
          </cell>
          <cell r="BZ1559">
            <v>28</v>
          </cell>
          <cell r="CA1559" t="str">
            <v>16-03-2009</v>
          </cell>
          <cell r="CB1559" t="str">
            <v xml:space="preserve">VALE        </v>
          </cell>
          <cell r="CC1559" t="str">
            <v>PNA     N1</v>
          </cell>
          <cell r="CD1559" t="str">
            <v xml:space="preserve">OPCOES COMPRA  </v>
          </cell>
          <cell r="CE1559" t="str">
            <v xml:space="preserve">Americano      </v>
          </cell>
        </row>
        <row r="1560">
          <cell r="BY1560" t="str">
            <v>VALEC1</v>
          </cell>
          <cell r="BZ1560">
            <v>28.5</v>
          </cell>
          <cell r="CA1560" t="str">
            <v>16-03-2009</v>
          </cell>
          <cell r="CB1560" t="str">
            <v xml:space="preserve">VALE        </v>
          </cell>
          <cell r="CC1560" t="str">
            <v>PNA     N1</v>
          </cell>
          <cell r="CD1560" t="str">
            <v xml:space="preserve">OPCOES COMPRA  </v>
          </cell>
          <cell r="CE1560" t="str">
            <v xml:space="preserve">Europeu        </v>
          </cell>
        </row>
        <row r="1561">
          <cell r="BY1561" t="str">
            <v>VALEC29</v>
          </cell>
          <cell r="BZ1561">
            <v>29</v>
          </cell>
          <cell r="CA1561" t="str">
            <v>16-03-2009</v>
          </cell>
          <cell r="CB1561" t="str">
            <v xml:space="preserve">VALE        </v>
          </cell>
          <cell r="CC1561" t="str">
            <v>PNA     N1</v>
          </cell>
          <cell r="CD1561" t="str">
            <v xml:space="preserve">OPCOES COMPRA  </v>
          </cell>
          <cell r="CE1561" t="str">
            <v xml:space="preserve">Europeu        </v>
          </cell>
        </row>
        <row r="1562">
          <cell r="BY1562" t="str">
            <v>VALEC30</v>
          </cell>
          <cell r="BZ1562">
            <v>30</v>
          </cell>
          <cell r="CA1562" t="str">
            <v>16-03-2009</v>
          </cell>
          <cell r="CB1562" t="str">
            <v xml:space="preserve">VALE        </v>
          </cell>
          <cell r="CC1562" t="str">
            <v>PNA     N1</v>
          </cell>
          <cell r="CD1562" t="str">
            <v xml:space="preserve">OPCOES COMPRA  </v>
          </cell>
          <cell r="CE1562" t="str">
            <v xml:space="preserve">Americano      </v>
          </cell>
        </row>
        <row r="1563">
          <cell r="BY1563" t="str">
            <v>VALEC6</v>
          </cell>
          <cell r="BZ1563">
            <v>30.5</v>
          </cell>
          <cell r="CA1563" t="str">
            <v>16-03-2009</v>
          </cell>
          <cell r="CB1563" t="str">
            <v xml:space="preserve">VALE        </v>
          </cell>
          <cell r="CC1563" t="str">
            <v>PNA     N1</v>
          </cell>
          <cell r="CD1563" t="str">
            <v xml:space="preserve">OPCOES COMPRA  </v>
          </cell>
          <cell r="CE1563" t="str">
            <v xml:space="preserve">Europeu        </v>
          </cell>
        </row>
        <row r="1564">
          <cell r="BY1564" t="str">
            <v>VALEC31</v>
          </cell>
          <cell r="BZ1564">
            <v>31</v>
          </cell>
          <cell r="CA1564" t="str">
            <v>16-03-2009</v>
          </cell>
          <cell r="CB1564" t="str">
            <v xml:space="preserve">VALE        </v>
          </cell>
          <cell r="CC1564" t="str">
            <v>PNA     N1</v>
          </cell>
          <cell r="CD1564" t="str">
            <v xml:space="preserve">OPCOES COMPRA  </v>
          </cell>
          <cell r="CE1564" t="str">
            <v xml:space="preserve">Europeu        </v>
          </cell>
        </row>
        <row r="1565">
          <cell r="BY1565" t="str">
            <v>VALEC32</v>
          </cell>
          <cell r="BZ1565">
            <v>32</v>
          </cell>
          <cell r="CA1565" t="str">
            <v>16-03-2009</v>
          </cell>
          <cell r="CB1565" t="str">
            <v xml:space="preserve">VALE        </v>
          </cell>
          <cell r="CC1565" t="str">
            <v>PNA     N1</v>
          </cell>
          <cell r="CD1565" t="str">
            <v xml:space="preserve">OPCOES COMPRA  </v>
          </cell>
          <cell r="CE1565" t="str">
            <v xml:space="preserve">Americano      </v>
          </cell>
        </row>
        <row r="1566">
          <cell r="BY1566" t="str">
            <v>VALEC2</v>
          </cell>
          <cell r="BZ1566">
            <v>32.5</v>
          </cell>
          <cell r="CA1566" t="str">
            <v>16-03-2009</v>
          </cell>
          <cell r="CB1566" t="str">
            <v xml:space="preserve">VALE        </v>
          </cell>
          <cell r="CC1566" t="str">
            <v>PNA     N1</v>
          </cell>
          <cell r="CD1566" t="str">
            <v xml:space="preserve">OPCOES COMPRA  </v>
          </cell>
          <cell r="CE1566" t="str">
            <v xml:space="preserve">Europeu        </v>
          </cell>
        </row>
        <row r="1567">
          <cell r="BY1567" t="str">
            <v>VALEC33</v>
          </cell>
          <cell r="BZ1567">
            <v>33</v>
          </cell>
          <cell r="CA1567" t="str">
            <v>16-03-2009</v>
          </cell>
          <cell r="CB1567" t="str">
            <v xml:space="preserve">VALE        </v>
          </cell>
          <cell r="CC1567" t="str">
            <v>PNA     N1</v>
          </cell>
          <cell r="CD1567" t="str">
            <v xml:space="preserve">OPCOES COMPRA  </v>
          </cell>
          <cell r="CE1567" t="str">
            <v xml:space="preserve">Europeu        </v>
          </cell>
        </row>
        <row r="1568">
          <cell r="BY1568" t="str">
            <v>VALEC7</v>
          </cell>
          <cell r="BZ1568">
            <v>33.5</v>
          </cell>
          <cell r="CA1568" t="str">
            <v>16-03-2009</v>
          </cell>
          <cell r="CB1568" t="str">
            <v xml:space="preserve">VALE        </v>
          </cell>
          <cell r="CC1568" t="str">
            <v>PNA     N1</v>
          </cell>
          <cell r="CD1568" t="str">
            <v xml:space="preserve">OPCOES COMPRA  </v>
          </cell>
          <cell r="CE1568" t="str">
            <v xml:space="preserve">Europeu        </v>
          </cell>
        </row>
        <row r="1569">
          <cell r="BY1569" t="str">
            <v>VALEC34</v>
          </cell>
          <cell r="BZ1569">
            <v>34</v>
          </cell>
          <cell r="CA1569" t="str">
            <v>16-03-2009</v>
          </cell>
          <cell r="CB1569" t="str">
            <v xml:space="preserve">VALE        </v>
          </cell>
          <cell r="CC1569" t="str">
            <v>PNA     N1</v>
          </cell>
          <cell r="CD1569" t="str">
            <v xml:space="preserve">OPCOES COMPRA  </v>
          </cell>
          <cell r="CE1569" t="str">
            <v xml:space="preserve">Americano      </v>
          </cell>
        </row>
        <row r="1570">
          <cell r="BY1570" t="str">
            <v>VALEC35</v>
          </cell>
          <cell r="BZ1570">
            <v>35</v>
          </cell>
          <cell r="CA1570" t="str">
            <v>16-03-2009</v>
          </cell>
          <cell r="CB1570" t="str">
            <v xml:space="preserve">VALE        </v>
          </cell>
          <cell r="CC1570" t="str">
            <v>PNA     N1</v>
          </cell>
          <cell r="CD1570" t="str">
            <v xml:space="preserve">OPCOES COMPRA  </v>
          </cell>
          <cell r="CE1570" t="str">
            <v xml:space="preserve">Europeu        </v>
          </cell>
        </row>
        <row r="1571">
          <cell r="BY1571" t="str">
            <v>VALEC3</v>
          </cell>
          <cell r="BZ1571">
            <v>35.5</v>
          </cell>
          <cell r="CA1571" t="str">
            <v>16-03-2009</v>
          </cell>
          <cell r="CB1571" t="str">
            <v xml:space="preserve">VALE        </v>
          </cell>
          <cell r="CC1571" t="str">
            <v>PNA     N1</v>
          </cell>
          <cell r="CD1571" t="str">
            <v xml:space="preserve">OPCOES COMPRA  </v>
          </cell>
          <cell r="CE1571" t="str">
            <v xml:space="preserve">Europeu        </v>
          </cell>
        </row>
        <row r="1572">
          <cell r="BY1572" t="str">
            <v>VALEC36</v>
          </cell>
          <cell r="BZ1572">
            <v>36</v>
          </cell>
          <cell r="CA1572" t="str">
            <v>16-03-2009</v>
          </cell>
          <cell r="CB1572" t="str">
            <v xml:space="preserve">VALE        </v>
          </cell>
          <cell r="CC1572" t="str">
            <v>PNA     N1</v>
          </cell>
          <cell r="CD1572" t="str">
            <v xml:space="preserve">OPCOES COMPRA  </v>
          </cell>
          <cell r="CE1572" t="str">
            <v xml:space="preserve">Americano      </v>
          </cell>
        </row>
        <row r="1573">
          <cell r="BY1573" t="str">
            <v>VALEC38</v>
          </cell>
          <cell r="BZ1573">
            <v>38</v>
          </cell>
          <cell r="CA1573" t="str">
            <v>16-03-2009</v>
          </cell>
          <cell r="CB1573" t="str">
            <v xml:space="preserve">VALE        </v>
          </cell>
          <cell r="CC1573" t="str">
            <v>PNA     N1</v>
          </cell>
          <cell r="CD1573" t="str">
            <v xml:space="preserve">OPCOES COMPRA  </v>
          </cell>
          <cell r="CE1573" t="str">
            <v xml:space="preserve">Americano      </v>
          </cell>
        </row>
        <row r="1574">
          <cell r="BY1574" t="str">
            <v>VALEC40</v>
          </cell>
          <cell r="BZ1574">
            <v>40</v>
          </cell>
          <cell r="CA1574" t="str">
            <v>16-03-2009</v>
          </cell>
          <cell r="CB1574" t="str">
            <v xml:space="preserve">VALE        </v>
          </cell>
          <cell r="CC1574" t="str">
            <v>PNA     N1</v>
          </cell>
          <cell r="CD1574" t="str">
            <v xml:space="preserve">OPCOES COMPRA  </v>
          </cell>
          <cell r="CE1574" t="str">
            <v xml:space="preserve">Americano      </v>
          </cell>
        </row>
        <row r="1575">
          <cell r="BY1575" t="str">
            <v>VALEC42</v>
          </cell>
          <cell r="BZ1575">
            <v>42</v>
          </cell>
          <cell r="CA1575" t="str">
            <v>16-03-2009</v>
          </cell>
          <cell r="CB1575" t="str">
            <v xml:space="preserve">VALE        </v>
          </cell>
          <cell r="CC1575" t="str">
            <v>PNA     N1</v>
          </cell>
          <cell r="CD1575" t="str">
            <v xml:space="preserve">OPCOES COMPRA  </v>
          </cell>
          <cell r="CE1575" t="str">
            <v xml:space="preserve">Americano      </v>
          </cell>
        </row>
        <row r="1576">
          <cell r="BY1576" t="str">
            <v>VALEC44</v>
          </cell>
          <cell r="BZ1576">
            <v>44</v>
          </cell>
          <cell r="CA1576" t="str">
            <v>16-03-2009</v>
          </cell>
          <cell r="CB1576" t="str">
            <v xml:space="preserve">VALE        </v>
          </cell>
          <cell r="CC1576" t="str">
            <v>PNA     N1</v>
          </cell>
          <cell r="CD1576" t="str">
            <v xml:space="preserve">OPCOES COMPRA  </v>
          </cell>
          <cell r="CE1576" t="str">
            <v xml:space="preserve">Americano      </v>
          </cell>
        </row>
        <row r="1577">
          <cell r="BY1577" t="str">
            <v>VALEC46</v>
          </cell>
          <cell r="BZ1577">
            <v>46</v>
          </cell>
          <cell r="CA1577" t="str">
            <v>16-03-2009</v>
          </cell>
          <cell r="CB1577" t="str">
            <v xml:space="preserve">VALE        </v>
          </cell>
          <cell r="CC1577" t="str">
            <v>PNA     N1</v>
          </cell>
          <cell r="CD1577" t="str">
            <v xml:space="preserve">OPCOES COMPRA  </v>
          </cell>
          <cell r="CE1577" t="str">
            <v xml:space="preserve">Americano      </v>
          </cell>
        </row>
        <row r="1578">
          <cell r="BY1578" t="str">
            <v>VALEC48</v>
          </cell>
          <cell r="BZ1578">
            <v>48</v>
          </cell>
          <cell r="CA1578" t="str">
            <v>16-03-2009</v>
          </cell>
          <cell r="CB1578" t="str">
            <v xml:space="preserve">VALE        </v>
          </cell>
          <cell r="CC1578" t="str">
            <v>PNA     N1</v>
          </cell>
          <cell r="CD1578" t="str">
            <v xml:space="preserve">OPCOES COMPRA  </v>
          </cell>
          <cell r="CE1578" t="str">
            <v xml:space="preserve">Americano      </v>
          </cell>
        </row>
        <row r="1579">
          <cell r="BY1579" t="str">
            <v>VALED92</v>
          </cell>
          <cell r="BZ1579">
            <v>17</v>
          </cell>
          <cell r="CA1579" t="str">
            <v>20-04-2009</v>
          </cell>
          <cell r="CB1579" t="str">
            <v xml:space="preserve">VALE        </v>
          </cell>
          <cell r="CC1579" t="str">
            <v>PNA     N1</v>
          </cell>
          <cell r="CD1579" t="str">
            <v xml:space="preserve">OPCOES COMPRA  </v>
          </cell>
          <cell r="CE1579" t="str">
            <v xml:space="preserve">Europeu        </v>
          </cell>
        </row>
        <row r="1580">
          <cell r="BY1580" t="str">
            <v>VALED18</v>
          </cell>
          <cell r="BZ1580">
            <v>18</v>
          </cell>
          <cell r="CA1580" t="str">
            <v>20-04-2009</v>
          </cell>
          <cell r="CB1580" t="str">
            <v xml:space="preserve">VALE        </v>
          </cell>
          <cell r="CC1580" t="str">
            <v>PNA     N1</v>
          </cell>
          <cell r="CD1580" t="str">
            <v xml:space="preserve">OPCOES COMPRA  </v>
          </cell>
          <cell r="CE1580" t="str">
            <v xml:space="preserve">Americano      </v>
          </cell>
        </row>
        <row r="1581">
          <cell r="BY1581" t="str">
            <v>VALED91</v>
          </cell>
          <cell r="BZ1581">
            <v>19</v>
          </cell>
          <cell r="CA1581" t="str">
            <v>20-04-2009</v>
          </cell>
          <cell r="CB1581" t="str">
            <v xml:space="preserve">VALE        </v>
          </cell>
          <cell r="CC1581" t="str">
            <v>PNA     N1</v>
          </cell>
          <cell r="CD1581" t="str">
            <v xml:space="preserve">OPCOES COMPRA  </v>
          </cell>
          <cell r="CE1581" t="str">
            <v xml:space="preserve">Europeu        </v>
          </cell>
        </row>
        <row r="1582">
          <cell r="BY1582" t="str">
            <v>VALED20</v>
          </cell>
          <cell r="BZ1582">
            <v>20</v>
          </cell>
          <cell r="CA1582" t="str">
            <v>20-04-2009</v>
          </cell>
          <cell r="CB1582" t="str">
            <v xml:space="preserve">VALE        </v>
          </cell>
          <cell r="CC1582" t="str">
            <v>PNA     N1</v>
          </cell>
          <cell r="CD1582" t="str">
            <v xml:space="preserve">OPCOES COMPRA  </v>
          </cell>
          <cell r="CE1582" t="str">
            <v xml:space="preserve">Americano      </v>
          </cell>
        </row>
        <row r="1583">
          <cell r="BY1583" t="str">
            <v>VALED90</v>
          </cell>
          <cell r="BZ1583">
            <v>21</v>
          </cell>
          <cell r="CA1583" t="str">
            <v>20-04-2009</v>
          </cell>
          <cell r="CB1583" t="str">
            <v xml:space="preserve">VALE        </v>
          </cell>
          <cell r="CC1583" t="str">
            <v>PNA     N1</v>
          </cell>
          <cell r="CD1583" t="str">
            <v xml:space="preserve">OPCOES COMPRA  </v>
          </cell>
          <cell r="CE1583" t="str">
            <v xml:space="preserve">Europeu        </v>
          </cell>
        </row>
        <row r="1584">
          <cell r="BY1584" t="str">
            <v>VALED22</v>
          </cell>
          <cell r="BZ1584">
            <v>22</v>
          </cell>
          <cell r="CA1584" t="str">
            <v>20-04-2009</v>
          </cell>
          <cell r="CB1584" t="str">
            <v xml:space="preserve">VALE        </v>
          </cell>
          <cell r="CC1584" t="str">
            <v>PNA     N1</v>
          </cell>
          <cell r="CD1584" t="str">
            <v xml:space="preserve">OPCOES COMPRA  </v>
          </cell>
          <cell r="CE1584" t="str">
            <v xml:space="preserve">Americano      </v>
          </cell>
        </row>
        <row r="1585">
          <cell r="BY1585" t="str">
            <v>VALED89</v>
          </cell>
          <cell r="BZ1585">
            <v>23</v>
          </cell>
          <cell r="CA1585" t="str">
            <v>20-04-2009</v>
          </cell>
          <cell r="CB1585" t="str">
            <v xml:space="preserve">VALE        </v>
          </cell>
          <cell r="CC1585" t="str">
            <v>PNA     N1</v>
          </cell>
          <cell r="CD1585" t="str">
            <v xml:space="preserve">OPCOES COMPRA  </v>
          </cell>
          <cell r="CE1585" t="str">
            <v xml:space="preserve">Europeu        </v>
          </cell>
        </row>
        <row r="1586">
          <cell r="BY1586" t="str">
            <v>VALED24</v>
          </cell>
          <cell r="BZ1586">
            <v>24</v>
          </cell>
          <cell r="CA1586" t="str">
            <v>20-04-2009</v>
          </cell>
          <cell r="CB1586" t="str">
            <v xml:space="preserve">VALE        </v>
          </cell>
          <cell r="CC1586" t="str">
            <v>PNA     N1</v>
          </cell>
          <cell r="CD1586" t="str">
            <v xml:space="preserve">OPCOES COMPRA  </v>
          </cell>
          <cell r="CE1586" t="str">
            <v xml:space="preserve">Americano      </v>
          </cell>
        </row>
        <row r="1587">
          <cell r="BY1587" t="str">
            <v>VALED5</v>
          </cell>
          <cell r="BZ1587">
            <v>24.5</v>
          </cell>
          <cell r="CA1587" t="str">
            <v>20-04-2009</v>
          </cell>
          <cell r="CB1587" t="str">
            <v xml:space="preserve">VALE        </v>
          </cell>
          <cell r="CC1587" t="str">
            <v>PNA     N1</v>
          </cell>
          <cell r="CD1587" t="str">
            <v xml:space="preserve">OPCOES COMPRA  </v>
          </cell>
          <cell r="CE1587" t="str">
            <v xml:space="preserve">Europeu        </v>
          </cell>
        </row>
        <row r="1588">
          <cell r="BY1588" t="str">
            <v>VALED6</v>
          </cell>
          <cell r="BZ1588">
            <v>25</v>
          </cell>
          <cell r="CA1588" t="str">
            <v>20-04-2009</v>
          </cell>
          <cell r="CB1588" t="str">
            <v xml:space="preserve">VALE        </v>
          </cell>
          <cell r="CC1588" t="str">
            <v>PNA     N1</v>
          </cell>
          <cell r="CD1588" t="str">
            <v xml:space="preserve">OPCOES COMPRA  </v>
          </cell>
          <cell r="CE1588" t="str">
            <v xml:space="preserve">Europeu        </v>
          </cell>
        </row>
        <row r="1589">
          <cell r="BY1589" t="str">
            <v>VALED7</v>
          </cell>
          <cell r="BZ1589">
            <v>25.5</v>
          </cell>
          <cell r="CA1589" t="str">
            <v>20-04-2009</v>
          </cell>
          <cell r="CB1589" t="str">
            <v xml:space="preserve">VALE        </v>
          </cell>
          <cell r="CC1589" t="str">
            <v>PNA     N1</v>
          </cell>
          <cell r="CD1589" t="str">
            <v xml:space="preserve">OPCOES COMPRA  </v>
          </cell>
          <cell r="CE1589" t="str">
            <v xml:space="preserve">Europeu        </v>
          </cell>
        </row>
        <row r="1590">
          <cell r="BY1590" t="str">
            <v>VALED26</v>
          </cell>
          <cell r="BZ1590">
            <v>26</v>
          </cell>
          <cell r="CA1590" t="str">
            <v>20-04-2009</v>
          </cell>
          <cell r="CB1590" t="str">
            <v xml:space="preserve">VALE        </v>
          </cell>
          <cell r="CC1590" t="str">
            <v>PNA     N1</v>
          </cell>
          <cell r="CD1590" t="str">
            <v xml:space="preserve">OPCOES COMPRA  </v>
          </cell>
          <cell r="CE1590" t="str">
            <v xml:space="preserve">Americano      </v>
          </cell>
        </row>
        <row r="1591">
          <cell r="BY1591" t="str">
            <v>VALED94</v>
          </cell>
          <cell r="BZ1591">
            <v>26.5</v>
          </cell>
          <cell r="CA1591" t="str">
            <v>20-04-2009</v>
          </cell>
          <cell r="CB1591" t="str">
            <v xml:space="preserve">VALE        </v>
          </cell>
          <cell r="CC1591" t="str">
            <v>PNA     N1</v>
          </cell>
          <cell r="CD1591" t="str">
            <v xml:space="preserve">OPCOES COMPRA  </v>
          </cell>
          <cell r="CE1591" t="str">
            <v xml:space="preserve">Europeu        </v>
          </cell>
        </row>
        <row r="1592">
          <cell r="BY1592" t="str">
            <v>VALED93</v>
          </cell>
          <cell r="BZ1592">
            <v>27</v>
          </cell>
          <cell r="CA1592" t="str">
            <v>20-04-2009</v>
          </cell>
          <cell r="CB1592" t="str">
            <v xml:space="preserve">VALE        </v>
          </cell>
          <cell r="CC1592" t="str">
            <v>PNA     N1</v>
          </cell>
          <cell r="CD1592" t="str">
            <v xml:space="preserve">OPCOES COMPRA  </v>
          </cell>
          <cell r="CE1592" t="str">
            <v xml:space="preserve">Europeu        </v>
          </cell>
        </row>
        <row r="1593">
          <cell r="BY1593" t="str">
            <v>VALED11</v>
          </cell>
          <cell r="BZ1593">
            <v>27.5</v>
          </cell>
          <cell r="CA1593" t="str">
            <v>20-04-2009</v>
          </cell>
          <cell r="CB1593" t="str">
            <v xml:space="preserve">VALE        </v>
          </cell>
          <cell r="CC1593" t="str">
            <v>PNA     N1</v>
          </cell>
          <cell r="CD1593" t="str">
            <v xml:space="preserve">OPCOES COMPRA  </v>
          </cell>
          <cell r="CE1593" t="str">
            <v xml:space="preserve">Europeu        </v>
          </cell>
        </row>
        <row r="1594">
          <cell r="BY1594" t="str">
            <v>VALED28</v>
          </cell>
          <cell r="BZ1594">
            <v>28</v>
          </cell>
          <cell r="CA1594" t="str">
            <v>20-04-2009</v>
          </cell>
          <cell r="CB1594" t="str">
            <v xml:space="preserve">VALE        </v>
          </cell>
          <cell r="CC1594" t="str">
            <v>PNA     N1</v>
          </cell>
          <cell r="CD1594" t="str">
            <v xml:space="preserve">OPCOES COMPRA  </v>
          </cell>
          <cell r="CE1594" t="str">
            <v xml:space="preserve">Americano      </v>
          </cell>
        </row>
        <row r="1595">
          <cell r="BY1595" t="str">
            <v>VALED8</v>
          </cell>
          <cell r="BZ1595">
            <v>28.5</v>
          </cell>
          <cell r="CA1595" t="str">
            <v>20-04-2009</v>
          </cell>
          <cell r="CB1595" t="str">
            <v xml:space="preserve">VALE        </v>
          </cell>
          <cell r="CC1595" t="str">
            <v>PNA     N1</v>
          </cell>
          <cell r="CD1595" t="str">
            <v xml:space="preserve">OPCOES COMPRA  </v>
          </cell>
          <cell r="CE1595" t="str">
            <v xml:space="preserve">Europeu        </v>
          </cell>
        </row>
        <row r="1596">
          <cell r="BY1596" t="str">
            <v>VALED9</v>
          </cell>
          <cell r="BZ1596">
            <v>29</v>
          </cell>
          <cell r="CA1596" t="str">
            <v>20-04-2009</v>
          </cell>
          <cell r="CB1596" t="str">
            <v xml:space="preserve">VALE        </v>
          </cell>
          <cell r="CC1596" t="str">
            <v>PNA     N1</v>
          </cell>
          <cell r="CD1596" t="str">
            <v xml:space="preserve">OPCOES COMPRA  </v>
          </cell>
          <cell r="CE1596" t="str">
            <v xml:space="preserve">Europeu        </v>
          </cell>
        </row>
        <row r="1597">
          <cell r="BY1597" t="str">
            <v>VALED1</v>
          </cell>
          <cell r="BZ1597">
            <v>29.5</v>
          </cell>
          <cell r="CA1597" t="str">
            <v>20-04-2009</v>
          </cell>
          <cell r="CB1597" t="str">
            <v xml:space="preserve">VALE        </v>
          </cell>
          <cell r="CC1597" t="str">
            <v>PNA     N1</v>
          </cell>
          <cell r="CD1597" t="str">
            <v xml:space="preserve">OPCOES COMPRA  </v>
          </cell>
          <cell r="CE1597" t="str">
            <v xml:space="preserve">Europeu        </v>
          </cell>
        </row>
        <row r="1598">
          <cell r="BY1598" t="str">
            <v>VALED30</v>
          </cell>
          <cell r="BZ1598">
            <v>30</v>
          </cell>
          <cell r="CA1598" t="str">
            <v>20-04-2009</v>
          </cell>
          <cell r="CB1598" t="str">
            <v xml:space="preserve">VALE        </v>
          </cell>
          <cell r="CC1598" t="str">
            <v>PNA     N1</v>
          </cell>
          <cell r="CD1598" t="str">
            <v xml:space="preserve">OPCOES COMPRA  </v>
          </cell>
          <cell r="CE1598" t="str">
            <v xml:space="preserve">Americano      </v>
          </cell>
        </row>
        <row r="1599">
          <cell r="BY1599" t="str">
            <v>VALED3</v>
          </cell>
          <cell r="BZ1599">
            <v>30.5</v>
          </cell>
          <cell r="CA1599" t="str">
            <v>20-04-2009</v>
          </cell>
          <cell r="CB1599" t="str">
            <v xml:space="preserve">VALE        </v>
          </cell>
          <cell r="CC1599" t="str">
            <v>PNA     N1</v>
          </cell>
          <cell r="CD1599" t="str">
            <v xml:space="preserve">OPCOES COMPRA  </v>
          </cell>
          <cell r="CE1599" t="str">
            <v xml:space="preserve">Europeu        </v>
          </cell>
        </row>
        <row r="1600">
          <cell r="BY1600" t="str">
            <v>VALED97</v>
          </cell>
          <cell r="BZ1600">
            <v>31</v>
          </cell>
          <cell r="CA1600" t="str">
            <v>20-04-2009</v>
          </cell>
          <cell r="CB1600" t="str">
            <v xml:space="preserve">VALE        </v>
          </cell>
          <cell r="CC1600" t="str">
            <v>PNA     N1</v>
          </cell>
          <cell r="CD1600" t="str">
            <v xml:space="preserve">OPCOES COMPRA  </v>
          </cell>
          <cell r="CE1600" t="str">
            <v xml:space="preserve">Europeu        </v>
          </cell>
        </row>
        <row r="1601">
          <cell r="BY1601" t="str">
            <v>VALED10</v>
          </cell>
          <cell r="BZ1601">
            <v>31.5</v>
          </cell>
          <cell r="CA1601" t="str">
            <v>20-04-2009</v>
          </cell>
          <cell r="CB1601" t="str">
            <v xml:space="preserve">VALE        </v>
          </cell>
          <cell r="CC1601" t="str">
            <v>PNA     N1</v>
          </cell>
          <cell r="CD1601" t="str">
            <v xml:space="preserve">OPCOES COMPRA  </v>
          </cell>
          <cell r="CE1601" t="str">
            <v xml:space="preserve">Europeu        </v>
          </cell>
        </row>
        <row r="1602">
          <cell r="BY1602" t="str">
            <v>VALED32</v>
          </cell>
          <cell r="BZ1602">
            <v>32</v>
          </cell>
          <cell r="CA1602" t="str">
            <v>20-04-2009</v>
          </cell>
          <cell r="CB1602" t="str">
            <v xml:space="preserve">VALE        </v>
          </cell>
          <cell r="CC1602" t="str">
            <v>PNA     N1</v>
          </cell>
          <cell r="CD1602" t="str">
            <v xml:space="preserve">OPCOES COMPRA  </v>
          </cell>
          <cell r="CE1602" t="str">
            <v xml:space="preserve">Americano      </v>
          </cell>
        </row>
        <row r="1603">
          <cell r="BY1603" t="str">
            <v>VALED2</v>
          </cell>
          <cell r="BZ1603">
            <v>32.5</v>
          </cell>
          <cell r="CA1603" t="str">
            <v>20-04-2009</v>
          </cell>
          <cell r="CB1603" t="str">
            <v xml:space="preserve">VALE        </v>
          </cell>
          <cell r="CC1603" t="str">
            <v>PNA     N1</v>
          </cell>
          <cell r="CD1603" t="str">
            <v xml:space="preserve">OPCOES COMPRA  </v>
          </cell>
          <cell r="CE1603" t="str">
            <v xml:space="preserve">Europeu        </v>
          </cell>
        </row>
        <row r="1604">
          <cell r="BY1604" t="str">
            <v>VALED96</v>
          </cell>
          <cell r="BZ1604">
            <v>33</v>
          </cell>
          <cell r="CA1604" t="str">
            <v>20-04-2009</v>
          </cell>
          <cell r="CB1604" t="str">
            <v xml:space="preserve">VALE        </v>
          </cell>
          <cell r="CC1604" t="str">
            <v>PNA     N1</v>
          </cell>
          <cell r="CD1604" t="str">
            <v xml:space="preserve">OPCOES COMPRA  </v>
          </cell>
          <cell r="CE1604" t="str">
            <v xml:space="preserve">Europeu        </v>
          </cell>
        </row>
        <row r="1605">
          <cell r="BY1605" t="str">
            <v>VALED4</v>
          </cell>
          <cell r="BZ1605">
            <v>33.5</v>
          </cell>
          <cell r="CA1605" t="str">
            <v>20-04-2009</v>
          </cell>
          <cell r="CB1605" t="str">
            <v xml:space="preserve">VALE        </v>
          </cell>
          <cell r="CC1605" t="str">
            <v>PNA     N1</v>
          </cell>
          <cell r="CD1605" t="str">
            <v xml:space="preserve">OPCOES COMPRA  </v>
          </cell>
          <cell r="CE1605" t="str">
            <v xml:space="preserve">Europeu        </v>
          </cell>
        </row>
        <row r="1606">
          <cell r="BY1606" t="str">
            <v>VALED34</v>
          </cell>
          <cell r="BZ1606">
            <v>34</v>
          </cell>
          <cell r="CA1606" t="str">
            <v>20-04-2009</v>
          </cell>
          <cell r="CB1606" t="str">
            <v xml:space="preserve">VALE        </v>
          </cell>
          <cell r="CC1606" t="str">
            <v>PNA     N1</v>
          </cell>
          <cell r="CD1606" t="str">
            <v xml:space="preserve">OPCOES COMPRA  </v>
          </cell>
          <cell r="CE1606" t="str">
            <v xml:space="preserve">Americano      </v>
          </cell>
        </row>
        <row r="1607">
          <cell r="BY1607" t="str">
            <v>VALED95</v>
          </cell>
          <cell r="BZ1607">
            <v>35</v>
          </cell>
          <cell r="CA1607" t="str">
            <v>20-04-2009</v>
          </cell>
          <cell r="CB1607" t="str">
            <v xml:space="preserve">VALE        </v>
          </cell>
          <cell r="CC1607" t="str">
            <v>PNA     N1</v>
          </cell>
          <cell r="CD1607" t="str">
            <v xml:space="preserve">OPCOES COMPRA  </v>
          </cell>
          <cell r="CE1607" t="str">
            <v xml:space="preserve">Europeu        </v>
          </cell>
        </row>
        <row r="1608">
          <cell r="BY1608" t="str">
            <v>VALED36</v>
          </cell>
          <cell r="BZ1608">
            <v>36</v>
          </cell>
          <cell r="CA1608" t="str">
            <v>20-04-2009</v>
          </cell>
          <cell r="CB1608" t="str">
            <v xml:space="preserve">VALE        </v>
          </cell>
          <cell r="CC1608" t="str">
            <v>PNA     N1</v>
          </cell>
          <cell r="CD1608" t="str">
            <v xml:space="preserve">OPCOES COMPRA  </v>
          </cell>
          <cell r="CE1608" t="str">
            <v xml:space="preserve">Americano      </v>
          </cell>
        </row>
        <row r="1609">
          <cell r="BY1609" t="str">
            <v>VALED38</v>
          </cell>
          <cell r="BZ1609">
            <v>38</v>
          </cell>
          <cell r="CA1609" t="str">
            <v>20-04-2009</v>
          </cell>
          <cell r="CB1609" t="str">
            <v xml:space="preserve">VALE        </v>
          </cell>
          <cell r="CC1609" t="str">
            <v>PNA     N1</v>
          </cell>
          <cell r="CD1609" t="str">
            <v xml:space="preserve">OPCOES COMPRA  </v>
          </cell>
          <cell r="CE1609" t="str">
            <v xml:space="preserve">Americano      </v>
          </cell>
        </row>
        <row r="1610">
          <cell r="BY1610" t="str">
            <v>VALED40</v>
          </cell>
          <cell r="BZ1610">
            <v>40</v>
          </cell>
          <cell r="CA1610" t="str">
            <v>20-04-2009</v>
          </cell>
          <cell r="CB1610" t="str">
            <v xml:space="preserve">VALE        </v>
          </cell>
          <cell r="CC1610" t="str">
            <v>PNA     N1</v>
          </cell>
          <cell r="CD1610" t="str">
            <v xml:space="preserve">OPCOES COMPRA  </v>
          </cell>
          <cell r="CE1610" t="str">
            <v xml:space="preserve">Americano      </v>
          </cell>
        </row>
        <row r="1611">
          <cell r="BY1611" t="str">
            <v>VALED42</v>
          </cell>
          <cell r="BZ1611">
            <v>41.42</v>
          </cell>
          <cell r="CA1611" t="str">
            <v>20-04-2009</v>
          </cell>
          <cell r="CB1611" t="str">
            <v xml:space="preserve">VALE        </v>
          </cell>
          <cell r="CC1611" t="str">
            <v>PNA     N1</v>
          </cell>
          <cell r="CD1611" t="str">
            <v xml:space="preserve">OPCOES COMPRA  </v>
          </cell>
          <cell r="CE1611" t="str">
            <v xml:space="preserve">Americano      </v>
          </cell>
        </row>
        <row r="1612">
          <cell r="BY1612" t="str">
            <v>VALED98</v>
          </cell>
          <cell r="BZ1612">
            <v>50</v>
          </cell>
          <cell r="CA1612" t="str">
            <v>20-04-2009</v>
          </cell>
          <cell r="CB1612" t="str">
            <v xml:space="preserve">VALE        </v>
          </cell>
          <cell r="CC1612" t="str">
            <v>PNA     N1</v>
          </cell>
          <cell r="CD1612" t="str">
            <v xml:space="preserve">OPCOES COMPRA  </v>
          </cell>
          <cell r="CE1612" t="str">
            <v xml:space="preserve">Europeu        </v>
          </cell>
        </row>
        <row r="1613">
          <cell r="BY1613" t="str">
            <v>VALED99</v>
          </cell>
          <cell r="BZ1613">
            <v>54.42</v>
          </cell>
          <cell r="CA1613" t="str">
            <v>20-04-2009</v>
          </cell>
          <cell r="CB1613" t="str">
            <v xml:space="preserve">VALE        </v>
          </cell>
          <cell r="CC1613" t="str">
            <v>PNA     N1</v>
          </cell>
          <cell r="CD1613" t="str">
            <v xml:space="preserve">OPCOES COMPRA  </v>
          </cell>
          <cell r="CE1613" t="str">
            <v xml:space="preserve">Europeu        </v>
          </cell>
        </row>
        <row r="1614">
          <cell r="BY1614" t="str">
            <v>VALEE18</v>
          </cell>
          <cell r="BZ1614">
            <v>18</v>
          </cell>
          <cell r="CA1614" t="str">
            <v>18-05-2009</v>
          </cell>
          <cell r="CB1614" t="str">
            <v xml:space="preserve">VALE        </v>
          </cell>
          <cell r="CC1614" t="str">
            <v>PNA     N1</v>
          </cell>
          <cell r="CD1614" t="str">
            <v xml:space="preserve">OPCOES COMPRA  </v>
          </cell>
          <cell r="CE1614" t="str">
            <v xml:space="preserve">Americano      </v>
          </cell>
        </row>
        <row r="1615">
          <cell r="BY1615" t="str">
            <v>VALEE20</v>
          </cell>
          <cell r="BZ1615">
            <v>20</v>
          </cell>
          <cell r="CA1615" t="str">
            <v>18-05-2009</v>
          </cell>
          <cell r="CB1615" t="str">
            <v xml:space="preserve">VALE        </v>
          </cell>
          <cell r="CC1615" t="str">
            <v>PNA     N1</v>
          </cell>
          <cell r="CD1615" t="str">
            <v xml:space="preserve">OPCOES COMPRA  </v>
          </cell>
          <cell r="CE1615" t="str">
            <v xml:space="preserve">Americano      </v>
          </cell>
        </row>
        <row r="1616">
          <cell r="BY1616" t="str">
            <v>VALEE22</v>
          </cell>
          <cell r="BZ1616">
            <v>22</v>
          </cell>
          <cell r="CA1616" t="str">
            <v>18-05-2009</v>
          </cell>
          <cell r="CB1616" t="str">
            <v xml:space="preserve">VALE        </v>
          </cell>
          <cell r="CC1616" t="str">
            <v>PNA     N1</v>
          </cell>
          <cell r="CD1616" t="str">
            <v xml:space="preserve">OPCOES COMPRA  </v>
          </cell>
          <cell r="CE1616" t="str">
            <v xml:space="preserve">Americano      </v>
          </cell>
        </row>
        <row r="1617">
          <cell r="BY1617" t="str">
            <v>VALEE24</v>
          </cell>
          <cell r="BZ1617">
            <v>24</v>
          </cell>
          <cell r="CA1617" t="str">
            <v>18-05-2009</v>
          </cell>
          <cell r="CB1617" t="str">
            <v xml:space="preserve">VALE        </v>
          </cell>
          <cell r="CC1617" t="str">
            <v>PNA     N1</v>
          </cell>
          <cell r="CD1617" t="str">
            <v xml:space="preserve">OPCOES COMPRA  </v>
          </cell>
          <cell r="CE1617" t="str">
            <v xml:space="preserve">Americano      </v>
          </cell>
        </row>
        <row r="1618">
          <cell r="BY1618" t="str">
            <v>VALEE26</v>
          </cell>
          <cell r="BZ1618">
            <v>26</v>
          </cell>
          <cell r="CA1618" t="str">
            <v>18-05-2009</v>
          </cell>
          <cell r="CB1618" t="str">
            <v xml:space="preserve">VALE        </v>
          </cell>
          <cell r="CC1618" t="str">
            <v>PNA     N1</v>
          </cell>
          <cell r="CD1618" t="str">
            <v xml:space="preserve">OPCOES COMPRA  </v>
          </cell>
          <cell r="CE1618" t="str">
            <v xml:space="preserve">Americano      </v>
          </cell>
        </row>
        <row r="1619">
          <cell r="BY1619" t="str">
            <v>VALEE28</v>
          </cell>
          <cell r="BZ1619">
            <v>28</v>
          </cell>
          <cell r="CA1619" t="str">
            <v>18-05-2009</v>
          </cell>
          <cell r="CB1619" t="str">
            <v xml:space="preserve">VALE        </v>
          </cell>
          <cell r="CC1619" t="str">
            <v>PNA     N1</v>
          </cell>
          <cell r="CD1619" t="str">
            <v xml:space="preserve">OPCOES COMPRA  </v>
          </cell>
          <cell r="CE1619" t="str">
            <v xml:space="preserve">Americano      </v>
          </cell>
        </row>
        <row r="1620">
          <cell r="BY1620" t="str">
            <v>VALEE30</v>
          </cell>
          <cell r="BZ1620">
            <v>30</v>
          </cell>
          <cell r="CA1620" t="str">
            <v>18-05-2009</v>
          </cell>
          <cell r="CB1620" t="str">
            <v xml:space="preserve">VALE        </v>
          </cell>
          <cell r="CC1620" t="str">
            <v>PNA     N1</v>
          </cell>
          <cell r="CD1620" t="str">
            <v xml:space="preserve">OPCOES COMPRA  </v>
          </cell>
          <cell r="CE1620" t="str">
            <v xml:space="preserve">Americano      </v>
          </cell>
        </row>
        <row r="1621">
          <cell r="BY1621" t="str">
            <v>VALEE32</v>
          </cell>
          <cell r="BZ1621">
            <v>32</v>
          </cell>
          <cell r="CA1621" t="str">
            <v>18-05-2009</v>
          </cell>
          <cell r="CB1621" t="str">
            <v xml:space="preserve">VALE        </v>
          </cell>
          <cell r="CC1621" t="str">
            <v>PNA     N1</v>
          </cell>
          <cell r="CD1621" t="str">
            <v xml:space="preserve">OPCOES COMPRA  </v>
          </cell>
          <cell r="CE1621" t="str">
            <v xml:space="preserve">Americano      </v>
          </cell>
        </row>
        <row r="1622">
          <cell r="BY1622" t="str">
            <v>VALEE34</v>
          </cell>
          <cell r="BZ1622">
            <v>34</v>
          </cell>
          <cell r="CA1622" t="str">
            <v>18-05-2009</v>
          </cell>
          <cell r="CB1622" t="str">
            <v xml:space="preserve">VALE        </v>
          </cell>
          <cell r="CC1622" t="str">
            <v>PNA     N1</v>
          </cell>
          <cell r="CD1622" t="str">
            <v xml:space="preserve">OPCOES COMPRA  </v>
          </cell>
          <cell r="CE1622" t="str">
            <v xml:space="preserve">Americano      </v>
          </cell>
        </row>
        <row r="1623">
          <cell r="BY1623" t="str">
            <v>VALEE36</v>
          </cell>
          <cell r="BZ1623">
            <v>36</v>
          </cell>
          <cell r="CA1623" t="str">
            <v>18-05-2009</v>
          </cell>
          <cell r="CB1623" t="str">
            <v xml:space="preserve">VALE        </v>
          </cell>
          <cell r="CC1623" t="str">
            <v>PNA     N1</v>
          </cell>
          <cell r="CD1623" t="str">
            <v xml:space="preserve">OPCOES COMPRA  </v>
          </cell>
          <cell r="CE1623" t="str">
            <v xml:space="preserve">Americano      </v>
          </cell>
        </row>
        <row r="1624">
          <cell r="BY1624" t="str">
            <v>VALEE38</v>
          </cell>
          <cell r="BZ1624">
            <v>38</v>
          </cell>
          <cell r="CA1624" t="str">
            <v>18-05-2009</v>
          </cell>
          <cell r="CB1624" t="str">
            <v xml:space="preserve">VALE        </v>
          </cell>
          <cell r="CC1624" t="str">
            <v>PNA     N1</v>
          </cell>
          <cell r="CD1624" t="str">
            <v xml:space="preserve">OPCOES COMPRA  </v>
          </cell>
          <cell r="CE1624" t="str">
            <v xml:space="preserve">Americano      </v>
          </cell>
        </row>
        <row r="1625">
          <cell r="BY1625" t="str">
            <v>VALEE40</v>
          </cell>
          <cell r="BZ1625">
            <v>40</v>
          </cell>
          <cell r="CA1625" t="str">
            <v>18-05-2009</v>
          </cell>
          <cell r="CB1625" t="str">
            <v xml:space="preserve">VALE        </v>
          </cell>
          <cell r="CC1625" t="str">
            <v>PNA     N1</v>
          </cell>
          <cell r="CD1625" t="str">
            <v xml:space="preserve">OPCOES COMPRA  </v>
          </cell>
          <cell r="CE1625" t="str">
            <v xml:space="preserve">Americano      </v>
          </cell>
        </row>
        <row r="1626">
          <cell r="BY1626" t="str">
            <v>VALEE42</v>
          </cell>
          <cell r="BZ1626">
            <v>42</v>
          </cell>
          <cell r="CA1626" t="str">
            <v>18-05-2009</v>
          </cell>
          <cell r="CB1626" t="str">
            <v xml:space="preserve">VALE        </v>
          </cell>
          <cell r="CC1626" t="str">
            <v>PNA     N1</v>
          </cell>
          <cell r="CD1626" t="str">
            <v xml:space="preserve">OPCOES COMPRA  </v>
          </cell>
          <cell r="CE1626" t="str">
            <v xml:space="preserve">Americano      </v>
          </cell>
        </row>
        <row r="1627">
          <cell r="BY1627" t="str">
            <v>VALEE44</v>
          </cell>
          <cell r="BZ1627">
            <v>44</v>
          </cell>
          <cell r="CA1627" t="str">
            <v>18-05-2009</v>
          </cell>
          <cell r="CB1627" t="str">
            <v xml:space="preserve">VALE        </v>
          </cell>
          <cell r="CC1627" t="str">
            <v>PNA     N1</v>
          </cell>
          <cell r="CD1627" t="str">
            <v xml:space="preserve">OPCOES COMPRA  </v>
          </cell>
          <cell r="CE1627" t="str">
            <v xml:space="preserve">Americano      </v>
          </cell>
        </row>
        <row r="1628">
          <cell r="BY1628" t="str">
            <v>VALEF94</v>
          </cell>
          <cell r="BZ1628">
            <v>17</v>
          </cell>
          <cell r="CA1628" t="str">
            <v>15-06-2009</v>
          </cell>
          <cell r="CB1628" t="str">
            <v xml:space="preserve">VALE        </v>
          </cell>
          <cell r="CC1628" t="str">
            <v>PNA     N1</v>
          </cell>
          <cell r="CD1628" t="str">
            <v xml:space="preserve">OPCOES COMPRA  </v>
          </cell>
          <cell r="CE1628" t="str">
            <v xml:space="preserve">Europeu        </v>
          </cell>
        </row>
        <row r="1629">
          <cell r="BY1629" t="str">
            <v>VALEF97</v>
          </cell>
          <cell r="BZ1629">
            <v>19</v>
          </cell>
          <cell r="CA1629" t="str">
            <v>15-06-2009</v>
          </cell>
          <cell r="CB1629" t="str">
            <v xml:space="preserve">VALE        </v>
          </cell>
          <cell r="CC1629" t="str">
            <v>PNA     N1</v>
          </cell>
          <cell r="CD1629" t="str">
            <v xml:space="preserve">OPCOES COMPRA  </v>
          </cell>
          <cell r="CE1629" t="str">
            <v xml:space="preserve">Europeu        </v>
          </cell>
        </row>
        <row r="1630">
          <cell r="BY1630" t="str">
            <v>VALEF96</v>
          </cell>
          <cell r="BZ1630">
            <v>21</v>
          </cell>
          <cell r="CA1630" t="str">
            <v>15-06-2009</v>
          </cell>
          <cell r="CB1630" t="str">
            <v xml:space="preserve">VALE        </v>
          </cell>
          <cell r="CC1630" t="str">
            <v>PNA     N1</v>
          </cell>
          <cell r="CD1630" t="str">
            <v xml:space="preserve">OPCOES COMPRA  </v>
          </cell>
          <cell r="CE1630" t="str">
            <v xml:space="preserve">Europeu        </v>
          </cell>
        </row>
        <row r="1631">
          <cell r="BY1631" t="str">
            <v>VALEF95</v>
          </cell>
          <cell r="BZ1631">
            <v>23</v>
          </cell>
          <cell r="CA1631" t="str">
            <v>15-06-2009</v>
          </cell>
          <cell r="CB1631" t="str">
            <v xml:space="preserve">VALE        </v>
          </cell>
          <cell r="CC1631" t="str">
            <v>PNA     N1</v>
          </cell>
          <cell r="CD1631" t="str">
            <v xml:space="preserve">OPCOES COMPRA  </v>
          </cell>
          <cell r="CE1631" t="str">
            <v xml:space="preserve">Europeu        </v>
          </cell>
        </row>
        <row r="1632">
          <cell r="BY1632" t="str">
            <v>VALEF24</v>
          </cell>
          <cell r="BZ1632">
            <v>24</v>
          </cell>
          <cell r="CA1632" t="str">
            <v>15-06-2009</v>
          </cell>
          <cell r="CB1632" t="str">
            <v xml:space="preserve">VALE        </v>
          </cell>
          <cell r="CC1632" t="str">
            <v>PNA     N1</v>
          </cell>
          <cell r="CD1632" t="str">
            <v xml:space="preserve">OPCOES COMPRA  </v>
          </cell>
          <cell r="CE1632" t="str">
            <v xml:space="preserve">Americano      </v>
          </cell>
        </row>
        <row r="1633">
          <cell r="BY1633" t="str">
            <v>VALEF26</v>
          </cell>
          <cell r="BZ1633">
            <v>26</v>
          </cell>
          <cell r="CA1633" t="str">
            <v>15-06-2009</v>
          </cell>
          <cell r="CB1633" t="str">
            <v xml:space="preserve">VALE        </v>
          </cell>
          <cell r="CC1633" t="str">
            <v>PNA     N1</v>
          </cell>
          <cell r="CD1633" t="str">
            <v xml:space="preserve">OPCOES COMPRA  </v>
          </cell>
          <cell r="CE1633" t="str">
            <v xml:space="preserve">Americano      </v>
          </cell>
        </row>
        <row r="1634">
          <cell r="BY1634" t="str">
            <v>VALEF93</v>
          </cell>
          <cell r="BZ1634">
            <v>27</v>
          </cell>
          <cell r="CA1634" t="str">
            <v>15-06-2009</v>
          </cell>
          <cell r="CB1634" t="str">
            <v xml:space="preserve">VALE        </v>
          </cell>
          <cell r="CC1634" t="str">
            <v>PNA     N1</v>
          </cell>
          <cell r="CD1634" t="str">
            <v xml:space="preserve">OPCOES COMPRA  </v>
          </cell>
          <cell r="CE1634" t="str">
            <v xml:space="preserve">Europeu        </v>
          </cell>
        </row>
        <row r="1635">
          <cell r="BY1635" t="str">
            <v>VALEF30</v>
          </cell>
          <cell r="BZ1635">
            <v>30</v>
          </cell>
          <cell r="CA1635" t="str">
            <v>15-06-2009</v>
          </cell>
          <cell r="CB1635" t="str">
            <v xml:space="preserve">VALE        </v>
          </cell>
          <cell r="CC1635" t="str">
            <v>PNA     N1</v>
          </cell>
          <cell r="CD1635" t="str">
            <v xml:space="preserve">OPCOES COMPRA  </v>
          </cell>
          <cell r="CE1635" t="str">
            <v xml:space="preserve">Americano      </v>
          </cell>
        </row>
        <row r="1636">
          <cell r="BY1636" t="str">
            <v>VALEF32</v>
          </cell>
          <cell r="BZ1636">
            <v>32</v>
          </cell>
          <cell r="CA1636" t="str">
            <v>15-06-2009</v>
          </cell>
          <cell r="CB1636" t="str">
            <v xml:space="preserve">VALE        </v>
          </cell>
          <cell r="CC1636" t="str">
            <v>PNA     N1</v>
          </cell>
          <cell r="CD1636" t="str">
            <v xml:space="preserve">OPCOES COMPRA  </v>
          </cell>
          <cell r="CE1636" t="str">
            <v xml:space="preserve">Americano      </v>
          </cell>
        </row>
        <row r="1637">
          <cell r="BY1637" t="str">
            <v>VALEF98</v>
          </cell>
          <cell r="BZ1637">
            <v>45</v>
          </cell>
          <cell r="CA1637" t="str">
            <v>15-06-2009</v>
          </cell>
          <cell r="CB1637" t="str">
            <v xml:space="preserve">VALE        </v>
          </cell>
          <cell r="CC1637" t="str">
            <v>PNA     N1</v>
          </cell>
          <cell r="CD1637" t="str">
            <v xml:space="preserve">OPCOES COMPRA  </v>
          </cell>
          <cell r="CE1637" t="str">
            <v xml:space="preserve">Europeu        </v>
          </cell>
        </row>
        <row r="1638">
          <cell r="BY1638" t="str">
            <v>VALEF99</v>
          </cell>
          <cell r="BZ1638">
            <v>50</v>
          </cell>
          <cell r="CA1638" t="str">
            <v>15-06-2009</v>
          </cell>
          <cell r="CB1638" t="str">
            <v xml:space="preserve">VALE        </v>
          </cell>
          <cell r="CC1638" t="str">
            <v>PNA     N1</v>
          </cell>
          <cell r="CD1638" t="str">
            <v xml:space="preserve">OPCOES COMPRA  </v>
          </cell>
          <cell r="CE1638" t="str">
            <v xml:space="preserve">Europeu        </v>
          </cell>
        </row>
        <row r="1639">
          <cell r="BY1639" t="str">
            <v>VALEH99</v>
          </cell>
          <cell r="BZ1639">
            <v>30.5</v>
          </cell>
          <cell r="CA1639" t="str">
            <v>17-08-2009</v>
          </cell>
          <cell r="CB1639" t="str">
            <v xml:space="preserve">VALE        </v>
          </cell>
          <cell r="CC1639" t="str">
            <v>PNA     N1</v>
          </cell>
          <cell r="CD1639" t="str">
            <v xml:space="preserve">OPCOES COMPRA  </v>
          </cell>
          <cell r="CE1639" t="str">
            <v xml:space="preserve">Europeu        </v>
          </cell>
        </row>
        <row r="1640">
          <cell r="BY1640" t="str">
            <v>VALEJ26</v>
          </cell>
          <cell r="BZ1640">
            <v>26</v>
          </cell>
          <cell r="CA1640" t="str">
            <v>19-10-2009</v>
          </cell>
          <cell r="CB1640" t="str">
            <v xml:space="preserve">VALE        </v>
          </cell>
          <cell r="CC1640" t="str">
            <v>PNA     N1</v>
          </cell>
          <cell r="CD1640" t="str">
            <v xml:space="preserve">OPCOES COMPRA  </v>
          </cell>
          <cell r="CE1640" t="str">
            <v xml:space="preserve">Americano      </v>
          </cell>
        </row>
        <row r="1641">
          <cell r="BY1641" t="str">
            <v>VALEK30</v>
          </cell>
          <cell r="BZ1641">
            <v>30</v>
          </cell>
          <cell r="CA1641" t="str">
            <v>16-11-2009</v>
          </cell>
          <cell r="CB1641" t="str">
            <v xml:space="preserve">VALE        </v>
          </cell>
          <cell r="CC1641" t="str">
            <v>PNA     N1</v>
          </cell>
          <cell r="CD1641" t="str">
            <v xml:space="preserve">OPCOES COMPRA  </v>
          </cell>
          <cell r="CE1641" t="str">
            <v xml:space="preserve">Americano      </v>
          </cell>
        </row>
        <row r="1642">
          <cell r="BY1642" t="str">
            <v>VALEL26</v>
          </cell>
          <cell r="BZ1642">
            <v>26</v>
          </cell>
          <cell r="CA1642" t="str">
            <v>21-12-2009</v>
          </cell>
          <cell r="CB1642" t="str">
            <v xml:space="preserve">VALE        </v>
          </cell>
          <cell r="CC1642" t="str">
            <v>PNA     N1</v>
          </cell>
          <cell r="CD1642" t="str">
            <v xml:space="preserve">OPCOES COMPRA  </v>
          </cell>
          <cell r="CE1642" t="str">
            <v xml:space="preserve">Americano      </v>
          </cell>
        </row>
        <row r="1643">
          <cell r="BY1643" t="str">
            <v>VALEL96</v>
          </cell>
          <cell r="BZ1643">
            <v>26.1</v>
          </cell>
          <cell r="CA1643" t="str">
            <v>21-12-2009</v>
          </cell>
          <cell r="CB1643" t="str">
            <v xml:space="preserve">VALE        </v>
          </cell>
          <cell r="CC1643" t="str">
            <v>PNA     N1</v>
          </cell>
          <cell r="CD1643" t="str">
            <v xml:space="preserve">OPCOES COMPRA  </v>
          </cell>
          <cell r="CE1643" t="str">
            <v xml:space="preserve">Europeu        </v>
          </cell>
        </row>
        <row r="1644">
          <cell r="BY1644" t="str">
            <v>VALEL30</v>
          </cell>
          <cell r="BZ1644">
            <v>30</v>
          </cell>
          <cell r="CA1644" t="str">
            <v>21-12-2009</v>
          </cell>
          <cell r="CB1644" t="str">
            <v xml:space="preserve">VALE        </v>
          </cell>
          <cell r="CC1644" t="str">
            <v>PNA     N1</v>
          </cell>
          <cell r="CD1644" t="str">
            <v xml:space="preserve">OPCOES COMPRA  </v>
          </cell>
          <cell r="CE1644" t="str">
            <v xml:space="preserve">Americano      </v>
          </cell>
        </row>
        <row r="1645">
          <cell r="BY1645" t="str">
            <v>VALEA31</v>
          </cell>
          <cell r="BZ1645">
            <v>31</v>
          </cell>
          <cell r="CA1645" t="str">
            <v>18-01-2010</v>
          </cell>
          <cell r="CB1645" t="str">
            <v xml:space="preserve">VALE        </v>
          </cell>
          <cell r="CC1645" t="str">
            <v>PNA     N1</v>
          </cell>
          <cell r="CD1645" t="str">
            <v xml:space="preserve">OPCOES COMPRA  </v>
          </cell>
          <cell r="CE1645" t="str">
            <v xml:space="preserve">Europeu        </v>
          </cell>
        </row>
        <row r="1646">
          <cell r="BY1646" t="str">
            <v>VALEO18</v>
          </cell>
          <cell r="BZ1646">
            <v>18</v>
          </cell>
          <cell r="CA1646" t="str">
            <v>16-03-2009</v>
          </cell>
          <cell r="CB1646" t="str">
            <v xml:space="preserve">VALE        </v>
          </cell>
          <cell r="CC1646" t="str">
            <v>PNA     N1</v>
          </cell>
          <cell r="CD1646" t="str">
            <v xml:space="preserve">OPCOES VENDA   </v>
          </cell>
          <cell r="CE1646" t="str">
            <v xml:space="preserve">Europeu        </v>
          </cell>
        </row>
        <row r="1647">
          <cell r="BY1647" t="str">
            <v>VALEO20</v>
          </cell>
          <cell r="BZ1647">
            <v>20</v>
          </cell>
          <cell r="CA1647" t="str">
            <v>16-03-2009</v>
          </cell>
          <cell r="CB1647" t="str">
            <v xml:space="preserve">VALE        </v>
          </cell>
          <cell r="CC1647" t="str">
            <v>PNA     N1</v>
          </cell>
          <cell r="CD1647" t="str">
            <v xml:space="preserve">OPCOES VENDA   </v>
          </cell>
          <cell r="CE1647" t="str">
            <v xml:space="preserve">Europeu        </v>
          </cell>
        </row>
        <row r="1648">
          <cell r="BY1648" t="str">
            <v>VALEO22</v>
          </cell>
          <cell r="BZ1648">
            <v>22</v>
          </cell>
          <cell r="CA1648" t="str">
            <v>16-03-2009</v>
          </cell>
          <cell r="CB1648" t="str">
            <v xml:space="preserve">VALE        </v>
          </cell>
          <cell r="CC1648" t="str">
            <v>PNA     N1</v>
          </cell>
          <cell r="CD1648" t="str">
            <v xml:space="preserve">OPCOES VENDA   </v>
          </cell>
          <cell r="CE1648" t="str">
            <v xml:space="preserve">Europeu        </v>
          </cell>
        </row>
        <row r="1649">
          <cell r="BY1649" t="str">
            <v>VALEO23</v>
          </cell>
          <cell r="BZ1649">
            <v>23</v>
          </cell>
          <cell r="CA1649" t="str">
            <v>16-03-2009</v>
          </cell>
          <cell r="CB1649" t="str">
            <v xml:space="preserve">VALE        </v>
          </cell>
          <cell r="CC1649" t="str">
            <v>PNA     N1</v>
          </cell>
          <cell r="CD1649" t="str">
            <v xml:space="preserve">OPCOES VENDA   </v>
          </cell>
          <cell r="CE1649" t="str">
            <v xml:space="preserve">Europeu        </v>
          </cell>
        </row>
        <row r="1650">
          <cell r="BY1650" t="str">
            <v>VALEO24</v>
          </cell>
          <cell r="BZ1650">
            <v>24</v>
          </cell>
          <cell r="CA1650" t="str">
            <v>16-03-2009</v>
          </cell>
          <cell r="CB1650" t="str">
            <v xml:space="preserve">VALE        </v>
          </cell>
          <cell r="CC1650" t="str">
            <v>PNA     N1</v>
          </cell>
          <cell r="CD1650" t="str">
            <v xml:space="preserve">OPCOES VENDA   </v>
          </cell>
          <cell r="CE1650" t="str">
            <v xml:space="preserve">Europeu        </v>
          </cell>
        </row>
        <row r="1651">
          <cell r="BY1651" t="str">
            <v>VALEO25</v>
          </cell>
          <cell r="BZ1651">
            <v>25</v>
          </cell>
          <cell r="CA1651" t="str">
            <v>16-03-2009</v>
          </cell>
          <cell r="CB1651" t="str">
            <v xml:space="preserve">VALE        </v>
          </cell>
          <cell r="CC1651" t="str">
            <v>PNA     N1</v>
          </cell>
          <cell r="CD1651" t="str">
            <v xml:space="preserve">OPCOES VENDA   </v>
          </cell>
          <cell r="CE1651" t="str">
            <v xml:space="preserve">Europeu        </v>
          </cell>
        </row>
        <row r="1652">
          <cell r="BY1652" t="str">
            <v>VALEO26</v>
          </cell>
          <cell r="BZ1652">
            <v>26</v>
          </cell>
          <cell r="CA1652" t="str">
            <v>16-03-2009</v>
          </cell>
          <cell r="CB1652" t="str">
            <v xml:space="preserve">VALE        </v>
          </cell>
          <cell r="CC1652" t="str">
            <v>PNA     N1</v>
          </cell>
          <cell r="CD1652" t="str">
            <v xml:space="preserve">OPCOES VENDA   </v>
          </cell>
          <cell r="CE1652" t="str">
            <v xml:space="preserve">Europeu        </v>
          </cell>
        </row>
        <row r="1653">
          <cell r="BY1653" t="str">
            <v>VALEO4</v>
          </cell>
          <cell r="BZ1653">
            <v>26.5</v>
          </cell>
          <cell r="CA1653" t="str">
            <v>16-03-2009</v>
          </cell>
          <cell r="CB1653" t="str">
            <v xml:space="preserve">VALE        </v>
          </cell>
          <cell r="CC1653" t="str">
            <v>PNA     N1</v>
          </cell>
          <cell r="CD1653" t="str">
            <v xml:space="preserve">OPCOES VENDA   </v>
          </cell>
          <cell r="CE1653" t="str">
            <v xml:space="preserve">Europeu        </v>
          </cell>
        </row>
        <row r="1654">
          <cell r="BY1654" t="str">
            <v>VALEO27</v>
          </cell>
          <cell r="BZ1654">
            <v>27</v>
          </cell>
          <cell r="CA1654" t="str">
            <v>16-03-2009</v>
          </cell>
          <cell r="CB1654" t="str">
            <v xml:space="preserve">VALE        </v>
          </cell>
          <cell r="CC1654" t="str">
            <v>PNA     N1</v>
          </cell>
          <cell r="CD1654" t="str">
            <v xml:space="preserve">OPCOES VENDA   </v>
          </cell>
          <cell r="CE1654" t="str">
            <v xml:space="preserve">Europeu        </v>
          </cell>
        </row>
        <row r="1655">
          <cell r="BY1655" t="str">
            <v>VALEO5</v>
          </cell>
          <cell r="BZ1655">
            <v>27.5</v>
          </cell>
          <cell r="CA1655" t="str">
            <v>16-03-2009</v>
          </cell>
          <cell r="CB1655" t="str">
            <v xml:space="preserve">VALE        </v>
          </cell>
          <cell r="CC1655" t="str">
            <v>PNA     N1</v>
          </cell>
          <cell r="CD1655" t="str">
            <v xml:space="preserve">OPCOES VENDA   </v>
          </cell>
          <cell r="CE1655" t="str">
            <v xml:space="preserve">Europeu        </v>
          </cell>
        </row>
        <row r="1656">
          <cell r="BY1656" t="str">
            <v>VALEO28</v>
          </cell>
          <cell r="BZ1656">
            <v>28</v>
          </cell>
          <cell r="CA1656" t="str">
            <v>16-03-2009</v>
          </cell>
          <cell r="CB1656" t="str">
            <v xml:space="preserve">VALE        </v>
          </cell>
          <cell r="CC1656" t="str">
            <v>PNA     N1</v>
          </cell>
          <cell r="CD1656" t="str">
            <v xml:space="preserve">OPCOES VENDA   </v>
          </cell>
          <cell r="CE1656" t="str">
            <v xml:space="preserve">Europeu        </v>
          </cell>
        </row>
        <row r="1657">
          <cell r="BY1657" t="str">
            <v>VALEO1</v>
          </cell>
          <cell r="BZ1657">
            <v>28.5</v>
          </cell>
          <cell r="CA1657" t="str">
            <v>16-03-2009</v>
          </cell>
          <cell r="CB1657" t="str">
            <v xml:space="preserve">VALE        </v>
          </cell>
          <cell r="CC1657" t="str">
            <v>PNA     N1</v>
          </cell>
          <cell r="CD1657" t="str">
            <v xml:space="preserve">OPCOES VENDA   </v>
          </cell>
          <cell r="CE1657" t="str">
            <v xml:space="preserve">Europeu        </v>
          </cell>
        </row>
        <row r="1658">
          <cell r="BY1658" t="str">
            <v>VALEO29</v>
          </cell>
          <cell r="BZ1658">
            <v>29</v>
          </cell>
          <cell r="CA1658" t="str">
            <v>16-03-2009</v>
          </cell>
          <cell r="CB1658" t="str">
            <v xml:space="preserve">VALE        </v>
          </cell>
          <cell r="CC1658" t="str">
            <v>PNA     N1</v>
          </cell>
          <cell r="CD1658" t="str">
            <v xml:space="preserve">OPCOES VENDA   </v>
          </cell>
          <cell r="CE1658" t="str">
            <v xml:space="preserve">Europeu        </v>
          </cell>
        </row>
        <row r="1659">
          <cell r="BY1659" t="str">
            <v>VALEO30</v>
          </cell>
          <cell r="BZ1659">
            <v>30</v>
          </cell>
          <cell r="CA1659" t="str">
            <v>16-03-2009</v>
          </cell>
          <cell r="CB1659" t="str">
            <v xml:space="preserve">VALE        </v>
          </cell>
          <cell r="CC1659" t="str">
            <v>PNA     N1</v>
          </cell>
          <cell r="CD1659" t="str">
            <v xml:space="preserve">OPCOES VENDA   </v>
          </cell>
          <cell r="CE1659" t="str">
            <v xml:space="preserve">Europeu        </v>
          </cell>
        </row>
        <row r="1660">
          <cell r="BY1660" t="str">
            <v>VALEO6</v>
          </cell>
          <cell r="BZ1660">
            <v>30.5</v>
          </cell>
          <cell r="CA1660" t="str">
            <v>16-03-2009</v>
          </cell>
          <cell r="CB1660" t="str">
            <v xml:space="preserve">VALE        </v>
          </cell>
          <cell r="CC1660" t="str">
            <v>PNA     N1</v>
          </cell>
          <cell r="CD1660" t="str">
            <v xml:space="preserve">OPCOES VENDA   </v>
          </cell>
          <cell r="CE1660" t="str">
            <v xml:space="preserve">Europeu        </v>
          </cell>
        </row>
        <row r="1661">
          <cell r="BY1661" t="str">
            <v>VALEO31</v>
          </cell>
          <cell r="BZ1661">
            <v>31</v>
          </cell>
          <cell r="CA1661" t="str">
            <v>16-03-2009</v>
          </cell>
          <cell r="CB1661" t="str">
            <v xml:space="preserve">VALE        </v>
          </cell>
          <cell r="CC1661" t="str">
            <v>PNA     N1</v>
          </cell>
          <cell r="CD1661" t="str">
            <v xml:space="preserve">OPCOES VENDA   </v>
          </cell>
          <cell r="CE1661" t="str">
            <v xml:space="preserve">Europeu        </v>
          </cell>
        </row>
        <row r="1662">
          <cell r="BY1662" t="str">
            <v>VALEO32</v>
          </cell>
          <cell r="BZ1662">
            <v>32</v>
          </cell>
          <cell r="CA1662" t="str">
            <v>16-03-2009</v>
          </cell>
          <cell r="CB1662" t="str">
            <v xml:space="preserve">VALE        </v>
          </cell>
          <cell r="CC1662" t="str">
            <v>PNA     N1</v>
          </cell>
          <cell r="CD1662" t="str">
            <v xml:space="preserve">OPCOES VENDA   </v>
          </cell>
          <cell r="CE1662" t="str">
            <v xml:space="preserve">Europeu        </v>
          </cell>
        </row>
        <row r="1663">
          <cell r="BY1663" t="str">
            <v>VALEO2</v>
          </cell>
          <cell r="BZ1663">
            <v>32.5</v>
          </cell>
          <cell r="CA1663" t="str">
            <v>16-03-2009</v>
          </cell>
          <cell r="CB1663" t="str">
            <v xml:space="preserve">VALE        </v>
          </cell>
          <cell r="CC1663" t="str">
            <v>PNA     N1</v>
          </cell>
          <cell r="CD1663" t="str">
            <v xml:space="preserve">OPCOES VENDA   </v>
          </cell>
          <cell r="CE1663" t="str">
            <v xml:space="preserve">Europeu        </v>
          </cell>
        </row>
        <row r="1664">
          <cell r="BY1664" t="str">
            <v>VALEO33</v>
          </cell>
          <cell r="BZ1664">
            <v>33</v>
          </cell>
          <cell r="CA1664" t="str">
            <v>16-03-2009</v>
          </cell>
          <cell r="CB1664" t="str">
            <v xml:space="preserve">VALE        </v>
          </cell>
          <cell r="CC1664" t="str">
            <v>PNA     N1</v>
          </cell>
          <cell r="CD1664" t="str">
            <v xml:space="preserve">OPCOES VENDA   </v>
          </cell>
          <cell r="CE1664" t="str">
            <v xml:space="preserve">Europeu        </v>
          </cell>
        </row>
        <row r="1665">
          <cell r="BY1665" t="str">
            <v>VALEO7</v>
          </cell>
          <cell r="BZ1665">
            <v>33.5</v>
          </cell>
          <cell r="CA1665" t="str">
            <v>16-03-2009</v>
          </cell>
          <cell r="CB1665" t="str">
            <v xml:space="preserve">VALE        </v>
          </cell>
          <cell r="CC1665" t="str">
            <v>PNA     N1</v>
          </cell>
          <cell r="CD1665" t="str">
            <v xml:space="preserve">OPCOES VENDA   </v>
          </cell>
          <cell r="CE1665" t="str">
            <v xml:space="preserve">Europeu        </v>
          </cell>
        </row>
        <row r="1666">
          <cell r="BY1666" t="str">
            <v>VALEO34</v>
          </cell>
          <cell r="BZ1666">
            <v>34</v>
          </cell>
          <cell r="CA1666" t="str">
            <v>16-03-2009</v>
          </cell>
          <cell r="CB1666" t="str">
            <v xml:space="preserve">VALE        </v>
          </cell>
          <cell r="CC1666" t="str">
            <v>PNA     N1</v>
          </cell>
          <cell r="CD1666" t="str">
            <v xml:space="preserve">OPCOES VENDA   </v>
          </cell>
          <cell r="CE1666" t="str">
            <v xml:space="preserve">Europeu        </v>
          </cell>
        </row>
        <row r="1667">
          <cell r="BY1667" t="str">
            <v>VALEO35</v>
          </cell>
          <cell r="BZ1667">
            <v>35</v>
          </cell>
          <cell r="CA1667" t="str">
            <v>16-03-2009</v>
          </cell>
          <cell r="CB1667" t="str">
            <v xml:space="preserve">VALE        </v>
          </cell>
          <cell r="CC1667" t="str">
            <v>PNA     N1</v>
          </cell>
          <cell r="CD1667" t="str">
            <v xml:space="preserve">OPCOES VENDA   </v>
          </cell>
          <cell r="CE1667" t="str">
            <v xml:space="preserve">Europeu        </v>
          </cell>
        </row>
        <row r="1668">
          <cell r="BY1668" t="str">
            <v>VALEO3</v>
          </cell>
          <cell r="BZ1668">
            <v>35.5</v>
          </cell>
          <cell r="CA1668" t="str">
            <v>16-03-2009</v>
          </cell>
          <cell r="CB1668" t="str">
            <v xml:space="preserve">VALE        </v>
          </cell>
          <cell r="CC1668" t="str">
            <v>PNA     N1</v>
          </cell>
          <cell r="CD1668" t="str">
            <v xml:space="preserve">OPCOES VENDA   </v>
          </cell>
          <cell r="CE1668" t="str">
            <v xml:space="preserve">Europeu        </v>
          </cell>
        </row>
        <row r="1669">
          <cell r="BY1669" t="str">
            <v>VALEO36</v>
          </cell>
          <cell r="BZ1669">
            <v>36</v>
          </cell>
          <cell r="CA1669" t="str">
            <v>16-03-2009</v>
          </cell>
          <cell r="CB1669" t="str">
            <v xml:space="preserve">VALE        </v>
          </cell>
          <cell r="CC1669" t="str">
            <v>PNA     N1</v>
          </cell>
          <cell r="CD1669" t="str">
            <v xml:space="preserve">OPCOES VENDA   </v>
          </cell>
          <cell r="CE1669" t="str">
            <v xml:space="preserve">Europeu        </v>
          </cell>
        </row>
        <row r="1670">
          <cell r="BY1670" t="str">
            <v>VALEO38</v>
          </cell>
          <cell r="BZ1670">
            <v>38</v>
          </cell>
          <cell r="CA1670" t="str">
            <v>16-03-2009</v>
          </cell>
          <cell r="CB1670" t="str">
            <v xml:space="preserve">VALE        </v>
          </cell>
          <cell r="CC1670" t="str">
            <v>PNA     N1</v>
          </cell>
          <cell r="CD1670" t="str">
            <v xml:space="preserve">OPCOES VENDA   </v>
          </cell>
          <cell r="CE1670" t="str">
            <v xml:space="preserve">Europeu        </v>
          </cell>
        </row>
        <row r="1671">
          <cell r="BY1671" t="str">
            <v>VALEO40</v>
          </cell>
          <cell r="BZ1671">
            <v>40</v>
          </cell>
          <cell r="CA1671" t="str">
            <v>16-03-2009</v>
          </cell>
          <cell r="CB1671" t="str">
            <v xml:space="preserve">VALE        </v>
          </cell>
          <cell r="CC1671" t="str">
            <v>PNA     N1</v>
          </cell>
          <cell r="CD1671" t="str">
            <v xml:space="preserve">OPCOES VENDA   </v>
          </cell>
          <cell r="CE1671" t="str">
            <v xml:space="preserve">Europeu        </v>
          </cell>
        </row>
        <row r="1672">
          <cell r="BY1672" t="str">
            <v>VALEO42</v>
          </cell>
          <cell r="BZ1672">
            <v>42</v>
          </cell>
          <cell r="CA1672" t="str">
            <v>16-03-2009</v>
          </cell>
          <cell r="CB1672" t="str">
            <v xml:space="preserve">VALE        </v>
          </cell>
          <cell r="CC1672" t="str">
            <v>PNA     N1</v>
          </cell>
          <cell r="CD1672" t="str">
            <v xml:space="preserve">OPCOES VENDA   </v>
          </cell>
          <cell r="CE1672" t="str">
            <v xml:space="preserve">Europeu        </v>
          </cell>
        </row>
        <row r="1673">
          <cell r="BY1673" t="str">
            <v>VALEO44</v>
          </cell>
          <cell r="BZ1673">
            <v>44</v>
          </cell>
          <cell r="CA1673" t="str">
            <v>16-03-2009</v>
          </cell>
          <cell r="CB1673" t="str">
            <v xml:space="preserve">VALE        </v>
          </cell>
          <cell r="CC1673" t="str">
            <v>PNA     N1</v>
          </cell>
          <cell r="CD1673" t="str">
            <v xml:space="preserve">OPCOES VENDA   </v>
          </cell>
          <cell r="CE1673" t="str">
            <v xml:space="preserve">Europeu        </v>
          </cell>
        </row>
        <row r="1674">
          <cell r="BY1674" t="str">
            <v>VALEO46</v>
          </cell>
          <cell r="BZ1674">
            <v>46</v>
          </cell>
          <cell r="CA1674" t="str">
            <v>16-03-2009</v>
          </cell>
          <cell r="CB1674" t="str">
            <v xml:space="preserve">VALE        </v>
          </cell>
          <cell r="CC1674" t="str">
            <v>PNA     N1</v>
          </cell>
          <cell r="CD1674" t="str">
            <v xml:space="preserve">OPCOES VENDA   </v>
          </cell>
          <cell r="CE1674" t="str">
            <v xml:space="preserve">Europeu        </v>
          </cell>
        </row>
        <row r="1675">
          <cell r="BY1675" t="str">
            <v>VALEO48</v>
          </cell>
          <cell r="BZ1675">
            <v>48</v>
          </cell>
          <cell r="CA1675" t="str">
            <v>16-03-2009</v>
          </cell>
          <cell r="CB1675" t="str">
            <v xml:space="preserve">VALE        </v>
          </cell>
          <cell r="CC1675" t="str">
            <v>PNA     N1</v>
          </cell>
          <cell r="CD1675" t="str">
            <v xml:space="preserve">OPCOES VENDA   </v>
          </cell>
          <cell r="CE1675" t="str">
            <v xml:space="preserve">Europeu        </v>
          </cell>
        </row>
        <row r="1676">
          <cell r="BY1676" t="str">
            <v>VALEP92</v>
          </cell>
          <cell r="BZ1676">
            <v>17</v>
          </cell>
          <cell r="CA1676" t="str">
            <v>20-04-2009</v>
          </cell>
          <cell r="CB1676" t="str">
            <v xml:space="preserve">VALE        </v>
          </cell>
          <cell r="CC1676" t="str">
            <v>PNA     N1</v>
          </cell>
          <cell r="CD1676" t="str">
            <v xml:space="preserve">OPCOES VENDA   </v>
          </cell>
          <cell r="CE1676" t="str">
            <v xml:space="preserve">Europeu        </v>
          </cell>
        </row>
        <row r="1677">
          <cell r="BY1677" t="str">
            <v>VALEP18</v>
          </cell>
          <cell r="BZ1677">
            <v>18</v>
          </cell>
          <cell r="CA1677" t="str">
            <v>20-04-2009</v>
          </cell>
          <cell r="CB1677" t="str">
            <v xml:space="preserve">VALE        </v>
          </cell>
          <cell r="CC1677" t="str">
            <v>PNA     N1</v>
          </cell>
          <cell r="CD1677" t="str">
            <v xml:space="preserve">OPCOES VENDA   </v>
          </cell>
          <cell r="CE1677" t="str">
            <v xml:space="preserve">Europeu        </v>
          </cell>
        </row>
        <row r="1678">
          <cell r="BY1678" t="str">
            <v>VALEP91</v>
          </cell>
          <cell r="BZ1678">
            <v>19</v>
          </cell>
          <cell r="CA1678" t="str">
            <v>20-04-2009</v>
          </cell>
          <cell r="CB1678" t="str">
            <v xml:space="preserve">VALE        </v>
          </cell>
          <cell r="CC1678" t="str">
            <v>PNA     N1</v>
          </cell>
          <cell r="CD1678" t="str">
            <v xml:space="preserve">OPCOES VENDA   </v>
          </cell>
          <cell r="CE1678" t="str">
            <v xml:space="preserve">Europeu        </v>
          </cell>
        </row>
        <row r="1679">
          <cell r="BY1679" t="str">
            <v>VALEP20</v>
          </cell>
          <cell r="BZ1679">
            <v>20</v>
          </cell>
          <cell r="CA1679" t="str">
            <v>20-04-2009</v>
          </cell>
          <cell r="CB1679" t="str">
            <v xml:space="preserve">VALE        </v>
          </cell>
          <cell r="CC1679" t="str">
            <v>PNA     N1</v>
          </cell>
          <cell r="CD1679" t="str">
            <v xml:space="preserve">OPCOES VENDA   </v>
          </cell>
          <cell r="CE1679" t="str">
            <v xml:space="preserve">Europeu        </v>
          </cell>
        </row>
        <row r="1680">
          <cell r="BY1680" t="str">
            <v>VALEP90</v>
          </cell>
          <cell r="BZ1680">
            <v>21</v>
          </cell>
          <cell r="CA1680" t="str">
            <v>20-04-2009</v>
          </cell>
          <cell r="CB1680" t="str">
            <v xml:space="preserve">VALE        </v>
          </cell>
          <cell r="CC1680" t="str">
            <v>PNA     N1</v>
          </cell>
          <cell r="CD1680" t="str">
            <v xml:space="preserve">OPCOES VENDA   </v>
          </cell>
          <cell r="CE1680" t="str">
            <v xml:space="preserve">Europeu        </v>
          </cell>
        </row>
        <row r="1681">
          <cell r="BY1681" t="str">
            <v>VALEP22</v>
          </cell>
          <cell r="BZ1681">
            <v>22</v>
          </cell>
          <cell r="CA1681" t="str">
            <v>20-04-2009</v>
          </cell>
          <cell r="CB1681" t="str">
            <v xml:space="preserve">VALE        </v>
          </cell>
          <cell r="CC1681" t="str">
            <v>PNA     N1</v>
          </cell>
          <cell r="CD1681" t="str">
            <v xml:space="preserve">OPCOES VENDA   </v>
          </cell>
          <cell r="CE1681" t="str">
            <v xml:space="preserve">Europeu        </v>
          </cell>
        </row>
        <row r="1682">
          <cell r="BY1682" t="str">
            <v>VALEP89</v>
          </cell>
          <cell r="BZ1682">
            <v>23</v>
          </cell>
          <cell r="CA1682" t="str">
            <v>20-04-2009</v>
          </cell>
          <cell r="CB1682" t="str">
            <v xml:space="preserve">VALE        </v>
          </cell>
          <cell r="CC1682" t="str">
            <v>PNA     N1</v>
          </cell>
          <cell r="CD1682" t="str">
            <v xml:space="preserve">OPCOES VENDA   </v>
          </cell>
          <cell r="CE1682" t="str">
            <v xml:space="preserve">Europeu        </v>
          </cell>
        </row>
        <row r="1683">
          <cell r="BY1683" t="str">
            <v>VALEP24</v>
          </cell>
          <cell r="BZ1683">
            <v>24</v>
          </cell>
          <cell r="CA1683" t="str">
            <v>20-04-2009</v>
          </cell>
          <cell r="CB1683" t="str">
            <v xml:space="preserve">VALE        </v>
          </cell>
          <cell r="CC1683" t="str">
            <v>PNA     N1</v>
          </cell>
          <cell r="CD1683" t="str">
            <v xml:space="preserve">OPCOES VENDA   </v>
          </cell>
          <cell r="CE1683" t="str">
            <v xml:space="preserve">Europeu        </v>
          </cell>
        </row>
        <row r="1684">
          <cell r="BY1684" t="str">
            <v>VALEP5</v>
          </cell>
          <cell r="BZ1684">
            <v>24.5</v>
          </cell>
          <cell r="CA1684" t="str">
            <v>20-04-2009</v>
          </cell>
          <cell r="CB1684" t="str">
            <v xml:space="preserve">VALE        </v>
          </cell>
          <cell r="CC1684" t="str">
            <v>PNA     N1</v>
          </cell>
          <cell r="CD1684" t="str">
            <v xml:space="preserve">OPCOES VENDA   </v>
          </cell>
          <cell r="CE1684" t="str">
            <v xml:space="preserve">Europeu        </v>
          </cell>
        </row>
        <row r="1685">
          <cell r="BY1685" t="str">
            <v>VALEP6</v>
          </cell>
          <cell r="BZ1685">
            <v>25</v>
          </cell>
          <cell r="CA1685" t="str">
            <v>20-04-2009</v>
          </cell>
          <cell r="CB1685" t="str">
            <v xml:space="preserve">VALE        </v>
          </cell>
          <cell r="CC1685" t="str">
            <v>PNA     N1</v>
          </cell>
          <cell r="CD1685" t="str">
            <v xml:space="preserve">OPCOES VENDA   </v>
          </cell>
          <cell r="CE1685" t="str">
            <v xml:space="preserve">Europeu        </v>
          </cell>
        </row>
        <row r="1686">
          <cell r="BY1686" t="str">
            <v>VALEP7</v>
          </cell>
          <cell r="BZ1686">
            <v>25.5</v>
          </cell>
          <cell r="CA1686" t="str">
            <v>20-04-2009</v>
          </cell>
          <cell r="CB1686" t="str">
            <v xml:space="preserve">VALE        </v>
          </cell>
          <cell r="CC1686" t="str">
            <v>PNA     N1</v>
          </cell>
          <cell r="CD1686" t="str">
            <v xml:space="preserve">OPCOES VENDA   </v>
          </cell>
          <cell r="CE1686" t="str">
            <v xml:space="preserve">Europeu        </v>
          </cell>
        </row>
        <row r="1687">
          <cell r="BY1687" t="str">
            <v>VALEP26</v>
          </cell>
          <cell r="BZ1687">
            <v>26</v>
          </cell>
          <cell r="CA1687" t="str">
            <v>20-04-2009</v>
          </cell>
          <cell r="CB1687" t="str">
            <v xml:space="preserve">VALE        </v>
          </cell>
          <cell r="CC1687" t="str">
            <v>PNA     N1</v>
          </cell>
          <cell r="CD1687" t="str">
            <v xml:space="preserve">OPCOES VENDA   </v>
          </cell>
          <cell r="CE1687" t="str">
            <v xml:space="preserve">Europeu        </v>
          </cell>
        </row>
        <row r="1688">
          <cell r="BY1688" t="str">
            <v>VALEP94</v>
          </cell>
          <cell r="BZ1688">
            <v>26.5</v>
          </cell>
          <cell r="CA1688" t="str">
            <v>20-04-2009</v>
          </cell>
          <cell r="CB1688" t="str">
            <v xml:space="preserve">VALE        </v>
          </cell>
          <cell r="CC1688" t="str">
            <v>PNA     N1</v>
          </cell>
          <cell r="CD1688" t="str">
            <v xml:space="preserve">OPCOES VENDA   </v>
          </cell>
          <cell r="CE1688" t="str">
            <v xml:space="preserve">Europeu        </v>
          </cell>
        </row>
        <row r="1689">
          <cell r="BY1689" t="str">
            <v>VALEP93</v>
          </cell>
          <cell r="BZ1689">
            <v>27</v>
          </cell>
          <cell r="CA1689" t="str">
            <v>20-04-2009</v>
          </cell>
          <cell r="CB1689" t="str">
            <v xml:space="preserve">VALE        </v>
          </cell>
          <cell r="CC1689" t="str">
            <v>PNA     N1</v>
          </cell>
          <cell r="CD1689" t="str">
            <v xml:space="preserve">OPCOES VENDA   </v>
          </cell>
          <cell r="CE1689" t="str">
            <v xml:space="preserve">Europeu        </v>
          </cell>
        </row>
        <row r="1690">
          <cell r="BY1690" t="str">
            <v>VALEP11</v>
          </cell>
          <cell r="BZ1690">
            <v>27.5</v>
          </cell>
          <cell r="CA1690" t="str">
            <v>20-04-2009</v>
          </cell>
          <cell r="CB1690" t="str">
            <v xml:space="preserve">VALE        </v>
          </cell>
          <cell r="CC1690" t="str">
            <v>PNA     N1</v>
          </cell>
          <cell r="CD1690" t="str">
            <v xml:space="preserve">OPCOES VENDA   </v>
          </cell>
          <cell r="CE1690" t="str">
            <v xml:space="preserve">Europeu        </v>
          </cell>
        </row>
        <row r="1691">
          <cell r="BY1691" t="str">
            <v>VALEP28</v>
          </cell>
          <cell r="BZ1691">
            <v>28</v>
          </cell>
          <cell r="CA1691" t="str">
            <v>20-04-2009</v>
          </cell>
          <cell r="CB1691" t="str">
            <v xml:space="preserve">VALE        </v>
          </cell>
          <cell r="CC1691" t="str">
            <v>PNA     N1</v>
          </cell>
          <cell r="CD1691" t="str">
            <v xml:space="preserve">OPCOES VENDA   </v>
          </cell>
          <cell r="CE1691" t="str">
            <v xml:space="preserve">Europeu        </v>
          </cell>
        </row>
        <row r="1692">
          <cell r="BY1692" t="str">
            <v>VALEP8</v>
          </cell>
          <cell r="BZ1692">
            <v>28.5</v>
          </cell>
          <cell r="CA1692" t="str">
            <v>20-04-2009</v>
          </cell>
          <cell r="CB1692" t="str">
            <v xml:space="preserve">VALE        </v>
          </cell>
          <cell r="CC1692" t="str">
            <v>PNA     N1</v>
          </cell>
          <cell r="CD1692" t="str">
            <v xml:space="preserve">OPCOES VENDA   </v>
          </cell>
          <cell r="CE1692" t="str">
            <v xml:space="preserve">Europeu        </v>
          </cell>
        </row>
        <row r="1693">
          <cell r="BY1693" t="str">
            <v>VALEP9</v>
          </cell>
          <cell r="BZ1693">
            <v>29</v>
          </cell>
          <cell r="CA1693" t="str">
            <v>20-04-2009</v>
          </cell>
          <cell r="CB1693" t="str">
            <v xml:space="preserve">VALE        </v>
          </cell>
          <cell r="CC1693" t="str">
            <v>PNA     N1</v>
          </cell>
          <cell r="CD1693" t="str">
            <v xml:space="preserve">OPCOES VENDA   </v>
          </cell>
          <cell r="CE1693" t="str">
            <v xml:space="preserve">Europeu        </v>
          </cell>
        </row>
        <row r="1694">
          <cell r="BY1694" t="str">
            <v>VALEP1</v>
          </cell>
          <cell r="BZ1694">
            <v>29.5</v>
          </cell>
          <cell r="CA1694" t="str">
            <v>20-04-2009</v>
          </cell>
          <cell r="CB1694" t="str">
            <v xml:space="preserve">VALE        </v>
          </cell>
          <cell r="CC1694" t="str">
            <v>PNA     N1</v>
          </cell>
          <cell r="CD1694" t="str">
            <v xml:space="preserve">OPCOES VENDA   </v>
          </cell>
          <cell r="CE1694" t="str">
            <v xml:space="preserve">Europeu        </v>
          </cell>
        </row>
        <row r="1695">
          <cell r="BY1695" t="str">
            <v>VALEP30</v>
          </cell>
          <cell r="BZ1695">
            <v>30</v>
          </cell>
          <cell r="CA1695" t="str">
            <v>20-04-2009</v>
          </cell>
          <cell r="CB1695" t="str">
            <v xml:space="preserve">VALE        </v>
          </cell>
          <cell r="CC1695" t="str">
            <v>PNA     N1</v>
          </cell>
          <cell r="CD1695" t="str">
            <v xml:space="preserve">OPCOES VENDA   </v>
          </cell>
          <cell r="CE1695" t="str">
            <v xml:space="preserve">Europeu        </v>
          </cell>
        </row>
        <row r="1696">
          <cell r="BY1696" t="str">
            <v>VALEP3</v>
          </cell>
          <cell r="BZ1696">
            <v>30.5</v>
          </cell>
          <cell r="CA1696" t="str">
            <v>20-04-2009</v>
          </cell>
          <cell r="CB1696" t="str">
            <v xml:space="preserve">VALE        </v>
          </cell>
          <cell r="CC1696" t="str">
            <v>PNA     N1</v>
          </cell>
          <cell r="CD1696" t="str">
            <v xml:space="preserve">OPCOES VENDA   </v>
          </cell>
          <cell r="CE1696" t="str">
            <v xml:space="preserve">Europeu        </v>
          </cell>
        </row>
        <row r="1697">
          <cell r="BY1697" t="str">
            <v>VALEP97</v>
          </cell>
          <cell r="BZ1697">
            <v>31</v>
          </cell>
          <cell r="CA1697" t="str">
            <v>20-04-2009</v>
          </cell>
          <cell r="CB1697" t="str">
            <v xml:space="preserve">VALE        </v>
          </cell>
          <cell r="CC1697" t="str">
            <v>PNA     N1</v>
          </cell>
          <cell r="CD1697" t="str">
            <v xml:space="preserve">OPCOES VENDA   </v>
          </cell>
          <cell r="CE1697" t="str">
            <v xml:space="preserve">Europeu        </v>
          </cell>
        </row>
        <row r="1698">
          <cell r="BY1698" t="str">
            <v>VALEP10</v>
          </cell>
          <cell r="BZ1698">
            <v>31.5</v>
          </cell>
          <cell r="CA1698" t="str">
            <v>20-04-2009</v>
          </cell>
          <cell r="CB1698" t="str">
            <v xml:space="preserve">VALE        </v>
          </cell>
          <cell r="CC1698" t="str">
            <v>PNA     N1</v>
          </cell>
          <cell r="CD1698" t="str">
            <v xml:space="preserve">OPCOES VENDA   </v>
          </cell>
          <cell r="CE1698" t="str">
            <v xml:space="preserve">Europeu        </v>
          </cell>
        </row>
        <row r="1699">
          <cell r="BY1699" t="str">
            <v>VALEP32</v>
          </cell>
          <cell r="BZ1699">
            <v>32</v>
          </cell>
          <cell r="CA1699" t="str">
            <v>20-04-2009</v>
          </cell>
          <cell r="CB1699" t="str">
            <v xml:space="preserve">VALE        </v>
          </cell>
          <cell r="CC1699" t="str">
            <v>PNA     N1</v>
          </cell>
          <cell r="CD1699" t="str">
            <v xml:space="preserve">OPCOES VENDA   </v>
          </cell>
          <cell r="CE1699" t="str">
            <v xml:space="preserve">Europeu        </v>
          </cell>
        </row>
        <row r="1700">
          <cell r="BY1700" t="str">
            <v>VALEP2</v>
          </cell>
          <cell r="BZ1700">
            <v>32.5</v>
          </cell>
          <cell r="CA1700" t="str">
            <v>20-04-2009</v>
          </cell>
          <cell r="CB1700" t="str">
            <v xml:space="preserve">VALE        </v>
          </cell>
          <cell r="CC1700" t="str">
            <v>PNA     N1</v>
          </cell>
          <cell r="CD1700" t="str">
            <v xml:space="preserve">OPCOES VENDA   </v>
          </cell>
          <cell r="CE1700" t="str">
            <v xml:space="preserve">Europeu        </v>
          </cell>
        </row>
        <row r="1701">
          <cell r="BY1701" t="str">
            <v>VALEP96</v>
          </cell>
          <cell r="BZ1701">
            <v>33</v>
          </cell>
          <cell r="CA1701" t="str">
            <v>20-04-2009</v>
          </cell>
          <cell r="CB1701" t="str">
            <v xml:space="preserve">VALE        </v>
          </cell>
          <cell r="CC1701" t="str">
            <v>PNA     N1</v>
          </cell>
          <cell r="CD1701" t="str">
            <v xml:space="preserve">OPCOES VENDA   </v>
          </cell>
          <cell r="CE1701" t="str">
            <v xml:space="preserve">Europeu        </v>
          </cell>
        </row>
        <row r="1702">
          <cell r="BY1702" t="str">
            <v>VALEP4</v>
          </cell>
          <cell r="BZ1702">
            <v>33.5</v>
          </cell>
          <cell r="CA1702" t="str">
            <v>20-04-2009</v>
          </cell>
          <cell r="CB1702" t="str">
            <v xml:space="preserve">VALE        </v>
          </cell>
          <cell r="CC1702" t="str">
            <v>PNA     N1</v>
          </cell>
          <cell r="CD1702" t="str">
            <v xml:space="preserve">OPCOES VENDA   </v>
          </cell>
          <cell r="CE1702" t="str">
            <v xml:space="preserve">Europeu        </v>
          </cell>
        </row>
        <row r="1703">
          <cell r="BY1703" t="str">
            <v>VALEP34</v>
          </cell>
          <cell r="BZ1703">
            <v>34</v>
          </cell>
          <cell r="CA1703" t="str">
            <v>20-04-2009</v>
          </cell>
          <cell r="CB1703" t="str">
            <v xml:space="preserve">VALE        </v>
          </cell>
          <cell r="CC1703" t="str">
            <v>PNA     N1</v>
          </cell>
          <cell r="CD1703" t="str">
            <v xml:space="preserve">OPCOES VENDA   </v>
          </cell>
          <cell r="CE1703" t="str">
            <v xml:space="preserve">Europeu        </v>
          </cell>
        </row>
        <row r="1704">
          <cell r="BY1704" t="str">
            <v>VALEP95</v>
          </cell>
          <cell r="BZ1704">
            <v>35</v>
          </cell>
          <cell r="CA1704" t="str">
            <v>20-04-2009</v>
          </cell>
          <cell r="CB1704" t="str">
            <v xml:space="preserve">VALE        </v>
          </cell>
          <cell r="CC1704" t="str">
            <v>PNA     N1</v>
          </cell>
          <cell r="CD1704" t="str">
            <v xml:space="preserve">OPCOES VENDA   </v>
          </cell>
          <cell r="CE1704" t="str">
            <v xml:space="preserve">Europeu        </v>
          </cell>
        </row>
        <row r="1705">
          <cell r="BY1705" t="str">
            <v>VALEP36</v>
          </cell>
          <cell r="BZ1705">
            <v>36</v>
          </cell>
          <cell r="CA1705" t="str">
            <v>20-04-2009</v>
          </cell>
          <cell r="CB1705" t="str">
            <v xml:space="preserve">VALE        </v>
          </cell>
          <cell r="CC1705" t="str">
            <v>PNA     N1</v>
          </cell>
          <cell r="CD1705" t="str">
            <v xml:space="preserve">OPCOES VENDA   </v>
          </cell>
          <cell r="CE1705" t="str">
            <v xml:space="preserve">Europeu        </v>
          </cell>
        </row>
        <row r="1706">
          <cell r="BY1706" t="str">
            <v>VALEP38</v>
          </cell>
          <cell r="BZ1706">
            <v>37.42</v>
          </cell>
          <cell r="CA1706" t="str">
            <v>20-04-2009</v>
          </cell>
          <cell r="CB1706" t="str">
            <v xml:space="preserve">VALE        </v>
          </cell>
          <cell r="CC1706" t="str">
            <v>PNA     N1</v>
          </cell>
          <cell r="CD1706" t="str">
            <v xml:space="preserve">OPCOES VENDA   </v>
          </cell>
          <cell r="CE1706" t="str">
            <v xml:space="preserve">Europeu        </v>
          </cell>
        </row>
        <row r="1707">
          <cell r="BY1707" t="str">
            <v>VALEP40</v>
          </cell>
          <cell r="BZ1707">
            <v>40</v>
          </cell>
          <cell r="CA1707" t="str">
            <v>20-04-2009</v>
          </cell>
          <cell r="CB1707" t="str">
            <v xml:space="preserve">VALE        </v>
          </cell>
          <cell r="CC1707" t="str">
            <v>PNA     N1</v>
          </cell>
          <cell r="CD1707" t="str">
            <v xml:space="preserve">OPCOES VENDA   </v>
          </cell>
          <cell r="CE1707" t="str">
            <v xml:space="preserve">Europeu        </v>
          </cell>
        </row>
        <row r="1708">
          <cell r="BY1708" t="str">
            <v>VALEP42</v>
          </cell>
          <cell r="BZ1708">
            <v>42</v>
          </cell>
          <cell r="CA1708" t="str">
            <v>20-04-2009</v>
          </cell>
          <cell r="CB1708" t="str">
            <v xml:space="preserve">VALE        </v>
          </cell>
          <cell r="CC1708" t="str">
            <v>PNA     N1</v>
          </cell>
          <cell r="CD1708" t="str">
            <v xml:space="preserve">OPCOES VENDA   </v>
          </cell>
          <cell r="CE1708" t="str">
            <v xml:space="preserve">Europeu        </v>
          </cell>
        </row>
        <row r="1709">
          <cell r="BY1709" t="str">
            <v>VALEP98</v>
          </cell>
          <cell r="BZ1709">
            <v>50</v>
          </cell>
          <cell r="CA1709" t="str">
            <v>20-04-2009</v>
          </cell>
          <cell r="CB1709" t="str">
            <v xml:space="preserve">VALE        </v>
          </cell>
          <cell r="CC1709" t="str">
            <v>PNA     N1</v>
          </cell>
          <cell r="CD1709" t="str">
            <v xml:space="preserve">OPCOES VENDA   </v>
          </cell>
          <cell r="CE1709" t="str">
            <v xml:space="preserve">Europeu        </v>
          </cell>
        </row>
        <row r="1710">
          <cell r="BY1710" t="str">
            <v>VALEP99</v>
          </cell>
          <cell r="BZ1710">
            <v>54.42</v>
          </cell>
          <cell r="CA1710" t="str">
            <v>20-04-2009</v>
          </cell>
          <cell r="CB1710" t="str">
            <v xml:space="preserve">VALE        </v>
          </cell>
          <cell r="CC1710" t="str">
            <v>PNA     N1</v>
          </cell>
          <cell r="CD1710" t="str">
            <v xml:space="preserve">OPCOES VENDA   </v>
          </cell>
          <cell r="CE1710" t="str">
            <v xml:space="preserve">Europeu        </v>
          </cell>
        </row>
        <row r="1711">
          <cell r="BY1711" t="str">
            <v>VALEQ18</v>
          </cell>
          <cell r="BZ1711">
            <v>18</v>
          </cell>
          <cell r="CA1711" t="str">
            <v>18-05-2009</v>
          </cell>
          <cell r="CB1711" t="str">
            <v xml:space="preserve">VALE        </v>
          </cell>
          <cell r="CC1711" t="str">
            <v>PNA     N1</v>
          </cell>
          <cell r="CD1711" t="str">
            <v xml:space="preserve">OPCOES VENDA   </v>
          </cell>
          <cell r="CE1711" t="str">
            <v xml:space="preserve">Europeu        </v>
          </cell>
        </row>
        <row r="1712">
          <cell r="BY1712" t="str">
            <v>VALEQ20</v>
          </cell>
          <cell r="BZ1712">
            <v>20</v>
          </cell>
          <cell r="CA1712" t="str">
            <v>18-05-2009</v>
          </cell>
          <cell r="CB1712" t="str">
            <v xml:space="preserve">VALE        </v>
          </cell>
          <cell r="CC1712" t="str">
            <v>PNA     N1</v>
          </cell>
          <cell r="CD1712" t="str">
            <v xml:space="preserve">OPCOES VENDA   </v>
          </cell>
          <cell r="CE1712" t="str">
            <v xml:space="preserve">Europeu        </v>
          </cell>
        </row>
        <row r="1713">
          <cell r="BY1713" t="str">
            <v>VALEQ22</v>
          </cell>
          <cell r="BZ1713">
            <v>22</v>
          </cell>
          <cell r="CA1713" t="str">
            <v>18-05-2009</v>
          </cell>
          <cell r="CB1713" t="str">
            <v xml:space="preserve">VALE        </v>
          </cell>
          <cell r="CC1713" t="str">
            <v>PNA     N1</v>
          </cell>
          <cell r="CD1713" t="str">
            <v xml:space="preserve">OPCOES VENDA   </v>
          </cell>
          <cell r="CE1713" t="str">
            <v xml:space="preserve">Europeu        </v>
          </cell>
        </row>
        <row r="1714">
          <cell r="BY1714" t="str">
            <v>VALEQ24</v>
          </cell>
          <cell r="BZ1714">
            <v>24</v>
          </cell>
          <cell r="CA1714" t="str">
            <v>18-05-2009</v>
          </cell>
          <cell r="CB1714" t="str">
            <v xml:space="preserve">VALE        </v>
          </cell>
          <cell r="CC1714" t="str">
            <v>PNA     N1</v>
          </cell>
          <cell r="CD1714" t="str">
            <v xml:space="preserve">OPCOES VENDA   </v>
          </cell>
          <cell r="CE1714" t="str">
            <v xml:space="preserve">Europeu        </v>
          </cell>
        </row>
        <row r="1715">
          <cell r="BY1715" t="str">
            <v>VALEQ26</v>
          </cell>
          <cell r="BZ1715">
            <v>26</v>
          </cell>
          <cell r="CA1715" t="str">
            <v>18-05-2009</v>
          </cell>
          <cell r="CB1715" t="str">
            <v xml:space="preserve">VALE        </v>
          </cell>
          <cell r="CC1715" t="str">
            <v>PNA     N1</v>
          </cell>
          <cell r="CD1715" t="str">
            <v xml:space="preserve">OPCOES VENDA   </v>
          </cell>
          <cell r="CE1715" t="str">
            <v xml:space="preserve">Europeu        </v>
          </cell>
        </row>
        <row r="1716">
          <cell r="BY1716" t="str">
            <v>VALEQ28</v>
          </cell>
          <cell r="BZ1716">
            <v>28</v>
          </cell>
          <cell r="CA1716" t="str">
            <v>18-05-2009</v>
          </cell>
          <cell r="CB1716" t="str">
            <v xml:space="preserve">VALE        </v>
          </cell>
          <cell r="CC1716" t="str">
            <v>PNA     N1</v>
          </cell>
          <cell r="CD1716" t="str">
            <v xml:space="preserve">OPCOES VENDA   </v>
          </cell>
          <cell r="CE1716" t="str">
            <v xml:space="preserve">Europeu        </v>
          </cell>
        </row>
        <row r="1717">
          <cell r="BY1717" t="str">
            <v>VALEQ30</v>
          </cell>
          <cell r="BZ1717">
            <v>30</v>
          </cell>
          <cell r="CA1717" t="str">
            <v>18-05-2009</v>
          </cell>
          <cell r="CB1717" t="str">
            <v xml:space="preserve">VALE        </v>
          </cell>
          <cell r="CC1717" t="str">
            <v>PNA     N1</v>
          </cell>
          <cell r="CD1717" t="str">
            <v xml:space="preserve">OPCOES VENDA   </v>
          </cell>
          <cell r="CE1717" t="str">
            <v xml:space="preserve">Europeu        </v>
          </cell>
        </row>
        <row r="1718">
          <cell r="BY1718" t="str">
            <v>VALEQ32</v>
          </cell>
          <cell r="BZ1718">
            <v>32</v>
          </cell>
          <cell r="CA1718" t="str">
            <v>18-05-2009</v>
          </cell>
          <cell r="CB1718" t="str">
            <v xml:space="preserve">VALE        </v>
          </cell>
          <cell r="CC1718" t="str">
            <v>PNA     N1</v>
          </cell>
          <cell r="CD1718" t="str">
            <v xml:space="preserve">OPCOES VENDA   </v>
          </cell>
          <cell r="CE1718" t="str">
            <v xml:space="preserve">Europeu        </v>
          </cell>
        </row>
        <row r="1719">
          <cell r="BY1719" t="str">
            <v>VALEQ34</v>
          </cell>
          <cell r="BZ1719">
            <v>34</v>
          </cell>
          <cell r="CA1719" t="str">
            <v>18-05-2009</v>
          </cell>
          <cell r="CB1719" t="str">
            <v xml:space="preserve">VALE        </v>
          </cell>
          <cell r="CC1719" t="str">
            <v>PNA     N1</v>
          </cell>
          <cell r="CD1719" t="str">
            <v xml:space="preserve">OPCOES VENDA   </v>
          </cell>
          <cell r="CE1719" t="str">
            <v xml:space="preserve">Europeu        </v>
          </cell>
        </row>
        <row r="1720">
          <cell r="BY1720" t="str">
            <v>VALEQ36</v>
          </cell>
          <cell r="BZ1720">
            <v>36</v>
          </cell>
          <cell r="CA1720" t="str">
            <v>18-05-2009</v>
          </cell>
          <cell r="CB1720" t="str">
            <v xml:space="preserve">VALE        </v>
          </cell>
          <cell r="CC1720" t="str">
            <v>PNA     N1</v>
          </cell>
          <cell r="CD1720" t="str">
            <v xml:space="preserve">OPCOES VENDA   </v>
          </cell>
          <cell r="CE1720" t="str">
            <v xml:space="preserve">Europeu        </v>
          </cell>
        </row>
        <row r="1721">
          <cell r="BY1721" t="str">
            <v>VALEQ38</v>
          </cell>
          <cell r="BZ1721">
            <v>38</v>
          </cell>
          <cell r="CA1721" t="str">
            <v>18-05-2009</v>
          </cell>
          <cell r="CB1721" t="str">
            <v xml:space="preserve">VALE        </v>
          </cell>
          <cell r="CC1721" t="str">
            <v>PNA     N1</v>
          </cell>
          <cell r="CD1721" t="str">
            <v xml:space="preserve">OPCOES VENDA   </v>
          </cell>
          <cell r="CE1721" t="str">
            <v xml:space="preserve">Europeu        </v>
          </cell>
        </row>
        <row r="1722">
          <cell r="BY1722" t="str">
            <v>VALEQ40</v>
          </cell>
          <cell r="BZ1722">
            <v>40</v>
          </cell>
          <cell r="CA1722" t="str">
            <v>18-05-2009</v>
          </cell>
          <cell r="CB1722" t="str">
            <v xml:space="preserve">VALE        </v>
          </cell>
          <cell r="CC1722" t="str">
            <v>PNA     N1</v>
          </cell>
          <cell r="CD1722" t="str">
            <v xml:space="preserve">OPCOES VENDA   </v>
          </cell>
          <cell r="CE1722" t="str">
            <v xml:space="preserve">Europeu        </v>
          </cell>
        </row>
        <row r="1723">
          <cell r="BY1723" t="str">
            <v>VALEQ42</v>
          </cell>
          <cell r="BZ1723">
            <v>42</v>
          </cell>
          <cell r="CA1723" t="str">
            <v>18-05-2009</v>
          </cell>
          <cell r="CB1723" t="str">
            <v xml:space="preserve">VALE        </v>
          </cell>
          <cell r="CC1723" t="str">
            <v>PNA     N1</v>
          </cell>
          <cell r="CD1723" t="str">
            <v xml:space="preserve">OPCOES VENDA   </v>
          </cell>
          <cell r="CE1723" t="str">
            <v xml:space="preserve">Europeu        </v>
          </cell>
        </row>
        <row r="1724">
          <cell r="BY1724" t="str">
            <v>VALEQ44</v>
          </cell>
          <cell r="BZ1724">
            <v>44</v>
          </cell>
          <cell r="CA1724" t="str">
            <v>18-05-2009</v>
          </cell>
          <cell r="CB1724" t="str">
            <v xml:space="preserve">VALE        </v>
          </cell>
          <cell r="CC1724" t="str">
            <v>PNA     N1</v>
          </cell>
          <cell r="CD1724" t="str">
            <v xml:space="preserve">OPCOES VENDA   </v>
          </cell>
          <cell r="CE1724" t="str">
            <v xml:space="preserve">Europeu        </v>
          </cell>
        </row>
        <row r="1725">
          <cell r="BY1725" t="str">
            <v>VALER94</v>
          </cell>
          <cell r="BZ1725">
            <v>17</v>
          </cell>
          <cell r="CA1725" t="str">
            <v>15-06-2009</v>
          </cell>
          <cell r="CB1725" t="str">
            <v xml:space="preserve">VALE        </v>
          </cell>
          <cell r="CC1725" t="str">
            <v>PNA     N1</v>
          </cell>
          <cell r="CD1725" t="str">
            <v xml:space="preserve">OPCOES VENDA   </v>
          </cell>
          <cell r="CE1725" t="str">
            <v xml:space="preserve">Europeu        </v>
          </cell>
        </row>
        <row r="1726">
          <cell r="BY1726" t="str">
            <v>VALER97</v>
          </cell>
          <cell r="BZ1726">
            <v>19</v>
          </cell>
          <cell r="CA1726" t="str">
            <v>15-06-2009</v>
          </cell>
          <cell r="CB1726" t="str">
            <v xml:space="preserve">VALE        </v>
          </cell>
          <cell r="CC1726" t="str">
            <v>PNA     N1</v>
          </cell>
          <cell r="CD1726" t="str">
            <v xml:space="preserve">OPCOES VENDA   </v>
          </cell>
          <cell r="CE1726" t="str">
            <v xml:space="preserve">Europeu        </v>
          </cell>
        </row>
        <row r="1727">
          <cell r="BY1727" t="str">
            <v>VALER96</v>
          </cell>
          <cell r="BZ1727">
            <v>21</v>
          </cell>
          <cell r="CA1727" t="str">
            <v>15-06-2009</v>
          </cell>
          <cell r="CB1727" t="str">
            <v xml:space="preserve">VALE        </v>
          </cell>
          <cell r="CC1727" t="str">
            <v>PNA     N1</v>
          </cell>
          <cell r="CD1727" t="str">
            <v xml:space="preserve">OPCOES VENDA   </v>
          </cell>
          <cell r="CE1727" t="str">
            <v xml:space="preserve">Europeu        </v>
          </cell>
        </row>
        <row r="1728">
          <cell r="BY1728" t="str">
            <v>VALER95</v>
          </cell>
          <cell r="BZ1728">
            <v>23</v>
          </cell>
          <cell r="CA1728" t="str">
            <v>15-06-2009</v>
          </cell>
          <cell r="CB1728" t="str">
            <v xml:space="preserve">VALE        </v>
          </cell>
          <cell r="CC1728" t="str">
            <v>PNA     N1</v>
          </cell>
          <cell r="CD1728" t="str">
            <v xml:space="preserve">OPCOES VENDA   </v>
          </cell>
          <cell r="CE1728" t="str">
            <v xml:space="preserve">Europeu        </v>
          </cell>
        </row>
        <row r="1729">
          <cell r="BY1729" t="str">
            <v>VALER24</v>
          </cell>
          <cell r="BZ1729">
            <v>24</v>
          </cell>
          <cell r="CA1729" t="str">
            <v>15-06-2009</v>
          </cell>
          <cell r="CB1729" t="str">
            <v xml:space="preserve">VALE        </v>
          </cell>
          <cell r="CC1729" t="str">
            <v>PNA     N1</v>
          </cell>
          <cell r="CD1729" t="str">
            <v xml:space="preserve">OPCOES VENDA   </v>
          </cell>
          <cell r="CE1729" t="str">
            <v xml:space="preserve">Europeu        </v>
          </cell>
        </row>
        <row r="1730">
          <cell r="BY1730" t="str">
            <v>VALER26</v>
          </cell>
          <cell r="BZ1730">
            <v>26</v>
          </cell>
          <cell r="CA1730" t="str">
            <v>15-06-2009</v>
          </cell>
          <cell r="CB1730" t="str">
            <v xml:space="preserve">VALE        </v>
          </cell>
          <cell r="CC1730" t="str">
            <v>PNA     N1</v>
          </cell>
          <cell r="CD1730" t="str">
            <v xml:space="preserve">OPCOES VENDA   </v>
          </cell>
          <cell r="CE1730" t="str">
            <v xml:space="preserve">Europeu        </v>
          </cell>
        </row>
        <row r="1731">
          <cell r="BY1731" t="str">
            <v>VALER93</v>
          </cell>
          <cell r="BZ1731">
            <v>27</v>
          </cell>
          <cell r="CA1731" t="str">
            <v>15-06-2009</v>
          </cell>
          <cell r="CB1731" t="str">
            <v xml:space="preserve">VALE        </v>
          </cell>
          <cell r="CC1731" t="str">
            <v>PNA     N1</v>
          </cell>
          <cell r="CD1731" t="str">
            <v xml:space="preserve">OPCOES VENDA   </v>
          </cell>
          <cell r="CE1731" t="str">
            <v xml:space="preserve">Europeu        </v>
          </cell>
        </row>
        <row r="1732">
          <cell r="BY1732" t="str">
            <v>VALER30</v>
          </cell>
          <cell r="BZ1732">
            <v>30</v>
          </cell>
          <cell r="CA1732" t="str">
            <v>15-06-2009</v>
          </cell>
          <cell r="CB1732" t="str">
            <v xml:space="preserve">VALE        </v>
          </cell>
          <cell r="CC1732" t="str">
            <v>PNA     N1</v>
          </cell>
          <cell r="CD1732" t="str">
            <v xml:space="preserve">OPCOES VENDA   </v>
          </cell>
          <cell r="CE1732" t="str">
            <v xml:space="preserve">Europeu        </v>
          </cell>
        </row>
        <row r="1733">
          <cell r="BY1733" t="str">
            <v>VALER32</v>
          </cell>
          <cell r="BZ1733">
            <v>32</v>
          </cell>
          <cell r="CA1733" t="str">
            <v>15-06-2009</v>
          </cell>
          <cell r="CB1733" t="str">
            <v xml:space="preserve">VALE        </v>
          </cell>
          <cell r="CC1733" t="str">
            <v>PNA     N1</v>
          </cell>
          <cell r="CD1733" t="str">
            <v xml:space="preserve">OPCOES VENDA   </v>
          </cell>
          <cell r="CE1733" t="str">
            <v xml:space="preserve">Europeu        </v>
          </cell>
        </row>
        <row r="1734">
          <cell r="BY1734" t="str">
            <v>VALER98</v>
          </cell>
          <cell r="BZ1734">
            <v>45</v>
          </cell>
          <cell r="CA1734" t="str">
            <v>15-06-2009</v>
          </cell>
          <cell r="CB1734" t="str">
            <v xml:space="preserve">VALE        </v>
          </cell>
          <cell r="CC1734" t="str">
            <v>PNA     N1</v>
          </cell>
          <cell r="CD1734" t="str">
            <v xml:space="preserve">OPCOES VENDA   </v>
          </cell>
          <cell r="CE1734" t="str">
            <v xml:space="preserve">Europeu        </v>
          </cell>
        </row>
        <row r="1735">
          <cell r="BY1735" t="str">
            <v>VALER99</v>
          </cell>
          <cell r="BZ1735">
            <v>50</v>
          </cell>
          <cell r="CA1735" t="str">
            <v>15-06-2009</v>
          </cell>
          <cell r="CB1735" t="str">
            <v xml:space="preserve">VALE        </v>
          </cell>
          <cell r="CC1735" t="str">
            <v>PNA     N1</v>
          </cell>
          <cell r="CD1735" t="str">
            <v xml:space="preserve">OPCOES VENDA   </v>
          </cell>
          <cell r="CE1735" t="str">
            <v xml:space="preserve">Europeu        </v>
          </cell>
        </row>
        <row r="1736">
          <cell r="BY1736" t="str">
            <v>VALET99</v>
          </cell>
          <cell r="BZ1736">
            <v>30.5</v>
          </cell>
          <cell r="CA1736" t="str">
            <v>17-08-2009</v>
          </cell>
          <cell r="CB1736" t="str">
            <v xml:space="preserve">VALE        </v>
          </cell>
          <cell r="CC1736" t="str">
            <v>PNA     N1</v>
          </cell>
          <cell r="CD1736" t="str">
            <v xml:space="preserve">OPCOES VENDA   </v>
          </cell>
          <cell r="CE1736" t="str">
            <v xml:space="preserve">Europeu        </v>
          </cell>
        </row>
        <row r="1737">
          <cell r="BY1737" t="str">
            <v>VALEV26</v>
          </cell>
          <cell r="BZ1737">
            <v>26</v>
          </cell>
          <cell r="CA1737" t="str">
            <v>19-10-2009</v>
          </cell>
          <cell r="CB1737" t="str">
            <v xml:space="preserve">VALE        </v>
          </cell>
          <cell r="CC1737" t="str">
            <v>PNA     N1</v>
          </cell>
          <cell r="CD1737" t="str">
            <v xml:space="preserve">OPCOES VENDA   </v>
          </cell>
          <cell r="CE1737" t="str">
            <v xml:space="preserve">Europeu        </v>
          </cell>
        </row>
        <row r="1738">
          <cell r="BY1738" t="str">
            <v>VALEW30</v>
          </cell>
          <cell r="BZ1738">
            <v>30</v>
          </cell>
          <cell r="CA1738" t="str">
            <v>16-11-2009</v>
          </cell>
          <cell r="CB1738" t="str">
            <v xml:space="preserve">VALE        </v>
          </cell>
          <cell r="CC1738" t="str">
            <v>PNA     N1</v>
          </cell>
          <cell r="CD1738" t="str">
            <v xml:space="preserve">OPCOES VENDA   </v>
          </cell>
          <cell r="CE1738" t="str">
            <v xml:space="preserve">Europeu        </v>
          </cell>
        </row>
        <row r="1739">
          <cell r="BY1739" t="str">
            <v>VALEX26</v>
          </cell>
          <cell r="BZ1739">
            <v>26</v>
          </cell>
          <cell r="CA1739" t="str">
            <v>21-12-2009</v>
          </cell>
          <cell r="CB1739" t="str">
            <v xml:space="preserve">VALE        </v>
          </cell>
          <cell r="CC1739" t="str">
            <v>PNA     N1</v>
          </cell>
          <cell r="CD1739" t="str">
            <v xml:space="preserve">OPCOES VENDA   </v>
          </cell>
          <cell r="CE1739" t="str">
            <v xml:space="preserve">Europeu        </v>
          </cell>
        </row>
        <row r="1740">
          <cell r="BY1740" t="str">
            <v>VALEX96</v>
          </cell>
          <cell r="BZ1740">
            <v>26.1</v>
          </cell>
          <cell r="CA1740" t="str">
            <v>21-12-2009</v>
          </cell>
          <cell r="CB1740" t="str">
            <v xml:space="preserve">VALE        </v>
          </cell>
          <cell r="CC1740" t="str">
            <v>PNA     N1</v>
          </cell>
          <cell r="CD1740" t="str">
            <v xml:space="preserve">OPCOES VENDA   </v>
          </cell>
          <cell r="CE1740" t="str">
            <v xml:space="preserve">Europeu        </v>
          </cell>
        </row>
        <row r="1741">
          <cell r="BY1741" t="str">
            <v>VALEX30</v>
          </cell>
          <cell r="BZ1741">
            <v>30</v>
          </cell>
          <cell r="CA1741" t="str">
            <v>21-12-2009</v>
          </cell>
          <cell r="CB1741" t="str">
            <v xml:space="preserve">VALE        </v>
          </cell>
          <cell r="CC1741" t="str">
            <v>PNA     N1</v>
          </cell>
          <cell r="CD1741" t="str">
            <v xml:space="preserve">OPCOES VENDA   </v>
          </cell>
          <cell r="CE1741" t="str">
            <v xml:space="preserve">Europeu        </v>
          </cell>
        </row>
        <row r="1742">
          <cell r="BY1742" t="str">
            <v>VALEM31</v>
          </cell>
          <cell r="BZ1742">
            <v>31</v>
          </cell>
          <cell r="CA1742" t="str">
            <v>18-01-2010</v>
          </cell>
          <cell r="CB1742" t="str">
            <v xml:space="preserve">VALE        </v>
          </cell>
          <cell r="CC1742" t="str">
            <v>PNA     N1</v>
          </cell>
          <cell r="CD1742" t="str">
            <v xml:space="preserve">OPCOES VENDA   </v>
          </cell>
          <cell r="CE1742" t="str">
            <v xml:space="preserve">Europeu        </v>
          </cell>
        </row>
        <row r="1743">
          <cell r="BY1743" t="str">
            <v>ARCZF1</v>
          </cell>
          <cell r="BZ1743">
            <v>12</v>
          </cell>
          <cell r="CA1743" t="str">
            <v>15-06-2009</v>
          </cell>
          <cell r="CB1743" t="str">
            <v xml:space="preserve">ARCZ        </v>
          </cell>
          <cell r="CC1743" t="str">
            <v>PNB     N1</v>
          </cell>
          <cell r="CD1743" t="str">
            <v xml:space="preserve">OPCOES COMPRA  </v>
          </cell>
          <cell r="CE1743" t="str">
            <v xml:space="preserve">Americano      </v>
          </cell>
        </row>
        <row r="1744">
          <cell r="BY1744" t="str">
            <v>ARCZR1</v>
          </cell>
          <cell r="BZ1744">
            <v>12</v>
          </cell>
          <cell r="CA1744" t="str">
            <v>15-06-2009</v>
          </cell>
          <cell r="CB1744" t="str">
            <v xml:space="preserve">ARCZ        </v>
          </cell>
          <cell r="CC1744" t="str">
            <v>PNB     N1</v>
          </cell>
          <cell r="CD1744" t="str">
            <v xml:space="preserve">OPCOES VENDA   </v>
          </cell>
          <cell r="CE1744" t="str">
            <v xml:space="preserve">Europeu        </v>
          </cell>
        </row>
        <row r="1745">
          <cell r="BY1745" t="str">
            <v>CESPC13</v>
          </cell>
          <cell r="BZ1745">
            <v>13</v>
          </cell>
          <cell r="CA1745" t="str">
            <v>16-03-2009</v>
          </cell>
          <cell r="CB1745" t="str">
            <v xml:space="preserve">CESP        </v>
          </cell>
          <cell r="CC1745" t="str">
            <v>PNB     N1</v>
          </cell>
          <cell r="CD1745" t="str">
            <v xml:space="preserve">OPCOES COMPRA  </v>
          </cell>
          <cell r="CE1745" t="str">
            <v xml:space="preserve">Americano      </v>
          </cell>
        </row>
        <row r="1746">
          <cell r="BY1746" t="str">
            <v>CESPC14</v>
          </cell>
          <cell r="BZ1746">
            <v>14</v>
          </cell>
          <cell r="CA1746" t="str">
            <v>16-03-2009</v>
          </cell>
          <cell r="CB1746" t="str">
            <v xml:space="preserve">CESP        </v>
          </cell>
          <cell r="CC1746" t="str">
            <v>PNB     N1</v>
          </cell>
          <cell r="CD1746" t="str">
            <v xml:space="preserve">OPCOES COMPRA  </v>
          </cell>
          <cell r="CE1746" t="str">
            <v xml:space="preserve">Americano      </v>
          </cell>
        </row>
        <row r="1747">
          <cell r="BY1747" t="str">
            <v>CESPC15</v>
          </cell>
          <cell r="BZ1747">
            <v>15</v>
          </cell>
          <cell r="CA1747" t="str">
            <v>16-03-2009</v>
          </cell>
          <cell r="CB1747" t="str">
            <v xml:space="preserve">CESP        </v>
          </cell>
          <cell r="CC1747" t="str">
            <v>PNB     N1</v>
          </cell>
          <cell r="CD1747" t="str">
            <v xml:space="preserve">OPCOES COMPRA  </v>
          </cell>
          <cell r="CE1747" t="str">
            <v xml:space="preserve">Americano      </v>
          </cell>
        </row>
        <row r="1748">
          <cell r="BY1748" t="str">
            <v>CESPD13</v>
          </cell>
          <cell r="BZ1748">
            <v>13</v>
          </cell>
          <cell r="CA1748" t="str">
            <v>20-04-2009</v>
          </cell>
          <cell r="CB1748" t="str">
            <v xml:space="preserve">CESP        </v>
          </cell>
          <cell r="CC1748" t="str">
            <v>PNB     N1</v>
          </cell>
          <cell r="CD1748" t="str">
            <v xml:space="preserve">OPCOES COMPRA  </v>
          </cell>
          <cell r="CE1748" t="str">
            <v xml:space="preserve">Americano      </v>
          </cell>
        </row>
        <row r="1749">
          <cell r="BY1749" t="str">
            <v>CESPD14</v>
          </cell>
          <cell r="BZ1749">
            <v>14</v>
          </cell>
          <cell r="CA1749" t="str">
            <v>20-04-2009</v>
          </cell>
          <cell r="CB1749" t="str">
            <v xml:space="preserve">CESP        </v>
          </cell>
          <cell r="CC1749" t="str">
            <v>PNB     N1</v>
          </cell>
          <cell r="CD1749" t="str">
            <v xml:space="preserve">OPCOES COMPRA  </v>
          </cell>
          <cell r="CE1749" t="str">
            <v xml:space="preserve">Americano      </v>
          </cell>
        </row>
        <row r="1750">
          <cell r="BY1750" t="str">
            <v>CESPD15</v>
          </cell>
          <cell r="BZ1750">
            <v>15</v>
          </cell>
          <cell r="CA1750" t="str">
            <v>20-04-2009</v>
          </cell>
          <cell r="CB1750" t="str">
            <v xml:space="preserve">CESP        </v>
          </cell>
          <cell r="CC1750" t="str">
            <v>PNB     N1</v>
          </cell>
          <cell r="CD1750" t="str">
            <v xml:space="preserve">OPCOES COMPRA  </v>
          </cell>
          <cell r="CE1750" t="str">
            <v xml:space="preserve">Americano      </v>
          </cell>
        </row>
        <row r="1751">
          <cell r="BY1751" t="str">
            <v>CESPO13</v>
          </cell>
          <cell r="BZ1751">
            <v>13</v>
          </cell>
          <cell r="CA1751" t="str">
            <v>16-03-2009</v>
          </cell>
          <cell r="CB1751" t="str">
            <v xml:space="preserve">CESP        </v>
          </cell>
          <cell r="CC1751" t="str">
            <v>PNB     N1</v>
          </cell>
          <cell r="CD1751" t="str">
            <v xml:space="preserve">OPCOES VENDA   </v>
          </cell>
          <cell r="CE1751" t="str">
            <v xml:space="preserve">Europeu        </v>
          </cell>
        </row>
        <row r="1752">
          <cell r="BY1752" t="str">
            <v>CESPO14</v>
          </cell>
          <cell r="BZ1752">
            <v>14</v>
          </cell>
          <cell r="CA1752" t="str">
            <v>16-03-2009</v>
          </cell>
          <cell r="CB1752" t="str">
            <v xml:space="preserve">CESP        </v>
          </cell>
          <cell r="CC1752" t="str">
            <v>PNB     N1</v>
          </cell>
          <cell r="CD1752" t="str">
            <v xml:space="preserve">OPCOES VENDA   </v>
          </cell>
          <cell r="CE1752" t="str">
            <v xml:space="preserve">Europeu        </v>
          </cell>
        </row>
        <row r="1753">
          <cell r="BY1753" t="str">
            <v>CESPO15</v>
          </cell>
          <cell r="BZ1753">
            <v>15</v>
          </cell>
          <cell r="CA1753" t="str">
            <v>16-03-2009</v>
          </cell>
          <cell r="CB1753" t="str">
            <v xml:space="preserve">CESP        </v>
          </cell>
          <cell r="CC1753" t="str">
            <v>PNB     N1</v>
          </cell>
          <cell r="CD1753" t="str">
            <v xml:space="preserve">OPCOES VENDA   </v>
          </cell>
          <cell r="CE1753" t="str">
            <v xml:space="preserve">Europeu        </v>
          </cell>
        </row>
        <row r="1754">
          <cell r="BY1754" t="str">
            <v>CESPP13</v>
          </cell>
          <cell r="BZ1754">
            <v>13</v>
          </cell>
          <cell r="CA1754" t="str">
            <v>20-04-2009</v>
          </cell>
          <cell r="CB1754" t="str">
            <v xml:space="preserve">CESP        </v>
          </cell>
          <cell r="CC1754" t="str">
            <v>PNB     N1</v>
          </cell>
          <cell r="CD1754" t="str">
            <v xml:space="preserve">OPCOES VENDA   </v>
          </cell>
          <cell r="CE1754" t="str">
            <v xml:space="preserve">Europeu        </v>
          </cell>
        </row>
        <row r="1755">
          <cell r="BY1755" t="str">
            <v>CESPP14</v>
          </cell>
          <cell r="BZ1755">
            <v>14</v>
          </cell>
          <cell r="CA1755" t="str">
            <v>20-04-2009</v>
          </cell>
          <cell r="CB1755" t="str">
            <v xml:space="preserve">CESP        </v>
          </cell>
          <cell r="CC1755" t="str">
            <v>PNB     N1</v>
          </cell>
          <cell r="CD1755" t="str">
            <v xml:space="preserve">OPCOES VENDA   </v>
          </cell>
          <cell r="CE1755" t="str">
            <v xml:space="preserve">Europeu        </v>
          </cell>
        </row>
        <row r="1756">
          <cell r="BY1756" t="str">
            <v>CESPP15</v>
          </cell>
          <cell r="BZ1756">
            <v>15</v>
          </cell>
          <cell r="CA1756" t="str">
            <v>20-04-2009</v>
          </cell>
          <cell r="CB1756" t="str">
            <v xml:space="preserve">CESP        </v>
          </cell>
          <cell r="CC1756" t="str">
            <v>PNB     N1</v>
          </cell>
          <cell r="CD1756" t="str">
            <v xml:space="preserve">OPCOES VENDA   </v>
          </cell>
          <cell r="CE1756" t="str">
            <v xml:space="preserve">Europeu        </v>
          </cell>
        </row>
        <row r="1757">
          <cell r="BY1757" t="str">
            <v>CPLEC20</v>
          </cell>
          <cell r="BZ1757">
            <v>20</v>
          </cell>
          <cell r="CA1757" t="str">
            <v>16-03-2009</v>
          </cell>
          <cell r="CB1757" t="str">
            <v xml:space="preserve">CPLE        </v>
          </cell>
          <cell r="CC1757" t="str">
            <v>PNB     N1</v>
          </cell>
          <cell r="CD1757" t="str">
            <v xml:space="preserve">OPCOES COMPRA  </v>
          </cell>
          <cell r="CE1757" t="str">
            <v xml:space="preserve">Americano      </v>
          </cell>
        </row>
        <row r="1758">
          <cell r="BY1758" t="str">
            <v>CPLEC21</v>
          </cell>
          <cell r="BZ1758">
            <v>21</v>
          </cell>
          <cell r="CA1758" t="str">
            <v>16-03-2009</v>
          </cell>
          <cell r="CB1758" t="str">
            <v xml:space="preserve">CPLE        </v>
          </cell>
          <cell r="CC1758" t="str">
            <v>PNB     N1</v>
          </cell>
          <cell r="CD1758" t="str">
            <v xml:space="preserve">OPCOES COMPRA  </v>
          </cell>
          <cell r="CE1758" t="str">
            <v xml:space="preserve">Europeu        </v>
          </cell>
        </row>
        <row r="1759">
          <cell r="BY1759" t="str">
            <v>CPLEC22</v>
          </cell>
          <cell r="BZ1759">
            <v>22</v>
          </cell>
          <cell r="CA1759" t="str">
            <v>16-03-2009</v>
          </cell>
          <cell r="CB1759" t="str">
            <v xml:space="preserve">CPLE        </v>
          </cell>
          <cell r="CC1759" t="str">
            <v>PNB     N1</v>
          </cell>
          <cell r="CD1759" t="str">
            <v xml:space="preserve">OPCOES COMPRA  </v>
          </cell>
          <cell r="CE1759" t="str">
            <v xml:space="preserve">Americano      </v>
          </cell>
        </row>
        <row r="1760">
          <cell r="BY1760" t="str">
            <v>CPLEC23</v>
          </cell>
          <cell r="BZ1760">
            <v>23</v>
          </cell>
          <cell r="CA1760" t="str">
            <v>16-03-2009</v>
          </cell>
          <cell r="CB1760" t="str">
            <v xml:space="preserve">CPLE        </v>
          </cell>
          <cell r="CC1760" t="str">
            <v>PNB     N1</v>
          </cell>
          <cell r="CD1760" t="str">
            <v xml:space="preserve">OPCOES COMPRA  </v>
          </cell>
          <cell r="CE1760" t="str">
            <v xml:space="preserve">Europeu        </v>
          </cell>
        </row>
        <row r="1761">
          <cell r="BY1761" t="str">
            <v>CPLED19</v>
          </cell>
          <cell r="BZ1761">
            <v>19</v>
          </cell>
          <cell r="CA1761" t="str">
            <v>20-04-2009</v>
          </cell>
          <cell r="CB1761" t="str">
            <v xml:space="preserve">CPLE        </v>
          </cell>
          <cell r="CC1761" t="str">
            <v>PNB     N1</v>
          </cell>
          <cell r="CD1761" t="str">
            <v xml:space="preserve">OPCOES COMPRA  </v>
          </cell>
          <cell r="CE1761" t="str">
            <v xml:space="preserve">Europeu        </v>
          </cell>
        </row>
        <row r="1762">
          <cell r="BY1762" t="str">
            <v>CPLED20</v>
          </cell>
          <cell r="BZ1762">
            <v>20</v>
          </cell>
          <cell r="CA1762" t="str">
            <v>20-04-2009</v>
          </cell>
          <cell r="CB1762" t="str">
            <v xml:space="preserve">CPLE        </v>
          </cell>
          <cell r="CC1762" t="str">
            <v>PNB     N1</v>
          </cell>
          <cell r="CD1762" t="str">
            <v xml:space="preserve">OPCOES COMPRA  </v>
          </cell>
          <cell r="CE1762" t="str">
            <v xml:space="preserve">Americano      </v>
          </cell>
        </row>
        <row r="1763">
          <cell r="BY1763" t="str">
            <v>CPLED21</v>
          </cell>
          <cell r="BZ1763">
            <v>21</v>
          </cell>
          <cell r="CA1763" t="str">
            <v>20-04-2009</v>
          </cell>
          <cell r="CB1763" t="str">
            <v xml:space="preserve">CPLE        </v>
          </cell>
          <cell r="CC1763" t="str">
            <v>PNB     N1</v>
          </cell>
          <cell r="CD1763" t="str">
            <v xml:space="preserve">OPCOES COMPRA  </v>
          </cell>
          <cell r="CE1763" t="str">
            <v xml:space="preserve">Europeu        </v>
          </cell>
        </row>
        <row r="1764">
          <cell r="BY1764" t="str">
            <v>CPLED22</v>
          </cell>
          <cell r="BZ1764">
            <v>22</v>
          </cell>
          <cell r="CA1764" t="str">
            <v>20-04-2009</v>
          </cell>
          <cell r="CB1764" t="str">
            <v xml:space="preserve">CPLE        </v>
          </cell>
          <cell r="CC1764" t="str">
            <v>PNB     N1</v>
          </cell>
          <cell r="CD1764" t="str">
            <v xml:space="preserve">OPCOES COMPRA  </v>
          </cell>
          <cell r="CE1764" t="str">
            <v xml:space="preserve">Americano      </v>
          </cell>
        </row>
        <row r="1765">
          <cell r="BY1765" t="str">
            <v>CPLED1</v>
          </cell>
          <cell r="BZ1765">
            <v>24.5</v>
          </cell>
          <cell r="CA1765" t="str">
            <v>20-04-2009</v>
          </cell>
          <cell r="CB1765" t="str">
            <v xml:space="preserve">CPLE        </v>
          </cell>
          <cell r="CC1765" t="str">
            <v>PNB     N1</v>
          </cell>
          <cell r="CD1765" t="str">
            <v xml:space="preserve">OPCOES COMPRA  </v>
          </cell>
          <cell r="CE1765" t="str">
            <v xml:space="preserve">Europeu        </v>
          </cell>
        </row>
        <row r="1766">
          <cell r="BY1766" t="str">
            <v>CPLEF1</v>
          </cell>
          <cell r="BZ1766">
            <v>32</v>
          </cell>
          <cell r="CA1766" t="str">
            <v>15-06-2009</v>
          </cell>
          <cell r="CB1766" t="str">
            <v xml:space="preserve">CPLE        </v>
          </cell>
          <cell r="CC1766" t="str">
            <v>PNB     N1</v>
          </cell>
          <cell r="CD1766" t="str">
            <v xml:space="preserve">OPCOES COMPRA  </v>
          </cell>
          <cell r="CE1766" t="str">
            <v xml:space="preserve">Americano      </v>
          </cell>
        </row>
        <row r="1767">
          <cell r="BY1767" t="str">
            <v>CPLEO20</v>
          </cell>
          <cell r="BZ1767">
            <v>20</v>
          </cell>
          <cell r="CA1767" t="str">
            <v>16-03-2009</v>
          </cell>
          <cell r="CB1767" t="str">
            <v xml:space="preserve">CPLE        </v>
          </cell>
          <cell r="CC1767" t="str">
            <v>PNB     N1</v>
          </cell>
          <cell r="CD1767" t="str">
            <v xml:space="preserve">OPCOES VENDA   </v>
          </cell>
          <cell r="CE1767" t="str">
            <v xml:space="preserve">Europeu        </v>
          </cell>
        </row>
        <row r="1768">
          <cell r="BY1768" t="str">
            <v>CPLEO21</v>
          </cell>
          <cell r="BZ1768">
            <v>21</v>
          </cell>
          <cell r="CA1768" t="str">
            <v>16-03-2009</v>
          </cell>
          <cell r="CB1768" t="str">
            <v xml:space="preserve">CPLE        </v>
          </cell>
          <cell r="CC1768" t="str">
            <v>PNB     N1</v>
          </cell>
          <cell r="CD1768" t="str">
            <v xml:space="preserve">OPCOES VENDA   </v>
          </cell>
          <cell r="CE1768" t="str">
            <v xml:space="preserve">Europeu        </v>
          </cell>
        </row>
        <row r="1769">
          <cell r="BY1769" t="str">
            <v>CPLEO22</v>
          </cell>
          <cell r="BZ1769">
            <v>22</v>
          </cell>
          <cell r="CA1769" t="str">
            <v>16-03-2009</v>
          </cell>
          <cell r="CB1769" t="str">
            <v xml:space="preserve">CPLE        </v>
          </cell>
          <cell r="CC1769" t="str">
            <v>PNB     N1</v>
          </cell>
          <cell r="CD1769" t="str">
            <v xml:space="preserve">OPCOES VENDA   </v>
          </cell>
          <cell r="CE1769" t="str">
            <v xml:space="preserve">Europeu        </v>
          </cell>
        </row>
        <row r="1770">
          <cell r="BY1770" t="str">
            <v>CPLEO23</v>
          </cell>
          <cell r="BZ1770">
            <v>23</v>
          </cell>
          <cell r="CA1770" t="str">
            <v>16-03-2009</v>
          </cell>
          <cell r="CB1770" t="str">
            <v xml:space="preserve">CPLE        </v>
          </cell>
          <cell r="CC1770" t="str">
            <v>PNB     N1</v>
          </cell>
          <cell r="CD1770" t="str">
            <v xml:space="preserve">OPCOES VENDA   </v>
          </cell>
          <cell r="CE1770" t="str">
            <v xml:space="preserve">Europeu        </v>
          </cell>
        </row>
        <row r="1771">
          <cell r="BY1771" t="str">
            <v>CPLEP19</v>
          </cell>
          <cell r="BZ1771">
            <v>19</v>
          </cell>
          <cell r="CA1771" t="str">
            <v>20-04-2009</v>
          </cell>
          <cell r="CB1771" t="str">
            <v xml:space="preserve">CPLE        </v>
          </cell>
          <cell r="CC1771" t="str">
            <v>PNB     N1</v>
          </cell>
          <cell r="CD1771" t="str">
            <v xml:space="preserve">OPCOES VENDA   </v>
          </cell>
          <cell r="CE1771" t="str">
            <v xml:space="preserve">Europeu        </v>
          </cell>
        </row>
        <row r="1772">
          <cell r="BY1772" t="str">
            <v>CPLEP20</v>
          </cell>
          <cell r="BZ1772">
            <v>20</v>
          </cell>
          <cell r="CA1772" t="str">
            <v>20-04-2009</v>
          </cell>
          <cell r="CB1772" t="str">
            <v xml:space="preserve">CPLE        </v>
          </cell>
          <cell r="CC1772" t="str">
            <v>PNB     N1</v>
          </cell>
          <cell r="CD1772" t="str">
            <v xml:space="preserve">OPCOES VENDA   </v>
          </cell>
          <cell r="CE1772" t="str">
            <v xml:space="preserve">Europeu        </v>
          </cell>
        </row>
        <row r="1773">
          <cell r="BY1773" t="str">
            <v>CPLEP21</v>
          </cell>
          <cell r="BZ1773">
            <v>21</v>
          </cell>
          <cell r="CA1773" t="str">
            <v>20-04-2009</v>
          </cell>
          <cell r="CB1773" t="str">
            <v xml:space="preserve">CPLE        </v>
          </cell>
          <cell r="CC1773" t="str">
            <v>PNB     N1</v>
          </cell>
          <cell r="CD1773" t="str">
            <v xml:space="preserve">OPCOES VENDA   </v>
          </cell>
          <cell r="CE1773" t="str">
            <v xml:space="preserve">Europeu        </v>
          </cell>
        </row>
        <row r="1774">
          <cell r="BY1774" t="str">
            <v>CPLEP22</v>
          </cell>
          <cell r="BZ1774">
            <v>22</v>
          </cell>
          <cell r="CA1774" t="str">
            <v>20-04-2009</v>
          </cell>
          <cell r="CB1774" t="str">
            <v xml:space="preserve">CPLE        </v>
          </cell>
          <cell r="CC1774" t="str">
            <v>PNB     N1</v>
          </cell>
          <cell r="CD1774" t="str">
            <v xml:space="preserve">OPCOES VENDA   </v>
          </cell>
          <cell r="CE1774" t="str">
            <v xml:space="preserve">Europeu        </v>
          </cell>
        </row>
        <row r="1775">
          <cell r="BY1775" t="str">
            <v>CPLEP1</v>
          </cell>
          <cell r="BZ1775">
            <v>24.5</v>
          </cell>
          <cell r="CA1775" t="str">
            <v>20-04-2009</v>
          </cell>
          <cell r="CB1775" t="str">
            <v xml:space="preserve">CPLE        </v>
          </cell>
          <cell r="CC1775" t="str">
            <v>PNB     N1</v>
          </cell>
          <cell r="CD1775" t="str">
            <v xml:space="preserve">OPCOES VENDA   </v>
          </cell>
          <cell r="CE1775" t="str">
            <v xml:space="preserve">Europeu        </v>
          </cell>
        </row>
        <row r="1776">
          <cell r="BY1776" t="str">
            <v>CPLER1</v>
          </cell>
          <cell r="BZ1776">
            <v>32</v>
          </cell>
          <cell r="CA1776" t="str">
            <v>15-06-2009</v>
          </cell>
          <cell r="CB1776" t="str">
            <v xml:space="preserve">CPLE        </v>
          </cell>
          <cell r="CC1776" t="str">
            <v>PNB     N1</v>
          </cell>
          <cell r="CD1776" t="str">
            <v xml:space="preserve">OPCOES VENDA   </v>
          </cell>
          <cell r="CE1776" t="str">
            <v xml:space="preserve">Europeu        </v>
          </cell>
        </row>
        <row r="1777">
          <cell r="BY1777" t="str">
            <v>ELETD5</v>
          </cell>
          <cell r="BZ1777">
            <v>25</v>
          </cell>
          <cell r="CA1777" t="str">
            <v>20-04-2009</v>
          </cell>
          <cell r="CB1777" t="str">
            <v xml:space="preserve">ELET        </v>
          </cell>
          <cell r="CC1777" t="str">
            <v>PNB     N1</v>
          </cell>
          <cell r="CD1777" t="str">
            <v xml:space="preserve">OPCOES COMPRA  </v>
          </cell>
          <cell r="CE1777" t="str">
            <v xml:space="preserve">Europeu        </v>
          </cell>
        </row>
        <row r="1778">
          <cell r="BY1778" t="str">
            <v>ELETD6</v>
          </cell>
          <cell r="BZ1778">
            <v>26</v>
          </cell>
          <cell r="CA1778" t="str">
            <v>20-04-2009</v>
          </cell>
          <cell r="CB1778" t="str">
            <v xml:space="preserve">ELET        </v>
          </cell>
          <cell r="CC1778" t="str">
            <v>PNB     N1</v>
          </cell>
          <cell r="CD1778" t="str">
            <v xml:space="preserve">OPCOES COMPRA  </v>
          </cell>
          <cell r="CE1778" t="str">
            <v xml:space="preserve">Americano      </v>
          </cell>
        </row>
        <row r="1779">
          <cell r="BY1779" t="str">
            <v>ELETF1</v>
          </cell>
          <cell r="BZ1779">
            <v>26</v>
          </cell>
          <cell r="CA1779" t="str">
            <v>15-06-2009</v>
          </cell>
          <cell r="CB1779" t="str">
            <v xml:space="preserve">ELET        </v>
          </cell>
          <cell r="CC1779" t="str">
            <v>PNB     N1</v>
          </cell>
          <cell r="CD1779" t="str">
            <v xml:space="preserve">OPCOES COMPRA  </v>
          </cell>
          <cell r="CE1779" t="str">
            <v xml:space="preserve">Americano      </v>
          </cell>
        </row>
        <row r="1780">
          <cell r="BY1780" t="str">
            <v>ELETP5</v>
          </cell>
          <cell r="BZ1780">
            <v>25</v>
          </cell>
          <cell r="CA1780" t="str">
            <v>20-04-2009</v>
          </cell>
          <cell r="CB1780" t="str">
            <v xml:space="preserve">ELET        </v>
          </cell>
          <cell r="CC1780" t="str">
            <v>PNB     N1</v>
          </cell>
          <cell r="CD1780" t="str">
            <v xml:space="preserve">OPCOES VENDA   </v>
          </cell>
          <cell r="CE1780" t="str">
            <v xml:space="preserve">Europeu        </v>
          </cell>
        </row>
        <row r="1781">
          <cell r="BY1781" t="str">
            <v>ELETP6</v>
          </cell>
          <cell r="BZ1781">
            <v>26</v>
          </cell>
          <cell r="CA1781" t="str">
            <v>20-04-2009</v>
          </cell>
          <cell r="CB1781" t="str">
            <v xml:space="preserve">ELET        </v>
          </cell>
          <cell r="CC1781" t="str">
            <v>PNB     N1</v>
          </cell>
          <cell r="CD1781" t="str">
            <v xml:space="preserve">OPCOES VENDA   </v>
          </cell>
          <cell r="CE1781" t="str">
            <v xml:space="preserve">Europeu        </v>
          </cell>
        </row>
        <row r="1782">
          <cell r="BY1782" t="str">
            <v>ELETR1</v>
          </cell>
          <cell r="BZ1782">
            <v>26</v>
          </cell>
          <cell r="CA1782" t="str">
            <v>15-06-2009</v>
          </cell>
          <cell r="CB1782" t="str">
            <v xml:space="preserve">ELET        </v>
          </cell>
          <cell r="CC1782" t="str">
            <v>PNB     N1</v>
          </cell>
          <cell r="CD1782" t="str">
            <v xml:space="preserve">OPCOES VENDA   </v>
          </cell>
          <cell r="CE1782" t="str">
            <v xml:space="preserve">Europeu        </v>
          </cell>
        </row>
        <row r="1783">
          <cell r="BY1783" t="str">
            <v>UNIPF1</v>
          </cell>
          <cell r="BZ1783">
            <v>2</v>
          </cell>
          <cell r="CA1783" t="str">
            <v>15-06-2009</v>
          </cell>
          <cell r="CB1783" t="str">
            <v xml:space="preserve">UNIP        </v>
          </cell>
          <cell r="CC1783" t="str">
            <v>PNB     N1</v>
          </cell>
          <cell r="CD1783" t="str">
            <v xml:space="preserve">OPCOES COMPRA  </v>
          </cell>
          <cell r="CE1783" t="str">
            <v xml:space="preserve">Americano      </v>
          </cell>
        </row>
        <row r="1784">
          <cell r="BY1784" t="str">
            <v>UNIPR1</v>
          </cell>
          <cell r="BZ1784">
            <v>2</v>
          </cell>
          <cell r="CA1784" t="str">
            <v>15-06-2009</v>
          </cell>
          <cell r="CB1784" t="str">
            <v xml:space="preserve">UNIP        </v>
          </cell>
          <cell r="CC1784" t="str">
            <v>PNB     N1</v>
          </cell>
          <cell r="CD1784" t="str">
            <v xml:space="preserve">OPCOES VENDA   </v>
          </cell>
          <cell r="CE1784" t="str">
            <v xml:space="preserve">Europeu        </v>
          </cell>
        </row>
        <row r="1785">
          <cell r="BY1785" t="str">
            <v>CLSCC34</v>
          </cell>
          <cell r="BZ1785">
            <v>34</v>
          </cell>
          <cell r="CA1785" t="str">
            <v>16-03-2009</v>
          </cell>
          <cell r="CB1785" t="str">
            <v xml:space="preserve">CLSC        </v>
          </cell>
          <cell r="CC1785" t="str">
            <v>PNB     N2</v>
          </cell>
          <cell r="CD1785" t="str">
            <v xml:space="preserve">OPCOES COMPRA  </v>
          </cell>
          <cell r="CE1785" t="str">
            <v xml:space="preserve">Americano      </v>
          </cell>
        </row>
        <row r="1786">
          <cell r="BY1786" t="str">
            <v>CLSCC35</v>
          </cell>
          <cell r="BZ1786">
            <v>35</v>
          </cell>
          <cell r="CA1786" t="str">
            <v>16-03-2009</v>
          </cell>
          <cell r="CB1786" t="str">
            <v xml:space="preserve">CLSC        </v>
          </cell>
          <cell r="CC1786" t="str">
            <v>PNB     N2</v>
          </cell>
          <cell r="CD1786" t="str">
            <v xml:space="preserve">OPCOES COMPRA  </v>
          </cell>
          <cell r="CE1786" t="str">
            <v xml:space="preserve">Europeu        </v>
          </cell>
        </row>
        <row r="1787">
          <cell r="BY1787" t="str">
            <v>CLSCC36</v>
          </cell>
          <cell r="BZ1787">
            <v>36</v>
          </cell>
          <cell r="CA1787" t="str">
            <v>16-03-2009</v>
          </cell>
          <cell r="CB1787" t="str">
            <v xml:space="preserve">CLSC        </v>
          </cell>
          <cell r="CC1787" t="str">
            <v>PNB     N2</v>
          </cell>
          <cell r="CD1787" t="str">
            <v xml:space="preserve">OPCOES COMPRA  </v>
          </cell>
          <cell r="CE1787" t="str">
            <v xml:space="preserve">Americano      </v>
          </cell>
        </row>
        <row r="1788">
          <cell r="BY1788" t="str">
            <v>CLSCO34</v>
          </cell>
          <cell r="BZ1788">
            <v>34</v>
          </cell>
          <cell r="CA1788" t="str">
            <v>16-03-2009</v>
          </cell>
          <cell r="CB1788" t="str">
            <v xml:space="preserve">CLSC        </v>
          </cell>
          <cell r="CC1788" t="str">
            <v>PNB     N2</v>
          </cell>
          <cell r="CD1788" t="str">
            <v xml:space="preserve">OPCOES VENDA   </v>
          </cell>
          <cell r="CE1788" t="str">
            <v xml:space="preserve">Europeu        </v>
          </cell>
        </row>
        <row r="1789">
          <cell r="BY1789" t="str">
            <v>CLSCO35</v>
          </cell>
          <cell r="BZ1789">
            <v>35</v>
          </cell>
          <cell r="CA1789" t="str">
            <v>16-03-2009</v>
          </cell>
          <cell r="CB1789" t="str">
            <v xml:space="preserve">CLSC        </v>
          </cell>
          <cell r="CC1789" t="str">
            <v>PNB     N2</v>
          </cell>
          <cell r="CD1789" t="str">
            <v xml:space="preserve">OPCOES VENDA   </v>
          </cell>
          <cell r="CE1789" t="str">
            <v xml:space="preserve">Europeu        </v>
          </cell>
        </row>
        <row r="1790">
          <cell r="BY1790" t="str">
            <v>CLSCO36</v>
          </cell>
          <cell r="BZ1790">
            <v>36</v>
          </cell>
          <cell r="CA1790" t="str">
            <v>16-03-2009</v>
          </cell>
          <cell r="CB1790" t="str">
            <v xml:space="preserve">CLSC        </v>
          </cell>
          <cell r="CC1790" t="str">
            <v>PNB     N2</v>
          </cell>
          <cell r="CD1790" t="str">
            <v xml:space="preserve">OPCOES VENDA   </v>
          </cell>
          <cell r="CE1790" t="str">
            <v xml:space="preserve">Europeu        </v>
          </cell>
        </row>
        <row r="1791">
          <cell r="BY1791" t="str">
            <v>ELPLC25</v>
          </cell>
          <cell r="BZ1791">
            <v>25</v>
          </cell>
          <cell r="CA1791" t="str">
            <v>16-03-2009</v>
          </cell>
          <cell r="CB1791" t="str">
            <v xml:space="preserve">ELPL        </v>
          </cell>
          <cell r="CC1791" t="str">
            <v>PNB     N2</v>
          </cell>
          <cell r="CD1791" t="str">
            <v xml:space="preserve">OPCOES COMPRA  </v>
          </cell>
          <cell r="CE1791" t="str">
            <v xml:space="preserve">Europeu        </v>
          </cell>
        </row>
        <row r="1792">
          <cell r="BY1792" t="str">
            <v>ELPLC26</v>
          </cell>
          <cell r="BZ1792">
            <v>26</v>
          </cell>
          <cell r="CA1792" t="str">
            <v>16-03-2009</v>
          </cell>
          <cell r="CB1792" t="str">
            <v xml:space="preserve">ELPL        </v>
          </cell>
          <cell r="CC1792" t="str">
            <v>PNB     N2</v>
          </cell>
          <cell r="CD1792" t="str">
            <v xml:space="preserve">OPCOES COMPRA  </v>
          </cell>
          <cell r="CE1792" t="str">
            <v xml:space="preserve">Americano      </v>
          </cell>
        </row>
        <row r="1793">
          <cell r="BY1793" t="str">
            <v>ELPLC27</v>
          </cell>
          <cell r="BZ1793">
            <v>27</v>
          </cell>
          <cell r="CA1793" t="str">
            <v>16-03-2009</v>
          </cell>
          <cell r="CB1793" t="str">
            <v xml:space="preserve">ELPL        </v>
          </cell>
          <cell r="CC1793" t="str">
            <v>PNB     N2</v>
          </cell>
          <cell r="CD1793" t="str">
            <v xml:space="preserve">OPCOES COMPRA  </v>
          </cell>
          <cell r="CE1793" t="str">
            <v xml:space="preserve">Europeu        </v>
          </cell>
        </row>
        <row r="1794">
          <cell r="BY1794" t="str">
            <v>ELPLC28</v>
          </cell>
          <cell r="BZ1794">
            <v>28</v>
          </cell>
          <cell r="CA1794" t="str">
            <v>16-03-2009</v>
          </cell>
          <cell r="CB1794" t="str">
            <v xml:space="preserve">ELPL        </v>
          </cell>
          <cell r="CC1794" t="str">
            <v>PNB     N2</v>
          </cell>
          <cell r="CD1794" t="str">
            <v xml:space="preserve">OPCOES COMPRA  </v>
          </cell>
          <cell r="CE1794" t="str">
            <v xml:space="preserve">Americano      </v>
          </cell>
        </row>
        <row r="1795">
          <cell r="BY1795" t="str">
            <v>ELPLC29</v>
          </cell>
          <cell r="BZ1795">
            <v>29</v>
          </cell>
          <cell r="CA1795" t="str">
            <v>16-03-2009</v>
          </cell>
          <cell r="CB1795" t="str">
            <v xml:space="preserve">ELPL        </v>
          </cell>
          <cell r="CC1795" t="str">
            <v>PNB     N2</v>
          </cell>
          <cell r="CD1795" t="str">
            <v xml:space="preserve">OPCOES COMPRA  </v>
          </cell>
          <cell r="CE1795" t="str">
            <v xml:space="preserve">Europeu        </v>
          </cell>
        </row>
        <row r="1796">
          <cell r="BY1796" t="str">
            <v>ELPLC30</v>
          </cell>
          <cell r="BZ1796">
            <v>30</v>
          </cell>
          <cell r="CA1796" t="str">
            <v>16-03-2009</v>
          </cell>
          <cell r="CB1796" t="str">
            <v xml:space="preserve">ELPL        </v>
          </cell>
          <cell r="CC1796" t="str">
            <v>PNB     N2</v>
          </cell>
          <cell r="CD1796" t="str">
            <v xml:space="preserve">OPCOES COMPRA  </v>
          </cell>
          <cell r="CE1796" t="str">
            <v xml:space="preserve">Americano      </v>
          </cell>
        </row>
        <row r="1797">
          <cell r="BY1797" t="str">
            <v>ELPLD25</v>
          </cell>
          <cell r="BZ1797">
            <v>25</v>
          </cell>
          <cell r="CA1797" t="str">
            <v>20-04-2009</v>
          </cell>
          <cell r="CB1797" t="str">
            <v xml:space="preserve">ELPL        </v>
          </cell>
          <cell r="CC1797" t="str">
            <v>PNB     N2</v>
          </cell>
          <cell r="CD1797" t="str">
            <v xml:space="preserve">OPCOES COMPRA  </v>
          </cell>
          <cell r="CE1797" t="str">
            <v xml:space="preserve">Europeu        </v>
          </cell>
        </row>
        <row r="1798">
          <cell r="BY1798" t="str">
            <v>ELPLD26</v>
          </cell>
          <cell r="BZ1798">
            <v>26</v>
          </cell>
          <cell r="CA1798" t="str">
            <v>20-04-2009</v>
          </cell>
          <cell r="CB1798" t="str">
            <v xml:space="preserve">ELPL        </v>
          </cell>
          <cell r="CC1798" t="str">
            <v>PNB     N2</v>
          </cell>
          <cell r="CD1798" t="str">
            <v xml:space="preserve">OPCOES COMPRA  </v>
          </cell>
          <cell r="CE1798" t="str">
            <v xml:space="preserve">Americano      </v>
          </cell>
        </row>
        <row r="1799">
          <cell r="BY1799" t="str">
            <v>ELPLD27</v>
          </cell>
          <cell r="BZ1799">
            <v>27</v>
          </cell>
          <cell r="CA1799" t="str">
            <v>20-04-2009</v>
          </cell>
          <cell r="CB1799" t="str">
            <v xml:space="preserve">ELPL        </v>
          </cell>
          <cell r="CC1799" t="str">
            <v>PNB     N2</v>
          </cell>
          <cell r="CD1799" t="str">
            <v xml:space="preserve">OPCOES COMPRA  </v>
          </cell>
          <cell r="CE1799" t="str">
            <v xml:space="preserve">Europeu        </v>
          </cell>
        </row>
        <row r="1800">
          <cell r="BY1800" t="str">
            <v>ELPLD28</v>
          </cell>
          <cell r="BZ1800">
            <v>28</v>
          </cell>
          <cell r="CA1800" t="str">
            <v>20-04-2009</v>
          </cell>
          <cell r="CB1800" t="str">
            <v xml:space="preserve">ELPL        </v>
          </cell>
          <cell r="CC1800" t="str">
            <v>PNB     N2</v>
          </cell>
          <cell r="CD1800" t="str">
            <v xml:space="preserve">OPCOES COMPRA  </v>
          </cell>
          <cell r="CE1800" t="str">
            <v xml:space="preserve">Americano      </v>
          </cell>
        </row>
        <row r="1801">
          <cell r="BY1801" t="str">
            <v>ELPLD29</v>
          </cell>
          <cell r="BZ1801">
            <v>29</v>
          </cell>
          <cell r="CA1801" t="str">
            <v>20-04-2009</v>
          </cell>
          <cell r="CB1801" t="str">
            <v xml:space="preserve">ELPL        </v>
          </cell>
          <cell r="CC1801" t="str">
            <v>PNB     N2</v>
          </cell>
          <cell r="CD1801" t="str">
            <v xml:space="preserve">OPCOES COMPRA  </v>
          </cell>
          <cell r="CE1801" t="str">
            <v xml:space="preserve">Europeu        </v>
          </cell>
        </row>
        <row r="1802">
          <cell r="BY1802" t="str">
            <v>ELPLD30</v>
          </cell>
          <cell r="BZ1802">
            <v>30</v>
          </cell>
          <cell r="CA1802" t="str">
            <v>20-04-2009</v>
          </cell>
          <cell r="CB1802" t="str">
            <v xml:space="preserve">ELPL        </v>
          </cell>
          <cell r="CC1802" t="str">
            <v>PNB     N2</v>
          </cell>
          <cell r="CD1802" t="str">
            <v xml:space="preserve">OPCOES COMPRA  </v>
          </cell>
          <cell r="CE1802" t="str">
            <v xml:space="preserve">Americano      </v>
          </cell>
        </row>
        <row r="1803">
          <cell r="BY1803" t="str">
            <v>ELPLD31</v>
          </cell>
          <cell r="BZ1803">
            <v>31</v>
          </cell>
          <cell r="CA1803" t="str">
            <v>20-04-2009</v>
          </cell>
          <cell r="CB1803" t="str">
            <v xml:space="preserve">ELPL        </v>
          </cell>
          <cell r="CC1803" t="str">
            <v>PNB     N2</v>
          </cell>
          <cell r="CD1803" t="str">
            <v xml:space="preserve">OPCOES COMPRA  </v>
          </cell>
          <cell r="CE1803" t="str">
            <v xml:space="preserve">Europeu        </v>
          </cell>
        </row>
        <row r="1804">
          <cell r="BY1804" t="str">
            <v>ELPLE28</v>
          </cell>
          <cell r="BZ1804">
            <v>28</v>
          </cell>
          <cell r="CA1804" t="str">
            <v>18-05-2009</v>
          </cell>
          <cell r="CB1804" t="str">
            <v xml:space="preserve">ELPL        </v>
          </cell>
          <cell r="CC1804" t="str">
            <v>PNB     N2</v>
          </cell>
          <cell r="CD1804" t="str">
            <v xml:space="preserve">OPCOES COMPRA  </v>
          </cell>
          <cell r="CE1804" t="str">
            <v xml:space="preserve">Americano      </v>
          </cell>
        </row>
        <row r="1805">
          <cell r="BY1805" t="str">
            <v>ELPLE29</v>
          </cell>
          <cell r="BZ1805">
            <v>29</v>
          </cell>
          <cell r="CA1805" t="str">
            <v>18-05-2009</v>
          </cell>
          <cell r="CB1805" t="str">
            <v xml:space="preserve">ELPL        </v>
          </cell>
          <cell r="CC1805" t="str">
            <v>PNB     N2</v>
          </cell>
          <cell r="CD1805" t="str">
            <v xml:space="preserve">OPCOES COMPRA  </v>
          </cell>
          <cell r="CE1805" t="str">
            <v xml:space="preserve">Europeu        </v>
          </cell>
        </row>
        <row r="1806">
          <cell r="BY1806" t="str">
            <v>ELPLE30</v>
          </cell>
          <cell r="BZ1806">
            <v>30</v>
          </cell>
          <cell r="CA1806" t="str">
            <v>18-05-2009</v>
          </cell>
          <cell r="CB1806" t="str">
            <v xml:space="preserve">ELPL        </v>
          </cell>
          <cell r="CC1806" t="str">
            <v>PNB     N2</v>
          </cell>
          <cell r="CD1806" t="str">
            <v xml:space="preserve">OPCOES COMPRA  </v>
          </cell>
          <cell r="CE1806" t="str">
            <v xml:space="preserve">Americano      </v>
          </cell>
        </row>
        <row r="1807">
          <cell r="BY1807" t="str">
            <v>ELPLE31</v>
          </cell>
          <cell r="BZ1807">
            <v>31</v>
          </cell>
          <cell r="CA1807" t="str">
            <v>18-05-2009</v>
          </cell>
          <cell r="CB1807" t="str">
            <v xml:space="preserve">ELPL        </v>
          </cell>
          <cell r="CC1807" t="str">
            <v>PNB     N2</v>
          </cell>
          <cell r="CD1807" t="str">
            <v xml:space="preserve">OPCOES COMPRA  </v>
          </cell>
          <cell r="CE1807" t="str">
            <v xml:space="preserve">Europeu        </v>
          </cell>
        </row>
        <row r="1808">
          <cell r="BY1808" t="str">
            <v>ELPLF1</v>
          </cell>
          <cell r="BZ1808">
            <v>38</v>
          </cell>
          <cell r="CA1808" t="str">
            <v>15-06-2009</v>
          </cell>
          <cell r="CB1808" t="str">
            <v xml:space="preserve">ELPL        </v>
          </cell>
          <cell r="CC1808" t="str">
            <v>PNB     N2</v>
          </cell>
          <cell r="CD1808" t="str">
            <v xml:space="preserve">OPCOES COMPRA  </v>
          </cell>
          <cell r="CE1808" t="str">
            <v xml:space="preserve">Americano      </v>
          </cell>
        </row>
        <row r="1809">
          <cell r="BY1809" t="str">
            <v>ELPLO25</v>
          </cell>
          <cell r="BZ1809">
            <v>25</v>
          </cell>
          <cell r="CA1809" t="str">
            <v>16-03-2009</v>
          </cell>
          <cell r="CB1809" t="str">
            <v xml:space="preserve">ELPL        </v>
          </cell>
          <cell r="CC1809" t="str">
            <v>PNB     N2</v>
          </cell>
          <cell r="CD1809" t="str">
            <v xml:space="preserve">OPCOES VENDA   </v>
          </cell>
          <cell r="CE1809" t="str">
            <v xml:space="preserve">Europeu        </v>
          </cell>
        </row>
        <row r="1810">
          <cell r="BY1810" t="str">
            <v>ELPLO26</v>
          </cell>
          <cell r="BZ1810">
            <v>26</v>
          </cell>
          <cell r="CA1810" t="str">
            <v>16-03-2009</v>
          </cell>
          <cell r="CB1810" t="str">
            <v xml:space="preserve">ELPL        </v>
          </cell>
          <cell r="CC1810" t="str">
            <v>PNB     N2</v>
          </cell>
          <cell r="CD1810" t="str">
            <v xml:space="preserve">OPCOES VENDA   </v>
          </cell>
          <cell r="CE1810" t="str">
            <v xml:space="preserve">Europeu        </v>
          </cell>
        </row>
        <row r="1811">
          <cell r="BY1811" t="str">
            <v>ELPLO27</v>
          </cell>
          <cell r="BZ1811">
            <v>27</v>
          </cell>
          <cell r="CA1811" t="str">
            <v>16-03-2009</v>
          </cell>
          <cell r="CB1811" t="str">
            <v xml:space="preserve">ELPL        </v>
          </cell>
          <cell r="CC1811" t="str">
            <v>PNB     N2</v>
          </cell>
          <cell r="CD1811" t="str">
            <v xml:space="preserve">OPCOES VENDA   </v>
          </cell>
          <cell r="CE1811" t="str">
            <v xml:space="preserve">Europeu        </v>
          </cell>
        </row>
        <row r="1812">
          <cell r="BY1812" t="str">
            <v>ELPLO28</v>
          </cell>
          <cell r="BZ1812">
            <v>28</v>
          </cell>
          <cell r="CA1812" t="str">
            <v>16-03-2009</v>
          </cell>
          <cell r="CB1812" t="str">
            <v xml:space="preserve">ELPL        </v>
          </cell>
          <cell r="CC1812" t="str">
            <v>PNB     N2</v>
          </cell>
          <cell r="CD1812" t="str">
            <v xml:space="preserve">OPCOES VENDA   </v>
          </cell>
          <cell r="CE1812" t="str">
            <v xml:space="preserve">Europeu        </v>
          </cell>
        </row>
        <row r="1813">
          <cell r="BY1813" t="str">
            <v>ELPLO29</v>
          </cell>
          <cell r="BZ1813">
            <v>29</v>
          </cell>
          <cell r="CA1813" t="str">
            <v>16-03-2009</v>
          </cell>
          <cell r="CB1813" t="str">
            <v xml:space="preserve">ELPL        </v>
          </cell>
          <cell r="CC1813" t="str">
            <v>PNB     N2</v>
          </cell>
          <cell r="CD1813" t="str">
            <v xml:space="preserve">OPCOES VENDA   </v>
          </cell>
          <cell r="CE1813" t="str">
            <v xml:space="preserve">Europeu        </v>
          </cell>
        </row>
        <row r="1814">
          <cell r="BY1814" t="str">
            <v>ELPLO30</v>
          </cell>
          <cell r="BZ1814">
            <v>30</v>
          </cell>
          <cell r="CA1814" t="str">
            <v>16-03-2009</v>
          </cell>
          <cell r="CB1814" t="str">
            <v xml:space="preserve">ELPL        </v>
          </cell>
          <cell r="CC1814" t="str">
            <v>PNB     N2</v>
          </cell>
          <cell r="CD1814" t="str">
            <v xml:space="preserve">OPCOES VENDA   </v>
          </cell>
          <cell r="CE1814" t="str">
            <v xml:space="preserve">Europeu        </v>
          </cell>
        </row>
        <row r="1815">
          <cell r="BY1815" t="str">
            <v>ELPLP25</v>
          </cell>
          <cell r="BZ1815">
            <v>25</v>
          </cell>
          <cell r="CA1815" t="str">
            <v>20-04-2009</v>
          </cell>
          <cell r="CB1815" t="str">
            <v xml:space="preserve">ELPL        </v>
          </cell>
          <cell r="CC1815" t="str">
            <v>PNB     N2</v>
          </cell>
          <cell r="CD1815" t="str">
            <v xml:space="preserve">OPCOES VENDA   </v>
          </cell>
          <cell r="CE1815" t="str">
            <v xml:space="preserve">Europeu        </v>
          </cell>
        </row>
        <row r="1816">
          <cell r="BY1816" t="str">
            <v>ELPLP26</v>
          </cell>
          <cell r="BZ1816">
            <v>26</v>
          </cell>
          <cell r="CA1816" t="str">
            <v>20-04-2009</v>
          </cell>
          <cell r="CB1816" t="str">
            <v xml:space="preserve">ELPL        </v>
          </cell>
          <cell r="CC1816" t="str">
            <v>PNB     N2</v>
          </cell>
          <cell r="CD1816" t="str">
            <v xml:space="preserve">OPCOES VENDA   </v>
          </cell>
          <cell r="CE1816" t="str">
            <v xml:space="preserve">Europeu        </v>
          </cell>
        </row>
        <row r="1817">
          <cell r="BY1817" t="str">
            <v>ELPLP27</v>
          </cell>
          <cell r="BZ1817">
            <v>27</v>
          </cell>
          <cell r="CA1817" t="str">
            <v>20-04-2009</v>
          </cell>
          <cell r="CB1817" t="str">
            <v xml:space="preserve">ELPL        </v>
          </cell>
          <cell r="CC1817" t="str">
            <v>PNB     N2</v>
          </cell>
          <cell r="CD1817" t="str">
            <v xml:space="preserve">OPCOES VENDA   </v>
          </cell>
          <cell r="CE1817" t="str">
            <v xml:space="preserve">Europeu        </v>
          </cell>
        </row>
        <row r="1818">
          <cell r="BY1818" t="str">
            <v>ELPLP28</v>
          </cell>
          <cell r="BZ1818">
            <v>28</v>
          </cell>
          <cell r="CA1818" t="str">
            <v>20-04-2009</v>
          </cell>
          <cell r="CB1818" t="str">
            <v xml:space="preserve">ELPL        </v>
          </cell>
          <cell r="CC1818" t="str">
            <v>PNB     N2</v>
          </cell>
          <cell r="CD1818" t="str">
            <v xml:space="preserve">OPCOES VENDA   </v>
          </cell>
          <cell r="CE1818" t="str">
            <v xml:space="preserve">Europeu        </v>
          </cell>
        </row>
        <row r="1819">
          <cell r="BY1819" t="str">
            <v>ELPLP29</v>
          </cell>
          <cell r="BZ1819">
            <v>29</v>
          </cell>
          <cell r="CA1819" t="str">
            <v>20-04-2009</v>
          </cell>
          <cell r="CB1819" t="str">
            <v xml:space="preserve">ELPL        </v>
          </cell>
          <cell r="CC1819" t="str">
            <v>PNB     N2</v>
          </cell>
          <cell r="CD1819" t="str">
            <v xml:space="preserve">OPCOES VENDA   </v>
          </cell>
          <cell r="CE1819" t="str">
            <v xml:space="preserve">Europeu        </v>
          </cell>
        </row>
        <row r="1820">
          <cell r="BY1820" t="str">
            <v>ELPLP30</v>
          </cell>
          <cell r="BZ1820">
            <v>30</v>
          </cell>
          <cell r="CA1820" t="str">
            <v>20-04-2009</v>
          </cell>
          <cell r="CB1820" t="str">
            <v xml:space="preserve">ELPL        </v>
          </cell>
          <cell r="CC1820" t="str">
            <v>PNB     N2</v>
          </cell>
          <cell r="CD1820" t="str">
            <v xml:space="preserve">OPCOES VENDA   </v>
          </cell>
          <cell r="CE1820" t="str">
            <v xml:space="preserve">Europeu        </v>
          </cell>
        </row>
        <row r="1821">
          <cell r="BY1821" t="str">
            <v>ELPLP31</v>
          </cell>
          <cell r="BZ1821">
            <v>31</v>
          </cell>
          <cell r="CA1821" t="str">
            <v>20-04-2009</v>
          </cell>
          <cell r="CB1821" t="str">
            <v xml:space="preserve">ELPL        </v>
          </cell>
          <cell r="CC1821" t="str">
            <v>PNB     N2</v>
          </cell>
          <cell r="CD1821" t="str">
            <v xml:space="preserve">OPCOES VENDA   </v>
          </cell>
          <cell r="CE1821" t="str">
            <v xml:space="preserve">Europeu        </v>
          </cell>
        </row>
        <row r="1822">
          <cell r="BY1822" t="str">
            <v>ELPLQ28</v>
          </cell>
          <cell r="BZ1822">
            <v>28</v>
          </cell>
          <cell r="CA1822" t="str">
            <v>18-05-2009</v>
          </cell>
          <cell r="CB1822" t="str">
            <v xml:space="preserve">ELPL        </v>
          </cell>
          <cell r="CC1822" t="str">
            <v>PNB     N2</v>
          </cell>
          <cell r="CD1822" t="str">
            <v xml:space="preserve">OPCOES VENDA   </v>
          </cell>
          <cell r="CE1822" t="str">
            <v xml:space="preserve">Europeu        </v>
          </cell>
        </row>
        <row r="1823">
          <cell r="BY1823" t="str">
            <v>ELPLQ29</v>
          </cell>
          <cell r="BZ1823">
            <v>29</v>
          </cell>
          <cell r="CA1823" t="str">
            <v>18-05-2009</v>
          </cell>
          <cell r="CB1823" t="str">
            <v xml:space="preserve">ELPL        </v>
          </cell>
          <cell r="CC1823" t="str">
            <v>PNB     N2</v>
          </cell>
          <cell r="CD1823" t="str">
            <v xml:space="preserve">OPCOES VENDA   </v>
          </cell>
          <cell r="CE1823" t="str">
            <v xml:space="preserve">Europeu        </v>
          </cell>
        </row>
        <row r="1824">
          <cell r="BY1824" t="str">
            <v>ELPLQ30</v>
          </cell>
          <cell r="BZ1824">
            <v>30</v>
          </cell>
          <cell r="CA1824" t="str">
            <v>18-05-2009</v>
          </cell>
          <cell r="CB1824" t="str">
            <v xml:space="preserve">ELPL        </v>
          </cell>
          <cell r="CC1824" t="str">
            <v>PNB     N2</v>
          </cell>
          <cell r="CD1824" t="str">
            <v xml:space="preserve">OPCOES VENDA   </v>
          </cell>
          <cell r="CE1824" t="str">
            <v xml:space="preserve">Europeu        </v>
          </cell>
        </row>
        <row r="1825">
          <cell r="BY1825" t="str">
            <v>ELPLQ31</v>
          </cell>
          <cell r="BZ1825">
            <v>31</v>
          </cell>
          <cell r="CA1825" t="str">
            <v>18-05-2009</v>
          </cell>
          <cell r="CB1825" t="str">
            <v xml:space="preserve">ELPL        </v>
          </cell>
          <cell r="CC1825" t="str">
            <v>PNB     N2</v>
          </cell>
          <cell r="CD1825" t="str">
            <v xml:space="preserve">OPCOES VENDA   </v>
          </cell>
          <cell r="CE1825" t="str">
            <v xml:space="preserve">Europeu        </v>
          </cell>
        </row>
        <row r="1826">
          <cell r="BY1826" t="str">
            <v>ELPLR1</v>
          </cell>
          <cell r="BZ1826">
            <v>38</v>
          </cell>
          <cell r="CA1826" t="str">
            <v>15-06-2009</v>
          </cell>
          <cell r="CB1826" t="str">
            <v xml:space="preserve">ELPL        </v>
          </cell>
          <cell r="CC1826" t="str">
            <v>PNB     N2</v>
          </cell>
          <cell r="CD1826" t="str">
            <v xml:space="preserve">OPCOES VENDA   </v>
          </cell>
          <cell r="CE1826" t="str">
            <v xml:space="preserve">Europeu        </v>
          </cell>
        </row>
        <row r="1827">
          <cell r="BY1827" t="str">
            <v>UBBRC12</v>
          </cell>
          <cell r="BZ1827">
            <v>12</v>
          </cell>
          <cell r="CA1827" t="str">
            <v>16-03-2009</v>
          </cell>
          <cell r="CB1827" t="str">
            <v>UBBR    /EDJ</v>
          </cell>
          <cell r="CC1827" t="str">
            <v>UNT     N1</v>
          </cell>
          <cell r="CD1827" t="str">
            <v xml:space="preserve">OPCOES COMPRA  </v>
          </cell>
          <cell r="CE1827" t="str">
            <v xml:space="preserve">Americano      </v>
          </cell>
        </row>
        <row r="1828">
          <cell r="BY1828" t="str">
            <v>UBBRC13</v>
          </cell>
          <cell r="BZ1828">
            <v>13</v>
          </cell>
          <cell r="CA1828" t="str">
            <v>16-03-2009</v>
          </cell>
          <cell r="CB1828" t="str">
            <v>UBBR    /EDJ</v>
          </cell>
          <cell r="CC1828" t="str">
            <v>UNT     N1</v>
          </cell>
          <cell r="CD1828" t="str">
            <v xml:space="preserve">OPCOES COMPRA  </v>
          </cell>
          <cell r="CE1828" t="str">
            <v xml:space="preserve">Americano      </v>
          </cell>
        </row>
        <row r="1829">
          <cell r="BY1829" t="str">
            <v>UBBRC14</v>
          </cell>
          <cell r="BZ1829">
            <v>14</v>
          </cell>
          <cell r="CA1829" t="str">
            <v>16-03-2009</v>
          </cell>
          <cell r="CB1829" t="str">
            <v>UBBR    /EDJ</v>
          </cell>
          <cell r="CC1829" t="str">
            <v>UNT     N1</v>
          </cell>
          <cell r="CD1829" t="str">
            <v xml:space="preserve">OPCOES COMPRA  </v>
          </cell>
          <cell r="CE1829" t="str">
            <v xml:space="preserve">Americano      </v>
          </cell>
        </row>
        <row r="1830">
          <cell r="BY1830" t="str">
            <v>UBBRC15</v>
          </cell>
          <cell r="BZ1830">
            <v>15</v>
          </cell>
          <cell r="CA1830" t="str">
            <v>16-03-2009</v>
          </cell>
          <cell r="CB1830" t="str">
            <v>UBBR    /EDJ</v>
          </cell>
          <cell r="CC1830" t="str">
            <v>UNT     N1</v>
          </cell>
          <cell r="CD1830" t="str">
            <v xml:space="preserve">OPCOES COMPRA  </v>
          </cell>
          <cell r="CE1830" t="str">
            <v xml:space="preserve">Americano      </v>
          </cell>
        </row>
        <row r="1831">
          <cell r="BY1831" t="str">
            <v>UBBRC16</v>
          </cell>
          <cell r="BZ1831">
            <v>15.88</v>
          </cell>
          <cell r="CA1831" t="str">
            <v>16-03-2009</v>
          </cell>
          <cell r="CB1831" t="str">
            <v>UBBR    /EDJ</v>
          </cell>
          <cell r="CC1831" t="str">
            <v>UNT     N1</v>
          </cell>
          <cell r="CD1831" t="str">
            <v xml:space="preserve">OPCOES COMPRA  </v>
          </cell>
          <cell r="CE1831" t="str">
            <v xml:space="preserve">Americano      </v>
          </cell>
        </row>
        <row r="1832">
          <cell r="BY1832" t="str">
            <v>UBBRC17</v>
          </cell>
          <cell r="BZ1832">
            <v>17</v>
          </cell>
          <cell r="CA1832" t="str">
            <v>16-03-2009</v>
          </cell>
          <cell r="CB1832" t="str">
            <v>UBBR    /EDJ</v>
          </cell>
          <cell r="CC1832" t="str">
            <v>UNT     N1</v>
          </cell>
          <cell r="CD1832" t="str">
            <v xml:space="preserve">OPCOES COMPRA  </v>
          </cell>
          <cell r="CE1832" t="str">
            <v xml:space="preserve">Americano      </v>
          </cell>
        </row>
        <row r="1833">
          <cell r="BY1833" t="str">
            <v>UBBRC2</v>
          </cell>
          <cell r="BZ1833">
            <v>24.33</v>
          </cell>
          <cell r="CA1833" t="str">
            <v>16-03-2009</v>
          </cell>
          <cell r="CB1833" t="str">
            <v>UBBR    /EDJ</v>
          </cell>
          <cell r="CC1833" t="str">
            <v>UNT     N1</v>
          </cell>
          <cell r="CD1833" t="str">
            <v xml:space="preserve">OPCOES COMPRA  </v>
          </cell>
          <cell r="CE1833" t="str">
            <v xml:space="preserve">Americano      </v>
          </cell>
        </row>
        <row r="1834">
          <cell r="BY1834" t="str">
            <v>UBBRD11</v>
          </cell>
          <cell r="BZ1834">
            <v>11</v>
          </cell>
          <cell r="CA1834" t="str">
            <v>20-04-2009</v>
          </cell>
          <cell r="CB1834" t="str">
            <v>UBBR    /EDJ</v>
          </cell>
          <cell r="CC1834" t="str">
            <v>UNT     N1</v>
          </cell>
          <cell r="CD1834" t="str">
            <v xml:space="preserve">OPCOES COMPRA  </v>
          </cell>
          <cell r="CE1834" t="str">
            <v xml:space="preserve">Americano      </v>
          </cell>
        </row>
        <row r="1835">
          <cell r="BY1835" t="str">
            <v>UBBRD12</v>
          </cell>
          <cell r="BZ1835">
            <v>12</v>
          </cell>
          <cell r="CA1835" t="str">
            <v>20-04-2009</v>
          </cell>
          <cell r="CB1835" t="str">
            <v>UBBR    /EDJ</v>
          </cell>
          <cell r="CC1835" t="str">
            <v>UNT     N1</v>
          </cell>
          <cell r="CD1835" t="str">
            <v xml:space="preserve">OPCOES COMPRA  </v>
          </cell>
          <cell r="CE1835" t="str">
            <v xml:space="preserve">Americano      </v>
          </cell>
        </row>
        <row r="1836">
          <cell r="BY1836" t="str">
            <v>UBBRD13</v>
          </cell>
          <cell r="BZ1836">
            <v>13</v>
          </cell>
          <cell r="CA1836" t="str">
            <v>20-04-2009</v>
          </cell>
          <cell r="CB1836" t="str">
            <v>UBBR    /EDJ</v>
          </cell>
          <cell r="CC1836" t="str">
            <v>UNT     N1</v>
          </cell>
          <cell r="CD1836" t="str">
            <v xml:space="preserve">OPCOES COMPRA  </v>
          </cell>
          <cell r="CE1836" t="str">
            <v xml:space="preserve">Americano      </v>
          </cell>
        </row>
        <row r="1837">
          <cell r="BY1837" t="str">
            <v>UBBRD14</v>
          </cell>
          <cell r="BZ1837">
            <v>14</v>
          </cell>
          <cell r="CA1837" t="str">
            <v>20-04-2009</v>
          </cell>
          <cell r="CB1837" t="str">
            <v>UBBR    /EDJ</v>
          </cell>
          <cell r="CC1837" t="str">
            <v>UNT     N1</v>
          </cell>
          <cell r="CD1837" t="str">
            <v xml:space="preserve">OPCOES COMPRA  </v>
          </cell>
          <cell r="CE1837" t="str">
            <v xml:space="preserve">Americano      </v>
          </cell>
        </row>
        <row r="1838">
          <cell r="BY1838" t="str">
            <v>UBBRD15</v>
          </cell>
          <cell r="BZ1838">
            <v>15</v>
          </cell>
          <cell r="CA1838" t="str">
            <v>20-04-2009</v>
          </cell>
          <cell r="CB1838" t="str">
            <v>UBBR    /EDJ</v>
          </cell>
          <cell r="CC1838" t="str">
            <v>UNT     N1</v>
          </cell>
          <cell r="CD1838" t="str">
            <v xml:space="preserve">OPCOES COMPRA  </v>
          </cell>
          <cell r="CE1838" t="str">
            <v xml:space="preserve">Americano      </v>
          </cell>
        </row>
        <row r="1839">
          <cell r="BY1839" t="str">
            <v>UBBRD16</v>
          </cell>
          <cell r="BZ1839">
            <v>16</v>
          </cell>
          <cell r="CA1839" t="str">
            <v>20-04-2009</v>
          </cell>
          <cell r="CB1839" t="str">
            <v>UBBR    /EDJ</v>
          </cell>
          <cell r="CC1839" t="str">
            <v>UNT     N1</v>
          </cell>
          <cell r="CD1839" t="str">
            <v xml:space="preserve">OPCOES COMPRA  </v>
          </cell>
          <cell r="CE1839" t="str">
            <v xml:space="preserve">Americano      </v>
          </cell>
        </row>
        <row r="1840">
          <cell r="BY1840" t="str">
            <v>UBBRD17</v>
          </cell>
          <cell r="BZ1840">
            <v>17</v>
          </cell>
          <cell r="CA1840" t="str">
            <v>20-04-2009</v>
          </cell>
          <cell r="CB1840" t="str">
            <v>UBBR    /EDJ</v>
          </cell>
          <cell r="CC1840" t="str">
            <v>UNT     N1</v>
          </cell>
          <cell r="CD1840" t="str">
            <v xml:space="preserve">OPCOES COMPRA  </v>
          </cell>
          <cell r="CE1840" t="str">
            <v xml:space="preserve">Americano      </v>
          </cell>
        </row>
        <row r="1841">
          <cell r="BY1841" t="str">
            <v>UBBRH1</v>
          </cell>
          <cell r="BZ1841">
            <v>21</v>
          </cell>
          <cell r="CA1841" t="str">
            <v>17-08-2009</v>
          </cell>
          <cell r="CB1841" t="str">
            <v>UBBR    /EDJ</v>
          </cell>
          <cell r="CC1841" t="str">
            <v>UNT     N1</v>
          </cell>
          <cell r="CD1841" t="str">
            <v xml:space="preserve">OPCOES COMPRA  </v>
          </cell>
          <cell r="CE1841" t="str">
            <v xml:space="preserve">Americano      </v>
          </cell>
        </row>
        <row r="1842">
          <cell r="BY1842" t="str">
            <v>UBBRH2</v>
          </cell>
          <cell r="BZ1842">
            <v>22</v>
          </cell>
          <cell r="CA1842" t="str">
            <v>17-08-2009</v>
          </cell>
          <cell r="CB1842" t="str">
            <v>UBBR    /EDJ</v>
          </cell>
          <cell r="CC1842" t="str">
            <v>UNT     N1</v>
          </cell>
          <cell r="CD1842" t="str">
            <v xml:space="preserve">OPCOES COMPRA  </v>
          </cell>
          <cell r="CE1842" t="str">
            <v xml:space="preserve">Americano      </v>
          </cell>
        </row>
        <row r="1843">
          <cell r="BY1843" t="str">
            <v>UBBRH3</v>
          </cell>
          <cell r="BZ1843">
            <v>22.66</v>
          </cell>
          <cell r="CA1843" t="str">
            <v>17-08-2009</v>
          </cell>
          <cell r="CB1843" t="str">
            <v>UBBR    /EDJ</v>
          </cell>
          <cell r="CC1843" t="str">
            <v>UNT     N1</v>
          </cell>
          <cell r="CD1843" t="str">
            <v xml:space="preserve">OPCOES COMPRA  </v>
          </cell>
          <cell r="CE1843" t="str">
            <v xml:space="preserve">Americano      </v>
          </cell>
        </row>
        <row r="1844">
          <cell r="BY1844" t="str">
            <v>UBBRH4</v>
          </cell>
          <cell r="BZ1844">
            <v>24</v>
          </cell>
          <cell r="CA1844" t="str">
            <v>17-08-2009</v>
          </cell>
          <cell r="CB1844" t="str">
            <v>UBBR    /EDJ</v>
          </cell>
          <cell r="CC1844" t="str">
            <v>UNT     N1</v>
          </cell>
          <cell r="CD1844" t="str">
            <v xml:space="preserve">OPCOES COMPRA  </v>
          </cell>
          <cell r="CE1844" t="str">
            <v xml:space="preserve">Americano      </v>
          </cell>
        </row>
        <row r="1845">
          <cell r="BY1845" t="str">
            <v>UBBRH5</v>
          </cell>
          <cell r="BZ1845">
            <v>25</v>
          </cell>
          <cell r="CA1845" t="str">
            <v>17-08-2009</v>
          </cell>
          <cell r="CB1845" t="str">
            <v>UBBR    /EDJ</v>
          </cell>
          <cell r="CC1845" t="str">
            <v>UNT     N1</v>
          </cell>
          <cell r="CD1845" t="str">
            <v xml:space="preserve">OPCOES COMPRA  </v>
          </cell>
          <cell r="CE1845" t="str">
            <v xml:space="preserve">Americano      </v>
          </cell>
        </row>
        <row r="1846">
          <cell r="BY1846" t="str">
            <v>UBBRO12</v>
          </cell>
          <cell r="BZ1846">
            <v>12</v>
          </cell>
          <cell r="CA1846" t="str">
            <v>16-03-2009</v>
          </cell>
          <cell r="CB1846" t="str">
            <v>UBBR    /EDJ</v>
          </cell>
          <cell r="CC1846" t="str">
            <v>UNT     N1</v>
          </cell>
          <cell r="CD1846" t="str">
            <v xml:space="preserve">OPCOES VENDA   </v>
          </cell>
          <cell r="CE1846" t="str">
            <v xml:space="preserve">Europeu        </v>
          </cell>
        </row>
        <row r="1847">
          <cell r="BY1847" t="str">
            <v>UBBRO13</v>
          </cell>
          <cell r="BZ1847">
            <v>13</v>
          </cell>
          <cell r="CA1847" t="str">
            <v>16-03-2009</v>
          </cell>
          <cell r="CB1847" t="str">
            <v>UBBR    /EDJ</v>
          </cell>
          <cell r="CC1847" t="str">
            <v>UNT     N1</v>
          </cell>
          <cell r="CD1847" t="str">
            <v xml:space="preserve">OPCOES VENDA   </v>
          </cell>
          <cell r="CE1847" t="str">
            <v xml:space="preserve">Europeu        </v>
          </cell>
        </row>
        <row r="1848">
          <cell r="BY1848" t="str">
            <v>UBBRO14</v>
          </cell>
          <cell r="BZ1848">
            <v>13.88</v>
          </cell>
          <cell r="CA1848" t="str">
            <v>16-03-2009</v>
          </cell>
          <cell r="CB1848" t="str">
            <v>UBBR    /EDJ</v>
          </cell>
          <cell r="CC1848" t="str">
            <v>UNT     N1</v>
          </cell>
          <cell r="CD1848" t="str">
            <v xml:space="preserve">OPCOES VENDA   </v>
          </cell>
          <cell r="CE1848" t="str">
            <v xml:space="preserve">Europeu        </v>
          </cell>
        </row>
        <row r="1849">
          <cell r="BY1849" t="str">
            <v>UBBRO15</v>
          </cell>
          <cell r="BZ1849">
            <v>15</v>
          </cell>
          <cell r="CA1849" t="str">
            <v>16-03-2009</v>
          </cell>
          <cell r="CB1849" t="str">
            <v>UBBR    /EDJ</v>
          </cell>
          <cell r="CC1849" t="str">
            <v>UNT     N1</v>
          </cell>
          <cell r="CD1849" t="str">
            <v xml:space="preserve">OPCOES VENDA   </v>
          </cell>
          <cell r="CE1849" t="str">
            <v xml:space="preserve">Europeu        </v>
          </cell>
        </row>
        <row r="1850">
          <cell r="BY1850" t="str">
            <v>UBBRO16</v>
          </cell>
          <cell r="BZ1850">
            <v>16</v>
          </cell>
          <cell r="CA1850" t="str">
            <v>16-03-2009</v>
          </cell>
          <cell r="CB1850" t="str">
            <v>UBBR    /EDJ</v>
          </cell>
          <cell r="CC1850" t="str">
            <v>UNT     N1</v>
          </cell>
          <cell r="CD1850" t="str">
            <v xml:space="preserve">OPCOES VENDA   </v>
          </cell>
          <cell r="CE1850" t="str">
            <v xml:space="preserve">Europeu        </v>
          </cell>
        </row>
        <row r="1851">
          <cell r="BY1851" t="str">
            <v>UBBRO17</v>
          </cell>
          <cell r="BZ1851">
            <v>17</v>
          </cell>
          <cell r="CA1851" t="str">
            <v>16-03-2009</v>
          </cell>
          <cell r="CB1851" t="str">
            <v>UBBR    /EDJ</v>
          </cell>
          <cell r="CC1851" t="str">
            <v>UNT     N1</v>
          </cell>
          <cell r="CD1851" t="str">
            <v xml:space="preserve">OPCOES VENDA   </v>
          </cell>
          <cell r="CE1851" t="str">
            <v xml:space="preserve">Europeu        </v>
          </cell>
        </row>
        <row r="1852">
          <cell r="BY1852" t="str">
            <v>UBBRO2</v>
          </cell>
          <cell r="BZ1852">
            <v>24.33</v>
          </cell>
          <cell r="CA1852" t="str">
            <v>16-03-2009</v>
          </cell>
          <cell r="CB1852" t="str">
            <v>UBBR    /EDJ</v>
          </cell>
          <cell r="CC1852" t="str">
            <v>UNT     N1</v>
          </cell>
          <cell r="CD1852" t="str">
            <v xml:space="preserve">OPCOES VENDA   </v>
          </cell>
          <cell r="CE1852" t="str">
            <v xml:space="preserve">Europeu        </v>
          </cell>
        </row>
        <row r="1853">
          <cell r="BY1853" t="str">
            <v>UBBRP11</v>
          </cell>
          <cell r="BZ1853">
            <v>11</v>
          </cell>
          <cell r="CA1853" t="str">
            <v>20-04-2009</v>
          </cell>
          <cell r="CB1853" t="str">
            <v>UBBR    /EDJ</v>
          </cell>
          <cell r="CC1853" t="str">
            <v>UNT     N1</v>
          </cell>
          <cell r="CD1853" t="str">
            <v xml:space="preserve">OPCOES VENDA   </v>
          </cell>
          <cell r="CE1853" t="str">
            <v xml:space="preserve">Europeu        </v>
          </cell>
        </row>
        <row r="1854">
          <cell r="BY1854" t="str">
            <v>UBBRP12</v>
          </cell>
          <cell r="BZ1854">
            <v>12</v>
          </cell>
          <cell r="CA1854" t="str">
            <v>20-04-2009</v>
          </cell>
          <cell r="CB1854" t="str">
            <v>UBBR    /EDJ</v>
          </cell>
          <cell r="CC1854" t="str">
            <v>UNT     N1</v>
          </cell>
          <cell r="CD1854" t="str">
            <v xml:space="preserve">OPCOES VENDA   </v>
          </cell>
          <cell r="CE1854" t="str">
            <v xml:space="preserve">Europeu        </v>
          </cell>
        </row>
        <row r="1855">
          <cell r="BY1855" t="str">
            <v>UBBRP13</v>
          </cell>
          <cell r="BZ1855">
            <v>13</v>
          </cell>
          <cell r="CA1855" t="str">
            <v>20-04-2009</v>
          </cell>
          <cell r="CB1855" t="str">
            <v>UBBR    /EDJ</v>
          </cell>
          <cell r="CC1855" t="str">
            <v>UNT     N1</v>
          </cell>
          <cell r="CD1855" t="str">
            <v xml:space="preserve">OPCOES VENDA   </v>
          </cell>
          <cell r="CE1855" t="str">
            <v xml:space="preserve">Europeu        </v>
          </cell>
        </row>
        <row r="1856">
          <cell r="BY1856" t="str">
            <v>UBBRP14</v>
          </cell>
          <cell r="BZ1856">
            <v>14</v>
          </cell>
          <cell r="CA1856" t="str">
            <v>20-04-2009</v>
          </cell>
          <cell r="CB1856" t="str">
            <v>UBBR    /EDJ</v>
          </cell>
          <cell r="CC1856" t="str">
            <v>UNT     N1</v>
          </cell>
          <cell r="CD1856" t="str">
            <v xml:space="preserve">OPCOES VENDA   </v>
          </cell>
          <cell r="CE1856" t="str">
            <v xml:space="preserve">Europeu        </v>
          </cell>
        </row>
        <row r="1857">
          <cell r="BY1857" t="str">
            <v>UBBRP15</v>
          </cell>
          <cell r="BZ1857">
            <v>15</v>
          </cell>
          <cell r="CA1857" t="str">
            <v>20-04-2009</v>
          </cell>
          <cell r="CB1857" t="str">
            <v>UBBR    /EDJ</v>
          </cell>
          <cell r="CC1857" t="str">
            <v>UNT     N1</v>
          </cell>
          <cell r="CD1857" t="str">
            <v xml:space="preserve">OPCOES VENDA   </v>
          </cell>
          <cell r="CE1857" t="str">
            <v xml:space="preserve">Europeu        </v>
          </cell>
        </row>
        <row r="1858">
          <cell r="BY1858" t="str">
            <v>UBBRP16</v>
          </cell>
          <cell r="BZ1858">
            <v>16</v>
          </cell>
          <cell r="CA1858" t="str">
            <v>20-04-2009</v>
          </cell>
          <cell r="CB1858" t="str">
            <v>UBBR    /EDJ</v>
          </cell>
          <cell r="CC1858" t="str">
            <v>UNT     N1</v>
          </cell>
          <cell r="CD1858" t="str">
            <v xml:space="preserve">OPCOES VENDA   </v>
          </cell>
          <cell r="CE1858" t="str">
            <v xml:space="preserve">Europeu        </v>
          </cell>
        </row>
        <row r="1859">
          <cell r="BY1859" t="str">
            <v>UBBRP17</v>
          </cell>
          <cell r="BZ1859">
            <v>17</v>
          </cell>
          <cell r="CA1859" t="str">
            <v>20-04-2009</v>
          </cell>
          <cell r="CB1859" t="str">
            <v>UBBR    /EDJ</v>
          </cell>
          <cell r="CC1859" t="str">
            <v>UNT     N1</v>
          </cell>
          <cell r="CD1859" t="str">
            <v xml:space="preserve">OPCOES VENDA   </v>
          </cell>
          <cell r="CE1859" t="str">
            <v xml:space="preserve">Europeu        </v>
          </cell>
        </row>
        <row r="1860">
          <cell r="BY1860" t="str">
            <v>UBBRT1</v>
          </cell>
          <cell r="BZ1860">
            <v>21</v>
          </cell>
          <cell r="CA1860" t="str">
            <v>17-08-2009</v>
          </cell>
          <cell r="CB1860" t="str">
            <v>UBBR    /EDJ</v>
          </cell>
          <cell r="CC1860" t="str">
            <v>UNT     N1</v>
          </cell>
          <cell r="CD1860" t="str">
            <v xml:space="preserve">OPCOES VENDA   </v>
          </cell>
          <cell r="CE1860" t="str">
            <v xml:space="preserve">Europeu        </v>
          </cell>
        </row>
        <row r="1861">
          <cell r="BY1861" t="str">
            <v>UBBRT2</v>
          </cell>
          <cell r="BZ1861">
            <v>22</v>
          </cell>
          <cell r="CA1861" t="str">
            <v>17-08-2009</v>
          </cell>
          <cell r="CB1861" t="str">
            <v>UBBR    /EDJ</v>
          </cell>
          <cell r="CC1861" t="str">
            <v>UNT     N1</v>
          </cell>
          <cell r="CD1861" t="str">
            <v xml:space="preserve">OPCOES VENDA   </v>
          </cell>
          <cell r="CE1861" t="str">
            <v xml:space="preserve">Europeu        </v>
          </cell>
        </row>
        <row r="1862">
          <cell r="BY1862" t="str">
            <v>UBBRT3</v>
          </cell>
          <cell r="BZ1862">
            <v>22.66</v>
          </cell>
          <cell r="CA1862" t="str">
            <v>17-08-2009</v>
          </cell>
          <cell r="CB1862" t="str">
            <v>UBBR    /EDJ</v>
          </cell>
          <cell r="CC1862" t="str">
            <v>UNT     N1</v>
          </cell>
          <cell r="CD1862" t="str">
            <v xml:space="preserve">OPCOES VENDA   </v>
          </cell>
          <cell r="CE1862" t="str">
            <v xml:space="preserve">Europeu        </v>
          </cell>
        </row>
        <row r="1863">
          <cell r="BY1863" t="str">
            <v>UBBRT4</v>
          </cell>
          <cell r="BZ1863">
            <v>24</v>
          </cell>
          <cell r="CA1863" t="str">
            <v>17-08-2009</v>
          </cell>
          <cell r="CB1863" t="str">
            <v>UBBR    /EDJ</v>
          </cell>
          <cell r="CC1863" t="str">
            <v>UNT     N1</v>
          </cell>
          <cell r="CD1863" t="str">
            <v xml:space="preserve">OPCOES VENDA   </v>
          </cell>
          <cell r="CE1863" t="str">
            <v xml:space="preserve">Europeu        </v>
          </cell>
        </row>
        <row r="1864">
          <cell r="BY1864" t="str">
            <v>UBBRT5</v>
          </cell>
          <cell r="BZ1864">
            <v>25</v>
          </cell>
          <cell r="CA1864" t="str">
            <v>17-08-2009</v>
          </cell>
          <cell r="CB1864" t="str">
            <v>UBBR    /EDJ</v>
          </cell>
          <cell r="CC1864" t="str">
            <v>UNT     N1</v>
          </cell>
          <cell r="CD1864" t="str">
            <v xml:space="preserve">OPCOES VENDA   </v>
          </cell>
          <cell r="CE1864" t="str">
            <v xml:space="preserve">Europeu        </v>
          </cell>
        </row>
        <row r="1865">
          <cell r="BY1865" t="str">
            <v>ALLLC4</v>
          </cell>
          <cell r="BZ1865">
            <v>7.5</v>
          </cell>
          <cell r="CA1865" t="str">
            <v>16-03-2009</v>
          </cell>
          <cell r="CB1865" t="str">
            <v xml:space="preserve">ALLL        </v>
          </cell>
          <cell r="CC1865" t="str">
            <v>UNT     N2</v>
          </cell>
          <cell r="CD1865" t="str">
            <v xml:space="preserve">OPCOES COMPRA  </v>
          </cell>
          <cell r="CE1865" t="str">
            <v xml:space="preserve">Americano      </v>
          </cell>
        </row>
        <row r="1866">
          <cell r="BY1866" t="str">
            <v>ALLLC8</v>
          </cell>
          <cell r="BZ1866">
            <v>8</v>
          </cell>
          <cell r="CA1866" t="str">
            <v>16-03-2009</v>
          </cell>
          <cell r="CB1866" t="str">
            <v xml:space="preserve">ALLL        </v>
          </cell>
          <cell r="CC1866" t="str">
            <v>UNT     N2</v>
          </cell>
          <cell r="CD1866" t="str">
            <v xml:space="preserve">OPCOES COMPRA  </v>
          </cell>
          <cell r="CE1866" t="str">
            <v xml:space="preserve">Americano      </v>
          </cell>
        </row>
        <row r="1867">
          <cell r="BY1867" t="str">
            <v>ALLLC9</v>
          </cell>
          <cell r="BZ1867">
            <v>9</v>
          </cell>
          <cell r="CA1867" t="str">
            <v>16-03-2009</v>
          </cell>
          <cell r="CB1867" t="str">
            <v xml:space="preserve">ALLL        </v>
          </cell>
          <cell r="CC1867" t="str">
            <v>UNT     N2</v>
          </cell>
          <cell r="CD1867" t="str">
            <v xml:space="preserve">OPCOES COMPRA  </v>
          </cell>
          <cell r="CE1867" t="str">
            <v xml:space="preserve">Americano      </v>
          </cell>
        </row>
        <row r="1868">
          <cell r="BY1868" t="str">
            <v>ALLLC1</v>
          </cell>
          <cell r="BZ1868">
            <v>9.5</v>
          </cell>
          <cell r="CA1868" t="str">
            <v>16-03-2009</v>
          </cell>
          <cell r="CB1868" t="str">
            <v xml:space="preserve">ALLL        </v>
          </cell>
          <cell r="CC1868" t="str">
            <v>UNT     N2</v>
          </cell>
          <cell r="CD1868" t="str">
            <v xml:space="preserve">OPCOES COMPRA  </v>
          </cell>
          <cell r="CE1868" t="str">
            <v xml:space="preserve">Americano      </v>
          </cell>
        </row>
        <row r="1869">
          <cell r="BY1869" t="str">
            <v>ALLLC2</v>
          </cell>
          <cell r="BZ1869">
            <v>11.5</v>
          </cell>
          <cell r="CA1869" t="str">
            <v>16-03-2009</v>
          </cell>
          <cell r="CB1869" t="str">
            <v xml:space="preserve">ALLL        </v>
          </cell>
          <cell r="CC1869" t="str">
            <v>UNT     N2</v>
          </cell>
          <cell r="CD1869" t="str">
            <v xml:space="preserve">OPCOES COMPRA  </v>
          </cell>
          <cell r="CE1869" t="str">
            <v xml:space="preserve">Americano      </v>
          </cell>
        </row>
        <row r="1870">
          <cell r="BY1870" t="str">
            <v>ALLLC3</v>
          </cell>
          <cell r="BZ1870">
            <v>15.5</v>
          </cell>
          <cell r="CA1870" t="str">
            <v>16-03-2009</v>
          </cell>
          <cell r="CB1870" t="str">
            <v xml:space="preserve">ALLL        </v>
          </cell>
          <cell r="CC1870" t="str">
            <v>UNT     N2</v>
          </cell>
          <cell r="CD1870" t="str">
            <v xml:space="preserve">OPCOES COMPRA  </v>
          </cell>
          <cell r="CE1870" t="str">
            <v xml:space="preserve">Americano      </v>
          </cell>
        </row>
        <row r="1871">
          <cell r="BY1871" t="str">
            <v>ALLLD7</v>
          </cell>
          <cell r="BZ1871">
            <v>7</v>
          </cell>
          <cell r="CA1871" t="str">
            <v>20-04-2009</v>
          </cell>
          <cell r="CB1871" t="str">
            <v xml:space="preserve">ALLL        </v>
          </cell>
          <cell r="CC1871" t="str">
            <v>UNT     N2</v>
          </cell>
          <cell r="CD1871" t="str">
            <v xml:space="preserve">OPCOES COMPRA  </v>
          </cell>
          <cell r="CE1871" t="str">
            <v xml:space="preserve">Americano      </v>
          </cell>
        </row>
        <row r="1872">
          <cell r="BY1872" t="str">
            <v>ALLLD1</v>
          </cell>
          <cell r="BZ1872">
            <v>7.5</v>
          </cell>
          <cell r="CA1872" t="str">
            <v>20-04-2009</v>
          </cell>
          <cell r="CB1872" t="str">
            <v xml:space="preserve">ALLL        </v>
          </cell>
          <cell r="CC1872" t="str">
            <v>UNT     N2</v>
          </cell>
          <cell r="CD1872" t="str">
            <v xml:space="preserve">OPCOES COMPRA  </v>
          </cell>
          <cell r="CE1872" t="str">
            <v xml:space="preserve">Europeu        </v>
          </cell>
        </row>
        <row r="1873">
          <cell r="BY1873" t="str">
            <v>ALLLD8</v>
          </cell>
          <cell r="BZ1873">
            <v>8</v>
          </cell>
          <cell r="CA1873" t="str">
            <v>20-04-2009</v>
          </cell>
          <cell r="CB1873" t="str">
            <v xml:space="preserve">ALLL        </v>
          </cell>
          <cell r="CC1873" t="str">
            <v>UNT     N2</v>
          </cell>
          <cell r="CD1873" t="str">
            <v xml:space="preserve">OPCOES COMPRA  </v>
          </cell>
          <cell r="CE1873" t="str">
            <v xml:space="preserve">Americano      </v>
          </cell>
        </row>
        <row r="1874">
          <cell r="BY1874" t="str">
            <v>ALLLD9</v>
          </cell>
          <cell r="BZ1874">
            <v>9</v>
          </cell>
          <cell r="CA1874" t="str">
            <v>20-04-2009</v>
          </cell>
          <cell r="CB1874" t="str">
            <v xml:space="preserve">ALLL        </v>
          </cell>
          <cell r="CC1874" t="str">
            <v>UNT     N2</v>
          </cell>
          <cell r="CD1874" t="str">
            <v xml:space="preserve">OPCOES COMPRA  </v>
          </cell>
          <cell r="CE1874" t="str">
            <v xml:space="preserve">Americano      </v>
          </cell>
        </row>
        <row r="1875">
          <cell r="BY1875" t="str">
            <v>ALLLD10</v>
          </cell>
          <cell r="BZ1875">
            <v>10</v>
          </cell>
          <cell r="CA1875" t="str">
            <v>20-04-2009</v>
          </cell>
          <cell r="CB1875" t="str">
            <v xml:space="preserve">ALLL        </v>
          </cell>
          <cell r="CC1875" t="str">
            <v>UNT     N2</v>
          </cell>
          <cell r="CD1875" t="str">
            <v xml:space="preserve">OPCOES COMPRA  </v>
          </cell>
          <cell r="CE1875" t="str">
            <v xml:space="preserve">Americano      </v>
          </cell>
        </row>
        <row r="1876">
          <cell r="BY1876" t="str">
            <v>ALLLD11</v>
          </cell>
          <cell r="BZ1876">
            <v>11</v>
          </cell>
          <cell r="CA1876" t="str">
            <v>20-04-2009</v>
          </cell>
          <cell r="CB1876" t="str">
            <v xml:space="preserve">ALLL        </v>
          </cell>
          <cell r="CC1876" t="str">
            <v>UNT     N2</v>
          </cell>
          <cell r="CD1876" t="str">
            <v xml:space="preserve">OPCOES COMPRA  </v>
          </cell>
          <cell r="CE1876" t="str">
            <v xml:space="preserve">Americano      </v>
          </cell>
        </row>
        <row r="1877">
          <cell r="BY1877" t="str">
            <v>ALLLF10</v>
          </cell>
          <cell r="BZ1877">
            <v>10</v>
          </cell>
          <cell r="CA1877" t="str">
            <v>15-06-2009</v>
          </cell>
          <cell r="CB1877" t="str">
            <v xml:space="preserve">ALLL        </v>
          </cell>
          <cell r="CC1877" t="str">
            <v>UNT     N2</v>
          </cell>
          <cell r="CD1877" t="str">
            <v xml:space="preserve">OPCOES COMPRA  </v>
          </cell>
          <cell r="CE1877" t="str">
            <v xml:space="preserve">Americano      </v>
          </cell>
        </row>
        <row r="1878">
          <cell r="BY1878" t="str">
            <v>ALLLO4</v>
          </cell>
          <cell r="BZ1878">
            <v>7.5</v>
          </cell>
          <cell r="CA1878" t="str">
            <v>16-03-2009</v>
          </cell>
          <cell r="CB1878" t="str">
            <v xml:space="preserve">ALLL        </v>
          </cell>
          <cell r="CC1878" t="str">
            <v>UNT     N2</v>
          </cell>
          <cell r="CD1878" t="str">
            <v xml:space="preserve">OPCOES VENDA   </v>
          </cell>
          <cell r="CE1878" t="str">
            <v xml:space="preserve">Europeu        </v>
          </cell>
        </row>
        <row r="1879">
          <cell r="BY1879" t="str">
            <v>ALLLO8</v>
          </cell>
          <cell r="BZ1879">
            <v>8</v>
          </cell>
          <cell r="CA1879" t="str">
            <v>16-03-2009</v>
          </cell>
          <cell r="CB1879" t="str">
            <v xml:space="preserve">ALLL        </v>
          </cell>
          <cell r="CC1879" t="str">
            <v>UNT     N2</v>
          </cell>
          <cell r="CD1879" t="str">
            <v xml:space="preserve">OPCOES VENDA   </v>
          </cell>
          <cell r="CE1879" t="str">
            <v xml:space="preserve">Europeu        </v>
          </cell>
        </row>
        <row r="1880">
          <cell r="BY1880" t="str">
            <v>ALLLO9</v>
          </cell>
          <cell r="BZ1880">
            <v>9</v>
          </cell>
          <cell r="CA1880" t="str">
            <v>16-03-2009</v>
          </cell>
          <cell r="CB1880" t="str">
            <v xml:space="preserve">ALLL        </v>
          </cell>
          <cell r="CC1880" t="str">
            <v>UNT     N2</v>
          </cell>
          <cell r="CD1880" t="str">
            <v xml:space="preserve">OPCOES VENDA   </v>
          </cell>
          <cell r="CE1880" t="str">
            <v xml:space="preserve">Europeu        </v>
          </cell>
        </row>
        <row r="1881">
          <cell r="BY1881" t="str">
            <v>ALLLO1</v>
          </cell>
          <cell r="BZ1881">
            <v>9.5</v>
          </cell>
          <cell r="CA1881" t="str">
            <v>16-03-2009</v>
          </cell>
          <cell r="CB1881" t="str">
            <v xml:space="preserve">ALLL        </v>
          </cell>
          <cell r="CC1881" t="str">
            <v>UNT     N2</v>
          </cell>
          <cell r="CD1881" t="str">
            <v xml:space="preserve">OPCOES VENDA   </v>
          </cell>
          <cell r="CE1881" t="str">
            <v xml:space="preserve">Europeu        </v>
          </cell>
        </row>
        <row r="1882">
          <cell r="BY1882" t="str">
            <v>ALLLO2</v>
          </cell>
          <cell r="BZ1882">
            <v>11.5</v>
          </cell>
          <cell r="CA1882" t="str">
            <v>16-03-2009</v>
          </cell>
          <cell r="CB1882" t="str">
            <v xml:space="preserve">ALLL        </v>
          </cell>
          <cell r="CC1882" t="str">
            <v>UNT     N2</v>
          </cell>
          <cell r="CD1882" t="str">
            <v xml:space="preserve">OPCOES VENDA   </v>
          </cell>
          <cell r="CE1882" t="str">
            <v xml:space="preserve">Europeu        </v>
          </cell>
        </row>
        <row r="1883">
          <cell r="BY1883" t="str">
            <v>ALLLO3</v>
          </cell>
          <cell r="BZ1883">
            <v>15.5</v>
          </cell>
          <cell r="CA1883" t="str">
            <v>16-03-2009</v>
          </cell>
          <cell r="CB1883" t="str">
            <v xml:space="preserve">ALLL        </v>
          </cell>
          <cell r="CC1883" t="str">
            <v>UNT     N2</v>
          </cell>
          <cell r="CD1883" t="str">
            <v xml:space="preserve">OPCOES VENDA   </v>
          </cell>
          <cell r="CE1883" t="str">
            <v xml:space="preserve">Europeu        </v>
          </cell>
        </row>
        <row r="1884">
          <cell r="BY1884" t="str">
            <v>ALLLP7</v>
          </cell>
          <cell r="BZ1884">
            <v>7</v>
          </cell>
          <cell r="CA1884" t="str">
            <v>20-04-2009</v>
          </cell>
          <cell r="CB1884" t="str">
            <v xml:space="preserve">ALLL        </v>
          </cell>
          <cell r="CC1884" t="str">
            <v>UNT     N2</v>
          </cell>
          <cell r="CD1884" t="str">
            <v xml:space="preserve">OPCOES VENDA   </v>
          </cell>
          <cell r="CE1884" t="str">
            <v xml:space="preserve">Europeu        </v>
          </cell>
        </row>
        <row r="1885">
          <cell r="BY1885" t="str">
            <v>ALLLP1</v>
          </cell>
          <cell r="BZ1885">
            <v>7.5</v>
          </cell>
          <cell r="CA1885" t="str">
            <v>20-04-2009</v>
          </cell>
          <cell r="CB1885" t="str">
            <v xml:space="preserve">ALLL        </v>
          </cell>
          <cell r="CC1885" t="str">
            <v>UNT     N2</v>
          </cell>
          <cell r="CD1885" t="str">
            <v xml:space="preserve">OPCOES VENDA   </v>
          </cell>
          <cell r="CE1885" t="str">
            <v xml:space="preserve">Europeu        </v>
          </cell>
        </row>
        <row r="1886">
          <cell r="BY1886" t="str">
            <v>ALLLP8</v>
          </cell>
          <cell r="BZ1886">
            <v>8</v>
          </cell>
          <cell r="CA1886" t="str">
            <v>20-04-2009</v>
          </cell>
          <cell r="CB1886" t="str">
            <v xml:space="preserve">ALLL        </v>
          </cell>
          <cell r="CC1886" t="str">
            <v>UNT     N2</v>
          </cell>
          <cell r="CD1886" t="str">
            <v xml:space="preserve">OPCOES VENDA   </v>
          </cell>
          <cell r="CE1886" t="str">
            <v xml:space="preserve">Europeu        </v>
          </cell>
        </row>
        <row r="1887">
          <cell r="BY1887" t="str">
            <v>ALLLP9</v>
          </cell>
          <cell r="BZ1887">
            <v>9</v>
          </cell>
          <cell r="CA1887" t="str">
            <v>20-04-2009</v>
          </cell>
          <cell r="CB1887" t="str">
            <v xml:space="preserve">ALLL        </v>
          </cell>
          <cell r="CC1887" t="str">
            <v>UNT     N2</v>
          </cell>
          <cell r="CD1887" t="str">
            <v xml:space="preserve">OPCOES VENDA   </v>
          </cell>
          <cell r="CE1887" t="str">
            <v xml:space="preserve">Europeu        </v>
          </cell>
        </row>
        <row r="1888">
          <cell r="BY1888" t="str">
            <v>ALLLP10</v>
          </cell>
          <cell r="BZ1888">
            <v>10</v>
          </cell>
          <cell r="CA1888" t="str">
            <v>20-04-2009</v>
          </cell>
          <cell r="CB1888" t="str">
            <v xml:space="preserve">ALLL        </v>
          </cell>
          <cell r="CC1888" t="str">
            <v>UNT     N2</v>
          </cell>
          <cell r="CD1888" t="str">
            <v xml:space="preserve">OPCOES VENDA   </v>
          </cell>
          <cell r="CE1888" t="str">
            <v xml:space="preserve">Europeu        </v>
          </cell>
        </row>
        <row r="1889">
          <cell r="BY1889" t="str">
            <v>ALLLP11</v>
          </cell>
          <cell r="BZ1889">
            <v>11</v>
          </cell>
          <cell r="CA1889" t="str">
            <v>20-04-2009</v>
          </cell>
          <cell r="CB1889" t="str">
            <v xml:space="preserve">ALLL        </v>
          </cell>
          <cell r="CC1889" t="str">
            <v>UNT     N2</v>
          </cell>
          <cell r="CD1889" t="str">
            <v xml:space="preserve">OPCOES VENDA   </v>
          </cell>
          <cell r="CE1889" t="str">
            <v xml:space="preserve">Europeu        </v>
          </cell>
        </row>
        <row r="1890">
          <cell r="BY1890" t="str">
            <v>ALLLR10</v>
          </cell>
          <cell r="BZ1890">
            <v>10</v>
          </cell>
          <cell r="CA1890" t="str">
            <v>15-06-2009</v>
          </cell>
          <cell r="CB1890" t="str">
            <v xml:space="preserve">ALLL        </v>
          </cell>
          <cell r="CC1890" t="str">
            <v>UNT     N2</v>
          </cell>
          <cell r="CD1890" t="str">
            <v xml:space="preserve">OPCOES VENDA   </v>
          </cell>
          <cell r="CE1890" t="str">
            <v xml:space="preserve">Europeu        </v>
          </cell>
        </row>
        <row r="1891">
          <cell r="BY1891" t="str">
            <v>IBOVD20</v>
          </cell>
          <cell r="BZ1891">
            <v>20000</v>
          </cell>
          <cell r="CA1891" t="str">
            <v>15-04-2009</v>
          </cell>
          <cell r="CB1891">
            <v>0</v>
          </cell>
          <cell r="CC1891">
            <v>0</v>
          </cell>
          <cell r="CD1891">
            <v>0</v>
          </cell>
          <cell r="CE1891">
            <v>0</v>
          </cell>
        </row>
        <row r="1892">
          <cell r="BY1892" t="str">
            <v>IBOVD25</v>
          </cell>
          <cell r="BZ1892">
            <v>25000</v>
          </cell>
          <cell r="CA1892" t="str">
            <v>15-04-2009</v>
          </cell>
          <cell r="CB1892">
            <v>0</v>
          </cell>
          <cell r="CC1892">
            <v>0</v>
          </cell>
          <cell r="CD1892">
            <v>0</v>
          </cell>
          <cell r="CE1892">
            <v>0</v>
          </cell>
        </row>
        <row r="1893">
          <cell r="BY1893" t="str">
            <v>IBOVD26</v>
          </cell>
          <cell r="BZ1893">
            <v>26000</v>
          </cell>
          <cell r="CA1893" t="str">
            <v>15-04-2009</v>
          </cell>
          <cell r="CB1893">
            <v>0</v>
          </cell>
          <cell r="CC1893">
            <v>0</v>
          </cell>
          <cell r="CD1893">
            <v>0</v>
          </cell>
          <cell r="CE1893">
            <v>0</v>
          </cell>
        </row>
        <row r="1894">
          <cell r="BY1894" t="str">
            <v>IBOVD27</v>
          </cell>
          <cell r="BZ1894">
            <v>27000</v>
          </cell>
          <cell r="CA1894" t="str">
            <v>15-04-2009</v>
          </cell>
          <cell r="CB1894">
            <v>0</v>
          </cell>
          <cell r="CC1894">
            <v>0</v>
          </cell>
          <cell r="CD1894">
            <v>0</v>
          </cell>
          <cell r="CE1894">
            <v>0</v>
          </cell>
        </row>
        <row r="1895">
          <cell r="BY1895" t="str">
            <v>IBOVD28</v>
          </cell>
          <cell r="BZ1895">
            <v>28000</v>
          </cell>
          <cell r="CA1895" t="str">
            <v>15-04-2009</v>
          </cell>
          <cell r="CB1895">
            <v>0</v>
          </cell>
          <cell r="CC1895">
            <v>0</v>
          </cell>
          <cell r="CD1895">
            <v>0</v>
          </cell>
          <cell r="CE1895">
            <v>0</v>
          </cell>
        </row>
        <row r="1896">
          <cell r="BY1896" t="str">
            <v>IBOVD29</v>
          </cell>
          <cell r="BZ1896">
            <v>29000</v>
          </cell>
          <cell r="CA1896" t="str">
            <v>15-04-2009</v>
          </cell>
          <cell r="CB1896">
            <v>0</v>
          </cell>
          <cell r="CC1896">
            <v>0</v>
          </cell>
          <cell r="CD1896">
            <v>0</v>
          </cell>
          <cell r="CE1896">
            <v>0</v>
          </cell>
        </row>
        <row r="1897">
          <cell r="BY1897" t="str">
            <v>IBOVD30</v>
          </cell>
          <cell r="BZ1897">
            <v>30000</v>
          </cell>
          <cell r="CA1897" t="str">
            <v>15-04-2009</v>
          </cell>
          <cell r="CB1897">
            <v>0</v>
          </cell>
          <cell r="CC1897">
            <v>0</v>
          </cell>
          <cell r="CD1897">
            <v>0</v>
          </cell>
          <cell r="CE1897">
            <v>0</v>
          </cell>
        </row>
        <row r="1898">
          <cell r="BY1898" t="str">
            <v>IBOVD31</v>
          </cell>
          <cell r="BZ1898">
            <v>31000</v>
          </cell>
          <cell r="CA1898" t="str">
            <v>15-04-2009</v>
          </cell>
          <cell r="CB1898">
            <v>0</v>
          </cell>
          <cell r="CC1898">
            <v>0</v>
          </cell>
          <cell r="CD1898">
            <v>0</v>
          </cell>
          <cell r="CE1898">
            <v>0</v>
          </cell>
        </row>
        <row r="1899">
          <cell r="BY1899" t="str">
            <v>IBOVD32</v>
          </cell>
          <cell r="BZ1899">
            <v>32000</v>
          </cell>
          <cell r="CA1899" t="str">
            <v>15-04-2009</v>
          </cell>
          <cell r="CB1899">
            <v>0</v>
          </cell>
          <cell r="CC1899">
            <v>0</v>
          </cell>
          <cell r="CD1899">
            <v>0</v>
          </cell>
          <cell r="CE1899">
            <v>0</v>
          </cell>
        </row>
        <row r="1900">
          <cell r="BY1900" t="str">
            <v>IBOVD33</v>
          </cell>
          <cell r="BZ1900">
            <v>33000</v>
          </cell>
          <cell r="CA1900" t="str">
            <v>15-04-2009</v>
          </cell>
          <cell r="CB1900">
            <v>0</v>
          </cell>
          <cell r="CC1900">
            <v>0</v>
          </cell>
          <cell r="CD1900">
            <v>0</v>
          </cell>
          <cell r="CE1900">
            <v>0</v>
          </cell>
        </row>
        <row r="1901">
          <cell r="BY1901" t="str">
            <v>IBOVD34</v>
          </cell>
          <cell r="BZ1901">
            <v>34000</v>
          </cell>
          <cell r="CA1901" t="str">
            <v>15-04-2009</v>
          </cell>
          <cell r="CB1901">
            <v>0</v>
          </cell>
          <cell r="CC1901">
            <v>0</v>
          </cell>
          <cell r="CD1901">
            <v>0</v>
          </cell>
          <cell r="CE1901">
            <v>0</v>
          </cell>
        </row>
        <row r="1902">
          <cell r="BY1902" t="str">
            <v>IBOVD35</v>
          </cell>
          <cell r="BZ1902">
            <v>35000</v>
          </cell>
          <cell r="CA1902" t="str">
            <v>15-04-2009</v>
          </cell>
          <cell r="CB1902">
            <v>0</v>
          </cell>
          <cell r="CC1902">
            <v>0</v>
          </cell>
          <cell r="CD1902">
            <v>0</v>
          </cell>
          <cell r="CE1902">
            <v>0</v>
          </cell>
        </row>
        <row r="1903">
          <cell r="BY1903" t="str">
            <v>IBOVD36</v>
          </cell>
          <cell r="BZ1903">
            <v>36000</v>
          </cell>
          <cell r="CA1903" t="str">
            <v>15-04-2009</v>
          </cell>
          <cell r="CB1903">
            <v>0</v>
          </cell>
          <cell r="CC1903">
            <v>0</v>
          </cell>
          <cell r="CD1903">
            <v>0</v>
          </cell>
          <cell r="CE1903">
            <v>0</v>
          </cell>
        </row>
        <row r="1904">
          <cell r="BY1904" t="str">
            <v>IBOVD37</v>
          </cell>
          <cell r="BZ1904">
            <v>37000</v>
          </cell>
          <cell r="CA1904" t="str">
            <v>15-04-2009</v>
          </cell>
          <cell r="CB1904">
            <v>0</v>
          </cell>
          <cell r="CC1904">
            <v>0</v>
          </cell>
          <cell r="CD1904">
            <v>0</v>
          </cell>
          <cell r="CE1904">
            <v>0</v>
          </cell>
        </row>
        <row r="1905">
          <cell r="BY1905" t="str">
            <v>IBOVD98</v>
          </cell>
          <cell r="BZ1905">
            <v>38000</v>
          </cell>
          <cell r="CA1905" t="str">
            <v>15-04-2009</v>
          </cell>
          <cell r="CB1905">
            <v>0</v>
          </cell>
          <cell r="CC1905">
            <v>0</v>
          </cell>
          <cell r="CD1905">
            <v>0</v>
          </cell>
          <cell r="CE1905">
            <v>0</v>
          </cell>
        </row>
        <row r="1906">
          <cell r="BY1906" t="str">
            <v>IBOVD39</v>
          </cell>
          <cell r="BZ1906">
            <v>39000</v>
          </cell>
          <cell r="CA1906" t="str">
            <v>15-04-2009</v>
          </cell>
          <cell r="CB1906">
            <v>0</v>
          </cell>
          <cell r="CC1906">
            <v>0</v>
          </cell>
          <cell r="CD1906">
            <v>0</v>
          </cell>
          <cell r="CE1906">
            <v>0</v>
          </cell>
        </row>
        <row r="1907">
          <cell r="BY1907" t="str">
            <v>IBOVD40</v>
          </cell>
          <cell r="BZ1907">
            <v>40000</v>
          </cell>
          <cell r="CA1907" t="str">
            <v>15-04-2009</v>
          </cell>
          <cell r="CB1907">
            <v>0</v>
          </cell>
          <cell r="CC1907">
            <v>0</v>
          </cell>
          <cell r="CD1907">
            <v>0</v>
          </cell>
          <cell r="CE1907">
            <v>0</v>
          </cell>
        </row>
        <row r="1908">
          <cell r="BY1908" t="str">
            <v>IBOVD41</v>
          </cell>
          <cell r="BZ1908">
            <v>41000</v>
          </cell>
          <cell r="CA1908" t="str">
            <v>15-04-2009</v>
          </cell>
          <cell r="CB1908">
            <v>0</v>
          </cell>
          <cell r="CC1908">
            <v>0</v>
          </cell>
          <cell r="CD1908">
            <v>0</v>
          </cell>
          <cell r="CE1908">
            <v>0</v>
          </cell>
        </row>
        <row r="1909">
          <cell r="BY1909" t="str">
            <v>IBOVD42</v>
          </cell>
          <cell r="BZ1909">
            <v>42000</v>
          </cell>
          <cell r="CA1909" t="str">
            <v>15-04-2009</v>
          </cell>
          <cell r="CB1909">
            <v>0</v>
          </cell>
          <cell r="CC1909">
            <v>0</v>
          </cell>
          <cell r="CD1909">
            <v>0</v>
          </cell>
          <cell r="CE1909">
            <v>0</v>
          </cell>
        </row>
        <row r="1910">
          <cell r="BY1910" t="str">
            <v>IBOVD43</v>
          </cell>
          <cell r="BZ1910">
            <v>43000</v>
          </cell>
          <cell r="CA1910" t="str">
            <v>15-04-2009</v>
          </cell>
          <cell r="CB1910">
            <v>0</v>
          </cell>
          <cell r="CC1910">
            <v>0</v>
          </cell>
          <cell r="CD1910">
            <v>0</v>
          </cell>
          <cell r="CE1910">
            <v>0</v>
          </cell>
        </row>
        <row r="1911">
          <cell r="BY1911" t="str">
            <v>IBOVD44</v>
          </cell>
          <cell r="BZ1911">
            <v>44000</v>
          </cell>
          <cell r="CA1911" t="str">
            <v>15-04-2009</v>
          </cell>
          <cell r="CB1911">
            <v>0</v>
          </cell>
          <cell r="CC1911">
            <v>0</v>
          </cell>
          <cell r="CD1911">
            <v>0</v>
          </cell>
          <cell r="CE1911">
            <v>0</v>
          </cell>
        </row>
        <row r="1912">
          <cell r="BY1912" t="str">
            <v>IBOVD45</v>
          </cell>
          <cell r="BZ1912">
            <v>45000</v>
          </cell>
          <cell r="CA1912" t="str">
            <v>15-04-2009</v>
          </cell>
          <cell r="CB1912">
            <v>0</v>
          </cell>
          <cell r="CC1912">
            <v>0</v>
          </cell>
          <cell r="CD1912">
            <v>0</v>
          </cell>
          <cell r="CE1912">
            <v>0</v>
          </cell>
        </row>
        <row r="1913">
          <cell r="BY1913" t="str">
            <v>IBOVD46</v>
          </cell>
          <cell r="BZ1913">
            <v>46000</v>
          </cell>
          <cell r="CA1913" t="str">
            <v>15-04-2009</v>
          </cell>
          <cell r="CB1913">
            <v>0</v>
          </cell>
          <cell r="CC1913">
            <v>0</v>
          </cell>
          <cell r="CD1913">
            <v>0</v>
          </cell>
          <cell r="CE1913">
            <v>0</v>
          </cell>
        </row>
        <row r="1914">
          <cell r="BY1914" t="str">
            <v>IBOVD47</v>
          </cell>
          <cell r="BZ1914">
            <v>47000</v>
          </cell>
          <cell r="CA1914" t="str">
            <v>15-04-2009</v>
          </cell>
          <cell r="CB1914">
            <v>0</v>
          </cell>
          <cell r="CC1914">
            <v>0</v>
          </cell>
          <cell r="CD1914">
            <v>0</v>
          </cell>
          <cell r="CE1914">
            <v>0</v>
          </cell>
        </row>
        <row r="1915">
          <cell r="BY1915" t="str">
            <v>IBOVD48</v>
          </cell>
          <cell r="BZ1915">
            <v>48000</v>
          </cell>
          <cell r="CA1915" t="str">
            <v>15-04-2009</v>
          </cell>
          <cell r="CB1915">
            <v>0</v>
          </cell>
          <cell r="CC1915">
            <v>0</v>
          </cell>
          <cell r="CD1915">
            <v>0</v>
          </cell>
          <cell r="CE1915">
            <v>0</v>
          </cell>
        </row>
        <row r="1916">
          <cell r="BY1916" t="str">
            <v>IBOVD49</v>
          </cell>
          <cell r="BZ1916">
            <v>49000</v>
          </cell>
          <cell r="CA1916" t="str">
            <v>15-04-2009</v>
          </cell>
          <cell r="CB1916">
            <v>0</v>
          </cell>
          <cell r="CC1916">
            <v>0</v>
          </cell>
          <cell r="CD1916">
            <v>0</v>
          </cell>
          <cell r="CE1916">
            <v>0</v>
          </cell>
        </row>
        <row r="1917">
          <cell r="BY1917" t="str">
            <v>IBOVD50</v>
          </cell>
          <cell r="BZ1917">
            <v>50000</v>
          </cell>
          <cell r="CA1917" t="str">
            <v>15-04-2009</v>
          </cell>
          <cell r="CB1917">
            <v>0</v>
          </cell>
          <cell r="CC1917">
            <v>0</v>
          </cell>
          <cell r="CD1917">
            <v>0</v>
          </cell>
          <cell r="CE1917">
            <v>0</v>
          </cell>
        </row>
        <row r="1918">
          <cell r="BY1918" t="str">
            <v>IBOVD51</v>
          </cell>
          <cell r="BZ1918">
            <v>51000</v>
          </cell>
          <cell r="CA1918" t="str">
            <v>15-04-2009</v>
          </cell>
          <cell r="CB1918">
            <v>0</v>
          </cell>
          <cell r="CC1918">
            <v>0</v>
          </cell>
          <cell r="CD1918">
            <v>0</v>
          </cell>
          <cell r="CE1918">
            <v>0</v>
          </cell>
        </row>
        <row r="1919">
          <cell r="BY1919" t="str">
            <v>IBOVD52</v>
          </cell>
          <cell r="BZ1919">
            <v>52000</v>
          </cell>
          <cell r="CA1919" t="str">
            <v>15-04-2009</v>
          </cell>
          <cell r="CB1919">
            <v>0</v>
          </cell>
          <cell r="CC1919">
            <v>0</v>
          </cell>
          <cell r="CD1919">
            <v>0</v>
          </cell>
          <cell r="CE1919">
            <v>0</v>
          </cell>
        </row>
        <row r="1920">
          <cell r="BY1920" t="str">
            <v>IBOVD53</v>
          </cell>
          <cell r="BZ1920">
            <v>53000</v>
          </cell>
          <cell r="CA1920" t="str">
            <v>15-04-2009</v>
          </cell>
          <cell r="CB1920">
            <v>0</v>
          </cell>
          <cell r="CC1920">
            <v>0</v>
          </cell>
          <cell r="CD1920">
            <v>0</v>
          </cell>
          <cell r="CE1920">
            <v>0</v>
          </cell>
        </row>
        <row r="1921">
          <cell r="BY1921" t="str">
            <v>IBOVD54</v>
          </cell>
          <cell r="BZ1921">
            <v>54000</v>
          </cell>
          <cell r="CA1921" t="str">
            <v>15-04-2009</v>
          </cell>
          <cell r="CB1921">
            <v>0</v>
          </cell>
          <cell r="CC1921">
            <v>0</v>
          </cell>
          <cell r="CD1921">
            <v>0</v>
          </cell>
          <cell r="CE1921">
            <v>0</v>
          </cell>
        </row>
        <row r="1922">
          <cell r="BY1922" t="str">
            <v>IBOVD55</v>
          </cell>
          <cell r="BZ1922">
            <v>55000</v>
          </cell>
          <cell r="CA1922" t="str">
            <v>15-04-2009</v>
          </cell>
          <cell r="CB1922">
            <v>0</v>
          </cell>
          <cell r="CC1922">
            <v>0</v>
          </cell>
          <cell r="CD1922">
            <v>0</v>
          </cell>
          <cell r="CE1922">
            <v>0</v>
          </cell>
        </row>
        <row r="1923">
          <cell r="BY1923" t="str">
            <v>IBOVD56</v>
          </cell>
          <cell r="BZ1923">
            <v>56000</v>
          </cell>
          <cell r="CA1923" t="str">
            <v>15-04-2009</v>
          </cell>
          <cell r="CB1923">
            <v>0</v>
          </cell>
          <cell r="CC1923">
            <v>0</v>
          </cell>
          <cell r="CD1923">
            <v>0</v>
          </cell>
          <cell r="CE1923">
            <v>0</v>
          </cell>
        </row>
        <row r="1924">
          <cell r="BY1924" t="str">
            <v>IBOVD57</v>
          </cell>
          <cell r="BZ1924">
            <v>57000</v>
          </cell>
          <cell r="CA1924" t="str">
            <v>15-04-2009</v>
          </cell>
          <cell r="CB1924">
            <v>0</v>
          </cell>
          <cell r="CC1924">
            <v>0</v>
          </cell>
          <cell r="CD1924">
            <v>0</v>
          </cell>
          <cell r="CE1924">
            <v>0</v>
          </cell>
        </row>
        <row r="1925">
          <cell r="BY1925" t="str">
            <v>IBOVD58</v>
          </cell>
          <cell r="BZ1925">
            <v>58000</v>
          </cell>
          <cell r="CA1925" t="str">
            <v>15-04-2009</v>
          </cell>
          <cell r="CB1925">
            <v>0</v>
          </cell>
          <cell r="CC1925">
            <v>0</v>
          </cell>
          <cell r="CD1925">
            <v>0</v>
          </cell>
          <cell r="CE1925">
            <v>0</v>
          </cell>
        </row>
        <row r="1926">
          <cell r="BY1926" t="str">
            <v>IBOVD59</v>
          </cell>
          <cell r="BZ1926">
            <v>59000</v>
          </cell>
          <cell r="CA1926" t="str">
            <v>15-04-2009</v>
          </cell>
          <cell r="CB1926">
            <v>0</v>
          </cell>
          <cell r="CC1926">
            <v>0</v>
          </cell>
          <cell r="CD1926">
            <v>0</v>
          </cell>
          <cell r="CE1926">
            <v>0</v>
          </cell>
        </row>
        <row r="1927">
          <cell r="BY1927" t="str">
            <v>IBOVD6</v>
          </cell>
          <cell r="BZ1927">
            <v>60000</v>
          </cell>
          <cell r="CA1927" t="str">
            <v>15-04-2009</v>
          </cell>
          <cell r="CB1927">
            <v>0</v>
          </cell>
          <cell r="CC1927">
            <v>0</v>
          </cell>
          <cell r="CD1927">
            <v>0</v>
          </cell>
          <cell r="CE1927">
            <v>0</v>
          </cell>
        </row>
        <row r="1928">
          <cell r="BY1928" t="str">
            <v>IBOVD99</v>
          </cell>
          <cell r="BZ1928">
            <v>64000</v>
          </cell>
          <cell r="CA1928" t="str">
            <v>15-04-2009</v>
          </cell>
          <cell r="CB1928">
            <v>0</v>
          </cell>
          <cell r="CC1928">
            <v>0</v>
          </cell>
          <cell r="CD1928">
            <v>0</v>
          </cell>
          <cell r="CE1928">
            <v>0</v>
          </cell>
        </row>
        <row r="1929">
          <cell r="BY1929" t="str">
            <v>IBOVD66</v>
          </cell>
          <cell r="BZ1929">
            <v>66000</v>
          </cell>
          <cell r="CA1929" t="str">
            <v>15-04-2009</v>
          </cell>
          <cell r="CB1929">
            <v>0</v>
          </cell>
          <cell r="CC1929">
            <v>0</v>
          </cell>
          <cell r="CD1929">
            <v>0</v>
          </cell>
          <cell r="CE1929">
            <v>0</v>
          </cell>
        </row>
        <row r="1930">
          <cell r="BY1930" t="str">
            <v>IBOVD70</v>
          </cell>
          <cell r="BZ1930">
            <v>70000</v>
          </cell>
          <cell r="CA1930" t="str">
            <v>15-04-2009</v>
          </cell>
          <cell r="CB1930">
            <v>0</v>
          </cell>
          <cell r="CC1930">
            <v>0</v>
          </cell>
          <cell r="CD1930">
            <v>0</v>
          </cell>
          <cell r="CE1930">
            <v>0</v>
          </cell>
        </row>
        <row r="1931">
          <cell r="BY1931" t="str">
            <v>IBOVD72</v>
          </cell>
          <cell r="BZ1931">
            <v>72000</v>
          </cell>
          <cell r="CA1931" t="str">
            <v>15-04-2009</v>
          </cell>
          <cell r="CB1931">
            <v>0</v>
          </cell>
          <cell r="CC1931">
            <v>0</v>
          </cell>
          <cell r="CD1931">
            <v>0</v>
          </cell>
          <cell r="CE1931">
            <v>0</v>
          </cell>
        </row>
        <row r="1932">
          <cell r="BY1932" t="str">
            <v>IBOVD8</v>
          </cell>
          <cell r="BZ1932">
            <v>80000</v>
          </cell>
          <cell r="CA1932" t="str">
            <v>15-04-2009</v>
          </cell>
          <cell r="CB1932">
            <v>0</v>
          </cell>
          <cell r="CC1932">
            <v>0</v>
          </cell>
          <cell r="CD1932">
            <v>0</v>
          </cell>
          <cell r="CE1932">
            <v>0</v>
          </cell>
        </row>
        <row r="1933">
          <cell r="BY1933" t="str">
            <v>IBOVF26</v>
          </cell>
          <cell r="BZ1933">
            <v>26000</v>
          </cell>
          <cell r="CA1933" t="str">
            <v>17-06-2009</v>
          </cell>
          <cell r="CB1933">
            <v>0</v>
          </cell>
          <cell r="CC1933">
            <v>0</v>
          </cell>
          <cell r="CD1933">
            <v>0</v>
          </cell>
          <cell r="CE1933">
            <v>0</v>
          </cell>
        </row>
        <row r="1934">
          <cell r="BY1934" t="str">
            <v>IBOVF27</v>
          </cell>
          <cell r="BZ1934">
            <v>27000</v>
          </cell>
          <cell r="CA1934" t="str">
            <v>17-06-2009</v>
          </cell>
          <cell r="CB1934">
            <v>0</v>
          </cell>
          <cell r="CC1934">
            <v>0</v>
          </cell>
          <cell r="CD1934">
            <v>0</v>
          </cell>
          <cell r="CE1934">
            <v>0</v>
          </cell>
        </row>
        <row r="1935">
          <cell r="BY1935" t="str">
            <v>IBOVF28</v>
          </cell>
          <cell r="BZ1935">
            <v>28000</v>
          </cell>
          <cell r="CA1935" t="str">
            <v>17-06-2009</v>
          </cell>
          <cell r="CB1935">
            <v>0</v>
          </cell>
          <cell r="CC1935">
            <v>0</v>
          </cell>
          <cell r="CD1935">
            <v>0</v>
          </cell>
          <cell r="CE1935">
            <v>0</v>
          </cell>
        </row>
        <row r="1936">
          <cell r="BY1936" t="str">
            <v>IBOVF29</v>
          </cell>
          <cell r="BZ1936">
            <v>29000</v>
          </cell>
          <cell r="CA1936" t="str">
            <v>17-06-2009</v>
          </cell>
          <cell r="CB1936">
            <v>0</v>
          </cell>
          <cell r="CC1936">
            <v>0</v>
          </cell>
          <cell r="CD1936">
            <v>0</v>
          </cell>
          <cell r="CE1936">
            <v>0</v>
          </cell>
        </row>
        <row r="1937">
          <cell r="BY1937" t="str">
            <v>IBOVF30</v>
          </cell>
          <cell r="BZ1937">
            <v>30000</v>
          </cell>
          <cell r="CA1937" t="str">
            <v>17-06-2009</v>
          </cell>
          <cell r="CB1937">
            <v>0</v>
          </cell>
          <cell r="CC1937">
            <v>0</v>
          </cell>
          <cell r="CD1937">
            <v>0</v>
          </cell>
          <cell r="CE1937">
            <v>0</v>
          </cell>
        </row>
        <row r="1938">
          <cell r="BY1938" t="str">
            <v>IBOVF31</v>
          </cell>
          <cell r="BZ1938">
            <v>31000</v>
          </cell>
          <cell r="CA1938" t="str">
            <v>17-06-2009</v>
          </cell>
          <cell r="CB1938">
            <v>0</v>
          </cell>
          <cell r="CC1938">
            <v>0</v>
          </cell>
          <cell r="CD1938">
            <v>0</v>
          </cell>
          <cell r="CE1938">
            <v>0</v>
          </cell>
        </row>
        <row r="1939">
          <cell r="BY1939" t="str">
            <v>IBOVF32</v>
          </cell>
          <cell r="BZ1939">
            <v>32000</v>
          </cell>
          <cell r="CA1939" t="str">
            <v>17-06-2009</v>
          </cell>
          <cell r="CB1939">
            <v>0</v>
          </cell>
          <cell r="CC1939">
            <v>0</v>
          </cell>
          <cell r="CD1939">
            <v>0</v>
          </cell>
          <cell r="CE1939">
            <v>0</v>
          </cell>
        </row>
        <row r="1940">
          <cell r="BY1940" t="str">
            <v>IBOVF33</v>
          </cell>
          <cell r="BZ1940">
            <v>33000</v>
          </cell>
          <cell r="CA1940" t="str">
            <v>17-06-2009</v>
          </cell>
          <cell r="CB1940">
            <v>0</v>
          </cell>
          <cell r="CC1940">
            <v>0</v>
          </cell>
          <cell r="CD1940">
            <v>0</v>
          </cell>
          <cell r="CE1940">
            <v>0</v>
          </cell>
        </row>
        <row r="1941">
          <cell r="BY1941" t="str">
            <v>IBOVF34</v>
          </cell>
          <cell r="BZ1941">
            <v>34000</v>
          </cell>
          <cell r="CA1941" t="str">
            <v>17-06-2009</v>
          </cell>
          <cell r="CB1941">
            <v>0</v>
          </cell>
          <cell r="CC1941">
            <v>0</v>
          </cell>
          <cell r="CD1941">
            <v>0</v>
          </cell>
          <cell r="CE1941">
            <v>0</v>
          </cell>
        </row>
        <row r="1942">
          <cell r="BY1942" t="str">
            <v>IBOVF35</v>
          </cell>
          <cell r="BZ1942">
            <v>35000</v>
          </cell>
          <cell r="CA1942" t="str">
            <v>17-06-2009</v>
          </cell>
          <cell r="CB1942">
            <v>0</v>
          </cell>
          <cell r="CC1942">
            <v>0</v>
          </cell>
          <cell r="CD1942">
            <v>0</v>
          </cell>
          <cell r="CE1942">
            <v>0</v>
          </cell>
        </row>
        <row r="1943">
          <cell r="BY1943" t="str">
            <v>IBOVF36</v>
          </cell>
          <cell r="BZ1943">
            <v>36000</v>
          </cell>
          <cell r="CA1943" t="str">
            <v>17-06-2009</v>
          </cell>
          <cell r="CB1943">
            <v>0</v>
          </cell>
          <cell r="CC1943">
            <v>0</v>
          </cell>
          <cell r="CD1943">
            <v>0</v>
          </cell>
          <cell r="CE1943">
            <v>0</v>
          </cell>
        </row>
        <row r="1944">
          <cell r="BY1944" t="str">
            <v>IBOVF37</v>
          </cell>
          <cell r="BZ1944">
            <v>37000</v>
          </cell>
          <cell r="CA1944" t="str">
            <v>17-06-2009</v>
          </cell>
          <cell r="CB1944">
            <v>0</v>
          </cell>
          <cell r="CC1944">
            <v>0</v>
          </cell>
          <cell r="CD1944">
            <v>0</v>
          </cell>
          <cell r="CE1944">
            <v>0</v>
          </cell>
        </row>
        <row r="1945">
          <cell r="BY1945" t="str">
            <v>IBOVF38</v>
          </cell>
          <cell r="BZ1945">
            <v>38000</v>
          </cell>
          <cell r="CA1945" t="str">
            <v>17-06-2009</v>
          </cell>
          <cell r="CB1945">
            <v>0</v>
          </cell>
          <cell r="CC1945">
            <v>0</v>
          </cell>
          <cell r="CD1945">
            <v>0</v>
          </cell>
          <cell r="CE1945">
            <v>0</v>
          </cell>
        </row>
        <row r="1946">
          <cell r="BY1946" t="str">
            <v>IBOVF39</v>
          </cell>
          <cell r="BZ1946">
            <v>39000</v>
          </cell>
          <cell r="CA1946" t="str">
            <v>17-06-2009</v>
          </cell>
          <cell r="CB1946">
            <v>0</v>
          </cell>
          <cell r="CC1946">
            <v>0</v>
          </cell>
          <cell r="CD1946">
            <v>0</v>
          </cell>
          <cell r="CE1946">
            <v>0</v>
          </cell>
        </row>
        <row r="1947">
          <cell r="BY1947" t="str">
            <v>IBOVF40</v>
          </cell>
          <cell r="BZ1947">
            <v>40000</v>
          </cell>
          <cell r="CA1947" t="str">
            <v>17-06-2009</v>
          </cell>
          <cell r="CB1947">
            <v>0</v>
          </cell>
          <cell r="CC1947">
            <v>0</v>
          </cell>
          <cell r="CD1947">
            <v>0</v>
          </cell>
          <cell r="CE1947">
            <v>0</v>
          </cell>
        </row>
        <row r="1948">
          <cell r="BY1948" t="str">
            <v>IBOVF41</v>
          </cell>
          <cell r="BZ1948">
            <v>41000</v>
          </cell>
          <cell r="CA1948" t="str">
            <v>17-06-2009</v>
          </cell>
          <cell r="CB1948">
            <v>0</v>
          </cell>
          <cell r="CC1948">
            <v>0</v>
          </cell>
          <cell r="CD1948">
            <v>0</v>
          </cell>
          <cell r="CE1948">
            <v>0</v>
          </cell>
        </row>
        <row r="1949">
          <cell r="BY1949" t="str">
            <v>IBOVF42</v>
          </cell>
          <cell r="BZ1949">
            <v>42000</v>
          </cell>
          <cell r="CA1949" t="str">
            <v>17-06-2009</v>
          </cell>
          <cell r="CB1949">
            <v>0</v>
          </cell>
          <cell r="CC1949">
            <v>0</v>
          </cell>
          <cell r="CD1949">
            <v>0</v>
          </cell>
          <cell r="CE1949">
            <v>0</v>
          </cell>
        </row>
        <row r="1950">
          <cell r="BY1950" t="str">
            <v>IBOVF43</v>
          </cell>
          <cell r="BZ1950">
            <v>43000</v>
          </cell>
          <cell r="CA1950" t="str">
            <v>17-06-2009</v>
          </cell>
          <cell r="CB1950">
            <v>0</v>
          </cell>
          <cell r="CC1950">
            <v>0</v>
          </cell>
          <cell r="CD1950">
            <v>0</v>
          </cell>
          <cell r="CE1950">
            <v>0</v>
          </cell>
        </row>
        <row r="1951">
          <cell r="BY1951" t="str">
            <v>IBOVF44</v>
          </cell>
          <cell r="BZ1951">
            <v>44000</v>
          </cell>
          <cell r="CA1951" t="str">
            <v>17-06-2009</v>
          </cell>
          <cell r="CB1951">
            <v>0</v>
          </cell>
          <cell r="CC1951">
            <v>0</v>
          </cell>
          <cell r="CD1951">
            <v>0</v>
          </cell>
          <cell r="CE1951">
            <v>0</v>
          </cell>
        </row>
        <row r="1952">
          <cell r="BY1952" t="str">
            <v>IBOVF45</v>
          </cell>
          <cell r="BZ1952">
            <v>45000</v>
          </cell>
          <cell r="CA1952" t="str">
            <v>17-06-2009</v>
          </cell>
          <cell r="CB1952">
            <v>0</v>
          </cell>
          <cell r="CC1952">
            <v>0</v>
          </cell>
          <cell r="CD1952">
            <v>0</v>
          </cell>
          <cell r="CE1952">
            <v>0</v>
          </cell>
        </row>
        <row r="1953">
          <cell r="BY1953" t="str">
            <v>IBOVF46</v>
          </cell>
          <cell r="BZ1953">
            <v>46000</v>
          </cell>
          <cell r="CA1953" t="str">
            <v>17-06-2009</v>
          </cell>
          <cell r="CB1953">
            <v>0</v>
          </cell>
          <cell r="CC1953">
            <v>0</v>
          </cell>
          <cell r="CD1953">
            <v>0</v>
          </cell>
          <cell r="CE1953">
            <v>0</v>
          </cell>
        </row>
        <row r="1954">
          <cell r="BY1954" t="str">
            <v>IBOVF47</v>
          </cell>
          <cell r="BZ1954">
            <v>47000</v>
          </cell>
          <cell r="CA1954" t="str">
            <v>17-06-2009</v>
          </cell>
          <cell r="CB1954">
            <v>0</v>
          </cell>
          <cell r="CC1954">
            <v>0</v>
          </cell>
          <cell r="CD1954">
            <v>0</v>
          </cell>
          <cell r="CE1954">
            <v>0</v>
          </cell>
        </row>
        <row r="1955">
          <cell r="BY1955" t="str">
            <v>IBOVF48</v>
          </cell>
          <cell r="BZ1955">
            <v>48000</v>
          </cell>
          <cell r="CA1955" t="str">
            <v>17-06-2009</v>
          </cell>
          <cell r="CB1955">
            <v>0</v>
          </cell>
          <cell r="CC1955">
            <v>0</v>
          </cell>
          <cell r="CD1955">
            <v>0</v>
          </cell>
          <cell r="CE1955">
            <v>0</v>
          </cell>
        </row>
        <row r="1956">
          <cell r="BY1956" t="str">
            <v>IBOVF49</v>
          </cell>
          <cell r="BZ1956">
            <v>49000</v>
          </cell>
          <cell r="CA1956" t="str">
            <v>17-06-2009</v>
          </cell>
          <cell r="CB1956">
            <v>0</v>
          </cell>
          <cell r="CC1956">
            <v>0</v>
          </cell>
          <cell r="CD1956">
            <v>0</v>
          </cell>
          <cell r="CE1956">
            <v>0</v>
          </cell>
        </row>
        <row r="1957">
          <cell r="BY1957" t="str">
            <v>IBOVF50</v>
          </cell>
          <cell r="BZ1957">
            <v>50000</v>
          </cell>
          <cell r="CA1957" t="str">
            <v>17-06-2009</v>
          </cell>
          <cell r="CB1957">
            <v>0</v>
          </cell>
          <cell r="CC1957">
            <v>0</v>
          </cell>
          <cell r="CD1957">
            <v>0</v>
          </cell>
          <cell r="CE1957">
            <v>0</v>
          </cell>
        </row>
        <row r="1958">
          <cell r="BY1958" t="str">
            <v>IBOVF51</v>
          </cell>
          <cell r="BZ1958">
            <v>51000</v>
          </cell>
          <cell r="CA1958" t="str">
            <v>17-06-2009</v>
          </cell>
          <cell r="CB1958">
            <v>0</v>
          </cell>
          <cell r="CC1958">
            <v>0</v>
          </cell>
          <cell r="CD1958">
            <v>0</v>
          </cell>
          <cell r="CE1958">
            <v>0</v>
          </cell>
        </row>
        <row r="1959">
          <cell r="BY1959" t="str">
            <v>IBOVF52</v>
          </cell>
          <cell r="BZ1959">
            <v>52000</v>
          </cell>
          <cell r="CA1959" t="str">
            <v>17-06-2009</v>
          </cell>
          <cell r="CB1959">
            <v>0</v>
          </cell>
          <cell r="CC1959">
            <v>0</v>
          </cell>
          <cell r="CD1959">
            <v>0</v>
          </cell>
          <cell r="CE1959">
            <v>0</v>
          </cell>
        </row>
        <row r="1960">
          <cell r="BY1960" t="str">
            <v>IBOVF53</v>
          </cell>
          <cell r="BZ1960">
            <v>53000</v>
          </cell>
          <cell r="CA1960" t="str">
            <v>17-06-2009</v>
          </cell>
          <cell r="CB1960">
            <v>0</v>
          </cell>
          <cell r="CC1960">
            <v>0</v>
          </cell>
          <cell r="CD1960">
            <v>0</v>
          </cell>
          <cell r="CE1960">
            <v>0</v>
          </cell>
        </row>
        <row r="1961">
          <cell r="BY1961" t="str">
            <v>IBOVF54</v>
          </cell>
          <cell r="BZ1961">
            <v>54000</v>
          </cell>
          <cell r="CA1961" t="str">
            <v>17-06-2009</v>
          </cell>
          <cell r="CB1961">
            <v>0</v>
          </cell>
          <cell r="CC1961">
            <v>0</v>
          </cell>
          <cell r="CD1961">
            <v>0</v>
          </cell>
          <cell r="CE1961">
            <v>0</v>
          </cell>
        </row>
        <row r="1962">
          <cell r="BY1962" t="str">
            <v>IBOVF55</v>
          </cell>
          <cell r="BZ1962">
            <v>55000</v>
          </cell>
          <cell r="CA1962" t="str">
            <v>17-06-2009</v>
          </cell>
          <cell r="CB1962">
            <v>0</v>
          </cell>
          <cell r="CC1962">
            <v>0</v>
          </cell>
          <cell r="CD1962">
            <v>0</v>
          </cell>
          <cell r="CE1962">
            <v>0</v>
          </cell>
        </row>
        <row r="1963">
          <cell r="BY1963" t="str">
            <v>IBOVF56</v>
          </cell>
          <cell r="BZ1963">
            <v>56000</v>
          </cell>
          <cell r="CA1963" t="str">
            <v>17-06-2009</v>
          </cell>
          <cell r="CB1963">
            <v>0</v>
          </cell>
          <cell r="CC1963">
            <v>0</v>
          </cell>
          <cell r="CD1963">
            <v>0</v>
          </cell>
          <cell r="CE1963">
            <v>0</v>
          </cell>
        </row>
        <row r="1964">
          <cell r="BY1964" t="str">
            <v>IBOVF57</v>
          </cell>
          <cell r="BZ1964">
            <v>57000</v>
          </cell>
          <cell r="CA1964" t="str">
            <v>17-06-2009</v>
          </cell>
          <cell r="CB1964">
            <v>0</v>
          </cell>
          <cell r="CC1964">
            <v>0</v>
          </cell>
          <cell r="CD1964">
            <v>0</v>
          </cell>
          <cell r="CE1964">
            <v>0</v>
          </cell>
        </row>
        <row r="1965">
          <cell r="BY1965" t="str">
            <v>IBOVF58</v>
          </cell>
          <cell r="BZ1965">
            <v>58000</v>
          </cell>
          <cell r="CA1965" t="str">
            <v>17-06-2009</v>
          </cell>
          <cell r="CB1965">
            <v>0</v>
          </cell>
          <cell r="CC1965">
            <v>0</v>
          </cell>
          <cell r="CD1965">
            <v>0</v>
          </cell>
          <cell r="CE1965">
            <v>0</v>
          </cell>
        </row>
        <row r="1966">
          <cell r="BY1966" t="str">
            <v>IBOVF59</v>
          </cell>
          <cell r="BZ1966">
            <v>59000</v>
          </cell>
          <cell r="CA1966" t="str">
            <v>17-06-2009</v>
          </cell>
          <cell r="CB1966">
            <v>0</v>
          </cell>
          <cell r="CC1966">
            <v>0</v>
          </cell>
          <cell r="CD1966">
            <v>0</v>
          </cell>
          <cell r="CE1966">
            <v>0</v>
          </cell>
        </row>
        <row r="1967">
          <cell r="BY1967" t="str">
            <v>IBOVF60</v>
          </cell>
          <cell r="BZ1967">
            <v>60000</v>
          </cell>
          <cell r="CA1967" t="str">
            <v>17-06-2009</v>
          </cell>
          <cell r="CB1967">
            <v>0</v>
          </cell>
          <cell r="CC1967">
            <v>0</v>
          </cell>
          <cell r="CD1967">
            <v>0</v>
          </cell>
          <cell r="CE1967">
            <v>0</v>
          </cell>
        </row>
        <row r="1968">
          <cell r="BY1968" t="str">
            <v>IBOVF64</v>
          </cell>
          <cell r="BZ1968">
            <v>64000</v>
          </cell>
          <cell r="CA1968" t="str">
            <v>17-06-2009</v>
          </cell>
          <cell r="CB1968">
            <v>0</v>
          </cell>
          <cell r="CC1968">
            <v>0</v>
          </cell>
          <cell r="CD1968">
            <v>0</v>
          </cell>
          <cell r="CE1968">
            <v>0</v>
          </cell>
        </row>
        <row r="1969">
          <cell r="BY1969" t="str">
            <v>IBOVF80</v>
          </cell>
          <cell r="BZ1969">
            <v>80000</v>
          </cell>
          <cell r="CA1969" t="str">
            <v>17-06-2009</v>
          </cell>
          <cell r="CB1969">
            <v>0</v>
          </cell>
          <cell r="CC1969">
            <v>0</v>
          </cell>
          <cell r="CD1969">
            <v>0</v>
          </cell>
          <cell r="CE1969">
            <v>0</v>
          </cell>
        </row>
        <row r="1970">
          <cell r="BY1970" t="str">
            <v>IBOVH20</v>
          </cell>
          <cell r="BZ1970">
            <v>20000</v>
          </cell>
          <cell r="CA1970" t="str">
            <v>12-08-2009</v>
          </cell>
          <cell r="CB1970">
            <v>0</v>
          </cell>
          <cell r="CC1970">
            <v>0</v>
          </cell>
          <cell r="CD1970">
            <v>0</v>
          </cell>
          <cell r="CE1970">
            <v>0</v>
          </cell>
        </row>
        <row r="1971">
          <cell r="BY1971" t="str">
            <v>IBOVH25</v>
          </cell>
          <cell r="BZ1971">
            <v>25000</v>
          </cell>
          <cell r="CA1971" t="str">
            <v>12-08-2009</v>
          </cell>
          <cell r="CB1971">
            <v>0</v>
          </cell>
          <cell r="CC1971">
            <v>0</v>
          </cell>
          <cell r="CD1971">
            <v>0</v>
          </cell>
          <cell r="CE1971">
            <v>0</v>
          </cell>
        </row>
        <row r="1972">
          <cell r="BY1972" t="str">
            <v>IBOVH30</v>
          </cell>
          <cell r="BZ1972">
            <v>30000</v>
          </cell>
          <cell r="CA1972" t="str">
            <v>12-08-2009</v>
          </cell>
          <cell r="CB1972">
            <v>0</v>
          </cell>
          <cell r="CC1972">
            <v>0</v>
          </cell>
          <cell r="CD1972">
            <v>0</v>
          </cell>
          <cell r="CE1972">
            <v>0</v>
          </cell>
        </row>
        <row r="1973">
          <cell r="BY1973" t="str">
            <v>IBOVH32</v>
          </cell>
          <cell r="BZ1973">
            <v>32000</v>
          </cell>
          <cell r="CA1973" t="str">
            <v>12-08-2009</v>
          </cell>
          <cell r="CB1973">
            <v>0</v>
          </cell>
          <cell r="CC1973">
            <v>0</v>
          </cell>
          <cell r="CD1973">
            <v>0</v>
          </cell>
          <cell r="CE1973">
            <v>0</v>
          </cell>
        </row>
        <row r="1974">
          <cell r="BY1974" t="str">
            <v>IBOVH34</v>
          </cell>
          <cell r="BZ1974">
            <v>34000</v>
          </cell>
          <cell r="CA1974" t="str">
            <v>12-08-2009</v>
          </cell>
          <cell r="CB1974">
            <v>0</v>
          </cell>
          <cell r="CC1974">
            <v>0</v>
          </cell>
          <cell r="CD1974">
            <v>0</v>
          </cell>
          <cell r="CE1974">
            <v>0</v>
          </cell>
        </row>
        <row r="1975">
          <cell r="BY1975" t="str">
            <v>IBOVH36</v>
          </cell>
          <cell r="BZ1975">
            <v>36000</v>
          </cell>
          <cell r="CA1975" t="str">
            <v>12-08-2009</v>
          </cell>
          <cell r="CB1975">
            <v>0</v>
          </cell>
          <cell r="CC1975">
            <v>0</v>
          </cell>
          <cell r="CD1975">
            <v>0</v>
          </cell>
          <cell r="CE1975">
            <v>0</v>
          </cell>
        </row>
        <row r="1976">
          <cell r="BY1976" t="str">
            <v>IBOVH38</v>
          </cell>
          <cell r="BZ1976">
            <v>38000</v>
          </cell>
          <cell r="CA1976" t="str">
            <v>12-08-2009</v>
          </cell>
          <cell r="CB1976">
            <v>0</v>
          </cell>
          <cell r="CC1976">
            <v>0</v>
          </cell>
          <cell r="CD1976">
            <v>0</v>
          </cell>
          <cell r="CE1976">
            <v>0</v>
          </cell>
        </row>
        <row r="1977">
          <cell r="BY1977" t="str">
            <v>IBOVH40</v>
          </cell>
          <cell r="BZ1977">
            <v>40000</v>
          </cell>
          <cell r="CA1977" t="str">
            <v>12-08-2009</v>
          </cell>
          <cell r="CB1977">
            <v>0</v>
          </cell>
          <cell r="CC1977">
            <v>0</v>
          </cell>
          <cell r="CD1977">
            <v>0</v>
          </cell>
          <cell r="CE1977">
            <v>0</v>
          </cell>
        </row>
        <row r="1978">
          <cell r="BY1978" t="str">
            <v>IBOVH42</v>
          </cell>
          <cell r="BZ1978">
            <v>42000</v>
          </cell>
          <cell r="CA1978" t="str">
            <v>12-08-2009</v>
          </cell>
          <cell r="CB1978">
            <v>0</v>
          </cell>
          <cell r="CC1978">
            <v>0</v>
          </cell>
          <cell r="CD1978">
            <v>0</v>
          </cell>
          <cell r="CE1978">
            <v>0</v>
          </cell>
        </row>
        <row r="1979">
          <cell r="BY1979" t="str">
            <v>IBOVH44</v>
          </cell>
          <cell r="BZ1979">
            <v>44000</v>
          </cell>
          <cell r="CA1979" t="str">
            <v>12-08-2009</v>
          </cell>
          <cell r="CB1979">
            <v>0</v>
          </cell>
          <cell r="CC1979">
            <v>0</v>
          </cell>
          <cell r="CD1979">
            <v>0</v>
          </cell>
          <cell r="CE1979">
            <v>0</v>
          </cell>
        </row>
        <row r="1980">
          <cell r="BY1980" t="str">
            <v>IBOVH46</v>
          </cell>
          <cell r="BZ1980">
            <v>46000</v>
          </cell>
          <cell r="CA1980" t="str">
            <v>12-08-2009</v>
          </cell>
          <cell r="CB1980">
            <v>0</v>
          </cell>
          <cell r="CC1980">
            <v>0</v>
          </cell>
          <cell r="CD1980">
            <v>0</v>
          </cell>
          <cell r="CE1980">
            <v>0</v>
          </cell>
        </row>
        <row r="1981">
          <cell r="BY1981" t="str">
            <v>IBOVH48</v>
          </cell>
          <cell r="BZ1981">
            <v>48000</v>
          </cell>
          <cell r="CA1981" t="str">
            <v>12-08-2009</v>
          </cell>
          <cell r="CB1981">
            <v>0</v>
          </cell>
          <cell r="CC1981">
            <v>0</v>
          </cell>
          <cell r="CD1981">
            <v>0</v>
          </cell>
          <cell r="CE1981">
            <v>0</v>
          </cell>
        </row>
        <row r="1982">
          <cell r="BY1982" t="str">
            <v>IBOVH50</v>
          </cell>
          <cell r="BZ1982">
            <v>50000</v>
          </cell>
          <cell r="CA1982" t="str">
            <v>12-08-2009</v>
          </cell>
          <cell r="CB1982">
            <v>0</v>
          </cell>
          <cell r="CC1982">
            <v>0</v>
          </cell>
          <cell r="CD1982">
            <v>0</v>
          </cell>
          <cell r="CE1982">
            <v>0</v>
          </cell>
        </row>
        <row r="1983">
          <cell r="BY1983" t="str">
            <v>IBOVH51</v>
          </cell>
          <cell r="BZ1983">
            <v>51000</v>
          </cell>
          <cell r="CA1983" t="str">
            <v>12-08-2009</v>
          </cell>
          <cell r="CB1983">
            <v>0</v>
          </cell>
          <cell r="CC1983">
            <v>0</v>
          </cell>
          <cell r="CD1983">
            <v>0</v>
          </cell>
          <cell r="CE1983">
            <v>0</v>
          </cell>
        </row>
        <row r="1984">
          <cell r="BY1984" t="str">
            <v>IBOVH52</v>
          </cell>
          <cell r="BZ1984">
            <v>52000</v>
          </cell>
          <cell r="CA1984" t="str">
            <v>12-08-2009</v>
          </cell>
          <cell r="CB1984">
            <v>0</v>
          </cell>
          <cell r="CC1984">
            <v>0</v>
          </cell>
          <cell r="CD1984">
            <v>0</v>
          </cell>
          <cell r="CE1984">
            <v>0</v>
          </cell>
        </row>
        <row r="1985">
          <cell r="BY1985" t="str">
            <v>IBOVH53</v>
          </cell>
          <cell r="BZ1985">
            <v>53000</v>
          </cell>
          <cell r="CA1985" t="str">
            <v>12-08-2009</v>
          </cell>
          <cell r="CB1985">
            <v>0</v>
          </cell>
          <cell r="CC1985">
            <v>0</v>
          </cell>
          <cell r="CD1985">
            <v>0</v>
          </cell>
          <cell r="CE1985">
            <v>0</v>
          </cell>
        </row>
        <row r="1986">
          <cell r="BY1986" t="str">
            <v>IBOVH54</v>
          </cell>
          <cell r="BZ1986">
            <v>54000</v>
          </cell>
          <cell r="CA1986" t="str">
            <v>12-08-2009</v>
          </cell>
          <cell r="CB1986">
            <v>0</v>
          </cell>
          <cell r="CC1986">
            <v>0</v>
          </cell>
          <cell r="CD1986">
            <v>0</v>
          </cell>
          <cell r="CE1986">
            <v>0</v>
          </cell>
        </row>
        <row r="1987">
          <cell r="BY1987" t="str">
            <v>IBOVH55</v>
          </cell>
          <cell r="BZ1987">
            <v>55000</v>
          </cell>
          <cell r="CA1987" t="str">
            <v>12-08-2009</v>
          </cell>
          <cell r="CB1987">
            <v>0</v>
          </cell>
          <cell r="CC1987">
            <v>0</v>
          </cell>
          <cell r="CD1987">
            <v>0</v>
          </cell>
          <cell r="CE1987">
            <v>0</v>
          </cell>
        </row>
        <row r="1988">
          <cell r="BY1988" t="str">
            <v>IBOVH56</v>
          </cell>
          <cell r="BZ1988">
            <v>56000</v>
          </cell>
          <cell r="CA1988" t="str">
            <v>12-08-2009</v>
          </cell>
          <cell r="CB1988">
            <v>0</v>
          </cell>
          <cell r="CC1988">
            <v>0</v>
          </cell>
          <cell r="CD1988">
            <v>0</v>
          </cell>
          <cell r="CE1988">
            <v>0</v>
          </cell>
        </row>
        <row r="1989">
          <cell r="BY1989" t="str">
            <v>IBOVH57</v>
          </cell>
          <cell r="BZ1989">
            <v>57000</v>
          </cell>
          <cell r="CA1989" t="str">
            <v>12-08-2009</v>
          </cell>
          <cell r="CB1989">
            <v>0</v>
          </cell>
          <cell r="CC1989">
            <v>0</v>
          </cell>
          <cell r="CD1989">
            <v>0</v>
          </cell>
          <cell r="CE1989">
            <v>0</v>
          </cell>
        </row>
        <row r="1990">
          <cell r="BY1990" t="str">
            <v>IBOVH58</v>
          </cell>
          <cell r="BZ1990">
            <v>58000</v>
          </cell>
          <cell r="CA1990" t="str">
            <v>12-08-2009</v>
          </cell>
          <cell r="CB1990">
            <v>0</v>
          </cell>
          <cell r="CC1990">
            <v>0</v>
          </cell>
          <cell r="CD1990">
            <v>0</v>
          </cell>
          <cell r="CE1990">
            <v>0</v>
          </cell>
        </row>
        <row r="1991">
          <cell r="BY1991" t="str">
            <v>IBOVH59</v>
          </cell>
          <cell r="BZ1991">
            <v>59000</v>
          </cell>
          <cell r="CA1991" t="str">
            <v>12-08-2009</v>
          </cell>
          <cell r="CB1991">
            <v>0</v>
          </cell>
          <cell r="CC1991">
            <v>0</v>
          </cell>
          <cell r="CD1991">
            <v>0</v>
          </cell>
          <cell r="CE1991">
            <v>0</v>
          </cell>
        </row>
        <row r="1992">
          <cell r="BY1992" t="str">
            <v>IBOVH60</v>
          </cell>
          <cell r="BZ1992">
            <v>60000</v>
          </cell>
          <cell r="CA1992" t="str">
            <v>12-08-2009</v>
          </cell>
          <cell r="CB1992">
            <v>0</v>
          </cell>
          <cell r="CC1992">
            <v>0</v>
          </cell>
          <cell r="CD1992">
            <v>0</v>
          </cell>
          <cell r="CE1992">
            <v>0</v>
          </cell>
        </row>
        <row r="1993">
          <cell r="BY1993" t="str">
            <v>IBOVH8</v>
          </cell>
          <cell r="BZ1993">
            <v>80000</v>
          </cell>
          <cell r="CA1993" t="str">
            <v>12-08-2009</v>
          </cell>
          <cell r="CB1993">
            <v>0</v>
          </cell>
          <cell r="CC1993">
            <v>0</v>
          </cell>
          <cell r="CD1993">
            <v>0</v>
          </cell>
          <cell r="CE1993">
            <v>0</v>
          </cell>
        </row>
        <row r="1994">
          <cell r="BY1994" t="str">
            <v>IBOVJ30</v>
          </cell>
          <cell r="BZ1994">
            <v>30000</v>
          </cell>
          <cell r="CA1994" t="str">
            <v>14-10-2009</v>
          </cell>
          <cell r="CB1994">
            <v>0</v>
          </cell>
          <cell r="CC1994">
            <v>0</v>
          </cell>
          <cell r="CD1994">
            <v>0</v>
          </cell>
          <cell r="CE1994">
            <v>0</v>
          </cell>
        </row>
        <row r="1995">
          <cell r="BY1995" t="str">
            <v>IBOVJ35</v>
          </cell>
          <cell r="BZ1995">
            <v>35000</v>
          </cell>
          <cell r="CA1995" t="str">
            <v>14-10-2009</v>
          </cell>
          <cell r="CB1995">
            <v>0</v>
          </cell>
          <cell r="CC1995">
            <v>0</v>
          </cell>
          <cell r="CD1995">
            <v>0</v>
          </cell>
          <cell r="CE1995">
            <v>0</v>
          </cell>
        </row>
        <row r="1996">
          <cell r="BY1996" t="str">
            <v>IBOVJ36</v>
          </cell>
          <cell r="BZ1996">
            <v>36000</v>
          </cell>
          <cell r="CA1996" t="str">
            <v>14-10-2009</v>
          </cell>
          <cell r="CB1996">
            <v>0</v>
          </cell>
          <cell r="CC1996">
            <v>0</v>
          </cell>
          <cell r="CD1996">
            <v>0</v>
          </cell>
          <cell r="CE1996">
            <v>0</v>
          </cell>
        </row>
        <row r="1997">
          <cell r="BY1997" t="str">
            <v>IBOVJ40</v>
          </cell>
          <cell r="BZ1997">
            <v>40000</v>
          </cell>
          <cell r="CA1997" t="str">
            <v>14-10-2009</v>
          </cell>
          <cell r="CB1997">
            <v>0</v>
          </cell>
          <cell r="CC1997">
            <v>0</v>
          </cell>
          <cell r="CD1997">
            <v>0</v>
          </cell>
          <cell r="CE1997">
            <v>0</v>
          </cell>
        </row>
        <row r="1998">
          <cell r="BY1998" t="str">
            <v>IBOVJ44</v>
          </cell>
          <cell r="BZ1998">
            <v>44000</v>
          </cell>
          <cell r="CA1998" t="str">
            <v>14-10-2009</v>
          </cell>
          <cell r="CB1998">
            <v>0</v>
          </cell>
          <cell r="CC1998">
            <v>0</v>
          </cell>
          <cell r="CD1998">
            <v>0</v>
          </cell>
          <cell r="CE1998">
            <v>0</v>
          </cell>
        </row>
        <row r="1999">
          <cell r="BY1999" t="str">
            <v>IBOVJ45</v>
          </cell>
          <cell r="BZ1999">
            <v>45000</v>
          </cell>
          <cell r="CA1999" t="str">
            <v>14-10-2009</v>
          </cell>
          <cell r="CB1999">
            <v>0</v>
          </cell>
          <cell r="CC1999">
            <v>0</v>
          </cell>
          <cell r="CD1999">
            <v>0</v>
          </cell>
          <cell r="CE1999">
            <v>0</v>
          </cell>
        </row>
        <row r="2000">
          <cell r="BY2000" t="str">
            <v>IBOVJ50</v>
          </cell>
          <cell r="BZ2000">
            <v>50000</v>
          </cell>
          <cell r="CA2000" t="str">
            <v>14-10-2009</v>
          </cell>
          <cell r="CB2000">
            <v>0</v>
          </cell>
          <cell r="CC2000">
            <v>0</v>
          </cell>
          <cell r="CD2000">
            <v>0</v>
          </cell>
          <cell r="CE2000">
            <v>0</v>
          </cell>
        </row>
        <row r="2001">
          <cell r="BY2001" t="str">
            <v>IBOVJ55</v>
          </cell>
          <cell r="BZ2001">
            <v>55000</v>
          </cell>
          <cell r="CA2001" t="str">
            <v>14-10-2009</v>
          </cell>
          <cell r="CB2001">
            <v>0</v>
          </cell>
          <cell r="CC2001">
            <v>0</v>
          </cell>
          <cell r="CD2001">
            <v>0</v>
          </cell>
          <cell r="CE2001">
            <v>0</v>
          </cell>
        </row>
        <row r="2002">
          <cell r="BY2002" t="str">
            <v>IBOVJ60</v>
          </cell>
          <cell r="BZ2002">
            <v>60000</v>
          </cell>
          <cell r="CA2002" t="str">
            <v>14-10-2009</v>
          </cell>
          <cell r="CB2002">
            <v>0</v>
          </cell>
          <cell r="CC2002">
            <v>0</v>
          </cell>
          <cell r="CD2002">
            <v>0</v>
          </cell>
          <cell r="CE2002">
            <v>0</v>
          </cell>
        </row>
        <row r="2003">
          <cell r="BY2003" t="str">
            <v>IBOVJ1</v>
          </cell>
          <cell r="BZ2003">
            <v>64000</v>
          </cell>
          <cell r="CA2003" t="str">
            <v>14-10-2009</v>
          </cell>
          <cell r="CB2003">
            <v>0</v>
          </cell>
          <cell r="CC2003">
            <v>0</v>
          </cell>
          <cell r="CD2003">
            <v>0</v>
          </cell>
          <cell r="CE2003">
            <v>0</v>
          </cell>
        </row>
        <row r="2004">
          <cell r="BY2004" t="str">
            <v>IBOVJ65</v>
          </cell>
          <cell r="BZ2004">
            <v>65000</v>
          </cell>
          <cell r="CA2004" t="str">
            <v>14-10-2009</v>
          </cell>
          <cell r="CB2004">
            <v>0</v>
          </cell>
          <cell r="CC2004">
            <v>0</v>
          </cell>
          <cell r="CD2004">
            <v>0</v>
          </cell>
          <cell r="CE2004">
            <v>0</v>
          </cell>
        </row>
        <row r="2005">
          <cell r="BY2005" t="str">
            <v>IBOVJ5</v>
          </cell>
          <cell r="BZ2005">
            <v>74000</v>
          </cell>
          <cell r="CA2005" t="str">
            <v>14-10-2009</v>
          </cell>
          <cell r="CB2005">
            <v>0</v>
          </cell>
          <cell r="CC2005">
            <v>0</v>
          </cell>
          <cell r="CD2005">
            <v>0</v>
          </cell>
          <cell r="CE2005">
            <v>0</v>
          </cell>
        </row>
        <row r="2006">
          <cell r="BY2006" t="str">
            <v>IBOVL99</v>
          </cell>
          <cell r="BZ2006">
            <v>25000</v>
          </cell>
          <cell r="CA2006" t="str">
            <v>16-12-2009</v>
          </cell>
          <cell r="CB2006">
            <v>0</v>
          </cell>
          <cell r="CC2006">
            <v>0</v>
          </cell>
          <cell r="CD2006">
            <v>0</v>
          </cell>
          <cell r="CE2006">
            <v>0</v>
          </cell>
        </row>
        <row r="2007">
          <cell r="BY2007" t="str">
            <v>IBOVL10</v>
          </cell>
          <cell r="BZ2007">
            <v>28000</v>
          </cell>
          <cell r="CA2007" t="str">
            <v>16-12-2009</v>
          </cell>
          <cell r="CB2007">
            <v>0</v>
          </cell>
          <cell r="CC2007">
            <v>0</v>
          </cell>
          <cell r="CD2007">
            <v>0</v>
          </cell>
          <cell r="CE2007">
            <v>0</v>
          </cell>
        </row>
        <row r="2008">
          <cell r="BY2008" t="str">
            <v>IBOVL11</v>
          </cell>
          <cell r="BZ2008">
            <v>29000</v>
          </cell>
          <cell r="CA2008" t="str">
            <v>16-12-2009</v>
          </cell>
          <cell r="CB2008">
            <v>0</v>
          </cell>
          <cell r="CC2008">
            <v>0</v>
          </cell>
          <cell r="CD2008">
            <v>0</v>
          </cell>
          <cell r="CE2008">
            <v>0</v>
          </cell>
        </row>
        <row r="2009">
          <cell r="BY2009" t="str">
            <v>IBOVL21</v>
          </cell>
          <cell r="BZ2009">
            <v>30000</v>
          </cell>
          <cell r="CA2009" t="str">
            <v>16-12-2009</v>
          </cell>
          <cell r="CB2009">
            <v>0</v>
          </cell>
          <cell r="CC2009">
            <v>0</v>
          </cell>
          <cell r="CD2009">
            <v>0</v>
          </cell>
          <cell r="CE2009">
            <v>0</v>
          </cell>
        </row>
        <row r="2010">
          <cell r="BY2010" t="str">
            <v>IBOVL34</v>
          </cell>
          <cell r="BZ2010">
            <v>34000</v>
          </cell>
          <cell r="CA2010" t="str">
            <v>16-12-2009</v>
          </cell>
          <cell r="CB2010">
            <v>0</v>
          </cell>
          <cell r="CC2010">
            <v>0</v>
          </cell>
          <cell r="CD2010">
            <v>0</v>
          </cell>
          <cell r="CE2010">
            <v>0</v>
          </cell>
        </row>
        <row r="2011">
          <cell r="BY2011" t="str">
            <v>IBOVL12</v>
          </cell>
          <cell r="BZ2011">
            <v>35000</v>
          </cell>
          <cell r="CA2011" t="str">
            <v>16-12-2009</v>
          </cell>
          <cell r="CB2011">
            <v>0</v>
          </cell>
          <cell r="CC2011">
            <v>0</v>
          </cell>
          <cell r="CD2011">
            <v>0</v>
          </cell>
          <cell r="CE2011">
            <v>0</v>
          </cell>
        </row>
        <row r="2012">
          <cell r="BY2012" t="str">
            <v>IBOVL22</v>
          </cell>
          <cell r="BZ2012">
            <v>36000</v>
          </cell>
          <cell r="CA2012" t="str">
            <v>16-12-2009</v>
          </cell>
          <cell r="CB2012">
            <v>0</v>
          </cell>
          <cell r="CC2012">
            <v>0</v>
          </cell>
          <cell r="CD2012">
            <v>0</v>
          </cell>
          <cell r="CE2012">
            <v>0</v>
          </cell>
        </row>
        <row r="2013">
          <cell r="BY2013" t="str">
            <v>IBOVL81</v>
          </cell>
          <cell r="BZ2013">
            <v>38000</v>
          </cell>
          <cell r="CA2013" t="str">
            <v>16-12-2009</v>
          </cell>
          <cell r="CB2013">
            <v>0</v>
          </cell>
          <cell r="CC2013">
            <v>0</v>
          </cell>
          <cell r="CD2013">
            <v>0</v>
          </cell>
          <cell r="CE2013">
            <v>0</v>
          </cell>
        </row>
        <row r="2014">
          <cell r="BY2014" t="str">
            <v>IBOVL39</v>
          </cell>
          <cell r="BZ2014">
            <v>39000</v>
          </cell>
          <cell r="CA2014" t="str">
            <v>16-12-2009</v>
          </cell>
          <cell r="CB2014">
            <v>0</v>
          </cell>
          <cell r="CC2014">
            <v>0</v>
          </cell>
          <cell r="CD2014">
            <v>0</v>
          </cell>
          <cell r="CE2014">
            <v>0</v>
          </cell>
        </row>
        <row r="2015">
          <cell r="BY2015" t="str">
            <v>IBOVL19</v>
          </cell>
          <cell r="BZ2015">
            <v>40000</v>
          </cell>
          <cell r="CA2015" t="str">
            <v>16-12-2009</v>
          </cell>
          <cell r="CB2015">
            <v>0</v>
          </cell>
          <cell r="CC2015">
            <v>0</v>
          </cell>
          <cell r="CD2015">
            <v>0</v>
          </cell>
          <cell r="CE2015">
            <v>0</v>
          </cell>
        </row>
        <row r="2016">
          <cell r="BY2016" t="str">
            <v>IBOVL15</v>
          </cell>
          <cell r="BZ2016">
            <v>42000</v>
          </cell>
          <cell r="CA2016" t="str">
            <v>16-12-2009</v>
          </cell>
          <cell r="CB2016">
            <v>0</v>
          </cell>
          <cell r="CC2016">
            <v>0</v>
          </cell>
          <cell r="CD2016">
            <v>0</v>
          </cell>
          <cell r="CE2016">
            <v>0</v>
          </cell>
        </row>
        <row r="2017">
          <cell r="BY2017" t="str">
            <v>IBOVL3</v>
          </cell>
          <cell r="BZ2017">
            <v>44000</v>
          </cell>
          <cell r="CA2017" t="str">
            <v>16-12-2009</v>
          </cell>
          <cell r="CB2017">
            <v>0</v>
          </cell>
          <cell r="CC2017">
            <v>0</v>
          </cell>
          <cell r="CD2017">
            <v>0</v>
          </cell>
          <cell r="CE2017">
            <v>0</v>
          </cell>
        </row>
        <row r="2018">
          <cell r="BY2018" t="str">
            <v>IBOVL7</v>
          </cell>
          <cell r="BZ2018">
            <v>45000</v>
          </cell>
          <cell r="CA2018" t="str">
            <v>16-12-2009</v>
          </cell>
          <cell r="CB2018">
            <v>0</v>
          </cell>
          <cell r="CC2018">
            <v>0</v>
          </cell>
          <cell r="CD2018">
            <v>0</v>
          </cell>
          <cell r="CE2018">
            <v>0</v>
          </cell>
        </row>
        <row r="2019">
          <cell r="BY2019" t="str">
            <v>IBOVL18</v>
          </cell>
          <cell r="BZ2019">
            <v>46000</v>
          </cell>
          <cell r="CA2019" t="str">
            <v>16-12-2009</v>
          </cell>
          <cell r="CB2019">
            <v>0</v>
          </cell>
          <cell r="CC2019">
            <v>0</v>
          </cell>
          <cell r="CD2019">
            <v>0</v>
          </cell>
          <cell r="CE2019">
            <v>0</v>
          </cell>
        </row>
        <row r="2020">
          <cell r="BY2020" t="str">
            <v>IBOVL20</v>
          </cell>
          <cell r="BZ2020">
            <v>48000</v>
          </cell>
          <cell r="CA2020" t="str">
            <v>16-12-2009</v>
          </cell>
          <cell r="CB2020">
            <v>0</v>
          </cell>
          <cell r="CC2020">
            <v>0</v>
          </cell>
          <cell r="CD2020">
            <v>0</v>
          </cell>
          <cell r="CE2020">
            <v>0</v>
          </cell>
        </row>
        <row r="2021">
          <cell r="BY2021" t="str">
            <v>IBOVL5</v>
          </cell>
          <cell r="BZ2021">
            <v>50000</v>
          </cell>
          <cell r="CA2021" t="str">
            <v>16-12-2009</v>
          </cell>
          <cell r="CB2021">
            <v>0</v>
          </cell>
          <cell r="CC2021">
            <v>0</v>
          </cell>
          <cell r="CD2021">
            <v>0</v>
          </cell>
          <cell r="CE2021">
            <v>0</v>
          </cell>
        </row>
        <row r="2022">
          <cell r="BY2022" t="str">
            <v>IBOVL13</v>
          </cell>
          <cell r="BZ2022">
            <v>51000</v>
          </cell>
          <cell r="CA2022" t="str">
            <v>16-12-2009</v>
          </cell>
          <cell r="CB2022">
            <v>0</v>
          </cell>
          <cell r="CC2022">
            <v>0</v>
          </cell>
          <cell r="CD2022">
            <v>0</v>
          </cell>
          <cell r="CE2022">
            <v>0</v>
          </cell>
        </row>
        <row r="2023">
          <cell r="BY2023" t="str">
            <v>IBOVL17</v>
          </cell>
          <cell r="BZ2023">
            <v>52000</v>
          </cell>
          <cell r="CA2023" t="str">
            <v>16-12-2009</v>
          </cell>
          <cell r="CB2023">
            <v>0</v>
          </cell>
          <cell r="CC2023">
            <v>0</v>
          </cell>
          <cell r="CD2023">
            <v>0</v>
          </cell>
          <cell r="CE2023">
            <v>0</v>
          </cell>
        </row>
        <row r="2024">
          <cell r="BY2024" t="str">
            <v>IBOVL53</v>
          </cell>
          <cell r="BZ2024">
            <v>53000</v>
          </cell>
          <cell r="CA2024" t="str">
            <v>16-12-2009</v>
          </cell>
          <cell r="CB2024">
            <v>0</v>
          </cell>
          <cell r="CC2024">
            <v>0</v>
          </cell>
          <cell r="CD2024">
            <v>0</v>
          </cell>
          <cell r="CE2024">
            <v>0</v>
          </cell>
        </row>
        <row r="2025">
          <cell r="BY2025" t="str">
            <v>IBOVL16</v>
          </cell>
          <cell r="BZ2025">
            <v>55000</v>
          </cell>
          <cell r="CA2025" t="str">
            <v>16-12-2009</v>
          </cell>
          <cell r="CB2025">
            <v>0</v>
          </cell>
          <cell r="CC2025">
            <v>0</v>
          </cell>
          <cell r="CD2025">
            <v>0</v>
          </cell>
          <cell r="CE2025">
            <v>0</v>
          </cell>
        </row>
        <row r="2026">
          <cell r="BY2026" t="str">
            <v>IBOVL6</v>
          </cell>
          <cell r="BZ2026">
            <v>56000</v>
          </cell>
          <cell r="CA2026" t="str">
            <v>16-12-2009</v>
          </cell>
          <cell r="CB2026">
            <v>0</v>
          </cell>
          <cell r="CC2026">
            <v>0</v>
          </cell>
          <cell r="CD2026">
            <v>0</v>
          </cell>
          <cell r="CE2026">
            <v>0</v>
          </cell>
        </row>
        <row r="2027">
          <cell r="BY2027" t="str">
            <v>IBOVL1</v>
          </cell>
          <cell r="BZ2027">
            <v>60000</v>
          </cell>
          <cell r="CA2027" t="str">
            <v>16-12-2009</v>
          </cell>
          <cell r="CB2027">
            <v>0</v>
          </cell>
          <cell r="CC2027">
            <v>0</v>
          </cell>
          <cell r="CD2027">
            <v>0</v>
          </cell>
          <cell r="CE2027">
            <v>0</v>
          </cell>
        </row>
        <row r="2028">
          <cell r="BY2028" t="str">
            <v>IBOVL2</v>
          </cell>
          <cell r="BZ2028">
            <v>65000</v>
          </cell>
          <cell r="CA2028" t="str">
            <v>16-12-2009</v>
          </cell>
          <cell r="CB2028">
            <v>0</v>
          </cell>
          <cell r="CC2028">
            <v>0</v>
          </cell>
          <cell r="CD2028">
            <v>0</v>
          </cell>
          <cell r="CE2028">
            <v>0</v>
          </cell>
        </row>
        <row r="2029">
          <cell r="BY2029" t="str">
            <v>IBOVL8</v>
          </cell>
          <cell r="BZ2029">
            <v>80000</v>
          </cell>
          <cell r="CA2029" t="str">
            <v>16-12-2009</v>
          </cell>
          <cell r="CB2029">
            <v>0</v>
          </cell>
          <cell r="CC2029">
            <v>0</v>
          </cell>
          <cell r="CD2029">
            <v>0</v>
          </cell>
          <cell r="CE2029">
            <v>0</v>
          </cell>
        </row>
        <row r="2030">
          <cell r="BY2030" t="str">
            <v>IBOVJ12</v>
          </cell>
          <cell r="BZ2030">
            <v>36000</v>
          </cell>
          <cell r="CA2030" t="str">
            <v>13-10-2010</v>
          </cell>
          <cell r="CB2030">
            <v>0</v>
          </cell>
          <cell r="CC2030">
            <v>0</v>
          </cell>
          <cell r="CD2030">
            <v>0</v>
          </cell>
          <cell r="CE2030">
            <v>0</v>
          </cell>
        </row>
        <row r="2031">
          <cell r="BY2031" t="str">
            <v>IBOVJ9</v>
          </cell>
          <cell r="BZ2031">
            <v>38000</v>
          </cell>
          <cell r="CA2031" t="str">
            <v>13-10-2010</v>
          </cell>
          <cell r="CB2031">
            <v>0</v>
          </cell>
          <cell r="CC2031">
            <v>0</v>
          </cell>
          <cell r="CD2031">
            <v>0</v>
          </cell>
          <cell r="CE2031">
            <v>0</v>
          </cell>
        </row>
        <row r="2032">
          <cell r="BY2032" t="str">
            <v>IBOVJ8</v>
          </cell>
          <cell r="BZ2032">
            <v>39000</v>
          </cell>
          <cell r="CA2032" t="str">
            <v>13-10-2010</v>
          </cell>
          <cell r="CB2032">
            <v>0</v>
          </cell>
          <cell r="CC2032">
            <v>0</v>
          </cell>
          <cell r="CD2032">
            <v>0</v>
          </cell>
          <cell r="CE2032">
            <v>0</v>
          </cell>
        </row>
        <row r="2033">
          <cell r="BY2033" t="str">
            <v>IBOVJ10</v>
          </cell>
          <cell r="BZ2033">
            <v>40000</v>
          </cell>
          <cell r="CA2033" t="str">
            <v>13-10-2010</v>
          </cell>
          <cell r="CB2033">
            <v>0</v>
          </cell>
          <cell r="CC2033">
            <v>0</v>
          </cell>
          <cell r="CD2033">
            <v>0</v>
          </cell>
          <cell r="CE2033">
            <v>0</v>
          </cell>
        </row>
        <row r="2034">
          <cell r="BY2034" t="str">
            <v>IBOVJ14</v>
          </cell>
          <cell r="BZ2034">
            <v>42000</v>
          </cell>
          <cell r="CA2034" t="str">
            <v>13-10-2010</v>
          </cell>
          <cell r="CB2034">
            <v>0</v>
          </cell>
          <cell r="CC2034">
            <v>0</v>
          </cell>
          <cell r="CD2034">
            <v>0</v>
          </cell>
          <cell r="CE2034">
            <v>0</v>
          </cell>
        </row>
        <row r="2035">
          <cell r="BY2035" t="str">
            <v>IBOVJ7</v>
          </cell>
          <cell r="BZ2035">
            <v>44000</v>
          </cell>
          <cell r="CA2035" t="str">
            <v>13-10-2010</v>
          </cell>
          <cell r="CB2035">
            <v>0</v>
          </cell>
          <cell r="CC2035">
            <v>0</v>
          </cell>
          <cell r="CD2035">
            <v>0</v>
          </cell>
          <cell r="CE2035">
            <v>0</v>
          </cell>
        </row>
        <row r="2036">
          <cell r="BY2036" t="str">
            <v>IBOVJ11</v>
          </cell>
          <cell r="BZ2036">
            <v>45000</v>
          </cell>
          <cell r="CA2036" t="str">
            <v>13-10-2010</v>
          </cell>
          <cell r="CB2036">
            <v>0</v>
          </cell>
          <cell r="CC2036">
            <v>0</v>
          </cell>
          <cell r="CD2036">
            <v>0</v>
          </cell>
          <cell r="CE2036">
            <v>0</v>
          </cell>
        </row>
        <row r="2037">
          <cell r="BY2037" t="str">
            <v>IBOVJ13</v>
          </cell>
          <cell r="BZ2037">
            <v>46000</v>
          </cell>
          <cell r="CA2037" t="str">
            <v>13-10-2010</v>
          </cell>
          <cell r="CB2037">
            <v>0</v>
          </cell>
          <cell r="CC2037">
            <v>0</v>
          </cell>
          <cell r="CD2037">
            <v>0</v>
          </cell>
          <cell r="CE2037">
            <v>0</v>
          </cell>
        </row>
        <row r="2038">
          <cell r="BY2038" t="str">
            <v>IBOVJ6</v>
          </cell>
          <cell r="BZ2038">
            <v>50000</v>
          </cell>
          <cell r="CA2038" t="str">
            <v>13-10-2010</v>
          </cell>
          <cell r="CB2038">
            <v>0</v>
          </cell>
          <cell r="CC2038">
            <v>0</v>
          </cell>
          <cell r="CD2038">
            <v>0</v>
          </cell>
          <cell r="CE2038">
            <v>0</v>
          </cell>
        </row>
        <row r="2039">
          <cell r="BY2039" t="str">
            <v>IBOVL4</v>
          </cell>
          <cell r="BZ2039">
            <v>44000</v>
          </cell>
          <cell r="CA2039" t="str">
            <v>15-12-2010</v>
          </cell>
          <cell r="CB2039">
            <v>0</v>
          </cell>
          <cell r="CC2039">
            <v>0</v>
          </cell>
          <cell r="CD2039">
            <v>0</v>
          </cell>
          <cell r="CE2039">
            <v>0</v>
          </cell>
        </row>
        <row r="2040">
          <cell r="BY2040" t="str">
            <v>IBOVP20</v>
          </cell>
          <cell r="BZ2040">
            <v>20000</v>
          </cell>
          <cell r="CA2040" t="str">
            <v>15-04-2009</v>
          </cell>
          <cell r="CB2040">
            <v>0</v>
          </cell>
          <cell r="CC2040">
            <v>0</v>
          </cell>
          <cell r="CD2040">
            <v>0</v>
          </cell>
          <cell r="CE2040">
            <v>0</v>
          </cell>
        </row>
        <row r="2041">
          <cell r="BY2041" t="str">
            <v>IBOVP25</v>
          </cell>
          <cell r="BZ2041">
            <v>25000</v>
          </cell>
          <cell r="CA2041" t="str">
            <v>15-04-2009</v>
          </cell>
          <cell r="CB2041">
            <v>0</v>
          </cell>
          <cell r="CC2041">
            <v>0</v>
          </cell>
          <cell r="CD2041">
            <v>0</v>
          </cell>
          <cell r="CE2041">
            <v>0</v>
          </cell>
        </row>
        <row r="2042">
          <cell r="BY2042" t="str">
            <v>IBOVP26</v>
          </cell>
          <cell r="BZ2042">
            <v>26000</v>
          </cell>
          <cell r="CA2042" t="str">
            <v>15-04-2009</v>
          </cell>
          <cell r="CB2042">
            <v>0</v>
          </cell>
          <cell r="CC2042">
            <v>0</v>
          </cell>
          <cell r="CD2042">
            <v>0</v>
          </cell>
          <cell r="CE2042">
            <v>0</v>
          </cell>
        </row>
        <row r="2043">
          <cell r="BY2043" t="str">
            <v>IBOVP27</v>
          </cell>
          <cell r="BZ2043">
            <v>27000</v>
          </cell>
          <cell r="CA2043" t="str">
            <v>15-04-2009</v>
          </cell>
          <cell r="CB2043">
            <v>0</v>
          </cell>
          <cell r="CC2043">
            <v>0</v>
          </cell>
          <cell r="CD2043">
            <v>0</v>
          </cell>
          <cell r="CE2043">
            <v>0</v>
          </cell>
        </row>
        <row r="2044">
          <cell r="BY2044" t="str">
            <v>IBOVP28</v>
          </cell>
          <cell r="BZ2044">
            <v>28000</v>
          </cell>
          <cell r="CA2044" t="str">
            <v>15-04-2009</v>
          </cell>
          <cell r="CB2044">
            <v>0</v>
          </cell>
          <cell r="CC2044">
            <v>0</v>
          </cell>
          <cell r="CD2044">
            <v>0</v>
          </cell>
          <cell r="CE2044">
            <v>0</v>
          </cell>
        </row>
        <row r="2045">
          <cell r="BY2045" t="str">
            <v>IBOVP29</v>
          </cell>
          <cell r="BZ2045">
            <v>29000</v>
          </cell>
          <cell r="CA2045" t="str">
            <v>15-04-2009</v>
          </cell>
          <cell r="CB2045">
            <v>0</v>
          </cell>
          <cell r="CC2045">
            <v>0</v>
          </cell>
          <cell r="CD2045">
            <v>0</v>
          </cell>
          <cell r="CE2045">
            <v>0</v>
          </cell>
        </row>
        <row r="2046">
          <cell r="BY2046" t="str">
            <v>IBOVP30</v>
          </cell>
          <cell r="BZ2046">
            <v>30000</v>
          </cell>
          <cell r="CA2046" t="str">
            <v>15-04-2009</v>
          </cell>
          <cell r="CB2046">
            <v>0</v>
          </cell>
          <cell r="CC2046">
            <v>0</v>
          </cell>
          <cell r="CD2046">
            <v>0</v>
          </cell>
          <cell r="CE2046">
            <v>0</v>
          </cell>
        </row>
        <row r="2047">
          <cell r="BY2047" t="str">
            <v>IBOVP31</v>
          </cell>
          <cell r="BZ2047">
            <v>31000</v>
          </cell>
          <cell r="CA2047" t="str">
            <v>15-04-2009</v>
          </cell>
          <cell r="CB2047">
            <v>0</v>
          </cell>
          <cell r="CC2047">
            <v>0</v>
          </cell>
          <cell r="CD2047">
            <v>0</v>
          </cell>
          <cell r="CE2047">
            <v>0</v>
          </cell>
        </row>
        <row r="2048">
          <cell r="BY2048" t="str">
            <v>IBOVP32</v>
          </cell>
          <cell r="BZ2048">
            <v>32000</v>
          </cell>
          <cell r="CA2048" t="str">
            <v>15-04-2009</v>
          </cell>
          <cell r="CB2048">
            <v>0</v>
          </cell>
          <cell r="CC2048">
            <v>0</v>
          </cell>
          <cell r="CD2048">
            <v>0</v>
          </cell>
          <cell r="CE2048">
            <v>0</v>
          </cell>
        </row>
        <row r="2049">
          <cell r="BY2049" t="str">
            <v>IBOVP33</v>
          </cell>
          <cell r="BZ2049">
            <v>33000</v>
          </cell>
          <cell r="CA2049" t="str">
            <v>15-04-2009</v>
          </cell>
          <cell r="CB2049">
            <v>0</v>
          </cell>
          <cell r="CC2049">
            <v>0</v>
          </cell>
          <cell r="CD2049">
            <v>0</v>
          </cell>
          <cell r="CE2049">
            <v>0</v>
          </cell>
        </row>
        <row r="2050">
          <cell r="BY2050" t="str">
            <v>IBOVP34</v>
          </cell>
          <cell r="BZ2050">
            <v>34000</v>
          </cell>
          <cell r="CA2050" t="str">
            <v>15-04-2009</v>
          </cell>
          <cell r="CB2050">
            <v>0</v>
          </cell>
          <cell r="CC2050">
            <v>0</v>
          </cell>
          <cell r="CD2050">
            <v>0</v>
          </cell>
          <cell r="CE2050">
            <v>0</v>
          </cell>
        </row>
        <row r="2051">
          <cell r="BY2051" t="str">
            <v>IBOVP35</v>
          </cell>
          <cell r="BZ2051">
            <v>35000</v>
          </cell>
          <cell r="CA2051" t="str">
            <v>15-04-2009</v>
          </cell>
          <cell r="CB2051">
            <v>0</v>
          </cell>
          <cell r="CC2051">
            <v>0</v>
          </cell>
          <cell r="CD2051">
            <v>0</v>
          </cell>
          <cell r="CE2051">
            <v>0</v>
          </cell>
        </row>
        <row r="2052">
          <cell r="BY2052" t="str">
            <v>IBOVP36</v>
          </cell>
          <cell r="BZ2052">
            <v>36000</v>
          </cell>
          <cell r="CA2052" t="str">
            <v>15-04-2009</v>
          </cell>
          <cell r="CB2052">
            <v>0</v>
          </cell>
          <cell r="CC2052">
            <v>0</v>
          </cell>
          <cell r="CD2052">
            <v>0</v>
          </cell>
          <cell r="CE2052">
            <v>0</v>
          </cell>
        </row>
        <row r="2053">
          <cell r="BY2053" t="str">
            <v>IBOVP37</v>
          </cell>
          <cell r="BZ2053">
            <v>37000</v>
          </cell>
          <cell r="CA2053" t="str">
            <v>15-04-2009</v>
          </cell>
          <cell r="CB2053">
            <v>0</v>
          </cell>
          <cell r="CC2053">
            <v>0</v>
          </cell>
          <cell r="CD2053">
            <v>0</v>
          </cell>
          <cell r="CE2053">
            <v>0</v>
          </cell>
        </row>
        <row r="2054">
          <cell r="BY2054" t="str">
            <v>IBOVP98</v>
          </cell>
          <cell r="BZ2054">
            <v>38000</v>
          </cell>
          <cell r="CA2054" t="str">
            <v>15-04-2009</v>
          </cell>
          <cell r="CB2054">
            <v>0</v>
          </cell>
          <cell r="CC2054">
            <v>0</v>
          </cell>
          <cell r="CD2054">
            <v>0</v>
          </cell>
          <cell r="CE2054">
            <v>0</v>
          </cell>
        </row>
        <row r="2055">
          <cell r="BY2055" t="str">
            <v>IBOVP39</v>
          </cell>
          <cell r="BZ2055">
            <v>39000</v>
          </cell>
          <cell r="CA2055" t="str">
            <v>15-04-2009</v>
          </cell>
          <cell r="CB2055">
            <v>0</v>
          </cell>
          <cell r="CC2055">
            <v>0</v>
          </cell>
          <cell r="CD2055">
            <v>0</v>
          </cell>
          <cell r="CE2055">
            <v>0</v>
          </cell>
        </row>
        <row r="2056">
          <cell r="BY2056" t="str">
            <v>IBOVP40</v>
          </cell>
          <cell r="BZ2056">
            <v>40000</v>
          </cell>
          <cell r="CA2056" t="str">
            <v>15-04-2009</v>
          </cell>
          <cell r="CB2056">
            <v>0</v>
          </cell>
          <cell r="CC2056">
            <v>0</v>
          </cell>
          <cell r="CD2056">
            <v>0</v>
          </cell>
          <cell r="CE2056">
            <v>0</v>
          </cell>
        </row>
        <row r="2057">
          <cell r="BY2057" t="str">
            <v>IBOVP41</v>
          </cell>
          <cell r="BZ2057">
            <v>41000</v>
          </cell>
          <cell r="CA2057" t="str">
            <v>15-04-2009</v>
          </cell>
          <cell r="CB2057">
            <v>0</v>
          </cell>
          <cell r="CC2057">
            <v>0</v>
          </cell>
          <cell r="CD2057">
            <v>0</v>
          </cell>
          <cell r="CE2057">
            <v>0</v>
          </cell>
        </row>
        <row r="2058">
          <cell r="BY2058" t="str">
            <v>IBOVP42</v>
          </cell>
          <cell r="BZ2058">
            <v>42000</v>
          </cell>
          <cell r="CA2058" t="str">
            <v>15-04-2009</v>
          </cell>
          <cell r="CB2058">
            <v>0</v>
          </cell>
          <cell r="CC2058">
            <v>0</v>
          </cell>
          <cell r="CD2058">
            <v>0</v>
          </cell>
          <cell r="CE2058">
            <v>0</v>
          </cell>
        </row>
        <row r="2059">
          <cell r="BY2059" t="str">
            <v>IBOVP43</v>
          </cell>
          <cell r="BZ2059">
            <v>43000</v>
          </cell>
          <cell r="CA2059" t="str">
            <v>15-04-2009</v>
          </cell>
          <cell r="CB2059">
            <v>0</v>
          </cell>
          <cell r="CC2059">
            <v>0</v>
          </cell>
          <cell r="CD2059">
            <v>0</v>
          </cell>
          <cell r="CE2059">
            <v>0</v>
          </cell>
        </row>
        <row r="2060">
          <cell r="BY2060" t="str">
            <v>IBOVP44</v>
          </cell>
          <cell r="BZ2060">
            <v>44000</v>
          </cell>
          <cell r="CA2060" t="str">
            <v>15-04-2009</v>
          </cell>
          <cell r="CB2060">
            <v>0</v>
          </cell>
          <cell r="CC2060">
            <v>0</v>
          </cell>
          <cell r="CD2060">
            <v>0</v>
          </cell>
          <cell r="CE2060">
            <v>0</v>
          </cell>
        </row>
        <row r="2061">
          <cell r="BY2061" t="str">
            <v>IBOVP45</v>
          </cell>
          <cell r="BZ2061">
            <v>45000</v>
          </cell>
          <cell r="CA2061" t="str">
            <v>15-04-2009</v>
          </cell>
          <cell r="CB2061">
            <v>0</v>
          </cell>
          <cell r="CC2061">
            <v>0</v>
          </cell>
          <cell r="CD2061">
            <v>0</v>
          </cell>
          <cell r="CE2061">
            <v>0</v>
          </cell>
        </row>
        <row r="2062">
          <cell r="BY2062" t="str">
            <v>IBOVP46</v>
          </cell>
          <cell r="BZ2062">
            <v>46000</v>
          </cell>
          <cell r="CA2062" t="str">
            <v>15-04-2009</v>
          </cell>
          <cell r="CB2062">
            <v>0</v>
          </cell>
          <cell r="CC2062">
            <v>0</v>
          </cell>
          <cell r="CD2062">
            <v>0</v>
          </cell>
          <cell r="CE2062">
            <v>0</v>
          </cell>
        </row>
        <row r="2063">
          <cell r="BY2063" t="str">
            <v>IBOVP47</v>
          </cell>
          <cell r="BZ2063">
            <v>47000</v>
          </cell>
          <cell r="CA2063" t="str">
            <v>15-04-2009</v>
          </cell>
          <cell r="CB2063">
            <v>0</v>
          </cell>
          <cell r="CC2063">
            <v>0</v>
          </cell>
          <cell r="CD2063">
            <v>0</v>
          </cell>
          <cell r="CE2063">
            <v>0</v>
          </cell>
        </row>
        <row r="2064">
          <cell r="BY2064" t="str">
            <v>IBOVP48</v>
          </cell>
          <cell r="BZ2064">
            <v>48000</v>
          </cell>
          <cell r="CA2064" t="str">
            <v>15-04-2009</v>
          </cell>
          <cell r="CB2064">
            <v>0</v>
          </cell>
          <cell r="CC2064">
            <v>0</v>
          </cell>
          <cell r="CD2064">
            <v>0</v>
          </cell>
          <cell r="CE2064">
            <v>0</v>
          </cell>
        </row>
        <row r="2065">
          <cell r="BY2065" t="str">
            <v>IBOVP49</v>
          </cell>
          <cell r="BZ2065">
            <v>49000</v>
          </cell>
          <cell r="CA2065" t="str">
            <v>15-04-2009</v>
          </cell>
          <cell r="CB2065">
            <v>0</v>
          </cell>
          <cell r="CC2065">
            <v>0</v>
          </cell>
          <cell r="CD2065">
            <v>0</v>
          </cell>
          <cell r="CE2065">
            <v>0</v>
          </cell>
        </row>
        <row r="2066">
          <cell r="BY2066" t="str">
            <v>IBOVP50</v>
          </cell>
          <cell r="BZ2066">
            <v>50000</v>
          </cell>
          <cell r="CA2066" t="str">
            <v>15-04-2009</v>
          </cell>
          <cell r="CB2066">
            <v>0</v>
          </cell>
          <cell r="CC2066">
            <v>0</v>
          </cell>
          <cell r="CD2066">
            <v>0</v>
          </cell>
          <cell r="CE2066">
            <v>0</v>
          </cell>
        </row>
        <row r="2067">
          <cell r="BY2067" t="str">
            <v>IBOVP51</v>
          </cell>
          <cell r="BZ2067">
            <v>51000</v>
          </cell>
          <cell r="CA2067" t="str">
            <v>15-04-2009</v>
          </cell>
          <cell r="CB2067">
            <v>0</v>
          </cell>
          <cell r="CC2067">
            <v>0</v>
          </cell>
          <cell r="CD2067">
            <v>0</v>
          </cell>
          <cell r="CE2067">
            <v>0</v>
          </cell>
        </row>
        <row r="2068">
          <cell r="BY2068" t="str">
            <v>IBOVP52</v>
          </cell>
          <cell r="BZ2068">
            <v>52000</v>
          </cell>
          <cell r="CA2068" t="str">
            <v>15-04-2009</v>
          </cell>
          <cell r="CB2068">
            <v>0</v>
          </cell>
          <cell r="CC2068">
            <v>0</v>
          </cell>
          <cell r="CD2068">
            <v>0</v>
          </cell>
          <cell r="CE2068">
            <v>0</v>
          </cell>
        </row>
        <row r="2069">
          <cell r="BY2069" t="str">
            <v>IBOVP53</v>
          </cell>
          <cell r="BZ2069">
            <v>53000</v>
          </cell>
          <cell r="CA2069" t="str">
            <v>15-04-2009</v>
          </cell>
          <cell r="CB2069">
            <v>0</v>
          </cell>
          <cell r="CC2069">
            <v>0</v>
          </cell>
          <cell r="CD2069">
            <v>0</v>
          </cell>
          <cell r="CE2069">
            <v>0</v>
          </cell>
        </row>
        <row r="2070">
          <cell r="BY2070" t="str">
            <v>IBOVP54</v>
          </cell>
          <cell r="BZ2070">
            <v>54000</v>
          </cell>
          <cell r="CA2070" t="str">
            <v>15-04-2009</v>
          </cell>
          <cell r="CB2070">
            <v>0</v>
          </cell>
          <cell r="CC2070">
            <v>0</v>
          </cell>
          <cell r="CD2070">
            <v>0</v>
          </cell>
          <cell r="CE2070">
            <v>0</v>
          </cell>
        </row>
        <row r="2071">
          <cell r="BY2071" t="str">
            <v>IBOVP55</v>
          </cell>
          <cell r="BZ2071">
            <v>55000</v>
          </cell>
          <cell r="CA2071" t="str">
            <v>15-04-2009</v>
          </cell>
          <cell r="CB2071">
            <v>0</v>
          </cell>
          <cell r="CC2071">
            <v>0</v>
          </cell>
          <cell r="CD2071">
            <v>0</v>
          </cell>
          <cell r="CE2071">
            <v>0</v>
          </cell>
        </row>
        <row r="2072">
          <cell r="BY2072" t="str">
            <v>IBOVP56</v>
          </cell>
          <cell r="BZ2072">
            <v>56000</v>
          </cell>
          <cell r="CA2072" t="str">
            <v>15-04-2009</v>
          </cell>
          <cell r="CB2072">
            <v>0</v>
          </cell>
          <cell r="CC2072">
            <v>0</v>
          </cell>
          <cell r="CD2072">
            <v>0</v>
          </cell>
          <cell r="CE2072">
            <v>0</v>
          </cell>
        </row>
        <row r="2073">
          <cell r="BY2073" t="str">
            <v>IBOVP57</v>
          </cell>
          <cell r="BZ2073">
            <v>57000</v>
          </cell>
          <cell r="CA2073" t="str">
            <v>15-04-2009</v>
          </cell>
          <cell r="CB2073">
            <v>0</v>
          </cell>
          <cell r="CC2073">
            <v>0</v>
          </cell>
          <cell r="CD2073">
            <v>0</v>
          </cell>
          <cell r="CE2073">
            <v>0</v>
          </cell>
        </row>
        <row r="2074">
          <cell r="BY2074" t="str">
            <v>IBOVP58</v>
          </cell>
          <cell r="BZ2074">
            <v>58000</v>
          </cell>
          <cell r="CA2074" t="str">
            <v>15-04-2009</v>
          </cell>
          <cell r="CB2074">
            <v>0</v>
          </cell>
          <cell r="CC2074">
            <v>0</v>
          </cell>
          <cell r="CD2074">
            <v>0</v>
          </cell>
          <cell r="CE2074">
            <v>0</v>
          </cell>
        </row>
        <row r="2075">
          <cell r="BY2075" t="str">
            <v>IBOVP59</v>
          </cell>
          <cell r="BZ2075">
            <v>59000</v>
          </cell>
          <cell r="CA2075" t="str">
            <v>15-04-2009</v>
          </cell>
          <cell r="CB2075">
            <v>0</v>
          </cell>
          <cell r="CC2075">
            <v>0</v>
          </cell>
          <cell r="CD2075">
            <v>0</v>
          </cell>
          <cell r="CE2075">
            <v>0</v>
          </cell>
        </row>
        <row r="2076">
          <cell r="BY2076" t="str">
            <v>IBOVP6</v>
          </cell>
          <cell r="BZ2076">
            <v>60000</v>
          </cell>
          <cell r="CA2076" t="str">
            <v>15-04-2009</v>
          </cell>
          <cell r="CB2076">
            <v>0</v>
          </cell>
          <cell r="CC2076">
            <v>0</v>
          </cell>
          <cell r="CD2076">
            <v>0</v>
          </cell>
          <cell r="CE2076">
            <v>0</v>
          </cell>
        </row>
        <row r="2077">
          <cell r="BY2077" t="str">
            <v>IBOVP99</v>
          </cell>
          <cell r="BZ2077">
            <v>64000</v>
          </cell>
          <cell r="CA2077" t="str">
            <v>15-04-2009</v>
          </cell>
          <cell r="CB2077">
            <v>0</v>
          </cell>
          <cell r="CC2077">
            <v>0</v>
          </cell>
          <cell r="CD2077">
            <v>0</v>
          </cell>
          <cell r="CE2077">
            <v>0</v>
          </cell>
        </row>
        <row r="2078">
          <cell r="BY2078" t="str">
            <v>IBOVP66</v>
          </cell>
          <cell r="BZ2078">
            <v>66000</v>
          </cell>
          <cell r="CA2078" t="str">
            <v>15-04-2009</v>
          </cell>
          <cell r="CB2078">
            <v>0</v>
          </cell>
          <cell r="CC2078">
            <v>0</v>
          </cell>
          <cell r="CD2078">
            <v>0</v>
          </cell>
          <cell r="CE2078">
            <v>0</v>
          </cell>
        </row>
        <row r="2079">
          <cell r="BY2079" t="str">
            <v>IBOVP8</v>
          </cell>
          <cell r="BZ2079">
            <v>80000</v>
          </cell>
          <cell r="CA2079" t="str">
            <v>15-04-2009</v>
          </cell>
          <cell r="CB2079">
            <v>0</v>
          </cell>
          <cell r="CC2079">
            <v>0</v>
          </cell>
          <cell r="CD2079">
            <v>0</v>
          </cell>
          <cell r="CE2079">
            <v>0</v>
          </cell>
        </row>
        <row r="2080">
          <cell r="BY2080" t="str">
            <v>IBOVR26</v>
          </cell>
          <cell r="BZ2080">
            <v>26000</v>
          </cell>
          <cell r="CA2080" t="str">
            <v>17-06-2009</v>
          </cell>
          <cell r="CB2080">
            <v>0</v>
          </cell>
          <cell r="CC2080">
            <v>0</v>
          </cell>
          <cell r="CD2080">
            <v>0</v>
          </cell>
          <cell r="CE2080">
            <v>0</v>
          </cell>
        </row>
        <row r="2081">
          <cell r="BY2081" t="str">
            <v>IBOVR27</v>
          </cell>
          <cell r="BZ2081">
            <v>27000</v>
          </cell>
          <cell r="CA2081" t="str">
            <v>17-06-2009</v>
          </cell>
          <cell r="CB2081">
            <v>0</v>
          </cell>
          <cell r="CC2081">
            <v>0</v>
          </cell>
          <cell r="CD2081">
            <v>0</v>
          </cell>
          <cell r="CE2081">
            <v>0</v>
          </cell>
        </row>
        <row r="2082">
          <cell r="BY2082" t="str">
            <v>IBOVR28</v>
          </cell>
          <cell r="BZ2082">
            <v>28000</v>
          </cell>
          <cell r="CA2082" t="str">
            <v>17-06-2009</v>
          </cell>
          <cell r="CB2082">
            <v>0</v>
          </cell>
          <cell r="CC2082">
            <v>0</v>
          </cell>
          <cell r="CD2082">
            <v>0</v>
          </cell>
          <cell r="CE2082">
            <v>0</v>
          </cell>
        </row>
        <row r="2083">
          <cell r="BY2083" t="str">
            <v>IBOVR29</v>
          </cell>
          <cell r="BZ2083">
            <v>29000</v>
          </cell>
          <cell r="CA2083" t="str">
            <v>17-06-2009</v>
          </cell>
          <cell r="CB2083">
            <v>0</v>
          </cell>
          <cell r="CC2083">
            <v>0</v>
          </cell>
          <cell r="CD2083">
            <v>0</v>
          </cell>
          <cell r="CE2083">
            <v>0</v>
          </cell>
        </row>
        <row r="2084">
          <cell r="BY2084" t="str">
            <v>IBOVR30</v>
          </cell>
          <cell r="BZ2084">
            <v>30000</v>
          </cell>
          <cell r="CA2084" t="str">
            <v>17-06-2009</v>
          </cell>
          <cell r="CB2084">
            <v>0</v>
          </cell>
          <cell r="CC2084">
            <v>0</v>
          </cell>
          <cell r="CD2084">
            <v>0</v>
          </cell>
          <cell r="CE2084">
            <v>0</v>
          </cell>
        </row>
        <row r="2085">
          <cell r="BY2085" t="str">
            <v>IBOVR31</v>
          </cell>
          <cell r="BZ2085">
            <v>31000</v>
          </cell>
          <cell r="CA2085" t="str">
            <v>17-06-2009</v>
          </cell>
          <cell r="CB2085">
            <v>0</v>
          </cell>
          <cell r="CC2085">
            <v>0</v>
          </cell>
          <cell r="CD2085">
            <v>0</v>
          </cell>
          <cell r="CE2085">
            <v>0</v>
          </cell>
        </row>
        <row r="2086">
          <cell r="BY2086" t="str">
            <v>IBOVR32</v>
          </cell>
          <cell r="BZ2086">
            <v>32000</v>
          </cell>
          <cell r="CA2086" t="str">
            <v>17-06-2009</v>
          </cell>
          <cell r="CB2086">
            <v>0</v>
          </cell>
          <cell r="CC2086">
            <v>0</v>
          </cell>
          <cell r="CD2086">
            <v>0</v>
          </cell>
          <cell r="CE2086">
            <v>0</v>
          </cell>
        </row>
        <row r="2087">
          <cell r="BY2087" t="str">
            <v>IBOVR33</v>
          </cell>
          <cell r="BZ2087">
            <v>33000</v>
          </cell>
          <cell r="CA2087" t="str">
            <v>17-06-2009</v>
          </cell>
          <cell r="CB2087">
            <v>0</v>
          </cell>
          <cell r="CC2087">
            <v>0</v>
          </cell>
          <cell r="CD2087">
            <v>0</v>
          </cell>
          <cell r="CE2087">
            <v>0</v>
          </cell>
        </row>
        <row r="2088">
          <cell r="BY2088" t="str">
            <v>IBOVR34</v>
          </cell>
          <cell r="BZ2088">
            <v>34000</v>
          </cell>
          <cell r="CA2088" t="str">
            <v>17-06-2009</v>
          </cell>
          <cell r="CB2088">
            <v>0</v>
          </cell>
          <cell r="CC2088">
            <v>0</v>
          </cell>
          <cell r="CD2088">
            <v>0</v>
          </cell>
          <cell r="CE2088">
            <v>0</v>
          </cell>
        </row>
        <row r="2089">
          <cell r="BY2089" t="str">
            <v>IBOVR35</v>
          </cell>
          <cell r="BZ2089">
            <v>35000</v>
          </cell>
          <cell r="CA2089" t="str">
            <v>17-06-2009</v>
          </cell>
          <cell r="CB2089">
            <v>0</v>
          </cell>
          <cell r="CC2089">
            <v>0</v>
          </cell>
          <cell r="CD2089">
            <v>0</v>
          </cell>
          <cell r="CE2089">
            <v>0</v>
          </cell>
        </row>
        <row r="2090">
          <cell r="BY2090" t="str">
            <v>IBOVR36</v>
          </cell>
          <cell r="BZ2090">
            <v>36000</v>
          </cell>
          <cell r="CA2090" t="str">
            <v>17-06-2009</v>
          </cell>
          <cell r="CB2090">
            <v>0</v>
          </cell>
          <cell r="CC2090">
            <v>0</v>
          </cell>
          <cell r="CD2090">
            <v>0</v>
          </cell>
          <cell r="CE2090">
            <v>0</v>
          </cell>
        </row>
        <row r="2091">
          <cell r="BY2091" t="str">
            <v>IBOVR37</v>
          </cell>
          <cell r="BZ2091">
            <v>37000</v>
          </cell>
          <cell r="CA2091" t="str">
            <v>17-06-2009</v>
          </cell>
          <cell r="CB2091">
            <v>0</v>
          </cell>
          <cell r="CC2091">
            <v>0</v>
          </cell>
          <cell r="CD2091">
            <v>0</v>
          </cell>
          <cell r="CE2091">
            <v>0</v>
          </cell>
        </row>
        <row r="2092">
          <cell r="BY2092" t="str">
            <v>IBOVR38</v>
          </cell>
          <cell r="BZ2092">
            <v>38000</v>
          </cell>
          <cell r="CA2092" t="str">
            <v>17-06-2009</v>
          </cell>
          <cell r="CB2092">
            <v>0</v>
          </cell>
          <cell r="CC2092">
            <v>0</v>
          </cell>
          <cell r="CD2092">
            <v>0</v>
          </cell>
          <cell r="CE2092">
            <v>0</v>
          </cell>
        </row>
        <row r="2093">
          <cell r="BY2093" t="str">
            <v>IBOVR39</v>
          </cell>
          <cell r="BZ2093">
            <v>39000</v>
          </cell>
          <cell r="CA2093" t="str">
            <v>17-06-2009</v>
          </cell>
          <cell r="CB2093">
            <v>0</v>
          </cell>
          <cell r="CC2093">
            <v>0</v>
          </cell>
          <cell r="CD2093">
            <v>0</v>
          </cell>
          <cell r="CE2093">
            <v>0</v>
          </cell>
        </row>
        <row r="2094">
          <cell r="BY2094" t="str">
            <v>IBOVR40</v>
          </cell>
          <cell r="BZ2094">
            <v>40000</v>
          </cell>
          <cell r="CA2094" t="str">
            <v>17-06-2009</v>
          </cell>
          <cell r="CB2094">
            <v>0</v>
          </cell>
          <cell r="CC2094">
            <v>0</v>
          </cell>
          <cell r="CD2094">
            <v>0</v>
          </cell>
          <cell r="CE2094">
            <v>0</v>
          </cell>
        </row>
        <row r="2095">
          <cell r="BY2095" t="str">
            <v>IBOVR41</v>
          </cell>
          <cell r="BZ2095">
            <v>41000</v>
          </cell>
          <cell r="CA2095" t="str">
            <v>17-06-2009</v>
          </cell>
          <cell r="CB2095">
            <v>0</v>
          </cell>
          <cell r="CC2095">
            <v>0</v>
          </cell>
          <cell r="CD2095">
            <v>0</v>
          </cell>
          <cell r="CE2095">
            <v>0</v>
          </cell>
        </row>
        <row r="2096">
          <cell r="BY2096" t="str">
            <v>IBOVR42</v>
          </cell>
          <cell r="BZ2096">
            <v>42000</v>
          </cell>
          <cell r="CA2096" t="str">
            <v>17-06-2009</v>
          </cell>
          <cell r="CB2096">
            <v>0</v>
          </cell>
          <cell r="CC2096">
            <v>0</v>
          </cell>
          <cell r="CD2096">
            <v>0</v>
          </cell>
          <cell r="CE2096">
            <v>0</v>
          </cell>
        </row>
        <row r="2097">
          <cell r="BY2097" t="str">
            <v>IBOVR43</v>
          </cell>
          <cell r="BZ2097">
            <v>43000</v>
          </cell>
          <cell r="CA2097" t="str">
            <v>17-06-2009</v>
          </cell>
          <cell r="CB2097">
            <v>0</v>
          </cell>
          <cell r="CC2097">
            <v>0</v>
          </cell>
          <cell r="CD2097">
            <v>0</v>
          </cell>
          <cell r="CE2097">
            <v>0</v>
          </cell>
        </row>
        <row r="2098">
          <cell r="BY2098" t="str">
            <v>IBOVR44</v>
          </cell>
          <cell r="BZ2098">
            <v>44000</v>
          </cell>
          <cell r="CA2098" t="str">
            <v>17-06-2009</v>
          </cell>
          <cell r="CB2098">
            <v>0</v>
          </cell>
          <cell r="CC2098">
            <v>0</v>
          </cell>
          <cell r="CD2098">
            <v>0</v>
          </cell>
          <cell r="CE2098">
            <v>0</v>
          </cell>
        </row>
        <row r="2099">
          <cell r="BY2099" t="str">
            <v>IBOVR45</v>
          </cell>
          <cell r="BZ2099">
            <v>45000</v>
          </cell>
          <cell r="CA2099" t="str">
            <v>17-06-2009</v>
          </cell>
          <cell r="CB2099">
            <v>0</v>
          </cell>
          <cell r="CC2099">
            <v>0</v>
          </cell>
          <cell r="CD2099">
            <v>0</v>
          </cell>
          <cell r="CE2099">
            <v>0</v>
          </cell>
        </row>
        <row r="2100">
          <cell r="BY2100" t="str">
            <v>IBOVR46</v>
          </cell>
          <cell r="BZ2100">
            <v>46000</v>
          </cell>
          <cell r="CA2100" t="str">
            <v>17-06-2009</v>
          </cell>
          <cell r="CB2100">
            <v>0</v>
          </cell>
          <cell r="CC2100">
            <v>0</v>
          </cell>
          <cell r="CD2100">
            <v>0</v>
          </cell>
          <cell r="CE2100">
            <v>0</v>
          </cell>
        </row>
        <row r="2101">
          <cell r="BY2101" t="str">
            <v>IBOVR47</v>
          </cell>
          <cell r="BZ2101">
            <v>47000</v>
          </cell>
          <cell r="CA2101" t="str">
            <v>17-06-2009</v>
          </cell>
          <cell r="CB2101">
            <v>0</v>
          </cell>
          <cell r="CC2101">
            <v>0</v>
          </cell>
          <cell r="CD2101">
            <v>0</v>
          </cell>
          <cell r="CE2101">
            <v>0</v>
          </cell>
        </row>
        <row r="2102">
          <cell r="BY2102" t="str">
            <v>IBOVR48</v>
          </cell>
          <cell r="BZ2102">
            <v>48000</v>
          </cell>
          <cell r="CA2102" t="str">
            <v>17-06-2009</v>
          </cell>
          <cell r="CB2102">
            <v>0</v>
          </cell>
          <cell r="CC2102">
            <v>0</v>
          </cell>
          <cell r="CD2102">
            <v>0</v>
          </cell>
          <cell r="CE2102">
            <v>0</v>
          </cell>
        </row>
        <row r="2103">
          <cell r="BY2103" t="str">
            <v>IBOVR49</v>
          </cell>
          <cell r="BZ2103">
            <v>49000</v>
          </cell>
          <cell r="CA2103" t="str">
            <v>17-06-2009</v>
          </cell>
          <cell r="CB2103">
            <v>0</v>
          </cell>
          <cell r="CC2103">
            <v>0</v>
          </cell>
          <cell r="CD2103">
            <v>0</v>
          </cell>
          <cell r="CE2103">
            <v>0</v>
          </cell>
        </row>
        <row r="2104">
          <cell r="BY2104" t="str">
            <v>IBOVR50</v>
          </cell>
          <cell r="BZ2104">
            <v>50000</v>
          </cell>
          <cell r="CA2104" t="str">
            <v>17-06-2009</v>
          </cell>
          <cell r="CB2104">
            <v>0</v>
          </cell>
          <cell r="CC2104">
            <v>0</v>
          </cell>
          <cell r="CD2104">
            <v>0</v>
          </cell>
          <cell r="CE2104">
            <v>0</v>
          </cell>
        </row>
        <row r="2105">
          <cell r="BY2105" t="str">
            <v>IBOVR51</v>
          </cell>
          <cell r="BZ2105">
            <v>51000</v>
          </cell>
          <cell r="CA2105" t="str">
            <v>17-06-2009</v>
          </cell>
          <cell r="CB2105">
            <v>0</v>
          </cell>
          <cell r="CC2105">
            <v>0</v>
          </cell>
          <cell r="CD2105">
            <v>0</v>
          </cell>
          <cell r="CE2105">
            <v>0</v>
          </cell>
        </row>
        <row r="2106">
          <cell r="BY2106" t="str">
            <v>IBOVR52</v>
          </cell>
          <cell r="BZ2106">
            <v>52000</v>
          </cell>
          <cell r="CA2106" t="str">
            <v>17-06-2009</v>
          </cell>
          <cell r="CB2106">
            <v>0</v>
          </cell>
          <cell r="CC2106">
            <v>0</v>
          </cell>
          <cell r="CD2106">
            <v>0</v>
          </cell>
          <cell r="CE2106">
            <v>0</v>
          </cell>
        </row>
        <row r="2107">
          <cell r="BY2107" t="str">
            <v>IBOVR53</v>
          </cell>
          <cell r="BZ2107">
            <v>53000</v>
          </cell>
          <cell r="CA2107" t="str">
            <v>17-06-2009</v>
          </cell>
          <cell r="CB2107">
            <v>0</v>
          </cell>
          <cell r="CC2107">
            <v>0</v>
          </cell>
          <cell r="CD2107">
            <v>0</v>
          </cell>
          <cell r="CE2107">
            <v>0</v>
          </cell>
        </row>
        <row r="2108">
          <cell r="BY2108" t="str">
            <v>IBOVR54</v>
          </cell>
          <cell r="BZ2108">
            <v>54000</v>
          </cell>
          <cell r="CA2108" t="str">
            <v>17-06-2009</v>
          </cell>
          <cell r="CB2108">
            <v>0</v>
          </cell>
          <cell r="CC2108">
            <v>0</v>
          </cell>
          <cell r="CD2108">
            <v>0</v>
          </cell>
          <cell r="CE2108">
            <v>0</v>
          </cell>
        </row>
        <row r="2109">
          <cell r="BY2109" t="str">
            <v>IBOVR55</v>
          </cell>
          <cell r="BZ2109">
            <v>55000</v>
          </cell>
          <cell r="CA2109" t="str">
            <v>17-06-2009</v>
          </cell>
          <cell r="CB2109">
            <v>0</v>
          </cell>
          <cell r="CC2109">
            <v>0</v>
          </cell>
          <cell r="CD2109">
            <v>0</v>
          </cell>
          <cell r="CE2109">
            <v>0</v>
          </cell>
        </row>
        <row r="2110">
          <cell r="BY2110" t="str">
            <v>IBOVR56</v>
          </cell>
          <cell r="BZ2110">
            <v>56000</v>
          </cell>
          <cell r="CA2110" t="str">
            <v>17-06-2009</v>
          </cell>
          <cell r="CB2110">
            <v>0</v>
          </cell>
          <cell r="CC2110">
            <v>0</v>
          </cell>
          <cell r="CD2110">
            <v>0</v>
          </cell>
          <cell r="CE2110">
            <v>0</v>
          </cell>
        </row>
        <row r="2111">
          <cell r="BY2111" t="str">
            <v>IBOVR57</v>
          </cell>
          <cell r="BZ2111">
            <v>57000</v>
          </cell>
          <cell r="CA2111" t="str">
            <v>17-06-2009</v>
          </cell>
          <cell r="CB2111">
            <v>0</v>
          </cell>
          <cell r="CC2111">
            <v>0</v>
          </cell>
          <cell r="CD2111">
            <v>0</v>
          </cell>
          <cell r="CE2111">
            <v>0</v>
          </cell>
        </row>
        <row r="2112">
          <cell r="BY2112" t="str">
            <v>IBOVR58</v>
          </cell>
          <cell r="BZ2112">
            <v>58000</v>
          </cell>
          <cell r="CA2112" t="str">
            <v>17-06-2009</v>
          </cell>
          <cell r="CB2112">
            <v>0</v>
          </cell>
          <cell r="CC2112">
            <v>0</v>
          </cell>
          <cell r="CD2112">
            <v>0</v>
          </cell>
          <cell r="CE2112">
            <v>0</v>
          </cell>
        </row>
        <row r="2113">
          <cell r="BY2113" t="str">
            <v>IBOVR59</v>
          </cell>
          <cell r="BZ2113">
            <v>59000</v>
          </cell>
          <cell r="CA2113" t="str">
            <v>17-06-2009</v>
          </cell>
          <cell r="CB2113">
            <v>0</v>
          </cell>
          <cell r="CC2113">
            <v>0</v>
          </cell>
          <cell r="CD2113">
            <v>0</v>
          </cell>
          <cell r="CE2113">
            <v>0</v>
          </cell>
        </row>
        <row r="2114">
          <cell r="BY2114" t="str">
            <v>IBOVR60</v>
          </cell>
          <cell r="BZ2114">
            <v>60000</v>
          </cell>
          <cell r="CA2114" t="str">
            <v>17-06-2009</v>
          </cell>
          <cell r="CB2114">
            <v>0</v>
          </cell>
          <cell r="CC2114">
            <v>0</v>
          </cell>
          <cell r="CD2114">
            <v>0</v>
          </cell>
          <cell r="CE2114">
            <v>0</v>
          </cell>
        </row>
        <row r="2115">
          <cell r="BY2115" t="str">
            <v>IBOVR64</v>
          </cell>
          <cell r="BZ2115">
            <v>64000</v>
          </cell>
          <cell r="CA2115" t="str">
            <v>17-06-2009</v>
          </cell>
          <cell r="CB2115">
            <v>0</v>
          </cell>
          <cell r="CC2115">
            <v>0</v>
          </cell>
          <cell r="CD2115">
            <v>0</v>
          </cell>
          <cell r="CE2115">
            <v>0</v>
          </cell>
        </row>
        <row r="2116">
          <cell r="BY2116" t="str">
            <v>IBOVR80</v>
          </cell>
          <cell r="BZ2116">
            <v>80000</v>
          </cell>
          <cell r="CA2116" t="str">
            <v>17-06-2009</v>
          </cell>
          <cell r="CB2116">
            <v>0</v>
          </cell>
          <cell r="CC2116">
            <v>0</v>
          </cell>
          <cell r="CD2116">
            <v>0</v>
          </cell>
          <cell r="CE2116">
            <v>0</v>
          </cell>
        </row>
        <row r="2117">
          <cell r="BY2117" t="str">
            <v>IBOVT20</v>
          </cell>
          <cell r="BZ2117">
            <v>20000</v>
          </cell>
          <cell r="CA2117" t="str">
            <v>12-08-2009</v>
          </cell>
          <cell r="CB2117">
            <v>0</v>
          </cell>
          <cell r="CC2117">
            <v>0</v>
          </cell>
          <cell r="CD2117">
            <v>0</v>
          </cell>
          <cell r="CE2117">
            <v>0</v>
          </cell>
        </row>
        <row r="2118">
          <cell r="BY2118" t="str">
            <v>IBOVT25</v>
          </cell>
          <cell r="BZ2118">
            <v>25000</v>
          </cell>
          <cell r="CA2118" t="str">
            <v>12-08-2009</v>
          </cell>
          <cell r="CB2118">
            <v>0</v>
          </cell>
          <cell r="CC2118">
            <v>0</v>
          </cell>
          <cell r="CD2118">
            <v>0</v>
          </cell>
          <cell r="CE2118">
            <v>0</v>
          </cell>
        </row>
        <row r="2119">
          <cell r="BY2119" t="str">
            <v>IBOVT30</v>
          </cell>
          <cell r="BZ2119">
            <v>30000</v>
          </cell>
          <cell r="CA2119" t="str">
            <v>12-08-2009</v>
          </cell>
          <cell r="CB2119">
            <v>0</v>
          </cell>
          <cell r="CC2119">
            <v>0</v>
          </cell>
          <cell r="CD2119">
            <v>0</v>
          </cell>
          <cell r="CE2119">
            <v>0</v>
          </cell>
        </row>
        <row r="2120">
          <cell r="BY2120" t="str">
            <v>IBOVT32</v>
          </cell>
          <cell r="BZ2120">
            <v>32000</v>
          </cell>
          <cell r="CA2120" t="str">
            <v>12-08-2009</v>
          </cell>
          <cell r="CB2120">
            <v>0</v>
          </cell>
          <cell r="CC2120">
            <v>0</v>
          </cell>
          <cell r="CD2120">
            <v>0</v>
          </cell>
          <cell r="CE2120">
            <v>0</v>
          </cell>
        </row>
        <row r="2121">
          <cell r="BY2121" t="str">
            <v>IBOVT34</v>
          </cell>
          <cell r="BZ2121">
            <v>34000</v>
          </cell>
          <cell r="CA2121" t="str">
            <v>12-08-2009</v>
          </cell>
          <cell r="CB2121">
            <v>0</v>
          </cell>
          <cell r="CC2121">
            <v>0</v>
          </cell>
          <cell r="CD2121">
            <v>0</v>
          </cell>
          <cell r="CE2121">
            <v>0</v>
          </cell>
        </row>
        <row r="2122">
          <cell r="BY2122" t="str">
            <v>IBOVT36</v>
          </cell>
          <cell r="BZ2122">
            <v>36000</v>
          </cell>
          <cell r="CA2122" t="str">
            <v>12-08-2009</v>
          </cell>
          <cell r="CB2122">
            <v>0</v>
          </cell>
          <cell r="CC2122">
            <v>0</v>
          </cell>
          <cell r="CD2122">
            <v>0</v>
          </cell>
          <cell r="CE2122">
            <v>0</v>
          </cell>
        </row>
        <row r="2123">
          <cell r="BY2123" t="str">
            <v>IBOVT38</v>
          </cell>
          <cell r="BZ2123">
            <v>38000</v>
          </cell>
          <cell r="CA2123" t="str">
            <v>12-08-2009</v>
          </cell>
          <cell r="CB2123">
            <v>0</v>
          </cell>
          <cell r="CC2123">
            <v>0</v>
          </cell>
          <cell r="CD2123">
            <v>0</v>
          </cell>
          <cell r="CE2123">
            <v>0</v>
          </cell>
        </row>
        <row r="2124">
          <cell r="BY2124" t="str">
            <v>IBOVT40</v>
          </cell>
          <cell r="BZ2124">
            <v>40000</v>
          </cell>
          <cell r="CA2124" t="str">
            <v>12-08-2009</v>
          </cell>
          <cell r="CB2124">
            <v>0</v>
          </cell>
          <cell r="CC2124">
            <v>0</v>
          </cell>
          <cell r="CD2124">
            <v>0</v>
          </cell>
          <cell r="CE2124">
            <v>0</v>
          </cell>
        </row>
        <row r="2125">
          <cell r="BY2125" t="str">
            <v>IBOVT42</v>
          </cell>
          <cell r="BZ2125">
            <v>42000</v>
          </cell>
          <cell r="CA2125" t="str">
            <v>12-08-2009</v>
          </cell>
          <cell r="CB2125">
            <v>0</v>
          </cell>
          <cell r="CC2125">
            <v>0</v>
          </cell>
          <cell r="CD2125">
            <v>0</v>
          </cell>
          <cell r="CE2125">
            <v>0</v>
          </cell>
        </row>
        <row r="2126">
          <cell r="BY2126" t="str">
            <v>IBOVT44</v>
          </cell>
          <cell r="BZ2126">
            <v>44000</v>
          </cell>
          <cell r="CA2126" t="str">
            <v>12-08-2009</v>
          </cell>
          <cell r="CB2126">
            <v>0</v>
          </cell>
          <cell r="CC2126">
            <v>0</v>
          </cell>
          <cell r="CD2126">
            <v>0</v>
          </cell>
          <cell r="CE2126">
            <v>0</v>
          </cell>
        </row>
        <row r="2127">
          <cell r="BY2127" t="str">
            <v>IBOVT46</v>
          </cell>
          <cell r="BZ2127">
            <v>46000</v>
          </cell>
          <cell r="CA2127" t="str">
            <v>12-08-2009</v>
          </cell>
          <cell r="CB2127">
            <v>0</v>
          </cell>
          <cell r="CC2127">
            <v>0</v>
          </cell>
          <cell r="CD2127">
            <v>0</v>
          </cell>
          <cell r="CE2127">
            <v>0</v>
          </cell>
        </row>
        <row r="2128">
          <cell r="BY2128" t="str">
            <v>IBOVT48</v>
          </cell>
          <cell r="BZ2128">
            <v>48000</v>
          </cell>
          <cell r="CA2128" t="str">
            <v>12-08-2009</v>
          </cell>
          <cell r="CB2128">
            <v>0</v>
          </cell>
          <cell r="CC2128">
            <v>0</v>
          </cell>
          <cell r="CD2128">
            <v>0</v>
          </cell>
          <cell r="CE2128">
            <v>0</v>
          </cell>
        </row>
        <row r="2129">
          <cell r="BY2129" t="str">
            <v>IBOVT50</v>
          </cell>
          <cell r="BZ2129">
            <v>50000</v>
          </cell>
          <cell r="CA2129" t="str">
            <v>12-08-2009</v>
          </cell>
          <cell r="CB2129">
            <v>0</v>
          </cell>
          <cell r="CC2129">
            <v>0</v>
          </cell>
          <cell r="CD2129">
            <v>0</v>
          </cell>
          <cell r="CE2129">
            <v>0</v>
          </cell>
        </row>
        <row r="2130">
          <cell r="BY2130" t="str">
            <v>IBOVT51</v>
          </cell>
          <cell r="BZ2130">
            <v>51000</v>
          </cell>
          <cell r="CA2130" t="str">
            <v>12-08-2009</v>
          </cell>
          <cell r="CB2130">
            <v>0</v>
          </cell>
          <cell r="CC2130">
            <v>0</v>
          </cell>
          <cell r="CD2130">
            <v>0</v>
          </cell>
          <cell r="CE2130">
            <v>0</v>
          </cell>
        </row>
        <row r="2131">
          <cell r="BY2131" t="str">
            <v>IBOVT52</v>
          </cell>
          <cell r="BZ2131">
            <v>52000</v>
          </cell>
          <cell r="CA2131" t="str">
            <v>12-08-2009</v>
          </cell>
          <cell r="CB2131">
            <v>0</v>
          </cell>
          <cell r="CC2131">
            <v>0</v>
          </cell>
          <cell r="CD2131">
            <v>0</v>
          </cell>
          <cell r="CE2131">
            <v>0</v>
          </cell>
        </row>
        <row r="2132">
          <cell r="BY2132" t="str">
            <v>IBOVT53</v>
          </cell>
          <cell r="BZ2132">
            <v>53000</v>
          </cell>
          <cell r="CA2132" t="str">
            <v>12-08-2009</v>
          </cell>
          <cell r="CB2132">
            <v>0</v>
          </cell>
          <cell r="CC2132">
            <v>0</v>
          </cell>
          <cell r="CD2132">
            <v>0</v>
          </cell>
          <cell r="CE2132">
            <v>0</v>
          </cell>
        </row>
        <row r="2133">
          <cell r="BY2133" t="str">
            <v>IBOVT54</v>
          </cell>
          <cell r="BZ2133">
            <v>54000</v>
          </cell>
          <cell r="CA2133" t="str">
            <v>12-08-2009</v>
          </cell>
          <cell r="CB2133">
            <v>0</v>
          </cell>
          <cell r="CC2133">
            <v>0</v>
          </cell>
          <cell r="CD2133">
            <v>0</v>
          </cell>
          <cell r="CE2133">
            <v>0</v>
          </cell>
        </row>
        <row r="2134">
          <cell r="BY2134" t="str">
            <v>IBOVT55</v>
          </cell>
          <cell r="BZ2134">
            <v>55000</v>
          </cell>
          <cell r="CA2134" t="str">
            <v>12-08-2009</v>
          </cell>
          <cell r="CB2134">
            <v>0</v>
          </cell>
          <cell r="CC2134">
            <v>0</v>
          </cell>
          <cell r="CD2134">
            <v>0</v>
          </cell>
          <cell r="CE2134">
            <v>0</v>
          </cell>
        </row>
        <row r="2135">
          <cell r="BY2135" t="str">
            <v>IBOVT56</v>
          </cell>
          <cell r="BZ2135">
            <v>56000</v>
          </cell>
          <cell r="CA2135" t="str">
            <v>12-08-2009</v>
          </cell>
          <cell r="CB2135">
            <v>0</v>
          </cell>
          <cell r="CC2135">
            <v>0</v>
          </cell>
          <cell r="CD2135">
            <v>0</v>
          </cell>
          <cell r="CE2135">
            <v>0</v>
          </cell>
        </row>
        <row r="2136">
          <cell r="BY2136" t="str">
            <v>IBOVT57</v>
          </cell>
          <cell r="BZ2136">
            <v>57000</v>
          </cell>
          <cell r="CA2136" t="str">
            <v>12-08-2009</v>
          </cell>
          <cell r="CB2136">
            <v>0</v>
          </cell>
          <cell r="CC2136">
            <v>0</v>
          </cell>
          <cell r="CD2136">
            <v>0</v>
          </cell>
          <cell r="CE2136">
            <v>0</v>
          </cell>
        </row>
        <row r="2137">
          <cell r="BY2137" t="str">
            <v>IBOVT58</v>
          </cell>
          <cell r="BZ2137">
            <v>58000</v>
          </cell>
          <cell r="CA2137" t="str">
            <v>12-08-2009</v>
          </cell>
          <cell r="CB2137">
            <v>0</v>
          </cell>
          <cell r="CC2137">
            <v>0</v>
          </cell>
          <cell r="CD2137">
            <v>0</v>
          </cell>
          <cell r="CE2137">
            <v>0</v>
          </cell>
        </row>
        <row r="2138">
          <cell r="BY2138" t="str">
            <v>IBOVT59</v>
          </cell>
          <cell r="BZ2138">
            <v>59000</v>
          </cell>
          <cell r="CA2138" t="str">
            <v>12-08-2009</v>
          </cell>
          <cell r="CB2138">
            <v>0</v>
          </cell>
          <cell r="CC2138">
            <v>0</v>
          </cell>
          <cell r="CD2138">
            <v>0</v>
          </cell>
          <cell r="CE2138">
            <v>0</v>
          </cell>
        </row>
        <row r="2139">
          <cell r="BY2139" t="str">
            <v>IBOVT60</v>
          </cell>
          <cell r="BZ2139">
            <v>60000</v>
          </cell>
          <cell r="CA2139" t="str">
            <v>12-08-2009</v>
          </cell>
          <cell r="CB2139">
            <v>0</v>
          </cell>
          <cell r="CC2139">
            <v>0</v>
          </cell>
          <cell r="CD2139">
            <v>0</v>
          </cell>
          <cell r="CE2139">
            <v>0</v>
          </cell>
        </row>
        <row r="2140">
          <cell r="BY2140" t="str">
            <v>IBOVT8</v>
          </cell>
          <cell r="BZ2140">
            <v>80000</v>
          </cell>
          <cell r="CA2140" t="str">
            <v>12-08-2009</v>
          </cell>
          <cell r="CB2140">
            <v>0</v>
          </cell>
          <cell r="CC2140">
            <v>0</v>
          </cell>
          <cell r="CD2140">
            <v>0</v>
          </cell>
          <cell r="CE2140">
            <v>0</v>
          </cell>
        </row>
        <row r="2141">
          <cell r="BY2141" t="str">
            <v>IBOVV30</v>
          </cell>
          <cell r="BZ2141">
            <v>30000</v>
          </cell>
          <cell r="CA2141" t="str">
            <v>14-10-2009</v>
          </cell>
          <cell r="CB2141">
            <v>0</v>
          </cell>
          <cell r="CC2141">
            <v>0</v>
          </cell>
          <cell r="CD2141">
            <v>0</v>
          </cell>
          <cell r="CE2141">
            <v>0</v>
          </cell>
        </row>
        <row r="2142">
          <cell r="BY2142" t="str">
            <v>IBOVV35</v>
          </cell>
          <cell r="BZ2142">
            <v>35000</v>
          </cell>
          <cell r="CA2142" t="str">
            <v>14-10-2009</v>
          </cell>
          <cell r="CB2142">
            <v>0</v>
          </cell>
          <cell r="CC2142">
            <v>0</v>
          </cell>
          <cell r="CD2142">
            <v>0</v>
          </cell>
          <cell r="CE2142">
            <v>0</v>
          </cell>
        </row>
        <row r="2143">
          <cell r="BY2143" t="str">
            <v>IBOVV36</v>
          </cell>
          <cell r="BZ2143">
            <v>36000</v>
          </cell>
          <cell r="CA2143" t="str">
            <v>14-10-2009</v>
          </cell>
          <cell r="CB2143">
            <v>0</v>
          </cell>
          <cell r="CC2143">
            <v>0</v>
          </cell>
          <cell r="CD2143">
            <v>0</v>
          </cell>
          <cell r="CE2143">
            <v>0</v>
          </cell>
        </row>
        <row r="2144">
          <cell r="BY2144" t="str">
            <v>IBOVV40</v>
          </cell>
          <cell r="BZ2144">
            <v>40000</v>
          </cell>
          <cell r="CA2144" t="str">
            <v>14-10-2009</v>
          </cell>
          <cell r="CB2144">
            <v>0</v>
          </cell>
          <cell r="CC2144">
            <v>0</v>
          </cell>
          <cell r="CD2144">
            <v>0</v>
          </cell>
          <cell r="CE2144">
            <v>0</v>
          </cell>
        </row>
        <row r="2145">
          <cell r="BY2145" t="str">
            <v>IBOVV44</v>
          </cell>
          <cell r="BZ2145">
            <v>44000</v>
          </cell>
          <cell r="CA2145" t="str">
            <v>14-10-2009</v>
          </cell>
          <cell r="CB2145">
            <v>0</v>
          </cell>
          <cell r="CC2145">
            <v>0</v>
          </cell>
          <cell r="CD2145">
            <v>0</v>
          </cell>
          <cell r="CE2145">
            <v>0</v>
          </cell>
        </row>
        <row r="2146">
          <cell r="BY2146" t="str">
            <v>IBOVV45</v>
          </cell>
          <cell r="BZ2146">
            <v>45000</v>
          </cell>
          <cell r="CA2146" t="str">
            <v>14-10-2009</v>
          </cell>
          <cell r="CB2146">
            <v>0</v>
          </cell>
          <cell r="CC2146">
            <v>0</v>
          </cell>
          <cell r="CD2146">
            <v>0</v>
          </cell>
          <cell r="CE2146">
            <v>0</v>
          </cell>
        </row>
        <row r="2147">
          <cell r="BY2147" t="str">
            <v>IBOVV50</v>
          </cell>
          <cell r="BZ2147">
            <v>50000</v>
          </cell>
          <cell r="CA2147" t="str">
            <v>14-10-2009</v>
          </cell>
          <cell r="CB2147">
            <v>0</v>
          </cell>
          <cell r="CC2147">
            <v>0</v>
          </cell>
          <cell r="CD2147">
            <v>0</v>
          </cell>
          <cell r="CE2147">
            <v>0</v>
          </cell>
        </row>
        <row r="2148">
          <cell r="BY2148" t="str">
            <v>IBOVV55</v>
          </cell>
          <cell r="BZ2148">
            <v>55000</v>
          </cell>
          <cell r="CA2148" t="str">
            <v>14-10-2009</v>
          </cell>
          <cell r="CB2148">
            <v>0</v>
          </cell>
          <cell r="CC2148">
            <v>0</v>
          </cell>
          <cell r="CD2148">
            <v>0</v>
          </cell>
          <cell r="CE2148">
            <v>0</v>
          </cell>
        </row>
        <row r="2149">
          <cell r="BY2149" t="str">
            <v>IBOVV60</v>
          </cell>
          <cell r="BZ2149">
            <v>60000</v>
          </cell>
          <cell r="CA2149" t="str">
            <v>14-10-2009</v>
          </cell>
          <cell r="CB2149">
            <v>0</v>
          </cell>
          <cell r="CC2149">
            <v>0</v>
          </cell>
          <cell r="CD2149">
            <v>0</v>
          </cell>
          <cell r="CE2149">
            <v>0</v>
          </cell>
        </row>
        <row r="2150">
          <cell r="BY2150" t="str">
            <v>IBOVV1</v>
          </cell>
          <cell r="BZ2150">
            <v>64000</v>
          </cell>
          <cell r="CA2150" t="str">
            <v>14-10-2009</v>
          </cell>
          <cell r="CB2150">
            <v>0</v>
          </cell>
          <cell r="CC2150">
            <v>0</v>
          </cell>
          <cell r="CD2150">
            <v>0</v>
          </cell>
          <cell r="CE2150">
            <v>0</v>
          </cell>
        </row>
        <row r="2151">
          <cell r="BY2151" t="str">
            <v>IBOVV65</v>
          </cell>
          <cell r="BZ2151">
            <v>65000</v>
          </cell>
          <cell r="CA2151" t="str">
            <v>14-10-2009</v>
          </cell>
          <cell r="CB2151">
            <v>0</v>
          </cell>
          <cell r="CC2151">
            <v>0</v>
          </cell>
          <cell r="CD2151">
            <v>0</v>
          </cell>
          <cell r="CE2151">
            <v>0</v>
          </cell>
        </row>
        <row r="2152">
          <cell r="BY2152" t="str">
            <v>IBOVV2</v>
          </cell>
          <cell r="BZ2152">
            <v>66000</v>
          </cell>
          <cell r="CA2152" t="str">
            <v>14-10-2009</v>
          </cell>
          <cell r="CB2152">
            <v>0</v>
          </cell>
          <cell r="CC2152">
            <v>0</v>
          </cell>
          <cell r="CD2152">
            <v>0</v>
          </cell>
          <cell r="CE2152">
            <v>0</v>
          </cell>
        </row>
        <row r="2153">
          <cell r="BY2153" t="str">
            <v>IBOVV3</v>
          </cell>
          <cell r="BZ2153">
            <v>68000</v>
          </cell>
          <cell r="CA2153" t="str">
            <v>14-10-2009</v>
          </cell>
          <cell r="CB2153">
            <v>0</v>
          </cell>
          <cell r="CC2153">
            <v>0</v>
          </cell>
          <cell r="CD2153">
            <v>0</v>
          </cell>
          <cell r="CE2153">
            <v>0</v>
          </cell>
        </row>
        <row r="2154">
          <cell r="BY2154" t="str">
            <v>IBOVV4</v>
          </cell>
          <cell r="BZ2154">
            <v>70000</v>
          </cell>
          <cell r="CA2154" t="str">
            <v>14-10-2009</v>
          </cell>
          <cell r="CB2154">
            <v>0</v>
          </cell>
          <cell r="CC2154">
            <v>0</v>
          </cell>
          <cell r="CD2154">
            <v>0</v>
          </cell>
          <cell r="CE2154">
            <v>0</v>
          </cell>
        </row>
        <row r="2155">
          <cell r="BY2155" t="str">
            <v>IBOVV5</v>
          </cell>
          <cell r="BZ2155">
            <v>74000</v>
          </cell>
          <cell r="CA2155" t="str">
            <v>14-10-2009</v>
          </cell>
          <cell r="CB2155">
            <v>0</v>
          </cell>
          <cell r="CC2155">
            <v>0</v>
          </cell>
          <cell r="CD2155">
            <v>0</v>
          </cell>
          <cell r="CE2155">
            <v>0</v>
          </cell>
        </row>
        <row r="2156">
          <cell r="BY2156" t="str">
            <v>IBOVX99</v>
          </cell>
          <cell r="BZ2156">
            <v>25000</v>
          </cell>
          <cell r="CA2156" t="str">
            <v>16-12-2009</v>
          </cell>
          <cell r="CB2156">
            <v>0</v>
          </cell>
          <cell r="CC2156">
            <v>0</v>
          </cell>
          <cell r="CD2156">
            <v>0</v>
          </cell>
          <cell r="CE2156">
            <v>0</v>
          </cell>
        </row>
        <row r="2157">
          <cell r="BY2157" t="str">
            <v>IBOVX10</v>
          </cell>
          <cell r="BZ2157">
            <v>28000</v>
          </cell>
          <cell r="CA2157" t="str">
            <v>16-12-2009</v>
          </cell>
          <cell r="CB2157">
            <v>0</v>
          </cell>
          <cell r="CC2157">
            <v>0</v>
          </cell>
          <cell r="CD2157">
            <v>0</v>
          </cell>
          <cell r="CE2157">
            <v>0</v>
          </cell>
        </row>
        <row r="2158">
          <cell r="BY2158" t="str">
            <v>IBOVX11</v>
          </cell>
          <cell r="BZ2158">
            <v>29000</v>
          </cell>
          <cell r="CA2158" t="str">
            <v>16-12-2009</v>
          </cell>
          <cell r="CB2158">
            <v>0</v>
          </cell>
          <cell r="CC2158">
            <v>0</v>
          </cell>
          <cell r="CD2158">
            <v>0</v>
          </cell>
          <cell r="CE2158">
            <v>0</v>
          </cell>
        </row>
        <row r="2159">
          <cell r="BY2159" t="str">
            <v>IBOVX21</v>
          </cell>
          <cell r="BZ2159">
            <v>30000</v>
          </cell>
          <cell r="CA2159" t="str">
            <v>16-12-2009</v>
          </cell>
          <cell r="CB2159">
            <v>0</v>
          </cell>
          <cell r="CC2159">
            <v>0</v>
          </cell>
          <cell r="CD2159">
            <v>0</v>
          </cell>
          <cell r="CE2159">
            <v>0</v>
          </cell>
        </row>
        <row r="2160">
          <cell r="BY2160" t="str">
            <v>IBOVX34</v>
          </cell>
          <cell r="BZ2160">
            <v>34000</v>
          </cell>
          <cell r="CA2160" t="str">
            <v>16-12-2009</v>
          </cell>
          <cell r="CB2160">
            <v>0</v>
          </cell>
          <cell r="CC2160">
            <v>0</v>
          </cell>
          <cell r="CD2160">
            <v>0</v>
          </cell>
          <cell r="CE2160">
            <v>0</v>
          </cell>
        </row>
        <row r="2161">
          <cell r="BY2161" t="str">
            <v>IBOVX12</v>
          </cell>
          <cell r="BZ2161">
            <v>35000</v>
          </cell>
          <cell r="CA2161" t="str">
            <v>16-12-2009</v>
          </cell>
          <cell r="CB2161">
            <v>0</v>
          </cell>
          <cell r="CC2161">
            <v>0</v>
          </cell>
          <cell r="CD2161">
            <v>0</v>
          </cell>
          <cell r="CE2161">
            <v>0</v>
          </cell>
        </row>
        <row r="2162">
          <cell r="BY2162" t="str">
            <v>IBOVX22</v>
          </cell>
          <cell r="BZ2162">
            <v>36000</v>
          </cell>
          <cell r="CA2162" t="str">
            <v>16-12-2009</v>
          </cell>
          <cell r="CB2162">
            <v>0</v>
          </cell>
          <cell r="CC2162">
            <v>0</v>
          </cell>
          <cell r="CD2162">
            <v>0</v>
          </cell>
          <cell r="CE2162">
            <v>0</v>
          </cell>
        </row>
        <row r="2163">
          <cell r="BY2163" t="str">
            <v>IBOVX81</v>
          </cell>
          <cell r="BZ2163">
            <v>38000</v>
          </cell>
          <cell r="CA2163" t="str">
            <v>16-12-2009</v>
          </cell>
          <cell r="CB2163">
            <v>0</v>
          </cell>
          <cell r="CC2163">
            <v>0</v>
          </cell>
          <cell r="CD2163">
            <v>0</v>
          </cell>
          <cell r="CE2163">
            <v>0</v>
          </cell>
        </row>
        <row r="2164">
          <cell r="BY2164" t="str">
            <v>IBOVX39</v>
          </cell>
          <cell r="BZ2164">
            <v>39000</v>
          </cell>
          <cell r="CA2164" t="str">
            <v>16-12-2009</v>
          </cell>
          <cell r="CB2164">
            <v>0</v>
          </cell>
          <cell r="CC2164">
            <v>0</v>
          </cell>
          <cell r="CD2164">
            <v>0</v>
          </cell>
          <cell r="CE2164">
            <v>0</v>
          </cell>
        </row>
        <row r="2165">
          <cell r="BY2165" t="str">
            <v>IBOVX19</v>
          </cell>
          <cell r="BZ2165">
            <v>40000</v>
          </cell>
          <cell r="CA2165" t="str">
            <v>16-12-2009</v>
          </cell>
          <cell r="CB2165">
            <v>0</v>
          </cell>
          <cell r="CC2165">
            <v>0</v>
          </cell>
          <cell r="CD2165">
            <v>0</v>
          </cell>
          <cell r="CE2165">
            <v>0</v>
          </cell>
        </row>
        <row r="2166">
          <cell r="BY2166" t="str">
            <v>IBOVX15</v>
          </cell>
          <cell r="BZ2166">
            <v>42000</v>
          </cell>
          <cell r="CA2166" t="str">
            <v>16-12-2009</v>
          </cell>
          <cell r="CB2166">
            <v>0</v>
          </cell>
          <cell r="CC2166">
            <v>0</v>
          </cell>
          <cell r="CD2166">
            <v>0</v>
          </cell>
          <cell r="CE2166">
            <v>0</v>
          </cell>
        </row>
        <row r="2167">
          <cell r="BY2167" t="str">
            <v>IBOVX3</v>
          </cell>
          <cell r="BZ2167">
            <v>44000</v>
          </cell>
          <cell r="CA2167" t="str">
            <v>16-12-2009</v>
          </cell>
          <cell r="CB2167">
            <v>0</v>
          </cell>
          <cell r="CC2167">
            <v>0</v>
          </cell>
          <cell r="CD2167">
            <v>0</v>
          </cell>
          <cell r="CE2167">
            <v>0</v>
          </cell>
        </row>
        <row r="2168">
          <cell r="BY2168" t="str">
            <v>IBOVX7</v>
          </cell>
          <cell r="BZ2168">
            <v>45000</v>
          </cell>
          <cell r="CA2168" t="str">
            <v>16-12-2009</v>
          </cell>
          <cell r="CB2168">
            <v>0</v>
          </cell>
          <cell r="CC2168">
            <v>0</v>
          </cell>
          <cell r="CD2168">
            <v>0</v>
          </cell>
          <cell r="CE2168">
            <v>0</v>
          </cell>
        </row>
        <row r="2169">
          <cell r="BY2169" t="str">
            <v>IBOVX18</v>
          </cell>
          <cell r="BZ2169">
            <v>46000</v>
          </cell>
          <cell r="CA2169" t="str">
            <v>16-12-2009</v>
          </cell>
          <cell r="CB2169">
            <v>0</v>
          </cell>
          <cell r="CC2169">
            <v>0</v>
          </cell>
          <cell r="CD2169">
            <v>0</v>
          </cell>
          <cell r="CE2169">
            <v>0</v>
          </cell>
        </row>
        <row r="2170">
          <cell r="BY2170" t="str">
            <v>IBOVX20</v>
          </cell>
          <cell r="BZ2170">
            <v>48000</v>
          </cell>
          <cell r="CA2170" t="str">
            <v>16-12-2009</v>
          </cell>
          <cell r="CB2170">
            <v>0</v>
          </cell>
          <cell r="CC2170">
            <v>0</v>
          </cell>
          <cell r="CD2170">
            <v>0</v>
          </cell>
          <cell r="CE2170">
            <v>0</v>
          </cell>
        </row>
        <row r="2171">
          <cell r="BY2171" t="str">
            <v>IBOVX5</v>
          </cell>
          <cell r="BZ2171">
            <v>50000</v>
          </cell>
          <cell r="CA2171" t="str">
            <v>16-12-2009</v>
          </cell>
          <cell r="CB2171">
            <v>0</v>
          </cell>
          <cell r="CC2171">
            <v>0</v>
          </cell>
          <cell r="CD2171">
            <v>0</v>
          </cell>
          <cell r="CE2171">
            <v>0</v>
          </cell>
        </row>
        <row r="2172">
          <cell r="BY2172" t="str">
            <v>IBOVX13</v>
          </cell>
          <cell r="BZ2172">
            <v>51000</v>
          </cell>
          <cell r="CA2172" t="str">
            <v>16-12-2009</v>
          </cell>
          <cell r="CB2172">
            <v>0</v>
          </cell>
          <cell r="CC2172">
            <v>0</v>
          </cell>
          <cell r="CD2172">
            <v>0</v>
          </cell>
          <cell r="CE2172">
            <v>0</v>
          </cell>
        </row>
        <row r="2173">
          <cell r="BY2173" t="str">
            <v>IBOVX17</v>
          </cell>
          <cell r="BZ2173">
            <v>52000</v>
          </cell>
          <cell r="CA2173" t="str">
            <v>16-12-2009</v>
          </cell>
          <cell r="CB2173">
            <v>0</v>
          </cell>
          <cell r="CC2173">
            <v>0</v>
          </cell>
          <cell r="CD2173">
            <v>0</v>
          </cell>
          <cell r="CE2173">
            <v>0</v>
          </cell>
        </row>
        <row r="2174">
          <cell r="BY2174" t="str">
            <v>IBOVX53</v>
          </cell>
          <cell r="BZ2174">
            <v>53000</v>
          </cell>
          <cell r="CA2174" t="str">
            <v>16-12-2009</v>
          </cell>
          <cell r="CB2174">
            <v>0</v>
          </cell>
          <cell r="CC2174">
            <v>0</v>
          </cell>
          <cell r="CD2174">
            <v>0</v>
          </cell>
          <cell r="CE2174">
            <v>0</v>
          </cell>
        </row>
        <row r="2175">
          <cell r="BY2175" t="str">
            <v>IBOVX16</v>
          </cell>
          <cell r="BZ2175">
            <v>55000</v>
          </cell>
          <cell r="CA2175" t="str">
            <v>16-12-2009</v>
          </cell>
          <cell r="CB2175">
            <v>0</v>
          </cell>
          <cell r="CC2175">
            <v>0</v>
          </cell>
          <cell r="CD2175">
            <v>0</v>
          </cell>
          <cell r="CE2175">
            <v>0</v>
          </cell>
        </row>
        <row r="2176">
          <cell r="BY2176" t="str">
            <v>IBOVX6</v>
          </cell>
          <cell r="BZ2176">
            <v>56000</v>
          </cell>
          <cell r="CA2176" t="str">
            <v>16-12-2009</v>
          </cell>
          <cell r="CB2176">
            <v>0</v>
          </cell>
          <cell r="CC2176">
            <v>0</v>
          </cell>
          <cell r="CD2176">
            <v>0</v>
          </cell>
          <cell r="CE2176">
            <v>0</v>
          </cell>
        </row>
        <row r="2177">
          <cell r="BY2177" t="str">
            <v>IBOVX1</v>
          </cell>
          <cell r="BZ2177">
            <v>60000</v>
          </cell>
          <cell r="CA2177" t="str">
            <v>16-12-2009</v>
          </cell>
          <cell r="CB2177">
            <v>0</v>
          </cell>
          <cell r="CC2177">
            <v>0</v>
          </cell>
          <cell r="CD2177">
            <v>0</v>
          </cell>
          <cell r="CE2177">
            <v>0</v>
          </cell>
        </row>
        <row r="2178">
          <cell r="BY2178" t="str">
            <v>IBOVX2</v>
          </cell>
          <cell r="BZ2178">
            <v>65000</v>
          </cell>
          <cell r="CA2178" t="str">
            <v>16-12-2009</v>
          </cell>
          <cell r="CB2178">
            <v>0</v>
          </cell>
          <cell r="CC2178">
            <v>0</v>
          </cell>
          <cell r="CD2178">
            <v>0</v>
          </cell>
          <cell r="CE2178">
            <v>0</v>
          </cell>
        </row>
        <row r="2179">
          <cell r="BY2179" t="str">
            <v>IBOVX8</v>
          </cell>
          <cell r="BZ2179">
            <v>80000</v>
          </cell>
          <cell r="CA2179" t="str">
            <v>16-12-2009</v>
          </cell>
          <cell r="CB2179">
            <v>0</v>
          </cell>
          <cell r="CC2179">
            <v>0</v>
          </cell>
          <cell r="CD2179">
            <v>0</v>
          </cell>
          <cell r="CE2179">
            <v>0</v>
          </cell>
        </row>
        <row r="2180">
          <cell r="BY2180" t="str">
            <v>IBOVV12</v>
          </cell>
          <cell r="BZ2180">
            <v>36000</v>
          </cell>
          <cell r="CA2180" t="str">
            <v>13-10-2010</v>
          </cell>
          <cell r="CB2180">
            <v>0</v>
          </cell>
          <cell r="CC2180">
            <v>0</v>
          </cell>
          <cell r="CD2180">
            <v>0</v>
          </cell>
          <cell r="CE2180">
            <v>0</v>
          </cell>
        </row>
        <row r="2181">
          <cell r="BY2181" t="str">
            <v>IBOVV9</v>
          </cell>
          <cell r="BZ2181">
            <v>38000</v>
          </cell>
          <cell r="CA2181" t="str">
            <v>13-10-2010</v>
          </cell>
          <cell r="CB2181">
            <v>0</v>
          </cell>
          <cell r="CC2181">
            <v>0</v>
          </cell>
          <cell r="CD2181">
            <v>0</v>
          </cell>
          <cell r="CE2181">
            <v>0</v>
          </cell>
        </row>
        <row r="2182">
          <cell r="BY2182" t="str">
            <v>IBOVV8</v>
          </cell>
          <cell r="BZ2182">
            <v>39000</v>
          </cell>
          <cell r="CA2182" t="str">
            <v>13-10-2010</v>
          </cell>
          <cell r="CB2182">
            <v>0</v>
          </cell>
          <cell r="CC2182">
            <v>0</v>
          </cell>
          <cell r="CD2182">
            <v>0</v>
          </cell>
          <cell r="CE2182">
            <v>0</v>
          </cell>
        </row>
        <row r="2183">
          <cell r="BY2183" t="str">
            <v>IBOVV10</v>
          </cell>
          <cell r="BZ2183">
            <v>40000</v>
          </cell>
          <cell r="CA2183" t="str">
            <v>13-10-2010</v>
          </cell>
          <cell r="CB2183">
            <v>0</v>
          </cell>
          <cell r="CC2183">
            <v>0</v>
          </cell>
          <cell r="CD2183">
            <v>0</v>
          </cell>
          <cell r="CE2183">
            <v>0</v>
          </cell>
        </row>
        <row r="2184">
          <cell r="BY2184" t="str">
            <v>IBOVV14</v>
          </cell>
          <cell r="BZ2184">
            <v>42000</v>
          </cell>
          <cell r="CA2184" t="str">
            <v>13-10-2010</v>
          </cell>
          <cell r="CB2184">
            <v>0</v>
          </cell>
          <cell r="CC2184">
            <v>0</v>
          </cell>
          <cell r="CD2184">
            <v>0</v>
          </cell>
          <cell r="CE2184">
            <v>0</v>
          </cell>
        </row>
        <row r="2185">
          <cell r="BY2185" t="str">
            <v>IBOVV7</v>
          </cell>
          <cell r="BZ2185">
            <v>44000</v>
          </cell>
          <cell r="CA2185" t="str">
            <v>13-10-2010</v>
          </cell>
          <cell r="CB2185">
            <v>0</v>
          </cell>
          <cell r="CC2185">
            <v>0</v>
          </cell>
          <cell r="CD2185">
            <v>0</v>
          </cell>
          <cell r="CE2185">
            <v>0</v>
          </cell>
        </row>
        <row r="2186">
          <cell r="BY2186" t="str">
            <v>IBOVV11</v>
          </cell>
          <cell r="BZ2186">
            <v>45000</v>
          </cell>
          <cell r="CA2186" t="str">
            <v>13-10-2010</v>
          </cell>
          <cell r="CB2186">
            <v>0</v>
          </cell>
          <cell r="CC2186">
            <v>0</v>
          </cell>
          <cell r="CD2186">
            <v>0</v>
          </cell>
          <cell r="CE2186">
            <v>0</v>
          </cell>
        </row>
        <row r="2187">
          <cell r="BY2187" t="str">
            <v>IBOVV13</v>
          </cell>
          <cell r="BZ2187">
            <v>46000</v>
          </cell>
          <cell r="CA2187" t="str">
            <v>13-10-2010</v>
          </cell>
          <cell r="CB2187">
            <v>0</v>
          </cell>
          <cell r="CC2187">
            <v>0</v>
          </cell>
          <cell r="CD2187">
            <v>0</v>
          </cell>
          <cell r="CE2187">
            <v>0</v>
          </cell>
        </row>
        <row r="2188">
          <cell r="BY2188" t="str">
            <v>IBOVV6</v>
          </cell>
          <cell r="BZ2188">
            <v>50000</v>
          </cell>
          <cell r="CA2188" t="str">
            <v>13-10-2010</v>
          </cell>
          <cell r="CB2188">
            <v>0</v>
          </cell>
          <cell r="CC2188">
            <v>0</v>
          </cell>
          <cell r="CD2188">
            <v>0</v>
          </cell>
          <cell r="CE2188">
            <v>0</v>
          </cell>
        </row>
        <row r="2189">
          <cell r="BY2189" t="str">
            <v>IBOVX4</v>
          </cell>
          <cell r="BZ2189">
            <v>44000</v>
          </cell>
          <cell r="CA2189" t="str">
            <v>15-12-2010</v>
          </cell>
          <cell r="CB2189">
            <v>0</v>
          </cell>
          <cell r="CC2189">
            <v>0</v>
          </cell>
          <cell r="CD2189">
            <v>0</v>
          </cell>
          <cell r="CE2189">
            <v>0</v>
          </cell>
        </row>
        <row r="2190">
          <cell r="BY2190">
            <v>0</v>
          </cell>
          <cell r="BZ2190">
            <v>0</v>
          </cell>
          <cell r="CA2190">
            <v>0</v>
          </cell>
          <cell r="CB2190">
            <v>0</v>
          </cell>
          <cell r="CC2190">
            <v>0</v>
          </cell>
          <cell r="CD2190">
            <v>0</v>
          </cell>
          <cell r="CE2190">
            <v>0</v>
          </cell>
        </row>
        <row r="2191">
          <cell r="BY2191">
            <v>0</v>
          </cell>
          <cell r="BZ2191">
            <v>0</v>
          </cell>
          <cell r="CA2191">
            <v>0</v>
          </cell>
          <cell r="CB2191">
            <v>0</v>
          </cell>
          <cell r="CC2191">
            <v>0</v>
          </cell>
          <cell r="CD2191">
            <v>0</v>
          </cell>
          <cell r="CE2191">
            <v>0</v>
          </cell>
        </row>
        <row r="2192">
          <cell r="BY2192">
            <v>0</v>
          </cell>
          <cell r="BZ2192">
            <v>0</v>
          </cell>
          <cell r="CA2192">
            <v>0</v>
          </cell>
          <cell r="CB2192">
            <v>0</v>
          </cell>
          <cell r="CC2192">
            <v>0</v>
          </cell>
          <cell r="CD2192">
            <v>0</v>
          </cell>
          <cell r="CE2192">
            <v>0</v>
          </cell>
        </row>
        <row r="2193">
          <cell r="BY2193">
            <v>0</v>
          </cell>
          <cell r="BZ2193">
            <v>0</v>
          </cell>
          <cell r="CA2193">
            <v>0</v>
          </cell>
          <cell r="CB2193">
            <v>0</v>
          </cell>
          <cell r="CC2193">
            <v>0</v>
          </cell>
          <cell r="CD2193">
            <v>0</v>
          </cell>
          <cell r="CE2193">
            <v>0</v>
          </cell>
        </row>
        <row r="2194">
          <cell r="BY2194">
            <v>0</v>
          </cell>
          <cell r="BZ2194">
            <v>0</v>
          </cell>
          <cell r="CA2194">
            <v>0</v>
          </cell>
          <cell r="CB2194">
            <v>0</v>
          </cell>
          <cell r="CC2194">
            <v>0</v>
          </cell>
          <cell r="CD2194">
            <v>0</v>
          </cell>
          <cell r="CE2194">
            <v>0</v>
          </cell>
        </row>
        <row r="2195">
          <cell r="BY2195">
            <v>0</v>
          </cell>
          <cell r="BZ2195">
            <v>0</v>
          </cell>
          <cell r="CA2195">
            <v>0</v>
          </cell>
          <cell r="CB2195">
            <v>0</v>
          </cell>
          <cell r="CC2195">
            <v>0</v>
          </cell>
          <cell r="CD2195">
            <v>0</v>
          </cell>
          <cell r="CE2195">
            <v>0</v>
          </cell>
        </row>
        <row r="2196">
          <cell r="BY2196">
            <v>0</v>
          </cell>
          <cell r="BZ2196">
            <v>0</v>
          </cell>
          <cell r="CA2196">
            <v>0</v>
          </cell>
          <cell r="CB2196">
            <v>0</v>
          </cell>
          <cell r="CC2196">
            <v>0</v>
          </cell>
          <cell r="CD2196">
            <v>0</v>
          </cell>
          <cell r="CE2196">
            <v>0</v>
          </cell>
        </row>
        <row r="2197">
          <cell r="BY2197">
            <v>0</v>
          </cell>
          <cell r="BZ2197">
            <v>0</v>
          </cell>
          <cell r="CA2197">
            <v>0</v>
          </cell>
          <cell r="CB2197">
            <v>0</v>
          </cell>
          <cell r="CC2197">
            <v>0</v>
          </cell>
          <cell r="CD2197">
            <v>0</v>
          </cell>
          <cell r="CE2197">
            <v>0</v>
          </cell>
        </row>
        <row r="2198">
          <cell r="BY2198">
            <v>0</v>
          </cell>
          <cell r="BZ2198">
            <v>0</v>
          </cell>
          <cell r="CA2198">
            <v>0</v>
          </cell>
          <cell r="CB2198">
            <v>0</v>
          </cell>
          <cell r="CC2198">
            <v>0</v>
          </cell>
          <cell r="CD2198">
            <v>0</v>
          </cell>
          <cell r="CE2198">
            <v>0</v>
          </cell>
        </row>
        <row r="2199">
          <cell r="BY2199">
            <v>0</v>
          </cell>
          <cell r="BZ2199">
            <v>0</v>
          </cell>
          <cell r="CA2199">
            <v>0</v>
          </cell>
          <cell r="CB2199">
            <v>0</v>
          </cell>
          <cell r="CC2199">
            <v>0</v>
          </cell>
          <cell r="CD2199">
            <v>0</v>
          </cell>
          <cell r="CE2199">
            <v>0</v>
          </cell>
        </row>
        <row r="2200">
          <cell r="BY2200">
            <v>0</v>
          </cell>
          <cell r="BZ2200">
            <v>0</v>
          </cell>
          <cell r="CA2200">
            <v>0</v>
          </cell>
          <cell r="CB2200">
            <v>0</v>
          </cell>
          <cell r="CC2200">
            <v>0</v>
          </cell>
          <cell r="CD2200">
            <v>0</v>
          </cell>
          <cell r="CE2200">
            <v>0</v>
          </cell>
        </row>
        <row r="2201">
          <cell r="BY2201">
            <v>0</v>
          </cell>
          <cell r="BZ2201">
            <v>0</v>
          </cell>
          <cell r="CA2201">
            <v>0</v>
          </cell>
          <cell r="CB2201">
            <v>0</v>
          </cell>
          <cell r="CC2201">
            <v>0</v>
          </cell>
          <cell r="CD2201">
            <v>0</v>
          </cell>
          <cell r="CE2201">
            <v>0</v>
          </cell>
        </row>
        <row r="2202">
          <cell r="BY2202">
            <v>0</v>
          </cell>
          <cell r="BZ2202">
            <v>0</v>
          </cell>
          <cell r="CA2202">
            <v>0</v>
          </cell>
          <cell r="CB2202">
            <v>0</v>
          </cell>
          <cell r="CC2202">
            <v>0</v>
          </cell>
          <cell r="CD2202">
            <v>0</v>
          </cell>
          <cell r="CE2202">
            <v>0</v>
          </cell>
        </row>
        <row r="2203">
          <cell r="BY2203">
            <v>0</v>
          </cell>
          <cell r="BZ2203">
            <v>0</v>
          </cell>
          <cell r="CA2203">
            <v>0</v>
          </cell>
          <cell r="CB2203">
            <v>0</v>
          </cell>
          <cell r="CC2203">
            <v>0</v>
          </cell>
          <cell r="CD2203">
            <v>0</v>
          </cell>
          <cell r="CE2203">
            <v>0</v>
          </cell>
        </row>
        <row r="2204">
          <cell r="BY2204">
            <v>0</v>
          </cell>
          <cell r="BZ2204">
            <v>0</v>
          </cell>
          <cell r="CA2204">
            <v>0</v>
          </cell>
          <cell r="CB2204">
            <v>0</v>
          </cell>
          <cell r="CC2204">
            <v>0</v>
          </cell>
          <cell r="CD2204">
            <v>0</v>
          </cell>
          <cell r="CE2204">
            <v>0</v>
          </cell>
        </row>
        <row r="2205">
          <cell r="BY2205">
            <v>0</v>
          </cell>
          <cell r="BZ2205">
            <v>0</v>
          </cell>
          <cell r="CA2205">
            <v>0</v>
          </cell>
          <cell r="CB2205">
            <v>0</v>
          </cell>
          <cell r="CC2205">
            <v>0</v>
          </cell>
          <cell r="CD2205">
            <v>0</v>
          </cell>
          <cell r="CE2205">
            <v>0</v>
          </cell>
        </row>
        <row r="2206">
          <cell r="BY2206">
            <v>0</v>
          </cell>
          <cell r="BZ2206">
            <v>0</v>
          </cell>
          <cell r="CA2206">
            <v>0</v>
          </cell>
          <cell r="CB2206">
            <v>0</v>
          </cell>
          <cell r="CC2206">
            <v>0</v>
          </cell>
          <cell r="CD2206">
            <v>0</v>
          </cell>
          <cell r="CE2206">
            <v>0</v>
          </cell>
        </row>
        <row r="2207">
          <cell r="BY2207">
            <v>0</v>
          </cell>
          <cell r="BZ2207">
            <v>0</v>
          </cell>
          <cell r="CA2207">
            <v>0</v>
          </cell>
          <cell r="CB2207">
            <v>0</v>
          </cell>
          <cell r="CC2207">
            <v>0</v>
          </cell>
          <cell r="CD2207">
            <v>0</v>
          </cell>
          <cell r="CE2207">
            <v>0</v>
          </cell>
        </row>
        <row r="2208">
          <cell r="BY2208">
            <v>0</v>
          </cell>
          <cell r="BZ2208">
            <v>0</v>
          </cell>
          <cell r="CA2208">
            <v>0</v>
          </cell>
          <cell r="CB2208">
            <v>0</v>
          </cell>
          <cell r="CC2208">
            <v>0</v>
          </cell>
          <cell r="CD2208">
            <v>0</v>
          </cell>
          <cell r="CE2208">
            <v>0</v>
          </cell>
        </row>
        <row r="2209">
          <cell r="BY2209">
            <v>0</v>
          </cell>
          <cell r="BZ2209">
            <v>0</v>
          </cell>
          <cell r="CA2209">
            <v>0</v>
          </cell>
          <cell r="CB2209">
            <v>0</v>
          </cell>
          <cell r="CC2209">
            <v>0</v>
          </cell>
          <cell r="CD2209">
            <v>0</v>
          </cell>
          <cell r="CE2209">
            <v>0</v>
          </cell>
        </row>
        <row r="2210">
          <cell r="BY2210">
            <v>0</v>
          </cell>
          <cell r="BZ2210">
            <v>0</v>
          </cell>
          <cell r="CA2210">
            <v>0</v>
          </cell>
          <cell r="CB2210">
            <v>0</v>
          </cell>
          <cell r="CC2210">
            <v>0</v>
          </cell>
          <cell r="CD2210">
            <v>0</v>
          </cell>
          <cell r="CE2210">
            <v>0</v>
          </cell>
        </row>
        <row r="2211">
          <cell r="BY2211">
            <v>0</v>
          </cell>
          <cell r="BZ2211">
            <v>0</v>
          </cell>
          <cell r="CA2211">
            <v>0</v>
          </cell>
          <cell r="CB2211">
            <v>0</v>
          </cell>
          <cell r="CC2211">
            <v>0</v>
          </cell>
          <cell r="CD2211">
            <v>0</v>
          </cell>
          <cell r="CE2211">
            <v>0</v>
          </cell>
        </row>
        <row r="2212">
          <cell r="BY2212">
            <v>0</v>
          </cell>
          <cell r="BZ2212">
            <v>0</v>
          </cell>
          <cell r="CA2212">
            <v>0</v>
          </cell>
          <cell r="CB2212">
            <v>0</v>
          </cell>
          <cell r="CC2212">
            <v>0</v>
          </cell>
          <cell r="CD2212">
            <v>0</v>
          </cell>
          <cell r="CE2212">
            <v>0</v>
          </cell>
        </row>
        <row r="2213">
          <cell r="BY2213">
            <v>0</v>
          </cell>
          <cell r="BZ2213">
            <v>0</v>
          </cell>
          <cell r="CA2213">
            <v>0</v>
          </cell>
          <cell r="CB2213">
            <v>0</v>
          </cell>
          <cell r="CC2213">
            <v>0</v>
          </cell>
          <cell r="CD2213">
            <v>0</v>
          </cell>
          <cell r="CE2213">
            <v>0</v>
          </cell>
        </row>
        <row r="2214">
          <cell r="BY2214">
            <v>0</v>
          </cell>
          <cell r="BZ2214">
            <v>0</v>
          </cell>
          <cell r="CA2214">
            <v>0</v>
          </cell>
          <cell r="CB2214">
            <v>0</v>
          </cell>
          <cell r="CC2214">
            <v>0</v>
          </cell>
          <cell r="CD2214">
            <v>0</v>
          </cell>
          <cell r="CE2214">
            <v>0</v>
          </cell>
        </row>
        <row r="2215">
          <cell r="BY2215">
            <v>0</v>
          </cell>
          <cell r="BZ2215">
            <v>0</v>
          </cell>
          <cell r="CA2215">
            <v>0</v>
          </cell>
          <cell r="CB2215">
            <v>0</v>
          </cell>
          <cell r="CC2215">
            <v>0</v>
          </cell>
          <cell r="CD2215">
            <v>0</v>
          </cell>
          <cell r="CE2215">
            <v>0</v>
          </cell>
        </row>
        <row r="2216">
          <cell r="BY2216">
            <v>0</v>
          </cell>
          <cell r="BZ2216">
            <v>0</v>
          </cell>
          <cell r="CA2216">
            <v>0</v>
          </cell>
          <cell r="CB2216">
            <v>0</v>
          </cell>
          <cell r="CC2216">
            <v>0</v>
          </cell>
          <cell r="CD2216">
            <v>0</v>
          </cell>
          <cell r="CE2216">
            <v>0</v>
          </cell>
        </row>
        <row r="2217">
          <cell r="BY2217">
            <v>0</v>
          </cell>
          <cell r="BZ2217">
            <v>0</v>
          </cell>
          <cell r="CA2217">
            <v>0</v>
          </cell>
          <cell r="CB2217">
            <v>0</v>
          </cell>
          <cell r="CC2217">
            <v>0</v>
          </cell>
          <cell r="CD2217">
            <v>0</v>
          </cell>
          <cell r="CE2217">
            <v>0</v>
          </cell>
        </row>
        <row r="2218">
          <cell r="BY2218">
            <v>0</v>
          </cell>
          <cell r="BZ2218">
            <v>0</v>
          </cell>
          <cell r="CA2218">
            <v>0</v>
          </cell>
          <cell r="CB2218">
            <v>0</v>
          </cell>
          <cell r="CC2218">
            <v>0</v>
          </cell>
          <cell r="CD2218">
            <v>0</v>
          </cell>
          <cell r="CE2218">
            <v>0</v>
          </cell>
        </row>
        <row r="2219">
          <cell r="BY2219">
            <v>0</v>
          </cell>
          <cell r="BZ2219">
            <v>0</v>
          </cell>
          <cell r="CA2219">
            <v>0</v>
          </cell>
          <cell r="CB2219">
            <v>0</v>
          </cell>
          <cell r="CC2219">
            <v>0</v>
          </cell>
          <cell r="CD2219">
            <v>0</v>
          </cell>
          <cell r="CE2219">
            <v>0</v>
          </cell>
        </row>
        <row r="2220">
          <cell r="BY2220">
            <v>0</v>
          </cell>
          <cell r="BZ2220">
            <v>0</v>
          </cell>
          <cell r="CA2220">
            <v>0</v>
          </cell>
          <cell r="CB2220">
            <v>0</v>
          </cell>
          <cell r="CC2220">
            <v>0</v>
          </cell>
          <cell r="CD2220">
            <v>0</v>
          </cell>
          <cell r="CE2220">
            <v>0</v>
          </cell>
        </row>
        <row r="2221">
          <cell r="BY2221">
            <v>0</v>
          </cell>
          <cell r="BZ2221">
            <v>0</v>
          </cell>
          <cell r="CA2221">
            <v>0</v>
          </cell>
          <cell r="CB2221">
            <v>0</v>
          </cell>
          <cell r="CC2221">
            <v>0</v>
          </cell>
          <cell r="CD2221">
            <v>0</v>
          </cell>
          <cell r="CE2221">
            <v>0</v>
          </cell>
        </row>
        <row r="2222">
          <cell r="BY2222">
            <v>0</v>
          </cell>
          <cell r="BZ2222">
            <v>0</v>
          </cell>
          <cell r="CA2222">
            <v>0</v>
          </cell>
          <cell r="CB2222">
            <v>0</v>
          </cell>
          <cell r="CC2222">
            <v>0</v>
          </cell>
          <cell r="CD2222">
            <v>0</v>
          </cell>
          <cell r="CE2222">
            <v>0</v>
          </cell>
        </row>
        <row r="2223">
          <cell r="BY2223">
            <v>0</v>
          </cell>
          <cell r="BZ2223">
            <v>0</v>
          </cell>
          <cell r="CA2223">
            <v>0</v>
          </cell>
          <cell r="CB2223">
            <v>0</v>
          </cell>
          <cell r="CC2223">
            <v>0</v>
          </cell>
          <cell r="CD2223">
            <v>0</v>
          </cell>
          <cell r="CE2223">
            <v>0</v>
          </cell>
        </row>
        <row r="2224">
          <cell r="BY2224">
            <v>0</v>
          </cell>
          <cell r="BZ2224">
            <v>0</v>
          </cell>
          <cell r="CA2224">
            <v>0</v>
          </cell>
          <cell r="CB2224">
            <v>0</v>
          </cell>
          <cell r="CC2224">
            <v>0</v>
          </cell>
          <cell r="CD2224">
            <v>0</v>
          </cell>
          <cell r="CE2224">
            <v>0</v>
          </cell>
        </row>
        <row r="2225">
          <cell r="BY2225">
            <v>0</v>
          </cell>
          <cell r="BZ2225">
            <v>0</v>
          </cell>
          <cell r="CA2225">
            <v>0</v>
          </cell>
          <cell r="CB2225">
            <v>0</v>
          </cell>
          <cell r="CC2225">
            <v>0</v>
          </cell>
          <cell r="CD2225">
            <v>0</v>
          </cell>
          <cell r="CE2225">
            <v>0</v>
          </cell>
        </row>
        <row r="2226">
          <cell r="BY2226">
            <v>0</v>
          </cell>
          <cell r="BZ2226">
            <v>0</v>
          </cell>
          <cell r="CA2226">
            <v>0</v>
          </cell>
          <cell r="CB2226">
            <v>0</v>
          </cell>
          <cell r="CC2226">
            <v>0</v>
          </cell>
          <cell r="CD2226">
            <v>0</v>
          </cell>
          <cell r="CE2226">
            <v>0</v>
          </cell>
        </row>
        <row r="2227">
          <cell r="BY2227">
            <v>0</v>
          </cell>
          <cell r="BZ2227">
            <v>0</v>
          </cell>
          <cell r="CA2227">
            <v>0</v>
          </cell>
          <cell r="CB2227">
            <v>0</v>
          </cell>
          <cell r="CC2227">
            <v>0</v>
          </cell>
          <cell r="CD2227">
            <v>0</v>
          </cell>
          <cell r="CE2227">
            <v>0</v>
          </cell>
        </row>
        <row r="2228">
          <cell r="BY2228">
            <v>0</v>
          </cell>
          <cell r="BZ2228">
            <v>0</v>
          </cell>
          <cell r="CA2228">
            <v>0</v>
          </cell>
          <cell r="CB2228">
            <v>0</v>
          </cell>
          <cell r="CC2228">
            <v>0</v>
          </cell>
          <cell r="CD2228">
            <v>0</v>
          </cell>
          <cell r="CE2228">
            <v>0</v>
          </cell>
        </row>
        <row r="2229">
          <cell r="BY2229">
            <v>0</v>
          </cell>
          <cell r="BZ2229">
            <v>0</v>
          </cell>
          <cell r="CA2229">
            <v>0</v>
          </cell>
          <cell r="CB2229">
            <v>0</v>
          </cell>
          <cell r="CC2229">
            <v>0</v>
          </cell>
          <cell r="CD2229">
            <v>0</v>
          </cell>
          <cell r="CE2229">
            <v>0</v>
          </cell>
        </row>
        <row r="2230">
          <cell r="BY2230">
            <v>0</v>
          </cell>
          <cell r="BZ2230">
            <v>0</v>
          </cell>
          <cell r="CA2230">
            <v>0</v>
          </cell>
          <cell r="CB2230">
            <v>0</v>
          </cell>
          <cell r="CC2230">
            <v>0</v>
          </cell>
          <cell r="CD2230">
            <v>0</v>
          </cell>
          <cell r="CE2230">
            <v>0</v>
          </cell>
        </row>
        <row r="2231">
          <cell r="BY2231">
            <v>0</v>
          </cell>
          <cell r="BZ2231">
            <v>0</v>
          </cell>
          <cell r="CA2231">
            <v>0</v>
          </cell>
          <cell r="CB2231">
            <v>0</v>
          </cell>
          <cell r="CC2231">
            <v>0</v>
          </cell>
          <cell r="CD2231">
            <v>0</v>
          </cell>
          <cell r="CE2231">
            <v>0</v>
          </cell>
        </row>
        <row r="2232">
          <cell r="BY2232">
            <v>0</v>
          </cell>
          <cell r="BZ2232">
            <v>0</v>
          </cell>
          <cell r="CA2232">
            <v>0</v>
          </cell>
          <cell r="CB2232">
            <v>0</v>
          </cell>
          <cell r="CC2232">
            <v>0</v>
          </cell>
          <cell r="CD2232">
            <v>0</v>
          </cell>
          <cell r="CE2232">
            <v>0</v>
          </cell>
        </row>
        <row r="2233">
          <cell r="BY2233">
            <v>0</v>
          </cell>
          <cell r="BZ2233">
            <v>0</v>
          </cell>
          <cell r="CA2233">
            <v>0</v>
          </cell>
          <cell r="CB2233">
            <v>0</v>
          </cell>
          <cell r="CC2233">
            <v>0</v>
          </cell>
          <cell r="CD2233">
            <v>0</v>
          </cell>
          <cell r="CE2233">
            <v>0</v>
          </cell>
        </row>
        <row r="2234">
          <cell r="BY2234">
            <v>0</v>
          </cell>
          <cell r="BZ2234">
            <v>0</v>
          </cell>
          <cell r="CA2234">
            <v>0</v>
          </cell>
          <cell r="CB2234">
            <v>0</v>
          </cell>
          <cell r="CC2234">
            <v>0</v>
          </cell>
          <cell r="CD2234">
            <v>0</v>
          </cell>
          <cell r="CE2234">
            <v>0</v>
          </cell>
        </row>
        <row r="2235">
          <cell r="BY2235">
            <v>0</v>
          </cell>
          <cell r="BZ2235">
            <v>0</v>
          </cell>
          <cell r="CA2235">
            <v>0</v>
          </cell>
          <cell r="CB2235">
            <v>0</v>
          </cell>
          <cell r="CC2235">
            <v>0</v>
          </cell>
          <cell r="CD2235">
            <v>0</v>
          </cell>
          <cell r="CE2235">
            <v>0</v>
          </cell>
        </row>
        <row r="2236">
          <cell r="BY2236">
            <v>0</v>
          </cell>
          <cell r="BZ2236">
            <v>0</v>
          </cell>
          <cell r="CA2236">
            <v>0</v>
          </cell>
          <cell r="CB2236">
            <v>0</v>
          </cell>
          <cell r="CC2236">
            <v>0</v>
          </cell>
          <cell r="CD2236">
            <v>0</v>
          </cell>
          <cell r="CE2236">
            <v>0</v>
          </cell>
        </row>
        <row r="2237">
          <cell r="BY2237">
            <v>0</v>
          </cell>
          <cell r="BZ2237">
            <v>0</v>
          </cell>
          <cell r="CA2237">
            <v>0</v>
          </cell>
          <cell r="CB2237">
            <v>0</v>
          </cell>
          <cell r="CC2237">
            <v>0</v>
          </cell>
          <cell r="CD2237">
            <v>0</v>
          </cell>
          <cell r="CE2237">
            <v>0</v>
          </cell>
        </row>
        <row r="2238">
          <cell r="BY2238">
            <v>0</v>
          </cell>
          <cell r="BZ2238">
            <v>0</v>
          </cell>
          <cell r="CA2238">
            <v>0</v>
          </cell>
          <cell r="CB2238">
            <v>0</v>
          </cell>
          <cell r="CC2238">
            <v>0</v>
          </cell>
          <cell r="CD2238">
            <v>0</v>
          </cell>
          <cell r="CE2238">
            <v>0</v>
          </cell>
        </row>
        <row r="2239">
          <cell r="BY2239">
            <v>0</v>
          </cell>
          <cell r="BZ2239">
            <v>0</v>
          </cell>
          <cell r="CA2239">
            <v>0</v>
          </cell>
          <cell r="CB2239">
            <v>0</v>
          </cell>
          <cell r="CC2239">
            <v>0</v>
          </cell>
          <cell r="CD2239">
            <v>0</v>
          </cell>
          <cell r="CE2239">
            <v>0</v>
          </cell>
        </row>
        <row r="2240">
          <cell r="BY2240">
            <v>0</v>
          </cell>
          <cell r="BZ2240">
            <v>0</v>
          </cell>
          <cell r="CA2240">
            <v>0</v>
          </cell>
          <cell r="CB2240">
            <v>0</v>
          </cell>
          <cell r="CC2240">
            <v>0</v>
          </cell>
          <cell r="CD2240">
            <v>0</v>
          </cell>
          <cell r="CE2240">
            <v>0</v>
          </cell>
        </row>
        <row r="2241">
          <cell r="BY2241">
            <v>0</v>
          </cell>
          <cell r="BZ2241">
            <v>0</v>
          </cell>
          <cell r="CA2241">
            <v>0</v>
          </cell>
          <cell r="CB2241">
            <v>0</v>
          </cell>
          <cell r="CC2241">
            <v>0</v>
          </cell>
          <cell r="CD2241">
            <v>0</v>
          </cell>
          <cell r="CE2241">
            <v>0</v>
          </cell>
        </row>
        <row r="2242">
          <cell r="BY2242">
            <v>0</v>
          </cell>
          <cell r="BZ2242">
            <v>0</v>
          </cell>
          <cell r="CA2242">
            <v>0</v>
          </cell>
          <cell r="CB2242">
            <v>0</v>
          </cell>
          <cell r="CC2242">
            <v>0</v>
          </cell>
          <cell r="CD2242">
            <v>0</v>
          </cell>
          <cell r="CE2242">
            <v>0</v>
          </cell>
        </row>
        <row r="2243">
          <cell r="BY2243">
            <v>0</v>
          </cell>
          <cell r="BZ2243">
            <v>0</v>
          </cell>
          <cell r="CA2243">
            <v>0</v>
          </cell>
          <cell r="CB2243">
            <v>0</v>
          </cell>
          <cell r="CC2243">
            <v>0</v>
          </cell>
          <cell r="CD2243">
            <v>0</v>
          </cell>
          <cell r="CE2243">
            <v>0</v>
          </cell>
        </row>
        <row r="2244">
          <cell r="BY2244">
            <v>0</v>
          </cell>
          <cell r="BZ2244">
            <v>0</v>
          </cell>
          <cell r="CA2244">
            <v>0</v>
          </cell>
          <cell r="CB2244">
            <v>0</v>
          </cell>
          <cell r="CC2244">
            <v>0</v>
          </cell>
          <cell r="CD2244">
            <v>0</v>
          </cell>
          <cell r="CE2244">
            <v>0</v>
          </cell>
        </row>
        <row r="2245">
          <cell r="BY2245">
            <v>0</v>
          </cell>
          <cell r="BZ2245">
            <v>0</v>
          </cell>
          <cell r="CA2245">
            <v>0</v>
          </cell>
          <cell r="CB2245">
            <v>0</v>
          </cell>
          <cell r="CC2245">
            <v>0</v>
          </cell>
          <cell r="CD2245">
            <v>0</v>
          </cell>
          <cell r="CE2245">
            <v>0</v>
          </cell>
        </row>
        <row r="2246">
          <cell r="BY2246">
            <v>0</v>
          </cell>
          <cell r="BZ2246">
            <v>0</v>
          </cell>
          <cell r="CA2246">
            <v>0</v>
          </cell>
          <cell r="CB2246">
            <v>0</v>
          </cell>
          <cell r="CC2246">
            <v>0</v>
          </cell>
          <cell r="CD2246">
            <v>0</v>
          </cell>
          <cell r="CE2246">
            <v>0</v>
          </cell>
        </row>
        <row r="2247">
          <cell r="BY2247">
            <v>0</v>
          </cell>
          <cell r="BZ2247">
            <v>0</v>
          </cell>
          <cell r="CA2247">
            <v>0</v>
          </cell>
          <cell r="CB2247">
            <v>0</v>
          </cell>
          <cell r="CC2247">
            <v>0</v>
          </cell>
          <cell r="CD2247">
            <v>0</v>
          </cell>
          <cell r="CE2247">
            <v>0</v>
          </cell>
        </row>
        <row r="2248">
          <cell r="BY2248">
            <v>0</v>
          </cell>
          <cell r="BZ2248">
            <v>0</v>
          </cell>
          <cell r="CA2248">
            <v>0</v>
          </cell>
          <cell r="CB2248">
            <v>0</v>
          </cell>
          <cell r="CC2248">
            <v>0</v>
          </cell>
          <cell r="CD2248">
            <v>0</v>
          </cell>
          <cell r="CE2248">
            <v>0</v>
          </cell>
        </row>
        <row r="2249">
          <cell r="BY2249">
            <v>0</v>
          </cell>
          <cell r="BZ2249">
            <v>0</v>
          </cell>
          <cell r="CA2249">
            <v>0</v>
          </cell>
          <cell r="CB2249">
            <v>0</v>
          </cell>
          <cell r="CC2249">
            <v>0</v>
          </cell>
          <cell r="CD2249">
            <v>0</v>
          </cell>
          <cell r="CE2249">
            <v>0</v>
          </cell>
        </row>
        <row r="2250">
          <cell r="BY2250">
            <v>0</v>
          </cell>
          <cell r="BZ2250">
            <v>0</v>
          </cell>
          <cell r="CA2250">
            <v>0</v>
          </cell>
          <cell r="CB2250">
            <v>0</v>
          </cell>
          <cell r="CC2250">
            <v>0</v>
          </cell>
          <cell r="CD2250">
            <v>0</v>
          </cell>
          <cell r="CE2250">
            <v>0</v>
          </cell>
        </row>
        <row r="2251">
          <cell r="BY2251">
            <v>0</v>
          </cell>
          <cell r="BZ2251">
            <v>0</v>
          </cell>
          <cell r="CA2251">
            <v>0</v>
          </cell>
          <cell r="CB2251">
            <v>0</v>
          </cell>
          <cell r="CC2251">
            <v>0</v>
          </cell>
          <cell r="CD2251">
            <v>0</v>
          </cell>
          <cell r="CE2251">
            <v>0</v>
          </cell>
        </row>
        <row r="2252">
          <cell r="BY2252">
            <v>0</v>
          </cell>
          <cell r="BZ2252">
            <v>0</v>
          </cell>
          <cell r="CA2252">
            <v>0</v>
          </cell>
          <cell r="CB2252">
            <v>0</v>
          </cell>
          <cell r="CC2252">
            <v>0</v>
          </cell>
          <cell r="CD2252">
            <v>0</v>
          </cell>
          <cell r="CE2252">
            <v>0</v>
          </cell>
        </row>
        <row r="2253">
          <cell r="BY2253">
            <v>0</v>
          </cell>
          <cell r="BZ2253">
            <v>0</v>
          </cell>
          <cell r="CA2253">
            <v>0</v>
          </cell>
          <cell r="CB2253">
            <v>0</v>
          </cell>
          <cell r="CC2253">
            <v>0</v>
          </cell>
          <cell r="CD2253">
            <v>0</v>
          </cell>
          <cell r="CE2253">
            <v>0</v>
          </cell>
        </row>
        <row r="2254">
          <cell r="BY2254">
            <v>0</v>
          </cell>
          <cell r="BZ2254">
            <v>0</v>
          </cell>
          <cell r="CA2254">
            <v>0</v>
          </cell>
          <cell r="CB2254">
            <v>0</v>
          </cell>
          <cell r="CC2254">
            <v>0</v>
          </cell>
          <cell r="CD2254">
            <v>0</v>
          </cell>
          <cell r="CE2254">
            <v>0</v>
          </cell>
        </row>
        <row r="2255">
          <cell r="BY2255">
            <v>0</v>
          </cell>
          <cell r="BZ2255">
            <v>0</v>
          </cell>
          <cell r="CA2255">
            <v>0</v>
          </cell>
          <cell r="CB2255">
            <v>0</v>
          </cell>
          <cell r="CC2255">
            <v>0</v>
          </cell>
          <cell r="CD2255">
            <v>0</v>
          </cell>
          <cell r="CE2255">
            <v>0</v>
          </cell>
        </row>
        <row r="2256">
          <cell r="BY2256">
            <v>0</v>
          </cell>
          <cell r="BZ2256">
            <v>0</v>
          </cell>
          <cell r="CA2256">
            <v>0</v>
          </cell>
          <cell r="CB2256">
            <v>0</v>
          </cell>
          <cell r="CC2256">
            <v>0</v>
          </cell>
          <cell r="CD2256">
            <v>0</v>
          </cell>
          <cell r="CE2256">
            <v>0</v>
          </cell>
        </row>
        <row r="2257">
          <cell r="BY2257">
            <v>0</v>
          </cell>
          <cell r="BZ2257">
            <v>0</v>
          </cell>
          <cell r="CA2257">
            <v>0</v>
          </cell>
          <cell r="CB2257">
            <v>0</v>
          </cell>
          <cell r="CC2257">
            <v>0</v>
          </cell>
          <cell r="CD2257">
            <v>0</v>
          </cell>
          <cell r="CE2257">
            <v>0</v>
          </cell>
        </row>
        <row r="2258">
          <cell r="BY2258">
            <v>0</v>
          </cell>
          <cell r="BZ2258">
            <v>0</v>
          </cell>
          <cell r="CA2258">
            <v>0</v>
          </cell>
          <cell r="CB2258">
            <v>0</v>
          </cell>
          <cell r="CC2258">
            <v>0</v>
          </cell>
          <cell r="CD2258">
            <v>0</v>
          </cell>
          <cell r="CE2258">
            <v>0</v>
          </cell>
        </row>
        <row r="2259">
          <cell r="BY2259">
            <v>0</v>
          </cell>
          <cell r="BZ2259">
            <v>0</v>
          </cell>
          <cell r="CA2259">
            <v>0</v>
          </cell>
          <cell r="CB2259">
            <v>0</v>
          </cell>
          <cell r="CC2259">
            <v>0</v>
          </cell>
          <cell r="CD2259">
            <v>0</v>
          </cell>
          <cell r="CE2259">
            <v>0</v>
          </cell>
        </row>
        <row r="2260">
          <cell r="BY2260">
            <v>0</v>
          </cell>
          <cell r="BZ2260">
            <v>0</v>
          </cell>
          <cell r="CA2260">
            <v>0</v>
          </cell>
          <cell r="CB2260">
            <v>0</v>
          </cell>
          <cell r="CC2260">
            <v>0</v>
          </cell>
          <cell r="CD2260">
            <v>0</v>
          </cell>
          <cell r="CE2260">
            <v>0</v>
          </cell>
        </row>
        <row r="2261">
          <cell r="BY2261">
            <v>0</v>
          </cell>
          <cell r="BZ2261">
            <v>0</v>
          </cell>
          <cell r="CA2261">
            <v>0</v>
          </cell>
          <cell r="CB2261">
            <v>0</v>
          </cell>
          <cell r="CC2261">
            <v>0</v>
          </cell>
          <cell r="CD2261">
            <v>0</v>
          </cell>
          <cell r="CE2261">
            <v>0</v>
          </cell>
        </row>
        <row r="2262">
          <cell r="BY2262">
            <v>0</v>
          </cell>
          <cell r="BZ2262">
            <v>0</v>
          </cell>
          <cell r="CA2262">
            <v>0</v>
          </cell>
          <cell r="CB2262">
            <v>0</v>
          </cell>
          <cell r="CC2262">
            <v>0</v>
          </cell>
          <cell r="CD2262">
            <v>0</v>
          </cell>
          <cell r="CE2262">
            <v>0</v>
          </cell>
        </row>
        <row r="2263">
          <cell r="BY2263">
            <v>0</v>
          </cell>
          <cell r="BZ2263">
            <v>0</v>
          </cell>
          <cell r="CA2263">
            <v>0</v>
          </cell>
          <cell r="CB2263">
            <v>0</v>
          </cell>
          <cell r="CC2263">
            <v>0</v>
          </cell>
          <cell r="CD2263">
            <v>0</v>
          </cell>
          <cell r="CE2263">
            <v>0</v>
          </cell>
        </row>
        <row r="2264">
          <cell r="BY2264">
            <v>0</v>
          </cell>
          <cell r="BZ2264">
            <v>0</v>
          </cell>
          <cell r="CA2264">
            <v>0</v>
          </cell>
          <cell r="CB2264">
            <v>0</v>
          </cell>
          <cell r="CC2264">
            <v>0</v>
          </cell>
          <cell r="CD2264">
            <v>0</v>
          </cell>
          <cell r="CE2264">
            <v>0</v>
          </cell>
        </row>
        <row r="2265">
          <cell r="BY2265">
            <v>0</v>
          </cell>
          <cell r="BZ2265">
            <v>0</v>
          </cell>
          <cell r="CA2265">
            <v>0</v>
          </cell>
          <cell r="CB2265">
            <v>0</v>
          </cell>
          <cell r="CC2265">
            <v>0</v>
          </cell>
          <cell r="CD2265">
            <v>0</v>
          </cell>
          <cell r="CE2265">
            <v>0</v>
          </cell>
        </row>
        <row r="2266">
          <cell r="BY2266">
            <v>0</v>
          </cell>
          <cell r="BZ2266">
            <v>0</v>
          </cell>
          <cell r="CA2266">
            <v>0</v>
          </cell>
          <cell r="CB2266">
            <v>0</v>
          </cell>
          <cell r="CC2266">
            <v>0</v>
          </cell>
          <cell r="CD2266">
            <v>0</v>
          </cell>
          <cell r="CE2266">
            <v>0</v>
          </cell>
        </row>
        <row r="2267">
          <cell r="BY2267">
            <v>0</v>
          </cell>
          <cell r="BZ2267">
            <v>0</v>
          </cell>
          <cell r="CA2267">
            <v>0</v>
          </cell>
          <cell r="CB2267">
            <v>0</v>
          </cell>
          <cell r="CC2267">
            <v>0</v>
          </cell>
          <cell r="CD2267">
            <v>0</v>
          </cell>
          <cell r="CE2267">
            <v>0</v>
          </cell>
        </row>
        <row r="2268">
          <cell r="BY2268">
            <v>0</v>
          </cell>
          <cell r="BZ2268">
            <v>0</v>
          </cell>
          <cell r="CA2268">
            <v>0</v>
          </cell>
          <cell r="CB2268">
            <v>0</v>
          </cell>
          <cell r="CC2268">
            <v>0</v>
          </cell>
          <cell r="CD2268">
            <v>0</v>
          </cell>
          <cell r="CE2268">
            <v>0</v>
          </cell>
        </row>
        <row r="2269">
          <cell r="BY2269">
            <v>0</v>
          </cell>
          <cell r="BZ2269">
            <v>0</v>
          </cell>
          <cell r="CA2269">
            <v>0</v>
          </cell>
          <cell r="CB2269">
            <v>0</v>
          </cell>
          <cell r="CC2269">
            <v>0</v>
          </cell>
          <cell r="CD2269">
            <v>0</v>
          </cell>
          <cell r="CE2269">
            <v>0</v>
          </cell>
        </row>
        <row r="2270">
          <cell r="BY2270">
            <v>0</v>
          </cell>
          <cell r="BZ2270">
            <v>0</v>
          </cell>
          <cell r="CA2270">
            <v>0</v>
          </cell>
          <cell r="CB2270">
            <v>0</v>
          </cell>
          <cell r="CC2270">
            <v>0</v>
          </cell>
          <cell r="CD2270">
            <v>0</v>
          </cell>
          <cell r="CE2270">
            <v>0</v>
          </cell>
        </row>
        <row r="2271">
          <cell r="BY2271">
            <v>0</v>
          </cell>
          <cell r="BZ2271">
            <v>0</v>
          </cell>
          <cell r="CA2271">
            <v>0</v>
          </cell>
          <cell r="CB2271">
            <v>0</v>
          </cell>
          <cell r="CC2271">
            <v>0</v>
          </cell>
          <cell r="CD2271">
            <v>0</v>
          </cell>
          <cell r="CE2271">
            <v>0</v>
          </cell>
        </row>
        <row r="2272">
          <cell r="BY2272">
            <v>0</v>
          </cell>
          <cell r="BZ2272">
            <v>0</v>
          </cell>
          <cell r="CA2272">
            <v>0</v>
          </cell>
          <cell r="CB2272">
            <v>0</v>
          </cell>
          <cell r="CC2272">
            <v>0</v>
          </cell>
          <cell r="CD2272">
            <v>0</v>
          </cell>
          <cell r="CE2272">
            <v>0</v>
          </cell>
        </row>
        <row r="2273">
          <cell r="BY2273">
            <v>0</v>
          </cell>
          <cell r="BZ2273">
            <v>0</v>
          </cell>
          <cell r="CA2273">
            <v>0</v>
          </cell>
          <cell r="CB2273">
            <v>0</v>
          </cell>
          <cell r="CC2273">
            <v>0</v>
          </cell>
          <cell r="CD2273">
            <v>0</v>
          </cell>
          <cell r="CE2273">
            <v>0</v>
          </cell>
        </row>
        <row r="2274">
          <cell r="BY2274">
            <v>0</v>
          </cell>
          <cell r="BZ2274">
            <v>0</v>
          </cell>
          <cell r="CA2274">
            <v>0</v>
          </cell>
          <cell r="CB2274">
            <v>0</v>
          </cell>
          <cell r="CC2274">
            <v>0</v>
          </cell>
          <cell r="CD2274">
            <v>0</v>
          </cell>
          <cell r="CE2274">
            <v>0</v>
          </cell>
        </row>
        <row r="2275">
          <cell r="BY2275">
            <v>0</v>
          </cell>
          <cell r="BZ2275">
            <v>0</v>
          </cell>
          <cell r="CA2275">
            <v>0</v>
          </cell>
          <cell r="CB2275">
            <v>0</v>
          </cell>
          <cell r="CC2275">
            <v>0</v>
          </cell>
          <cell r="CD2275">
            <v>0</v>
          </cell>
          <cell r="CE2275">
            <v>0</v>
          </cell>
        </row>
        <row r="2276">
          <cell r="BY2276">
            <v>0</v>
          </cell>
          <cell r="BZ2276">
            <v>0</v>
          </cell>
          <cell r="CA2276">
            <v>0</v>
          </cell>
          <cell r="CB2276">
            <v>0</v>
          </cell>
          <cell r="CC2276">
            <v>0</v>
          </cell>
          <cell r="CD2276">
            <v>0</v>
          </cell>
          <cell r="CE2276">
            <v>0</v>
          </cell>
        </row>
        <row r="2277">
          <cell r="BY2277">
            <v>0</v>
          </cell>
          <cell r="BZ2277">
            <v>0</v>
          </cell>
          <cell r="CA2277">
            <v>0</v>
          </cell>
          <cell r="CB2277">
            <v>0</v>
          </cell>
          <cell r="CC2277">
            <v>0</v>
          </cell>
          <cell r="CD2277">
            <v>0</v>
          </cell>
          <cell r="CE2277">
            <v>0</v>
          </cell>
        </row>
        <row r="2278">
          <cell r="BY2278">
            <v>0</v>
          </cell>
          <cell r="BZ2278">
            <v>0</v>
          </cell>
          <cell r="CA2278">
            <v>0</v>
          </cell>
          <cell r="CB2278">
            <v>0</v>
          </cell>
          <cell r="CC2278">
            <v>0</v>
          </cell>
          <cell r="CD2278">
            <v>0</v>
          </cell>
          <cell r="CE2278">
            <v>0</v>
          </cell>
        </row>
        <row r="2279">
          <cell r="BY2279">
            <v>0</v>
          </cell>
          <cell r="BZ2279">
            <v>0</v>
          </cell>
          <cell r="CA2279">
            <v>0</v>
          </cell>
          <cell r="CB2279">
            <v>0</v>
          </cell>
          <cell r="CC2279">
            <v>0</v>
          </cell>
          <cell r="CD2279">
            <v>0</v>
          </cell>
          <cell r="CE2279">
            <v>0</v>
          </cell>
        </row>
        <row r="2280">
          <cell r="BY2280">
            <v>0</v>
          </cell>
          <cell r="BZ2280">
            <v>0</v>
          </cell>
          <cell r="CA2280">
            <v>0</v>
          </cell>
          <cell r="CB2280">
            <v>0</v>
          </cell>
          <cell r="CC2280">
            <v>0</v>
          </cell>
          <cell r="CD2280">
            <v>0</v>
          </cell>
          <cell r="CE2280">
            <v>0</v>
          </cell>
        </row>
        <row r="2281">
          <cell r="BY2281">
            <v>0</v>
          </cell>
          <cell r="BZ2281">
            <v>0</v>
          </cell>
          <cell r="CA2281">
            <v>0</v>
          </cell>
          <cell r="CB2281">
            <v>0</v>
          </cell>
          <cell r="CC2281">
            <v>0</v>
          </cell>
          <cell r="CD2281">
            <v>0</v>
          </cell>
          <cell r="CE2281">
            <v>0</v>
          </cell>
        </row>
        <row r="2282">
          <cell r="BY2282">
            <v>0</v>
          </cell>
          <cell r="BZ2282">
            <v>0</v>
          </cell>
          <cell r="CA2282">
            <v>0</v>
          </cell>
          <cell r="CB2282">
            <v>0</v>
          </cell>
          <cell r="CC2282">
            <v>0</v>
          </cell>
          <cell r="CD2282">
            <v>0</v>
          </cell>
          <cell r="CE2282">
            <v>0</v>
          </cell>
        </row>
        <row r="2283">
          <cell r="BY2283">
            <v>0</v>
          </cell>
          <cell r="BZ2283">
            <v>0</v>
          </cell>
          <cell r="CA2283">
            <v>0</v>
          </cell>
          <cell r="CB2283">
            <v>0</v>
          </cell>
          <cell r="CC2283">
            <v>0</v>
          </cell>
          <cell r="CD2283">
            <v>0</v>
          </cell>
          <cell r="CE2283">
            <v>0</v>
          </cell>
        </row>
        <row r="2284">
          <cell r="BY2284">
            <v>0</v>
          </cell>
          <cell r="BZ2284">
            <v>0</v>
          </cell>
          <cell r="CA2284">
            <v>0</v>
          </cell>
          <cell r="CB2284">
            <v>0</v>
          </cell>
          <cell r="CC2284">
            <v>0</v>
          </cell>
          <cell r="CD2284">
            <v>0</v>
          </cell>
          <cell r="CE2284">
            <v>0</v>
          </cell>
        </row>
        <row r="2285">
          <cell r="BY2285">
            <v>0</v>
          </cell>
          <cell r="BZ2285">
            <v>0</v>
          </cell>
          <cell r="CA2285">
            <v>0</v>
          </cell>
          <cell r="CB2285" t="str">
            <v>VALE    /EDJ</v>
          </cell>
          <cell r="CC2285" t="str">
            <v>PNA     N1</v>
          </cell>
          <cell r="CD2285" t="str">
            <v xml:space="preserve">OPCOES COMPRA  </v>
          </cell>
          <cell r="CE2285" t="str">
            <v xml:space="preserve">Americano      </v>
          </cell>
        </row>
        <row r="2286">
          <cell r="BY2286">
            <v>0</v>
          </cell>
          <cell r="BZ2286">
            <v>0</v>
          </cell>
          <cell r="CA2286">
            <v>0</v>
          </cell>
          <cell r="CB2286" t="str">
            <v>VALE    /EDJ</v>
          </cell>
          <cell r="CC2286" t="str">
            <v>PNA     N1</v>
          </cell>
          <cell r="CD2286" t="str">
            <v xml:space="preserve">OPCOES COMPRA  </v>
          </cell>
          <cell r="CE2286" t="str">
            <v xml:space="preserve">Americano      </v>
          </cell>
        </row>
        <row r="2287">
          <cell r="BY2287">
            <v>0</v>
          </cell>
          <cell r="BZ2287">
            <v>0</v>
          </cell>
          <cell r="CA2287">
            <v>0</v>
          </cell>
          <cell r="CB2287" t="str">
            <v>VALE    /EDJ</v>
          </cell>
          <cell r="CC2287" t="str">
            <v>PNA     N1</v>
          </cell>
          <cell r="CD2287" t="str">
            <v xml:space="preserve">OPCOES COMPRA  </v>
          </cell>
          <cell r="CE2287" t="str">
            <v xml:space="preserve">Americano      </v>
          </cell>
        </row>
        <row r="2288">
          <cell r="BY2288">
            <v>0</v>
          </cell>
          <cell r="BZ2288">
            <v>0</v>
          </cell>
          <cell r="CA2288">
            <v>0</v>
          </cell>
          <cell r="CB2288" t="str">
            <v>VALE    /EDJ</v>
          </cell>
          <cell r="CC2288" t="str">
            <v>PNA     N1</v>
          </cell>
          <cell r="CD2288" t="str">
            <v xml:space="preserve">OPCOES COMPRA  </v>
          </cell>
          <cell r="CE2288" t="str">
            <v xml:space="preserve">Americano      </v>
          </cell>
        </row>
        <row r="2289">
          <cell r="BY2289">
            <v>0</v>
          </cell>
          <cell r="BZ2289">
            <v>0</v>
          </cell>
          <cell r="CA2289">
            <v>0</v>
          </cell>
          <cell r="CB2289" t="str">
            <v>VALE    /EDJ</v>
          </cell>
          <cell r="CC2289" t="str">
            <v>PNA     N1</v>
          </cell>
          <cell r="CD2289" t="str">
            <v xml:space="preserve">OPCOES COMPRA  </v>
          </cell>
          <cell r="CE2289" t="str">
            <v xml:space="preserve">Americano      </v>
          </cell>
        </row>
        <row r="2290">
          <cell r="BY2290">
            <v>0</v>
          </cell>
          <cell r="BZ2290">
            <v>0</v>
          </cell>
          <cell r="CA2290">
            <v>0</v>
          </cell>
          <cell r="CB2290" t="str">
            <v>VALE    /EDJ</v>
          </cell>
          <cell r="CC2290" t="str">
            <v>PNA     N1</v>
          </cell>
          <cell r="CD2290" t="str">
            <v xml:space="preserve">OPCOES COMPRA  </v>
          </cell>
          <cell r="CE2290" t="str">
            <v xml:space="preserve">Americano      </v>
          </cell>
        </row>
        <row r="2291">
          <cell r="BY2291">
            <v>0</v>
          </cell>
          <cell r="BZ2291">
            <v>0</v>
          </cell>
          <cell r="CA2291">
            <v>0</v>
          </cell>
          <cell r="CB2291" t="str">
            <v>VALE    /EDJ</v>
          </cell>
          <cell r="CC2291" t="str">
            <v>PNA     N1</v>
          </cell>
          <cell r="CD2291" t="str">
            <v xml:space="preserve">OPCOES COMPRA  </v>
          </cell>
          <cell r="CE2291" t="str">
            <v xml:space="preserve">Europeu        </v>
          </cell>
        </row>
        <row r="2292">
          <cell r="BY2292">
            <v>0</v>
          </cell>
          <cell r="BZ2292">
            <v>0</v>
          </cell>
          <cell r="CA2292">
            <v>0</v>
          </cell>
          <cell r="CB2292" t="str">
            <v>VALE    /EDJ</v>
          </cell>
          <cell r="CC2292" t="str">
            <v>PNA     N1</v>
          </cell>
          <cell r="CD2292" t="str">
            <v xml:space="preserve">OPCOES COMPRA  </v>
          </cell>
          <cell r="CE2292" t="str">
            <v xml:space="preserve">Americano      </v>
          </cell>
        </row>
        <row r="2293">
          <cell r="BY2293">
            <v>0</v>
          </cell>
          <cell r="BZ2293">
            <v>0</v>
          </cell>
          <cell r="CA2293">
            <v>0</v>
          </cell>
          <cell r="CB2293" t="str">
            <v>VALE    /EDJ</v>
          </cell>
          <cell r="CC2293" t="str">
            <v>PNA     N1</v>
          </cell>
          <cell r="CD2293" t="str">
            <v xml:space="preserve">OPCOES COMPRA  </v>
          </cell>
          <cell r="CE2293" t="str">
            <v xml:space="preserve">Americano      </v>
          </cell>
        </row>
        <row r="2294">
          <cell r="BY2294">
            <v>0</v>
          </cell>
          <cell r="BZ2294">
            <v>0</v>
          </cell>
          <cell r="CA2294">
            <v>0</v>
          </cell>
          <cell r="CB2294" t="str">
            <v>VALE    /EDJ</v>
          </cell>
          <cell r="CC2294" t="str">
            <v>PNA     N1</v>
          </cell>
          <cell r="CD2294" t="str">
            <v xml:space="preserve">OPCOES COMPRA  </v>
          </cell>
          <cell r="CE2294" t="str">
            <v xml:space="preserve">Americano      </v>
          </cell>
        </row>
        <row r="2295">
          <cell r="BY2295">
            <v>0</v>
          </cell>
          <cell r="BZ2295">
            <v>0</v>
          </cell>
          <cell r="CA2295">
            <v>0</v>
          </cell>
          <cell r="CB2295" t="str">
            <v>VALE    /EDJ</v>
          </cell>
          <cell r="CC2295" t="str">
            <v>PNA     N1</v>
          </cell>
          <cell r="CD2295" t="str">
            <v xml:space="preserve">OPCOES COMPRA  </v>
          </cell>
          <cell r="CE2295" t="str">
            <v xml:space="preserve">Americano      </v>
          </cell>
        </row>
        <row r="2296">
          <cell r="BY2296">
            <v>0</v>
          </cell>
          <cell r="BZ2296">
            <v>0</v>
          </cell>
          <cell r="CA2296">
            <v>0</v>
          </cell>
          <cell r="CB2296" t="str">
            <v>VALE    /EDJ</v>
          </cell>
          <cell r="CC2296" t="str">
            <v>PNA     N1</v>
          </cell>
          <cell r="CD2296" t="str">
            <v xml:space="preserve">OPCOES COMPRA  </v>
          </cell>
          <cell r="CE2296" t="str">
            <v xml:space="preserve">Europeu        </v>
          </cell>
        </row>
        <row r="2297">
          <cell r="BY2297">
            <v>0</v>
          </cell>
          <cell r="BZ2297">
            <v>0</v>
          </cell>
          <cell r="CA2297">
            <v>0</v>
          </cell>
          <cell r="CB2297" t="str">
            <v>VALE    /EDJ</v>
          </cell>
          <cell r="CC2297" t="str">
            <v>PNA     N1</v>
          </cell>
          <cell r="CD2297" t="str">
            <v xml:space="preserve">OPCOES COMPRA  </v>
          </cell>
          <cell r="CE2297" t="str">
            <v xml:space="preserve">Americano      </v>
          </cell>
        </row>
        <row r="2298">
          <cell r="BY2298">
            <v>0</v>
          </cell>
          <cell r="BZ2298">
            <v>0</v>
          </cell>
          <cell r="CA2298">
            <v>0</v>
          </cell>
          <cell r="CB2298" t="str">
            <v>VALE    /EDJ</v>
          </cell>
          <cell r="CC2298" t="str">
            <v>PNA     N1</v>
          </cell>
          <cell r="CD2298" t="str">
            <v xml:space="preserve">OPCOES COMPRA  </v>
          </cell>
          <cell r="CE2298" t="str">
            <v xml:space="preserve">Americano      </v>
          </cell>
        </row>
        <row r="2299">
          <cell r="BY2299">
            <v>0</v>
          </cell>
          <cell r="BZ2299">
            <v>0</v>
          </cell>
          <cell r="CA2299">
            <v>0</v>
          </cell>
          <cell r="CB2299" t="str">
            <v>VALE    /EDJ</v>
          </cell>
          <cell r="CC2299" t="str">
            <v>PNA     N1</v>
          </cell>
          <cell r="CD2299" t="str">
            <v xml:space="preserve">OPCOES COMPRA  </v>
          </cell>
          <cell r="CE2299" t="str">
            <v xml:space="preserve">Americano      </v>
          </cell>
        </row>
        <row r="2300">
          <cell r="BY2300">
            <v>0</v>
          </cell>
          <cell r="BZ2300">
            <v>0</v>
          </cell>
          <cell r="CA2300">
            <v>0</v>
          </cell>
          <cell r="CB2300" t="str">
            <v>VALE    /EDJ</v>
          </cell>
          <cell r="CC2300" t="str">
            <v>PNA     N1</v>
          </cell>
          <cell r="CD2300" t="str">
            <v xml:space="preserve">OPCOES COMPRA  </v>
          </cell>
          <cell r="CE2300" t="str">
            <v xml:space="preserve">Europeu        </v>
          </cell>
        </row>
        <row r="2301">
          <cell r="BY2301">
            <v>0</v>
          </cell>
          <cell r="BZ2301">
            <v>0</v>
          </cell>
          <cell r="CA2301">
            <v>0</v>
          </cell>
          <cell r="CB2301" t="str">
            <v>VALE    /EDJ</v>
          </cell>
          <cell r="CC2301" t="str">
            <v>PNA     N1</v>
          </cell>
          <cell r="CD2301" t="str">
            <v xml:space="preserve">OPCOES COMPRA  </v>
          </cell>
          <cell r="CE2301" t="str">
            <v xml:space="preserve">Europeu        </v>
          </cell>
        </row>
        <row r="2302">
          <cell r="BY2302">
            <v>0</v>
          </cell>
          <cell r="BZ2302">
            <v>0</v>
          </cell>
          <cell r="CA2302">
            <v>0</v>
          </cell>
          <cell r="CB2302" t="str">
            <v>VALE    /EDJ</v>
          </cell>
          <cell r="CC2302" t="str">
            <v>PNA     N1</v>
          </cell>
          <cell r="CD2302" t="str">
            <v xml:space="preserve">OPCOES COMPRA  </v>
          </cell>
          <cell r="CE2302" t="str">
            <v xml:space="preserve">Europeu        </v>
          </cell>
        </row>
        <row r="2303">
          <cell r="BY2303">
            <v>0</v>
          </cell>
          <cell r="BZ2303">
            <v>0</v>
          </cell>
          <cell r="CA2303">
            <v>0</v>
          </cell>
          <cell r="CB2303" t="str">
            <v>VALE    /EDJ</v>
          </cell>
          <cell r="CC2303" t="str">
            <v>PNA     N1</v>
          </cell>
          <cell r="CD2303" t="str">
            <v xml:space="preserve">OPCOES COMPRA  </v>
          </cell>
          <cell r="CE2303" t="str">
            <v xml:space="preserve">Europeu        </v>
          </cell>
        </row>
        <row r="2304">
          <cell r="BY2304">
            <v>0</v>
          </cell>
          <cell r="BZ2304">
            <v>0</v>
          </cell>
          <cell r="CA2304">
            <v>0</v>
          </cell>
          <cell r="CB2304" t="str">
            <v>VALE    /EDJ</v>
          </cell>
          <cell r="CC2304" t="str">
            <v>PNA     N1</v>
          </cell>
          <cell r="CD2304" t="str">
            <v xml:space="preserve">OPCOES COMPRA  </v>
          </cell>
          <cell r="CE2304" t="str">
            <v xml:space="preserve">Europeu        </v>
          </cell>
        </row>
        <row r="2305">
          <cell r="BY2305">
            <v>0</v>
          </cell>
          <cell r="BZ2305">
            <v>0</v>
          </cell>
          <cell r="CA2305">
            <v>0</v>
          </cell>
          <cell r="CB2305" t="str">
            <v>VALE    /EDJ</v>
          </cell>
          <cell r="CC2305" t="str">
            <v>PNA     N1</v>
          </cell>
          <cell r="CD2305" t="str">
            <v xml:space="preserve">OPCOES COMPRA  </v>
          </cell>
          <cell r="CE2305" t="str">
            <v xml:space="preserve">Europeu        </v>
          </cell>
        </row>
        <row r="2306">
          <cell r="BY2306">
            <v>0</v>
          </cell>
          <cell r="BZ2306">
            <v>0</v>
          </cell>
          <cell r="CA2306">
            <v>0</v>
          </cell>
          <cell r="CB2306" t="str">
            <v>VALE    /EDJ</v>
          </cell>
          <cell r="CC2306" t="str">
            <v>PNA     N1</v>
          </cell>
          <cell r="CD2306" t="str">
            <v xml:space="preserve">OPCOES COMPRA  </v>
          </cell>
          <cell r="CE2306" t="str">
            <v xml:space="preserve">Europeu        </v>
          </cell>
        </row>
        <row r="2307">
          <cell r="BY2307">
            <v>0</v>
          </cell>
          <cell r="BZ2307">
            <v>0</v>
          </cell>
          <cell r="CA2307">
            <v>0</v>
          </cell>
          <cell r="CB2307" t="str">
            <v>VALE    /EDJ</v>
          </cell>
          <cell r="CC2307" t="str">
            <v>PNA     N1</v>
          </cell>
          <cell r="CD2307" t="str">
            <v xml:space="preserve">OPCOES COMPRA  </v>
          </cell>
          <cell r="CE2307" t="str">
            <v xml:space="preserve">Europeu        </v>
          </cell>
        </row>
        <row r="2308">
          <cell r="BY2308">
            <v>0</v>
          </cell>
          <cell r="BZ2308">
            <v>0</v>
          </cell>
          <cell r="CA2308">
            <v>0</v>
          </cell>
          <cell r="CB2308" t="str">
            <v>VALE    /EDJ</v>
          </cell>
          <cell r="CC2308" t="str">
            <v>PNA     N1</v>
          </cell>
          <cell r="CD2308" t="str">
            <v xml:space="preserve">OPCOES COMPRA  </v>
          </cell>
          <cell r="CE2308" t="str">
            <v xml:space="preserve">Europeu        </v>
          </cell>
        </row>
        <row r="2309">
          <cell r="BY2309">
            <v>0</v>
          </cell>
          <cell r="BZ2309">
            <v>0</v>
          </cell>
          <cell r="CA2309">
            <v>0</v>
          </cell>
          <cell r="CB2309" t="str">
            <v>VALE    /EDJ</v>
          </cell>
          <cell r="CC2309" t="str">
            <v>PNA     N1</v>
          </cell>
          <cell r="CD2309" t="str">
            <v xml:space="preserve">OPCOES COMPRA  </v>
          </cell>
          <cell r="CE2309" t="str">
            <v xml:space="preserve">Europeu        </v>
          </cell>
        </row>
        <row r="2310">
          <cell r="BY2310">
            <v>0</v>
          </cell>
          <cell r="BZ2310">
            <v>0</v>
          </cell>
          <cell r="CA2310">
            <v>0</v>
          </cell>
          <cell r="CB2310" t="str">
            <v>VALE    /EDJ</v>
          </cell>
          <cell r="CC2310" t="str">
            <v>PNA     N1</v>
          </cell>
          <cell r="CD2310" t="str">
            <v xml:space="preserve">OPCOES COMPRA  </v>
          </cell>
          <cell r="CE2310" t="str">
            <v xml:space="preserve">Europeu        </v>
          </cell>
        </row>
        <row r="2311">
          <cell r="BY2311">
            <v>0</v>
          </cell>
          <cell r="BZ2311">
            <v>0</v>
          </cell>
          <cell r="CA2311">
            <v>0</v>
          </cell>
          <cell r="CB2311" t="str">
            <v>VALE    /EDJ</v>
          </cell>
          <cell r="CC2311" t="str">
            <v>PNA     N1</v>
          </cell>
          <cell r="CD2311" t="str">
            <v xml:space="preserve">OPCOES COMPRA  </v>
          </cell>
          <cell r="CE2311" t="str">
            <v xml:space="preserve">Americano      </v>
          </cell>
        </row>
        <row r="2312">
          <cell r="BY2312">
            <v>0</v>
          </cell>
          <cell r="BZ2312">
            <v>0</v>
          </cell>
          <cell r="CA2312">
            <v>0</v>
          </cell>
          <cell r="CB2312" t="str">
            <v>VALE    /EDJ</v>
          </cell>
          <cell r="CC2312" t="str">
            <v>PNA     N1</v>
          </cell>
          <cell r="CD2312" t="str">
            <v xml:space="preserve">OPCOES COMPRA  </v>
          </cell>
          <cell r="CE2312" t="str">
            <v xml:space="preserve">Americano      </v>
          </cell>
        </row>
        <row r="2313">
          <cell r="BY2313">
            <v>0</v>
          </cell>
          <cell r="BZ2313">
            <v>0</v>
          </cell>
          <cell r="CA2313">
            <v>0</v>
          </cell>
          <cell r="CB2313" t="str">
            <v>VALE    /EDJ</v>
          </cell>
          <cell r="CC2313" t="str">
            <v>PNA     N1</v>
          </cell>
          <cell r="CD2313" t="str">
            <v xml:space="preserve">OPCOES COMPRA  </v>
          </cell>
          <cell r="CE2313" t="str">
            <v xml:space="preserve">Europeu        </v>
          </cell>
        </row>
        <row r="2314">
          <cell r="BY2314">
            <v>0</v>
          </cell>
          <cell r="BZ2314">
            <v>0</v>
          </cell>
          <cell r="CA2314">
            <v>0</v>
          </cell>
          <cell r="CB2314" t="str">
            <v>VALE    /EDJ</v>
          </cell>
          <cell r="CC2314" t="str">
            <v>PNA     N1</v>
          </cell>
          <cell r="CD2314" t="str">
            <v xml:space="preserve">OPCOES COMPRA  </v>
          </cell>
          <cell r="CE2314" t="str">
            <v xml:space="preserve">Europeu        </v>
          </cell>
        </row>
        <row r="2315">
          <cell r="BY2315">
            <v>0</v>
          </cell>
          <cell r="BZ2315">
            <v>0</v>
          </cell>
          <cell r="CA2315">
            <v>0</v>
          </cell>
          <cell r="CB2315" t="str">
            <v>VALE    /EDJ</v>
          </cell>
          <cell r="CC2315" t="str">
            <v>PNA     N1</v>
          </cell>
          <cell r="CD2315" t="str">
            <v xml:space="preserve">OPCOES COMPRA  </v>
          </cell>
          <cell r="CE2315" t="str">
            <v xml:space="preserve">Europeu        </v>
          </cell>
        </row>
        <row r="2316">
          <cell r="BY2316">
            <v>0</v>
          </cell>
          <cell r="BZ2316">
            <v>0</v>
          </cell>
          <cell r="CA2316">
            <v>0</v>
          </cell>
          <cell r="CB2316" t="str">
            <v>VALE    /EDJ</v>
          </cell>
          <cell r="CC2316" t="str">
            <v>PNA     N1</v>
          </cell>
          <cell r="CD2316" t="str">
            <v xml:space="preserve">OPCOES COMPRA  </v>
          </cell>
          <cell r="CE2316" t="str">
            <v xml:space="preserve">Europeu        </v>
          </cell>
        </row>
        <row r="2317">
          <cell r="BY2317">
            <v>0</v>
          </cell>
          <cell r="BZ2317">
            <v>0</v>
          </cell>
          <cell r="CA2317">
            <v>0</v>
          </cell>
          <cell r="CB2317" t="str">
            <v>VALE    /EDJ</v>
          </cell>
          <cell r="CC2317" t="str">
            <v>PNA     N1</v>
          </cell>
          <cell r="CD2317" t="str">
            <v xml:space="preserve">OPCOES VENDA   </v>
          </cell>
          <cell r="CE2317" t="str">
            <v xml:space="preserve">Europeu        </v>
          </cell>
        </row>
        <row r="2318">
          <cell r="BY2318">
            <v>0</v>
          </cell>
          <cell r="BZ2318">
            <v>0</v>
          </cell>
          <cell r="CA2318">
            <v>0</v>
          </cell>
          <cell r="CB2318" t="str">
            <v>VALE    /EDJ</v>
          </cell>
          <cell r="CC2318" t="str">
            <v>PNA     N1</v>
          </cell>
          <cell r="CD2318" t="str">
            <v xml:space="preserve">OPCOES VENDA   </v>
          </cell>
          <cell r="CE2318" t="str">
            <v xml:space="preserve">Europeu        </v>
          </cell>
        </row>
        <row r="2319">
          <cell r="BY2319">
            <v>0</v>
          </cell>
          <cell r="BZ2319">
            <v>0</v>
          </cell>
          <cell r="CA2319">
            <v>0</v>
          </cell>
          <cell r="CB2319" t="str">
            <v>VALE    /EDJ</v>
          </cell>
          <cell r="CC2319" t="str">
            <v>PNA     N1</v>
          </cell>
          <cell r="CD2319" t="str">
            <v xml:space="preserve">OPCOES VENDA   </v>
          </cell>
          <cell r="CE2319" t="str">
            <v xml:space="preserve">Europeu        </v>
          </cell>
        </row>
        <row r="2320">
          <cell r="BY2320">
            <v>0</v>
          </cell>
          <cell r="BZ2320">
            <v>0</v>
          </cell>
          <cell r="CA2320">
            <v>0</v>
          </cell>
          <cell r="CB2320" t="str">
            <v>VALE    /EDJ</v>
          </cell>
          <cell r="CC2320" t="str">
            <v>PNA     N1</v>
          </cell>
          <cell r="CD2320" t="str">
            <v xml:space="preserve">OPCOES VENDA   </v>
          </cell>
          <cell r="CE2320" t="str">
            <v xml:space="preserve">Europeu        </v>
          </cell>
        </row>
        <row r="2321">
          <cell r="BY2321">
            <v>0</v>
          </cell>
          <cell r="BZ2321">
            <v>0</v>
          </cell>
          <cell r="CA2321">
            <v>0</v>
          </cell>
          <cell r="CB2321" t="str">
            <v>VALE    /EDJ</v>
          </cell>
          <cell r="CC2321" t="str">
            <v>PNA     N1</v>
          </cell>
          <cell r="CD2321" t="str">
            <v xml:space="preserve">OPCOES VENDA   </v>
          </cell>
          <cell r="CE2321" t="str">
            <v xml:space="preserve">Europeu        </v>
          </cell>
        </row>
        <row r="2322">
          <cell r="BY2322">
            <v>0</v>
          </cell>
          <cell r="BZ2322">
            <v>0</v>
          </cell>
          <cell r="CA2322">
            <v>0</v>
          </cell>
          <cell r="CB2322" t="str">
            <v>VALE    /EDJ</v>
          </cell>
          <cell r="CC2322" t="str">
            <v>PNA     N1</v>
          </cell>
          <cell r="CD2322" t="str">
            <v xml:space="preserve">OPCOES VENDA   </v>
          </cell>
          <cell r="CE2322" t="str">
            <v xml:space="preserve">Europeu        </v>
          </cell>
        </row>
        <row r="2323">
          <cell r="BY2323">
            <v>0</v>
          </cell>
          <cell r="BZ2323">
            <v>0</v>
          </cell>
          <cell r="CA2323">
            <v>0</v>
          </cell>
          <cell r="CB2323" t="str">
            <v>VALE    /EDJ</v>
          </cell>
          <cell r="CC2323" t="str">
            <v>PNA     N1</v>
          </cell>
          <cell r="CD2323" t="str">
            <v xml:space="preserve">OPCOES VENDA   </v>
          </cell>
          <cell r="CE2323" t="str">
            <v xml:space="preserve">Europeu        </v>
          </cell>
        </row>
        <row r="2324">
          <cell r="BY2324">
            <v>0</v>
          </cell>
          <cell r="BZ2324">
            <v>0</v>
          </cell>
          <cell r="CA2324">
            <v>0</v>
          </cell>
          <cell r="CB2324" t="str">
            <v>VALE    /EDJ</v>
          </cell>
          <cell r="CC2324" t="str">
            <v>PNA     N1</v>
          </cell>
          <cell r="CD2324" t="str">
            <v xml:space="preserve">OPCOES VENDA   </v>
          </cell>
          <cell r="CE2324" t="str">
            <v xml:space="preserve">Europeu        </v>
          </cell>
        </row>
        <row r="2325">
          <cell r="BY2325">
            <v>0</v>
          </cell>
          <cell r="BZ2325">
            <v>0</v>
          </cell>
          <cell r="CA2325">
            <v>0</v>
          </cell>
          <cell r="CB2325" t="str">
            <v>VALE    /EDJ</v>
          </cell>
          <cell r="CC2325" t="str">
            <v>PNA     N1</v>
          </cell>
          <cell r="CD2325" t="str">
            <v xml:space="preserve">OPCOES VENDA   </v>
          </cell>
          <cell r="CE2325" t="str">
            <v xml:space="preserve">Europeu        </v>
          </cell>
        </row>
        <row r="2326">
          <cell r="BY2326">
            <v>0</v>
          </cell>
          <cell r="BZ2326">
            <v>0</v>
          </cell>
          <cell r="CA2326">
            <v>0</v>
          </cell>
          <cell r="CB2326" t="str">
            <v>VALE    /EDJ</v>
          </cell>
          <cell r="CC2326" t="str">
            <v>PNA     N1</v>
          </cell>
          <cell r="CD2326" t="str">
            <v xml:space="preserve">OPCOES VENDA   </v>
          </cell>
          <cell r="CE2326" t="str">
            <v xml:space="preserve">Europeu        </v>
          </cell>
        </row>
        <row r="2327">
          <cell r="BY2327">
            <v>0</v>
          </cell>
          <cell r="BZ2327">
            <v>0</v>
          </cell>
          <cell r="CA2327">
            <v>0</v>
          </cell>
          <cell r="CB2327" t="str">
            <v>VALE    /EDJ</v>
          </cell>
          <cell r="CC2327" t="str">
            <v>PNA     N1</v>
          </cell>
          <cell r="CD2327" t="str">
            <v xml:space="preserve">OPCOES VENDA   </v>
          </cell>
          <cell r="CE2327" t="str">
            <v xml:space="preserve">Europeu        </v>
          </cell>
        </row>
        <row r="2328">
          <cell r="BY2328">
            <v>0</v>
          </cell>
          <cell r="BZ2328">
            <v>0</v>
          </cell>
          <cell r="CA2328">
            <v>0</v>
          </cell>
          <cell r="CB2328" t="str">
            <v>VALE    /EDJ</v>
          </cell>
          <cell r="CC2328" t="str">
            <v>PNA     N1</v>
          </cell>
          <cell r="CD2328" t="str">
            <v xml:space="preserve">OPCOES VENDA   </v>
          </cell>
          <cell r="CE2328" t="str">
            <v xml:space="preserve">Europeu        </v>
          </cell>
        </row>
        <row r="2329">
          <cell r="BY2329">
            <v>0</v>
          </cell>
          <cell r="BZ2329">
            <v>0</v>
          </cell>
          <cell r="CA2329">
            <v>0</v>
          </cell>
          <cell r="CB2329" t="str">
            <v>VALE    /EDJ</v>
          </cell>
          <cell r="CC2329" t="str">
            <v>PNA     N1</v>
          </cell>
          <cell r="CD2329" t="str">
            <v xml:space="preserve">OPCOES VENDA   </v>
          </cell>
          <cell r="CE2329" t="str">
            <v xml:space="preserve">Europeu        </v>
          </cell>
        </row>
        <row r="2330">
          <cell r="BY2330">
            <v>0</v>
          </cell>
          <cell r="BZ2330">
            <v>0</v>
          </cell>
          <cell r="CA2330">
            <v>0</v>
          </cell>
          <cell r="CB2330" t="str">
            <v>VALE    /EDJ</v>
          </cell>
          <cell r="CC2330" t="str">
            <v>PNA     N1</v>
          </cell>
          <cell r="CD2330" t="str">
            <v xml:space="preserve">OPCOES VENDA   </v>
          </cell>
          <cell r="CE2330" t="str">
            <v xml:space="preserve">Europeu        </v>
          </cell>
        </row>
        <row r="2331">
          <cell r="BY2331">
            <v>0</v>
          </cell>
          <cell r="BZ2331">
            <v>0</v>
          </cell>
          <cell r="CA2331">
            <v>0</v>
          </cell>
          <cell r="CB2331" t="str">
            <v>VALE    /EDJ</v>
          </cell>
          <cell r="CC2331" t="str">
            <v>PNA     N1</v>
          </cell>
          <cell r="CD2331" t="str">
            <v xml:space="preserve">OPCOES VENDA   </v>
          </cell>
          <cell r="CE2331" t="str">
            <v xml:space="preserve">Europeu        </v>
          </cell>
        </row>
        <row r="2332">
          <cell r="BY2332">
            <v>0</v>
          </cell>
          <cell r="BZ2332">
            <v>0</v>
          </cell>
          <cell r="CA2332">
            <v>0</v>
          </cell>
          <cell r="CB2332" t="str">
            <v>VALE    /EDJ</v>
          </cell>
          <cell r="CC2332" t="str">
            <v>PNA     N1</v>
          </cell>
          <cell r="CD2332" t="str">
            <v xml:space="preserve">OPCOES VENDA   </v>
          </cell>
          <cell r="CE2332" t="str">
            <v xml:space="preserve">Europeu        </v>
          </cell>
        </row>
        <row r="2333">
          <cell r="BY2333">
            <v>0</v>
          </cell>
          <cell r="BZ2333">
            <v>0</v>
          </cell>
          <cell r="CA2333">
            <v>0</v>
          </cell>
          <cell r="CB2333" t="str">
            <v>VALE    /EDJ</v>
          </cell>
          <cell r="CC2333" t="str">
            <v>PNA     N1</v>
          </cell>
          <cell r="CD2333" t="str">
            <v xml:space="preserve">OPCOES VENDA   </v>
          </cell>
          <cell r="CE2333" t="str">
            <v xml:space="preserve">Europeu        </v>
          </cell>
        </row>
        <row r="2334">
          <cell r="BY2334">
            <v>0</v>
          </cell>
          <cell r="BZ2334">
            <v>0</v>
          </cell>
          <cell r="CA2334">
            <v>0</v>
          </cell>
          <cell r="CB2334" t="str">
            <v>VALE    /EDJ</v>
          </cell>
          <cell r="CC2334" t="str">
            <v>PNA     N1</v>
          </cell>
          <cell r="CD2334" t="str">
            <v xml:space="preserve">OPCOES VENDA   </v>
          </cell>
          <cell r="CE2334" t="str">
            <v xml:space="preserve">Europeu        </v>
          </cell>
        </row>
        <row r="2335">
          <cell r="BY2335">
            <v>0</v>
          </cell>
          <cell r="BZ2335">
            <v>0</v>
          </cell>
          <cell r="CA2335">
            <v>0</v>
          </cell>
          <cell r="CB2335" t="str">
            <v>VALE    /EDJ</v>
          </cell>
          <cell r="CC2335" t="str">
            <v>PNA     N1</v>
          </cell>
          <cell r="CD2335" t="str">
            <v xml:space="preserve">OPCOES VENDA   </v>
          </cell>
          <cell r="CE2335" t="str">
            <v xml:space="preserve">Europeu        </v>
          </cell>
        </row>
        <row r="2336">
          <cell r="BY2336">
            <v>0</v>
          </cell>
          <cell r="BZ2336">
            <v>0</v>
          </cell>
          <cell r="CA2336">
            <v>0</v>
          </cell>
          <cell r="CB2336" t="str">
            <v>VALE    /EDJ</v>
          </cell>
          <cell r="CC2336" t="str">
            <v>PNA     N1</v>
          </cell>
          <cell r="CD2336" t="str">
            <v xml:space="preserve">OPCOES VENDA   </v>
          </cell>
          <cell r="CE2336" t="str">
            <v xml:space="preserve">Europeu        </v>
          </cell>
        </row>
        <row r="2337">
          <cell r="BY2337">
            <v>0</v>
          </cell>
          <cell r="BZ2337">
            <v>0</v>
          </cell>
          <cell r="CA2337">
            <v>0</v>
          </cell>
          <cell r="CB2337" t="str">
            <v>VALE    /EDJ</v>
          </cell>
          <cell r="CC2337" t="str">
            <v>PNA     N1</v>
          </cell>
          <cell r="CD2337" t="str">
            <v xml:space="preserve">OPCOES VENDA   </v>
          </cell>
          <cell r="CE2337" t="str">
            <v xml:space="preserve">Europeu        </v>
          </cell>
        </row>
        <row r="2338">
          <cell r="BY2338">
            <v>0</v>
          </cell>
          <cell r="BZ2338">
            <v>0</v>
          </cell>
          <cell r="CA2338">
            <v>0</v>
          </cell>
          <cell r="CB2338" t="str">
            <v>VALE    /EDJ</v>
          </cell>
          <cell r="CC2338" t="str">
            <v>PNA     N1</v>
          </cell>
          <cell r="CD2338" t="str">
            <v xml:space="preserve">OPCOES VENDA   </v>
          </cell>
          <cell r="CE2338" t="str">
            <v xml:space="preserve">Europeu        </v>
          </cell>
        </row>
        <row r="2339">
          <cell r="BY2339">
            <v>0</v>
          </cell>
          <cell r="BZ2339">
            <v>0</v>
          </cell>
          <cell r="CA2339">
            <v>0</v>
          </cell>
          <cell r="CB2339" t="str">
            <v>VALE    /EDJ</v>
          </cell>
          <cell r="CC2339" t="str">
            <v>PNA     N1</v>
          </cell>
          <cell r="CD2339" t="str">
            <v xml:space="preserve">OPCOES VENDA   </v>
          </cell>
          <cell r="CE2339" t="str">
            <v xml:space="preserve">Europeu        </v>
          </cell>
        </row>
        <row r="2340">
          <cell r="BY2340">
            <v>0</v>
          </cell>
          <cell r="BZ2340">
            <v>0</v>
          </cell>
          <cell r="CA2340">
            <v>0</v>
          </cell>
          <cell r="CB2340" t="str">
            <v>VALE    /EDJ</v>
          </cell>
          <cell r="CC2340" t="str">
            <v>PNA     N1</v>
          </cell>
          <cell r="CD2340" t="str">
            <v xml:space="preserve">OPCOES VENDA   </v>
          </cell>
          <cell r="CE2340" t="str">
            <v xml:space="preserve">Europeu        </v>
          </cell>
        </row>
        <row r="2341">
          <cell r="BY2341">
            <v>0</v>
          </cell>
          <cell r="BZ2341">
            <v>0</v>
          </cell>
          <cell r="CA2341">
            <v>0</v>
          </cell>
          <cell r="CB2341" t="str">
            <v>VALE    /EDJ</v>
          </cell>
          <cell r="CC2341" t="str">
            <v>PNA     N1</v>
          </cell>
          <cell r="CD2341" t="str">
            <v xml:space="preserve">OPCOES VENDA   </v>
          </cell>
          <cell r="CE2341" t="str">
            <v xml:space="preserve">Europeu        </v>
          </cell>
        </row>
        <row r="2342">
          <cell r="BY2342">
            <v>0</v>
          </cell>
          <cell r="BZ2342">
            <v>0</v>
          </cell>
          <cell r="CA2342">
            <v>0</v>
          </cell>
          <cell r="CB2342" t="str">
            <v>VALE    /EDJ</v>
          </cell>
          <cell r="CC2342" t="str">
            <v>PNA     N1</v>
          </cell>
          <cell r="CD2342" t="str">
            <v xml:space="preserve">OPCOES VENDA   </v>
          </cell>
          <cell r="CE2342" t="str">
            <v xml:space="preserve">Europeu        </v>
          </cell>
        </row>
        <row r="2343">
          <cell r="BY2343">
            <v>0</v>
          </cell>
          <cell r="BZ2343">
            <v>0</v>
          </cell>
          <cell r="CA2343">
            <v>0</v>
          </cell>
          <cell r="CB2343" t="str">
            <v>VALE    /EDJ</v>
          </cell>
          <cell r="CC2343" t="str">
            <v>PNA     N1</v>
          </cell>
          <cell r="CD2343" t="str">
            <v xml:space="preserve">OPCOES VENDA   </v>
          </cell>
          <cell r="CE2343" t="str">
            <v xml:space="preserve">Europeu        </v>
          </cell>
        </row>
        <row r="2344">
          <cell r="BY2344">
            <v>0</v>
          </cell>
          <cell r="BZ2344">
            <v>0</v>
          </cell>
          <cell r="CA2344">
            <v>0</v>
          </cell>
          <cell r="CB2344" t="str">
            <v>VALE    /EDJ</v>
          </cell>
          <cell r="CC2344" t="str">
            <v>PNA     N1</v>
          </cell>
          <cell r="CD2344" t="str">
            <v xml:space="preserve">OPCOES VENDA   </v>
          </cell>
          <cell r="CE2344" t="str">
            <v xml:space="preserve">Europeu        </v>
          </cell>
        </row>
        <row r="2345">
          <cell r="BY2345">
            <v>0</v>
          </cell>
          <cell r="BZ2345">
            <v>0</v>
          </cell>
          <cell r="CA2345">
            <v>0</v>
          </cell>
          <cell r="CB2345" t="str">
            <v>VALE    /EDJ</v>
          </cell>
          <cell r="CC2345" t="str">
            <v>PNA     N1</v>
          </cell>
          <cell r="CD2345" t="str">
            <v xml:space="preserve">OPCOES VENDA   </v>
          </cell>
          <cell r="CE2345" t="str">
            <v xml:space="preserve">Europeu        </v>
          </cell>
        </row>
        <row r="2346">
          <cell r="BY2346">
            <v>0</v>
          </cell>
          <cell r="BZ2346">
            <v>0</v>
          </cell>
          <cell r="CA2346">
            <v>0</v>
          </cell>
          <cell r="CB2346" t="str">
            <v>VALE    /EDJ</v>
          </cell>
          <cell r="CC2346" t="str">
            <v>PNA     N1</v>
          </cell>
          <cell r="CD2346" t="str">
            <v xml:space="preserve">OPCOES VENDA   </v>
          </cell>
          <cell r="CE2346" t="str">
            <v xml:space="preserve">Europeu        </v>
          </cell>
        </row>
        <row r="2347">
          <cell r="BY2347">
            <v>0</v>
          </cell>
          <cell r="BZ2347">
            <v>0</v>
          </cell>
          <cell r="CA2347">
            <v>0</v>
          </cell>
          <cell r="CB2347" t="str">
            <v>VALE    /EDJ</v>
          </cell>
          <cell r="CC2347" t="str">
            <v>PNA     N1</v>
          </cell>
          <cell r="CD2347" t="str">
            <v xml:space="preserve">OPCOES VENDA   </v>
          </cell>
          <cell r="CE2347" t="str">
            <v xml:space="preserve">Europeu        </v>
          </cell>
        </row>
        <row r="2348">
          <cell r="BY2348">
            <v>0</v>
          </cell>
          <cell r="BZ2348">
            <v>0</v>
          </cell>
          <cell r="CA2348">
            <v>0</v>
          </cell>
          <cell r="CB2348" t="str">
            <v>VALE    /EDJ</v>
          </cell>
          <cell r="CC2348" t="str">
            <v>PNA     N1</v>
          </cell>
          <cell r="CD2348" t="str">
            <v xml:space="preserve">OPCOES VENDA   </v>
          </cell>
          <cell r="CE2348" t="str">
            <v xml:space="preserve">Europeu        </v>
          </cell>
        </row>
        <row r="2349">
          <cell r="BY2349">
            <v>0</v>
          </cell>
          <cell r="BZ2349">
            <v>0</v>
          </cell>
          <cell r="CA2349">
            <v>0</v>
          </cell>
          <cell r="CB2349" t="str">
            <v>VALE    /EDJ</v>
          </cell>
          <cell r="CC2349" t="str">
            <v>PNA     N1</v>
          </cell>
          <cell r="CD2349" t="str">
            <v xml:space="preserve">OPCOES VENDA   </v>
          </cell>
          <cell r="CE2349" t="str">
            <v xml:space="preserve">Europeu        </v>
          </cell>
        </row>
        <row r="2350">
          <cell r="BY2350">
            <v>0</v>
          </cell>
          <cell r="BZ2350">
            <v>0</v>
          </cell>
          <cell r="CA2350">
            <v>0</v>
          </cell>
          <cell r="CB2350" t="str">
            <v>VALE    /EDJ</v>
          </cell>
          <cell r="CC2350" t="str">
            <v>PNA     N1</v>
          </cell>
          <cell r="CD2350" t="str">
            <v xml:space="preserve">OPCOES VENDA   </v>
          </cell>
          <cell r="CE2350" t="str">
            <v xml:space="preserve">Europeu        </v>
          </cell>
        </row>
        <row r="2351">
          <cell r="BY2351">
            <v>0</v>
          </cell>
          <cell r="BZ2351">
            <v>0</v>
          </cell>
          <cell r="CA2351">
            <v>0</v>
          </cell>
          <cell r="CB2351" t="str">
            <v>VALE    /EDJ</v>
          </cell>
          <cell r="CC2351" t="str">
            <v>PNA     N1</v>
          </cell>
          <cell r="CD2351" t="str">
            <v xml:space="preserve">OPCOES VENDA   </v>
          </cell>
          <cell r="CE2351" t="str">
            <v xml:space="preserve">Europeu        </v>
          </cell>
        </row>
        <row r="2352">
          <cell r="BY2352">
            <v>0</v>
          </cell>
          <cell r="BZ2352">
            <v>0</v>
          </cell>
          <cell r="CA2352">
            <v>0</v>
          </cell>
          <cell r="CB2352" t="str">
            <v>VALE    /EDJ</v>
          </cell>
          <cell r="CC2352" t="str">
            <v>PNA     N1</v>
          </cell>
          <cell r="CD2352" t="str">
            <v xml:space="preserve">OPCOES VENDA   </v>
          </cell>
          <cell r="CE2352" t="str">
            <v xml:space="preserve">Europeu        </v>
          </cell>
        </row>
        <row r="2353">
          <cell r="BY2353">
            <v>0</v>
          </cell>
          <cell r="BZ2353">
            <v>0</v>
          </cell>
          <cell r="CA2353">
            <v>0</v>
          </cell>
          <cell r="CB2353" t="str">
            <v>VALE    /EDJ</v>
          </cell>
          <cell r="CC2353" t="str">
            <v>PNA     N1</v>
          </cell>
          <cell r="CD2353" t="str">
            <v xml:space="preserve">OPCOES VENDA   </v>
          </cell>
          <cell r="CE2353" t="str">
            <v xml:space="preserve">Europeu        </v>
          </cell>
        </row>
        <row r="2354">
          <cell r="BY2354">
            <v>0</v>
          </cell>
          <cell r="BZ2354">
            <v>0</v>
          </cell>
          <cell r="CA2354">
            <v>0</v>
          </cell>
          <cell r="CB2354" t="str">
            <v>VALE    /EDJ</v>
          </cell>
          <cell r="CC2354" t="str">
            <v>PNA     N1</v>
          </cell>
          <cell r="CD2354" t="str">
            <v xml:space="preserve">OPCOES VENDA   </v>
          </cell>
          <cell r="CE2354" t="str">
            <v xml:space="preserve">Europeu        </v>
          </cell>
        </row>
        <row r="2355">
          <cell r="BY2355">
            <v>0</v>
          </cell>
          <cell r="BZ2355">
            <v>0</v>
          </cell>
          <cell r="CA2355">
            <v>0</v>
          </cell>
          <cell r="CB2355" t="str">
            <v>VALE    /EDJ</v>
          </cell>
          <cell r="CC2355" t="str">
            <v>PNA     N1</v>
          </cell>
          <cell r="CD2355" t="str">
            <v xml:space="preserve">OPCOES VENDA   </v>
          </cell>
          <cell r="CE2355" t="str">
            <v xml:space="preserve">Europeu        </v>
          </cell>
        </row>
        <row r="2356">
          <cell r="BY2356">
            <v>0</v>
          </cell>
          <cell r="BZ2356">
            <v>0</v>
          </cell>
          <cell r="CA2356">
            <v>0</v>
          </cell>
          <cell r="CB2356" t="str">
            <v>VALE    /EDJ</v>
          </cell>
          <cell r="CC2356" t="str">
            <v>PNA     N1</v>
          </cell>
          <cell r="CD2356" t="str">
            <v xml:space="preserve">OPCOES VENDA   </v>
          </cell>
          <cell r="CE2356" t="str">
            <v xml:space="preserve">Europeu        </v>
          </cell>
        </row>
        <row r="2357">
          <cell r="BY2357">
            <v>0</v>
          </cell>
          <cell r="BZ2357">
            <v>0</v>
          </cell>
          <cell r="CA2357">
            <v>0</v>
          </cell>
          <cell r="CB2357" t="str">
            <v>VALE    /EDJ</v>
          </cell>
          <cell r="CC2357" t="str">
            <v>PNA     N1</v>
          </cell>
          <cell r="CD2357" t="str">
            <v xml:space="preserve">OPCOES VENDA   </v>
          </cell>
          <cell r="CE2357" t="str">
            <v xml:space="preserve">Europeu        </v>
          </cell>
        </row>
        <row r="2358">
          <cell r="BY2358">
            <v>0</v>
          </cell>
          <cell r="BZ2358">
            <v>0</v>
          </cell>
          <cell r="CA2358">
            <v>0</v>
          </cell>
          <cell r="CB2358" t="str">
            <v>VALE    /EDJ</v>
          </cell>
          <cell r="CC2358" t="str">
            <v>PNA     N1</v>
          </cell>
          <cell r="CD2358" t="str">
            <v xml:space="preserve">OPCOES VENDA   </v>
          </cell>
          <cell r="CE2358" t="str">
            <v xml:space="preserve">Europeu        </v>
          </cell>
        </row>
        <row r="2359">
          <cell r="BY2359">
            <v>0</v>
          </cell>
          <cell r="BZ2359">
            <v>0</v>
          </cell>
          <cell r="CA2359">
            <v>0</v>
          </cell>
          <cell r="CB2359" t="str">
            <v>VALE    /EDJ</v>
          </cell>
          <cell r="CC2359" t="str">
            <v>PNA     N1</v>
          </cell>
          <cell r="CD2359" t="str">
            <v xml:space="preserve">OPCOES VENDA   </v>
          </cell>
          <cell r="CE2359" t="str">
            <v xml:space="preserve">Europeu        </v>
          </cell>
        </row>
        <row r="2360">
          <cell r="BY2360">
            <v>0</v>
          </cell>
          <cell r="BZ2360">
            <v>0</v>
          </cell>
          <cell r="CA2360">
            <v>0</v>
          </cell>
          <cell r="CB2360" t="str">
            <v>VALE    /EDJ</v>
          </cell>
          <cell r="CC2360" t="str">
            <v>PNA     N1</v>
          </cell>
          <cell r="CD2360" t="str">
            <v xml:space="preserve">OPCOES VENDA   </v>
          </cell>
          <cell r="CE2360" t="str">
            <v xml:space="preserve">Europeu        </v>
          </cell>
        </row>
        <row r="2361">
          <cell r="BY2361">
            <v>0</v>
          </cell>
          <cell r="BZ2361">
            <v>0</v>
          </cell>
          <cell r="CA2361">
            <v>0</v>
          </cell>
          <cell r="CB2361" t="str">
            <v>VALE    /EDJ</v>
          </cell>
          <cell r="CC2361" t="str">
            <v>PNA     N1</v>
          </cell>
          <cell r="CD2361" t="str">
            <v xml:space="preserve">OPCOES VENDA   </v>
          </cell>
          <cell r="CE2361" t="str">
            <v xml:space="preserve">Europeu        </v>
          </cell>
        </row>
        <row r="2362">
          <cell r="BY2362">
            <v>0</v>
          </cell>
          <cell r="BZ2362">
            <v>0</v>
          </cell>
          <cell r="CA2362">
            <v>0</v>
          </cell>
          <cell r="CB2362" t="str">
            <v>VALE    /EDJ</v>
          </cell>
          <cell r="CC2362" t="str">
            <v>PNA     N1</v>
          </cell>
          <cell r="CD2362" t="str">
            <v xml:space="preserve">OPCOES VENDA   </v>
          </cell>
          <cell r="CE2362" t="str">
            <v xml:space="preserve">Europeu        </v>
          </cell>
        </row>
        <row r="2363">
          <cell r="BY2363">
            <v>0</v>
          </cell>
          <cell r="BZ2363">
            <v>0</v>
          </cell>
          <cell r="CA2363">
            <v>0</v>
          </cell>
          <cell r="CB2363" t="str">
            <v>VALE    /EDJ</v>
          </cell>
          <cell r="CC2363" t="str">
            <v>PNA     N1</v>
          </cell>
          <cell r="CD2363" t="str">
            <v xml:space="preserve">OPCOES VENDA   </v>
          </cell>
          <cell r="CE2363" t="str">
            <v xml:space="preserve">Europeu        </v>
          </cell>
        </row>
        <row r="2364">
          <cell r="BY2364">
            <v>0</v>
          </cell>
          <cell r="BZ2364">
            <v>0</v>
          </cell>
          <cell r="CA2364">
            <v>0</v>
          </cell>
          <cell r="CB2364" t="str">
            <v>VALE    /EDJ</v>
          </cell>
          <cell r="CC2364" t="str">
            <v>PNA     N1</v>
          </cell>
          <cell r="CD2364" t="str">
            <v xml:space="preserve">OPCOES VENDA   </v>
          </cell>
          <cell r="CE2364" t="str">
            <v xml:space="preserve">Europeu        </v>
          </cell>
        </row>
        <row r="2365">
          <cell r="BY2365">
            <v>0</v>
          </cell>
          <cell r="BZ2365">
            <v>0</v>
          </cell>
          <cell r="CA2365">
            <v>0</v>
          </cell>
          <cell r="CB2365" t="str">
            <v>VALE    /EDJ</v>
          </cell>
          <cell r="CC2365" t="str">
            <v>PNA     N1</v>
          </cell>
          <cell r="CD2365" t="str">
            <v xml:space="preserve">OPCOES VENDA   </v>
          </cell>
          <cell r="CE2365" t="str">
            <v xml:space="preserve">Europeu        </v>
          </cell>
        </row>
        <row r="2366">
          <cell r="BY2366">
            <v>0</v>
          </cell>
          <cell r="BZ2366">
            <v>0</v>
          </cell>
          <cell r="CA2366">
            <v>0</v>
          </cell>
          <cell r="CB2366" t="str">
            <v>VALE    /EDJ</v>
          </cell>
          <cell r="CC2366" t="str">
            <v>PNA     N1</v>
          </cell>
          <cell r="CD2366" t="str">
            <v xml:space="preserve">OPCOES VENDA   </v>
          </cell>
          <cell r="CE2366" t="str">
            <v xml:space="preserve">Europeu        </v>
          </cell>
        </row>
        <row r="2367">
          <cell r="BY2367">
            <v>0</v>
          </cell>
          <cell r="BZ2367">
            <v>0</v>
          </cell>
          <cell r="CA2367">
            <v>0</v>
          </cell>
          <cell r="CB2367" t="str">
            <v>VALE    /EDJ</v>
          </cell>
          <cell r="CC2367" t="str">
            <v>PNA     N1</v>
          </cell>
          <cell r="CD2367" t="str">
            <v xml:space="preserve">OPCOES VENDA   </v>
          </cell>
          <cell r="CE2367" t="str">
            <v xml:space="preserve">Europeu        </v>
          </cell>
        </row>
        <row r="2368">
          <cell r="BY2368">
            <v>0</v>
          </cell>
          <cell r="BZ2368">
            <v>0</v>
          </cell>
          <cell r="CA2368">
            <v>0</v>
          </cell>
          <cell r="CB2368" t="str">
            <v>VALE    /EDJ</v>
          </cell>
          <cell r="CC2368" t="str">
            <v>PNA     N1</v>
          </cell>
          <cell r="CD2368" t="str">
            <v xml:space="preserve">OPCOES VENDA   </v>
          </cell>
          <cell r="CE2368" t="str">
            <v xml:space="preserve">Europeu        </v>
          </cell>
        </row>
        <row r="2369">
          <cell r="BY2369">
            <v>0</v>
          </cell>
          <cell r="BZ2369">
            <v>0</v>
          </cell>
          <cell r="CA2369">
            <v>0</v>
          </cell>
          <cell r="CB2369" t="str">
            <v>VALE    /EDJ</v>
          </cell>
          <cell r="CC2369" t="str">
            <v>PNA     N1</v>
          </cell>
          <cell r="CD2369" t="str">
            <v xml:space="preserve">OPCOES VENDA   </v>
          </cell>
          <cell r="CE2369" t="str">
            <v xml:space="preserve">Europeu        </v>
          </cell>
        </row>
        <row r="2370">
          <cell r="BY2370">
            <v>0</v>
          </cell>
          <cell r="BZ2370">
            <v>0</v>
          </cell>
          <cell r="CA2370">
            <v>0</v>
          </cell>
          <cell r="CB2370" t="str">
            <v>VALE    /EDJ</v>
          </cell>
          <cell r="CC2370" t="str">
            <v>PNA     N1</v>
          </cell>
          <cell r="CD2370" t="str">
            <v xml:space="preserve">OPCOES VENDA   </v>
          </cell>
          <cell r="CE2370" t="str">
            <v xml:space="preserve">Europeu        </v>
          </cell>
        </row>
        <row r="2371">
          <cell r="BY2371">
            <v>0</v>
          </cell>
          <cell r="BZ2371">
            <v>0</v>
          </cell>
          <cell r="CA2371">
            <v>0</v>
          </cell>
          <cell r="CB2371" t="str">
            <v>VALE    /EDJ</v>
          </cell>
          <cell r="CC2371" t="str">
            <v>PNA     N1</v>
          </cell>
          <cell r="CD2371" t="str">
            <v xml:space="preserve">OPCOES VENDA   </v>
          </cell>
          <cell r="CE2371" t="str">
            <v xml:space="preserve">Europeu        </v>
          </cell>
        </row>
        <row r="2372">
          <cell r="BY2372">
            <v>0</v>
          </cell>
          <cell r="BZ2372">
            <v>0</v>
          </cell>
          <cell r="CA2372">
            <v>0</v>
          </cell>
          <cell r="CB2372" t="str">
            <v>VALE    /EDJ</v>
          </cell>
          <cell r="CC2372" t="str">
            <v>PNA     N1</v>
          </cell>
          <cell r="CD2372" t="str">
            <v xml:space="preserve">OPCOES VENDA   </v>
          </cell>
          <cell r="CE2372" t="str">
            <v xml:space="preserve">Europeu        </v>
          </cell>
        </row>
        <row r="2373">
          <cell r="BY2373">
            <v>0</v>
          </cell>
          <cell r="BZ2373">
            <v>0</v>
          </cell>
          <cell r="CA2373">
            <v>0</v>
          </cell>
          <cell r="CB2373" t="str">
            <v>VALE    /EDJ</v>
          </cell>
          <cell r="CC2373" t="str">
            <v>PNA     N1</v>
          </cell>
          <cell r="CD2373" t="str">
            <v xml:space="preserve">OPCOES VENDA   </v>
          </cell>
          <cell r="CE2373" t="str">
            <v xml:space="preserve">Europeu        </v>
          </cell>
        </row>
        <row r="2374">
          <cell r="BY2374">
            <v>0</v>
          </cell>
          <cell r="BZ2374">
            <v>0</v>
          </cell>
          <cell r="CA2374">
            <v>0</v>
          </cell>
          <cell r="CB2374" t="str">
            <v>VALE    /EDJ</v>
          </cell>
          <cell r="CC2374" t="str">
            <v>PNA     N1</v>
          </cell>
          <cell r="CD2374" t="str">
            <v xml:space="preserve">OPCOES VENDA   </v>
          </cell>
          <cell r="CE2374" t="str">
            <v xml:space="preserve">Europeu        </v>
          </cell>
        </row>
        <row r="2375">
          <cell r="BY2375">
            <v>0</v>
          </cell>
          <cell r="BZ2375">
            <v>0</v>
          </cell>
          <cell r="CA2375">
            <v>0</v>
          </cell>
          <cell r="CB2375" t="str">
            <v>VALE    /EDJ</v>
          </cell>
          <cell r="CC2375" t="str">
            <v>PNA     N1</v>
          </cell>
          <cell r="CD2375" t="str">
            <v xml:space="preserve">OPCOES VENDA   </v>
          </cell>
          <cell r="CE2375" t="str">
            <v xml:space="preserve">Europeu        </v>
          </cell>
        </row>
        <row r="2376">
          <cell r="BY2376">
            <v>0</v>
          </cell>
          <cell r="BZ2376">
            <v>0</v>
          </cell>
          <cell r="CA2376">
            <v>0</v>
          </cell>
          <cell r="CB2376" t="str">
            <v>VALE    /EDJ</v>
          </cell>
          <cell r="CC2376" t="str">
            <v>PNA     N1</v>
          </cell>
          <cell r="CD2376" t="str">
            <v xml:space="preserve">OPCOES VENDA   </v>
          </cell>
          <cell r="CE2376" t="str">
            <v xml:space="preserve">Europeu        </v>
          </cell>
        </row>
        <row r="2377">
          <cell r="BY2377">
            <v>0</v>
          </cell>
          <cell r="BZ2377">
            <v>0</v>
          </cell>
          <cell r="CA2377">
            <v>0</v>
          </cell>
          <cell r="CB2377" t="str">
            <v>VALE    /EDJ</v>
          </cell>
          <cell r="CC2377" t="str">
            <v>PNA     N1</v>
          </cell>
          <cell r="CD2377" t="str">
            <v xml:space="preserve">OPCOES VENDA   </v>
          </cell>
          <cell r="CE2377" t="str">
            <v xml:space="preserve">Europeu        </v>
          </cell>
        </row>
        <row r="2378">
          <cell r="BY2378">
            <v>0</v>
          </cell>
          <cell r="BZ2378">
            <v>0</v>
          </cell>
          <cell r="CA2378">
            <v>0</v>
          </cell>
          <cell r="CB2378" t="str">
            <v>VALE    /EDJ</v>
          </cell>
          <cell r="CC2378" t="str">
            <v>PNA     N1</v>
          </cell>
          <cell r="CD2378" t="str">
            <v xml:space="preserve">OPCOES VENDA   </v>
          </cell>
          <cell r="CE2378" t="str">
            <v xml:space="preserve">Europeu        </v>
          </cell>
        </row>
        <row r="2379">
          <cell r="BY2379">
            <v>0</v>
          </cell>
          <cell r="BZ2379">
            <v>0</v>
          </cell>
          <cell r="CA2379">
            <v>0</v>
          </cell>
          <cell r="CB2379" t="str">
            <v>VALE    /EDJ</v>
          </cell>
          <cell r="CC2379" t="str">
            <v>PNA     N1</v>
          </cell>
          <cell r="CD2379" t="str">
            <v xml:space="preserve">OPCOES VENDA   </v>
          </cell>
          <cell r="CE2379" t="str">
            <v xml:space="preserve">Europeu        </v>
          </cell>
        </row>
        <row r="2380">
          <cell r="BY2380">
            <v>0</v>
          </cell>
          <cell r="BZ2380">
            <v>0</v>
          </cell>
          <cell r="CA2380">
            <v>0</v>
          </cell>
          <cell r="CB2380" t="str">
            <v>VALE    /EDJ</v>
          </cell>
          <cell r="CC2380" t="str">
            <v>PNA     N1</v>
          </cell>
          <cell r="CD2380" t="str">
            <v xml:space="preserve">OPCOES VENDA   </v>
          </cell>
          <cell r="CE2380" t="str">
            <v xml:space="preserve">Europeu        </v>
          </cell>
        </row>
        <row r="2381">
          <cell r="BY2381">
            <v>0</v>
          </cell>
          <cell r="BZ2381">
            <v>0</v>
          </cell>
          <cell r="CA2381">
            <v>0</v>
          </cell>
          <cell r="CB2381" t="str">
            <v>VALE    /EDJ</v>
          </cell>
          <cell r="CC2381" t="str">
            <v>PNA     N1</v>
          </cell>
          <cell r="CD2381" t="str">
            <v xml:space="preserve">OPCOES VENDA   </v>
          </cell>
          <cell r="CE2381" t="str">
            <v xml:space="preserve">Europeu        </v>
          </cell>
        </row>
        <row r="2382">
          <cell r="BY2382">
            <v>0</v>
          </cell>
          <cell r="BZ2382">
            <v>0</v>
          </cell>
          <cell r="CA2382">
            <v>0</v>
          </cell>
          <cell r="CB2382" t="str">
            <v>VALE    /EDJ</v>
          </cell>
          <cell r="CC2382" t="str">
            <v>PNA     N1</v>
          </cell>
          <cell r="CD2382" t="str">
            <v xml:space="preserve">OPCOES VENDA   </v>
          </cell>
          <cell r="CE2382" t="str">
            <v xml:space="preserve">Europeu        </v>
          </cell>
        </row>
        <row r="2383">
          <cell r="BY2383">
            <v>0</v>
          </cell>
          <cell r="BZ2383">
            <v>0</v>
          </cell>
          <cell r="CA2383">
            <v>0</v>
          </cell>
          <cell r="CB2383" t="str">
            <v>VALE    /EDJ</v>
          </cell>
          <cell r="CC2383" t="str">
            <v>PNA     N1</v>
          </cell>
          <cell r="CD2383" t="str">
            <v xml:space="preserve">OPCOES VENDA   </v>
          </cell>
          <cell r="CE2383" t="str">
            <v xml:space="preserve">Europeu        </v>
          </cell>
        </row>
        <row r="2384">
          <cell r="BY2384">
            <v>0</v>
          </cell>
          <cell r="BZ2384">
            <v>0</v>
          </cell>
          <cell r="CA2384">
            <v>0</v>
          </cell>
          <cell r="CB2384" t="str">
            <v>VALE    /EDJ</v>
          </cell>
          <cell r="CC2384" t="str">
            <v>PNA     N1</v>
          </cell>
          <cell r="CD2384" t="str">
            <v xml:space="preserve">OPCOES VENDA   </v>
          </cell>
          <cell r="CE2384" t="str">
            <v xml:space="preserve">Europeu        </v>
          </cell>
        </row>
        <row r="2385">
          <cell r="BY2385">
            <v>0</v>
          </cell>
          <cell r="BZ2385">
            <v>0</v>
          </cell>
          <cell r="CA2385">
            <v>0</v>
          </cell>
          <cell r="CB2385" t="str">
            <v>VALE    /EDJ</v>
          </cell>
          <cell r="CC2385" t="str">
            <v>PNA     N1</v>
          </cell>
          <cell r="CD2385" t="str">
            <v xml:space="preserve">OPCOES VENDA   </v>
          </cell>
          <cell r="CE2385" t="str">
            <v xml:space="preserve">Europeu        </v>
          </cell>
        </row>
        <row r="2386">
          <cell r="BY2386">
            <v>0</v>
          </cell>
          <cell r="BZ2386">
            <v>0</v>
          </cell>
          <cell r="CA2386">
            <v>0</v>
          </cell>
          <cell r="CB2386" t="str">
            <v>VALE    /EDJ</v>
          </cell>
          <cell r="CC2386" t="str">
            <v>PNA     N1</v>
          </cell>
          <cell r="CD2386" t="str">
            <v xml:space="preserve">OPCOES VENDA   </v>
          </cell>
          <cell r="CE2386" t="str">
            <v xml:space="preserve">Europeu        </v>
          </cell>
        </row>
        <row r="2387">
          <cell r="BY2387">
            <v>0</v>
          </cell>
          <cell r="BZ2387">
            <v>0</v>
          </cell>
          <cell r="CA2387">
            <v>0</v>
          </cell>
          <cell r="CB2387" t="str">
            <v>VALE    /EDJ</v>
          </cell>
          <cell r="CC2387" t="str">
            <v>PNA     N1</v>
          </cell>
          <cell r="CD2387" t="str">
            <v xml:space="preserve">OPCOES VENDA   </v>
          </cell>
          <cell r="CE2387" t="str">
            <v xml:space="preserve">Europeu        </v>
          </cell>
        </row>
        <row r="2388">
          <cell r="BY2388">
            <v>0</v>
          </cell>
          <cell r="BZ2388">
            <v>0</v>
          </cell>
          <cell r="CA2388">
            <v>0</v>
          </cell>
          <cell r="CB2388" t="str">
            <v>VALE    /EDJ</v>
          </cell>
          <cell r="CC2388" t="str">
            <v>PNA     N1</v>
          </cell>
          <cell r="CD2388" t="str">
            <v xml:space="preserve">OPCOES VENDA   </v>
          </cell>
          <cell r="CE2388" t="str">
            <v xml:space="preserve">Europeu        </v>
          </cell>
        </row>
        <row r="2389">
          <cell r="BY2389">
            <v>0</v>
          </cell>
          <cell r="BZ2389">
            <v>0</v>
          </cell>
          <cell r="CA2389">
            <v>0</v>
          </cell>
          <cell r="CB2389" t="str">
            <v>VALE    /EDJ</v>
          </cell>
          <cell r="CC2389" t="str">
            <v>PNA     N1</v>
          </cell>
          <cell r="CD2389" t="str">
            <v xml:space="preserve">OPCOES VENDA   </v>
          </cell>
          <cell r="CE2389" t="str">
            <v xml:space="preserve">Europeu        </v>
          </cell>
        </row>
        <row r="2390">
          <cell r="BY2390">
            <v>0</v>
          </cell>
          <cell r="BZ2390">
            <v>0</v>
          </cell>
          <cell r="CA2390">
            <v>0</v>
          </cell>
          <cell r="CB2390" t="str">
            <v>VALE    /EDJ</v>
          </cell>
          <cell r="CC2390" t="str">
            <v>PNA     N1</v>
          </cell>
          <cell r="CD2390" t="str">
            <v xml:space="preserve">OPCOES VENDA   </v>
          </cell>
          <cell r="CE2390" t="str">
            <v xml:space="preserve">Europeu        </v>
          </cell>
        </row>
        <row r="2391">
          <cell r="BY2391">
            <v>0</v>
          </cell>
          <cell r="BZ2391">
            <v>0</v>
          </cell>
          <cell r="CA2391">
            <v>0</v>
          </cell>
          <cell r="CB2391" t="str">
            <v>VALE    /EDJ</v>
          </cell>
          <cell r="CC2391" t="str">
            <v>PNA     N1</v>
          </cell>
          <cell r="CD2391" t="str">
            <v xml:space="preserve">OPCOES VENDA   </v>
          </cell>
          <cell r="CE2391" t="str">
            <v xml:space="preserve">Europeu        </v>
          </cell>
        </row>
        <row r="2392">
          <cell r="BY2392">
            <v>0</v>
          </cell>
          <cell r="BZ2392">
            <v>0</v>
          </cell>
          <cell r="CA2392">
            <v>0</v>
          </cell>
          <cell r="CB2392" t="str">
            <v>VALE    /EDJ</v>
          </cell>
          <cell r="CC2392" t="str">
            <v>PNA     N1</v>
          </cell>
          <cell r="CD2392" t="str">
            <v xml:space="preserve">OPCOES VENDA   </v>
          </cell>
          <cell r="CE2392" t="str">
            <v xml:space="preserve">Europeu        </v>
          </cell>
        </row>
        <row r="2393">
          <cell r="BY2393">
            <v>0</v>
          </cell>
          <cell r="BZ2393">
            <v>0</v>
          </cell>
          <cell r="CA2393">
            <v>0</v>
          </cell>
          <cell r="CB2393" t="str">
            <v>VALE    /EDJ</v>
          </cell>
          <cell r="CC2393" t="str">
            <v>PNA     N1</v>
          </cell>
          <cell r="CD2393" t="str">
            <v xml:space="preserve">OPCOES VENDA   </v>
          </cell>
          <cell r="CE2393" t="str">
            <v xml:space="preserve">Europeu        </v>
          </cell>
        </row>
        <row r="2394">
          <cell r="BY2394">
            <v>0</v>
          </cell>
          <cell r="BZ2394">
            <v>0</v>
          </cell>
          <cell r="CA2394">
            <v>0</v>
          </cell>
          <cell r="CB2394" t="str">
            <v>VALE    /EDJ</v>
          </cell>
          <cell r="CC2394" t="str">
            <v>PNA     N1</v>
          </cell>
          <cell r="CD2394" t="str">
            <v xml:space="preserve">OPCOES VENDA   </v>
          </cell>
          <cell r="CE2394" t="str">
            <v xml:space="preserve">Europeu        </v>
          </cell>
        </row>
        <row r="2395">
          <cell r="BY2395">
            <v>0</v>
          </cell>
          <cell r="BZ2395">
            <v>0</v>
          </cell>
          <cell r="CA2395">
            <v>0</v>
          </cell>
          <cell r="CB2395" t="str">
            <v>VALE    /EDJ</v>
          </cell>
          <cell r="CC2395" t="str">
            <v>PNA     N1</v>
          </cell>
          <cell r="CD2395" t="str">
            <v xml:space="preserve">OPCOES VENDA   </v>
          </cell>
          <cell r="CE2395" t="str">
            <v xml:space="preserve">Europeu        </v>
          </cell>
        </row>
        <row r="2396">
          <cell r="BY2396">
            <v>0</v>
          </cell>
          <cell r="BZ2396">
            <v>0</v>
          </cell>
          <cell r="CA2396">
            <v>0</v>
          </cell>
          <cell r="CB2396" t="str">
            <v>VALE    /EDJ</v>
          </cell>
          <cell r="CC2396" t="str">
            <v>PNA     N1</v>
          </cell>
          <cell r="CD2396" t="str">
            <v xml:space="preserve">OPCOES VENDA   </v>
          </cell>
          <cell r="CE2396" t="str">
            <v xml:space="preserve">Europeu        </v>
          </cell>
        </row>
        <row r="2397">
          <cell r="BY2397">
            <v>0</v>
          </cell>
          <cell r="BZ2397">
            <v>0</v>
          </cell>
          <cell r="CA2397">
            <v>0</v>
          </cell>
          <cell r="CB2397" t="str">
            <v>VALE    /EDJ</v>
          </cell>
          <cell r="CC2397" t="str">
            <v>PNA     N1</v>
          </cell>
          <cell r="CD2397" t="str">
            <v xml:space="preserve">OPCOES VENDA   </v>
          </cell>
          <cell r="CE2397" t="str">
            <v xml:space="preserve">Europeu        </v>
          </cell>
        </row>
        <row r="2398">
          <cell r="BY2398">
            <v>0</v>
          </cell>
          <cell r="BZ2398">
            <v>0</v>
          </cell>
          <cell r="CA2398">
            <v>0</v>
          </cell>
          <cell r="CB2398" t="str">
            <v>VALE    /EDJ</v>
          </cell>
          <cell r="CC2398" t="str">
            <v>PNA     N1</v>
          </cell>
          <cell r="CD2398" t="str">
            <v xml:space="preserve">OPCOES VENDA   </v>
          </cell>
          <cell r="CE2398" t="str">
            <v xml:space="preserve">Europeu        </v>
          </cell>
        </row>
        <row r="2399">
          <cell r="BY2399">
            <v>0</v>
          </cell>
          <cell r="BZ2399">
            <v>0</v>
          </cell>
          <cell r="CA2399">
            <v>0</v>
          </cell>
          <cell r="CB2399" t="str">
            <v>VALE    /EDJ</v>
          </cell>
          <cell r="CC2399" t="str">
            <v>PNA     N1</v>
          </cell>
          <cell r="CD2399" t="str">
            <v xml:space="preserve">OPCOES VENDA   </v>
          </cell>
          <cell r="CE2399" t="str">
            <v xml:space="preserve">Europeu        </v>
          </cell>
        </row>
        <row r="2400">
          <cell r="BY2400">
            <v>0</v>
          </cell>
          <cell r="BZ2400">
            <v>0</v>
          </cell>
          <cell r="CA2400">
            <v>0</v>
          </cell>
          <cell r="CB2400" t="str">
            <v>VALE    /EDJ</v>
          </cell>
          <cell r="CC2400" t="str">
            <v>PNA     N1</v>
          </cell>
          <cell r="CD2400" t="str">
            <v xml:space="preserve">OPCOES VENDA   </v>
          </cell>
          <cell r="CE2400" t="str">
            <v xml:space="preserve">Europeu        </v>
          </cell>
        </row>
        <row r="2401">
          <cell r="BY2401">
            <v>0</v>
          </cell>
          <cell r="BZ2401">
            <v>0</v>
          </cell>
          <cell r="CA2401">
            <v>0</v>
          </cell>
          <cell r="CB2401" t="str">
            <v>VALE    /EDJ</v>
          </cell>
          <cell r="CC2401" t="str">
            <v>PNA     N1</v>
          </cell>
          <cell r="CD2401" t="str">
            <v xml:space="preserve">OPCOES VENDA   </v>
          </cell>
          <cell r="CE2401" t="str">
            <v xml:space="preserve">Europeu        </v>
          </cell>
        </row>
        <row r="2402">
          <cell r="BY2402">
            <v>0</v>
          </cell>
          <cell r="BZ2402">
            <v>0</v>
          </cell>
          <cell r="CA2402">
            <v>0</v>
          </cell>
          <cell r="CB2402" t="str">
            <v>VALE    /EDJ</v>
          </cell>
          <cell r="CC2402" t="str">
            <v>PNA     N1</v>
          </cell>
          <cell r="CD2402" t="str">
            <v xml:space="preserve">OPCOES VENDA   </v>
          </cell>
          <cell r="CE2402" t="str">
            <v xml:space="preserve">Europeu        </v>
          </cell>
        </row>
        <row r="2403">
          <cell r="BY2403">
            <v>0</v>
          </cell>
          <cell r="BZ2403">
            <v>0</v>
          </cell>
          <cell r="CA2403">
            <v>0</v>
          </cell>
          <cell r="CB2403" t="str">
            <v>VALE    /EDJ</v>
          </cell>
          <cell r="CC2403" t="str">
            <v>PNA     N1</v>
          </cell>
          <cell r="CD2403" t="str">
            <v xml:space="preserve">OPCOES VENDA   </v>
          </cell>
          <cell r="CE2403" t="str">
            <v xml:space="preserve">Europeu        </v>
          </cell>
        </row>
        <row r="2404">
          <cell r="BY2404">
            <v>0</v>
          </cell>
          <cell r="BZ2404">
            <v>0</v>
          </cell>
          <cell r="CA2404">
            <v>0</v>
          </cell>
          <cell r="CB2404" t="str">
            <v>VALE    /EDJ</v>
          </cell>
          <cell r="CC2404" t="str">
            <v>PNA     N1</v>
          </cell>
          <cell r="CD2404" t="str">
            <v xml:space="preserve">OPCOES VENDA   </v>
          </cell>
          <cell r="CE2404" t="str">
            <v xml:space="preserve">Europeu        </v>
          </cell>
        </row>
        <row r="2405">
          <cell r="BY2405">
            <v>0</v>
          </cell>
          <cell r="BZ2405">
            <v>0</v>
          </cell>
          <cell r="CA2405">
            <v>0</v>
          </cell>
          <cell r="CB2405" t="str">
            <v>VALE    /EDJ</v>
          </cell>
          <cell r="CC2405" t="str">
            <v>PNA     N1</v>
          </cell>
          <cell r="CD2405" t="str">
            <v xml:space="preserve">OPCOES VENDA   </v>
          </cell>
          <cell r="CE2405" t="str">
            <v xml:space="preserve">Europeu        </v>
          </cell>
        </row>
        <row r="2406">
          <cell r="BY2406">
            <v>0</v>
          </cell>
          <cell r="BZ2406">
            <v>0</v>
          </cell>
          <cell r="CA2406">
            <v>0</v>
          </cell>
          <cell r="CB2406" t="str">
            <v>VALE    /EDJ</v>
          </cell>
          <cell r="CC2406" t="str">
            <v>PNA     N1</v>
          </cell>
          <cell r="CD2406" t="str">
            <v xml:space="preserve">OPCOES VENDA   </v>
          </cell>
          <cell r="CE2406" t="str">
            <v xml:space="preserve">Europeu        </v>
          </cell>
        </row>
        <row r="2407">
          <cell r="BY2407">
            <v>0</v>
          </cell>
          <cell r="BZ2407">
            <v>0</v>
          </cell>
          <cell r="CA2407">
            <v>0</v>
          </cell>
          <cell r="CB2407" t="str">
            <v>VALE    /EDJ</v>
          </cell>
          <cell r="CC2407" t="str">
            <v>PNA     N1</v>
          </cell>
          <cell r="CD2407" t="str">
            <v xml:space="preserve">OPCOES VENDA   </v>
          </cell>
          <cell r="CE2407" t="str">
            <v xml:space="preserve">Europeu        </v>
          </cell>
        </row>
        <row r="2408">
          <cell r="BY2408">
            <v>0</v>
          </cell>
          <cell r="BZ2408">
            <v>0</v>
          </cell>
          <cell r="CA2408">
            <v>0</v>
          </cell>
          <cell r="CB2408" t="str">
            <v>VALE    /EDJ</v>
          </cell>
          <cell r="CC2408" t="str">
            <v>PNA     N1</v>
          </cell>
          <cell r="CD2408" t="str">
            <v xml:space="preserve">OPCOES VENDA   </v>
          </cell>
          <cell r="CE2408" t="str">
            <v xml:space="preserve">Europeu        </v>
          </cell>
        </row>
        <row r="2409">
          <cell r="BY2409">
            <v>0</v>
          </cell>
          <cell r="BZ2409">
            <v>0</v>
          </cell>
          <cell r="CA2409">
            <v>0</v>
          </cell>
          <cell r="CB2409" t="str">
            <v>VALE    /EDJ</v>
          </cell>
          <cell r="CC2409" t="str">
            <v>PNA     N1</v>
          </cell>
          <cell r="CD2409" t="str">
            <v xml:space="preserve">OPCOES VENDA   </v>
          </cell>
          <cell r="CE2409" t="str">
            <v xml:space="preserve">Europeu        </v>
          </cell>
        </row>
        <row r="2410">
          <cell r="BY2410">
            <v>0</v>
          </cell>
          <cell r="BZ2410">
            <v>0</v>
          </cell>
          <cell r="CA2410">
            <v>0</v>
          </cell>
          <cell r="CB2410" t="str">
            <v>VALE    /EDJ</v>
          </cell>
          <cell r="CC2410" t="str">
            <v>PNA     N1</v>
          </cell>
          <cell r="CD2410" t="str">
            <v xml:space="preserve">OPCOES VENDA   </v>
          </cell>
          <cell r="CE2410" t="str">
            <v xml:space="preserve">Europeu        </v>
          </cell>
        </row>
        <row r="2411">
          <cell r="BY2411">
            <v>0</v>
          </cell>
          <cell r="BZ2411">
            <v>0</v>
          </cell>
          <cell r="CA2411">
            <v>0</v>
          </cell>
          <cell r="CB2411" t="str">
            <v>VALE    /EDJ</v>
          </cell>
          <cell r="CC2411" t="str">
            <v>PNA     N1</v>
          </cell>
          <cell r="CD2411" t="str">
            <v xml:space="preserve">OPCOES VENDA   </v>
          </cell>
          <cell r="CE2411" t="str">
            <v xml:space="preserve">Europeu        </v>
          </cell>
        </row>
        <row r="2412">
          <cell r="BY2412">
            <v>0</v>
          </cell>
          <cell r="BZ2412">
            <v>0</v>
          </cell>
          <cell r="CA2412">
            <v>0</v>
          </cell>
          <cell r="CB2412" t="str">
            <v>VALE    /EDJ</v>
          </cell>
          <cell r="CC2412" t="str">
            <v>PNA     N1</v>
          </cell>
          <cell r="CD2412" t="str">
            <v xml:space="preserve">OPCOES VENDA   </v>
          </cell>
          <cell r="CE2412" t="str">
            <v xml:space="preserve">Europeu        </v>
          </cell>
        </row>
        <row r="2413">
          <cell r="BY2413">
            <v>0</v>
          </cell>
          <cell r="BZ2413">
            <v>0</v>
          </cell>
          <cell r="CA2413">
            <v>0</v>
          </cell>
          <cell r="CB2413" t="str">
            <v>VALE    /EDJ</v>
          </cell>
          <cell r="CC2413" t="str">
            <v>PNA     N1</v>
          </cell>
          <cell r="CD2413" t="str">
            <v xml:space="preserve">OPCOES VENDA   </v>
          </cell>
          <cell r="CE2413" t="str">
            <v xml:space="preserve">Europeu        </v>
          </cell>
        </row>
        <row r="2414">
          <cell r="BY2414">
            <v>0</v>
          </cell>
          <cell r="BZ2414">
            <v>0</v>
          </cell>
          <cell r="CA2414">
            <v>0</v>
          </cell>
          <cell r="CB2414" t="str">
            <v>VALE    /EDJ</v>
          </cell>
          <cell r="CC2414" t="str">
            <v>PNA     N1</v>
          </cell>
          <cell r="CD2414" t="str">
            <v xml:space="preserve">OPCOES VENDA   </v>
          </cell>
          <cell r="CE2414" t="str">
            <v xml:space="preserve">Europeu        </v>
          </cell>
        </row>
        <row r="2415">
          <cell r="BY2415">
            <v>0</v>
          </cell>
          <cell r="BZ2415">
            <v>0</v>
          </cell>
          <cell r="CA2415">
            <v>0</v>
          </cell>
          <cell r="CB2415" t="str">
            <v>VALE    /EDJ</v>
          </cell>
          <cell r="CC2415" t="str">
            <v>PNA     N1</v>
          </cell>
          <cell r="CD2415" t="str">
            <v xml:space="preserve">OPCOES VENDA   </v>
          </cell>
          <cell r="CE2415" t="str">
            <v xml:space="preserve">Europeu        </v>
          </cell>
        </row>
        <row r="2416">
          <cell r="BY2416">
            <v>0</v>
          </cell>
          <cell r="BZ2416">
            <v>0</v>
          </cell>
          <cell r="CA2416">
            <v>0</v>
          </cell>
          <cell r="CB2416" t="str">
            <v>VALE    /EDJ</v>
          </cell>
          <cell r="CC2416" t="str">
            <v>PNA     N1</v>
          </cell>
          <cell r="CD2416" t="str">
            <v xml:space="preserve">OPCOES VENDA   </v>
          </cell>
          <cell r="CE2416" t="str">
            <v xml:space="preserve">Europeu        </v>
          </cell>
        </row>
        <row r="2417">
          <cell r="BY2417">
            <v>0</v>
          </cell>
          <cell r="BZ2417">
            <v>0</v>
          </cell>
          <cell r="CA2417">
            <v>0</v>
          </cell>
          <cell r="CB2417" t="str">
            <v>VALE    /EDJ</v>
          </cell>
          <cell r="CC2417" t="str">
            <v>PNA     N1</v>
          </cell>
          <cell r="CD2417" t="str">
            <v xml:space="preserve">OPCOES VENDA   </v>
          </cell>
          <cell r="CE2417" t="str">
            <v xml:space="preserve">Europeu        </v>
          </cell>
        </row>
        <row r="2418">
          <cell r="BY2418">
            <v>0</v>
          </cell>
          <cell r="BZ2418">
            <v>0</v>
          </cell>
          <cell r="CA2418">
            <v>0</v>
          </cell>
          <cell r="CB2418" t="str">
            <v>VALE    /EDJ</v>
          </cell>
          <cell r="CC2418" t="str">
            <v>PNA     N1</v>
          </cell>
          <cell r="CD2418" t="str">
            <v xml:space="preserve">OPCOES VENDA   </v>
          </cell>
          <cell r="CE2418" t="str">
            <v xml:space="preserve">Europeu        </v>
          </cell>
        </row>
        <row r="2419">
          <cell r="BY2419">
            <v>0</v>
          </cell>
          <cell r="BZ2419">
            <v>0</v>
          </cell>
          <cell r="CA2419">
            <v>0</v>
          </cell>
          <cell r="CB2419" t="str">
            <v>VALE    /EDJ</v>
          </cell>
          <cell r="CC2419" t="str">
            <v>PNA     N1</v>
          </cell>
          <cell r="CD2419" t="str">
            <v xml:space="preserve">OPCOES VENDA   </v>
          </cell>
          <cell r="CE2419" t="str">
            <v xml:space="preserve">Europeu        </v>
          </cell>
        </row>
        <row r="2420">
          <cell r="BY2420">
            <v>0</v>
          </cell>
          <cell r="BZ2420">
            <v>0</v>
          </cell>
          <cell r="CA2420">
            <v>0</v>
          </cell>
          <cell r="CB2420" t="str">
            <v>VALE    /EDJ</v>
          </cell>
          <cell r="CC2420" t="str">
            <v>PNA     N1</v>
          </cell>
          <cell r="CD2420" t="str">
            <v xml:space="preserve">OPCOES VENDA   </v>
          </cell>
          <cell r="CE2420" t="str">
            <v xml:space="preserve">Europeu        </v>
          </cell>
        </row>
        <row r="2421">
          <cell r="BY2421">
            <v>0</v>
          </cell>
          <cell r="BZ2421">
            <v>0</v>
          </cell>
          <cell r="CA2421">
            <v>0</v>
          </cell>
          <cell r="CB2421" t="str">
            <v>VALE    /EDJ</v>
          </cell>
          <cell r="CC2421" t="str">
            <v>PNA     N1</v>
          </cell>
          <cell r="CD2421" t="str">
            <v xml:space="preserve">OPCOES VENDA   </v>
          </cell>
          <cell r="CE2421" t="str">
            <v xml:space="preserve">Europeu        </v>
          </cell>
        </row>
        <row r="2422">
          <cell r="BY2422">
            <v>0</v>
          </cell>
          <cell r="BZ2422">
            <v>0</v>
          </cell>
          <cell r="CA2422">
            <v>0</v>
          </cell>
          <cell r="CB2422" t="str">
            <v>VALE    /EDJ</v>
          </cell>
          <cell r="CC2422" t="str">
            <v>PNA     N1</v>
          </cell>
          <cell r="CD2422" t="str">
            <v xml:space="preserve">OPCOES VENDA   </v>
          </cell>
          <cell r="CE2422" t="str">
            <v xml:space="preserve">Europeu        </v>
          </cell>
        </row>
        <row r="2423">
          <cell r="BY2423">
            <v>0</v>
          </cell>
          <cell r="BZ2423">
            <v>0</v>
          </cell>
          <cell r="CA2423">
            <v>0</v>
          </cell>
          <cell r="CB2423" t="str">
            <v>VALE    /EDJ</v>
          </cell>
          <cell r="CC2423" t="str">
            <v>PNA     N1</v>
          </cell>
          <cell r="CD2423" t="str">
            <v xml:space="preserve">OPCOES VENDA   </v>
          </cell>
          <cell r="CE2423" t="str">
            <v xml:space="preserve">Europeu        </v>
          </cell>
        </row>
        <row r="2424">
          <cell r="BY2424">
            <v>0</v>
          </cell>
          <cell r="BZ2424">
            <v>0</v>
          </cell>
          <cell r="CA2424">
            <v>0</v>
          </cell>
          <cell r="CB2424" t="str">
            <v>VALE    /EDJ</v>
          </cell>
          <cell r="CC2424" t="str">
            <v>PNA     N1</v>
          </cell>
          <cell r="CD2424" t="str">
            <v xml:space="preserve">OPCOES VENDA   </v>
          </cell>
          <cell r="CE2424" t="str">
            <v xml:space="preserve">Europeu        </v>
          </cell>
        </row>
        <row r="2425">
          <cell r="BY2425">
            <v>0</v>
          </cell>
          <cell r="BZ2425">
            <v>0</v>
          </cell>
          <cell r="CA2425">
            <v>0</v>
          </cell>
          <cell r="CB2425" t="str">
            <v>VALE    /EDJ</v>
          </cell>
          <cell r="CC2425" t="str">
            <v>PNA     N1</v>
          </cell>
          <cell r="CD2425" t="str">
            <v xml:space="preserve">OPCOES VENDA   </v>
          </cell>
          <cell r="CE2425" t="str">
            <v xml:space="preserve">Europeu        </v>
          </cell>
        </row>
        <row r="2426">
          <cell r="BY2426">
            <v>0</v>
          </cell>
          <cell r="BZ2426">
            <v>0</v>
          </cell>
          <cell r="CA2426">
            <v>0</v>
          </cell>
          <cell r="CB2426" t="str">
            <v>VALE    /EDJ</v>
          </cell>
          <cell r="CC2426" t="str">
            <v>PNA     N1</v>
          </cell>
          <cell r="CD2426" t="str">
            <v xml:space="preserve">OPCOES VENDA   </v>
          </cell>
          <cell r="CE2426" t="str">
            <v xml:space="preserve">Europeu        </v>
          </cell>
        </row>
        <row r="2427">
          <cell r="BY2427">
            <v>0</v>
          </cell>
          <cell r="BZ2427">
            <v>0</v>
          </cell>
          <cell r="CA2427">
            <v>0</v>
          </cell>
          <cell r="CB2427" t="str">
            <v>VALE    /EDJ</v>
          </cell>
          <cell r="CC2427" t="str">
            <v>PNA     N1</v>
          </cell>
          <cell r="CD2427" t="str">
            <v xml:space="preserve">OPCOES VENDA   </v>
          </cell>
          <cell r="CE2427" t="str">
            <v xml:space="preserve">Europeu        </v>
          </cell>
        </row>
        <row r="2428">
          <cell r="BY2428">
            <v>0</v>
          </cell>
          <cell r="BZ2428">
            <v>0</v>
          </cell>
          <cell r="CA2428">
            <v>0</v>
          </cell>
          <cell r="CB2428" t="str">
            <v>VALE    /EDJ</v>
          </cell>
          <cell r="CC2428" t="str">
            <v>PNA     N1</v>
          </cell>
          <cell r="CD2428" t="str">
            <v xml:space="preserve">OPCOES VENDA   </v>
          </cell>
          <cell r="CE2428" t="str">
            <v xml:space="preserve">Europeu        </v>
          </cell>
        </row>
        <row r="2429">
          <cell r="BY2429">
            <v>0</v>
          </cell>
          <cell r="BZ2429">
            <v>0</v>
          </cell>
          <cell r="CA2429">
            <v>0</v>
          </cell>
          <cell r="CB2429" t="str">
            <v>VALE    /EDJ</v>
          </cell>
          <cell r="CC2429" t="str">
            <v>PNA     N1</v>
          </cell>
          <cell r="CD2429" t="str">
            <v xml:space="preserve">OPCOES VENDA   </v>
          </cell>
          <cell r="CE2429" t="str">
            <v xml:space="preserve">Europeu        </v>
          </cell>
        </row>
        <row r="2430">
          <cell r="BY2430">
            <v>0</v>
          </cell>
          <cell r="BZ2430">
            <v>0</v>
          </cell>
          <cell r="CA2430">
            <v>0</v>
          </cell>
          <cell r="CB2430" t="str">
            <v>VALE    /EDJ</v>
          </cell>
          <cell r="CC2430" t="str">
            <v>PNA     N1</v>
          </cell>
          <cell r="CD2430" t="str">
            <v xml:space="preserve">OPCOES VENDA   </v>
          </cell>
          <cell r="CE2430" t="str">
            <v xml:space="preserve">Europeu        </v>
          </cell>
        </row>
        <row r="2431">
          <cell r="BY2431">
            <v>0</v>
          </cell>
          <cell r="BZ2431">
            <v>0</v>
          </cell>
          <cell r="CA2431">
            <v>0</v>
          </cell>
          <cell r="CB2431" t="str">
            <v>VALE    /EDJ</v>
          </cell>
          <cell r="CC2431" t="str">
            <v>PNA     N1</v>
          </cell>
          <cell r="CD2431" t="str">
            <v xml:space="preserve">OPCOES VENDA   </v>
          </cell>
          <cell r="CE2431" t="str">
            <v xml:space="preserve">Europeu        </v>
          </cell>
        </row>
        <row r="2432">
          <cell r="BY2432">
            <v>0</v>
          </cell>
          <cell r="BZ2432">
            <v>0</v>
          </cell>
          <cell r="CA2432">
            <v>0</v>
          </cell>
          <cell r="CB2432" t="str">
            <v>VALE    /EDJ</v>
          </cell>
          <cell r="CC2432" t="str">
            <v>PNA     N1</v>
          </cell>
          <cell r="CD2432" t="str">
            <v xml:space="preserve">OPCOES VENDA   </v>
          </cell>
          <cell r="CE2432" t="str">
            <v xml:space="preserve">Europeu        </v>
          </cell>
        </row>
        <row r="2433">
          <cell r="BY2433">
            <v>0</v>
          </cell>
          <cell r="BZ2433">
            <v>0</v>
          </cell>
          <cell r="CA2433">
            <v>0</v>
          </cell>
          <cell r="CB2433" t="str">
            <v>VALE    /EDJ</v>
          </cell>
          <cell r="CC2433" t="str">
            <v>PNA     N1</v>
          </cell>
          <cell r="CD2433" t="str">
            <v xml:space="preserve">OPCOES VENDA   </v>
          </cell>
          <cell r="CE2433" t="str">
            <v xml:space="preserve">Europeu        </v>
          </cell>
        </row>
        <row r="2434">
          <cell r="BY2434">
            <v>0</v>
          </cell>
          <cell r="BZ2434">
            <v>0</v>
          </cell>
          <cell r="CA2434">
            <v>0</v>
          </cell>
          <cell r="CB2434" t="str">
            <v>VALE    /EDJ</v>
          </cell>
          <cell r="CC2434" t="str">
            <v>PNA     N1</v>
          </cell>
          <cell r="CD2434" t="str">
            <v xml:space="preserve">OPCOES VENDA   </v>
          </cell>
          <cell r="CE2434" t="str">
            <v xml:space="preserve">Europeu        </v>
          </cell>
        </row>
        <row r="2435">
          <cell r="BY2435">
            <v>0</v>
          </cell>
          <cell r="BZ2435">
            <v>0</v>
          </cell>
          <cell r="CA2435">
            <v>0</v>
          </cell>
          <cell r="CB2435" t="str">
            <v>VALE    /EDJ</v>
          </cell>
          <cell r="CC2435" t="str">
            <v>PNA     N1</v>
          </cell>
          <cell r="CD2435" t="str">
            <v xml:space="preserve">OPCOES VENDA   </v>
          </cell>
          <cell r="CE2435" t="str">
            <v xml:space="preserve">Europeu        </v>
          </cell>
        </row>
        <row r="2436">
          <cell r="BY2436">
            <v>0</v>
          </cell>
          <cell r="BZ2436">
            <v>0</v>
          </cell>
          <cell r="CA2436">
            <v>0</v>
          </cell>
          <cell r="CB2436" t="str">
            <v>VALE    /EDJ</v>
          </cell>
          <cell r="CC2436" t="str">
            <v>PNA     N1</v>
          </cell>
          <cell r="CD2436" t="str">
            <v xml:space="preserve">OPCOES VENDA   </v>
          </cell>
          <cell r="CE2436" t="str">
            <v xml:space="preserve">Europeu        </v>
          </cell>
        </row>
        <row r="2437">
          <cell r="BY2437">
            <v>0</v>
          </cell>
          <cell r="BZ2437">
            <v>0</v>
          </cell>
          <cell r="CA2437">
            <v>0</v>
          </cell>
          <cell r="CB2437" t="str">
            <v>VALE    /EDJ</v>
          </cell>
          <cell r="CC2437" t="str">
            <v>PNA     N1</v>
          </cell>
          <cell r="CD2437" t="str">
            <v xml:space="preserve">OPCOES VENDA   </v>
          </cell>
          <cell r="CE2437" t="str">
            <v xml:space="preserve">Europeu        </v>
          </cell>
        </row>
        <row r="2438">
          <cell r="BY2438">
            <v>0</v>
          </cell>
          <cell r="BZ2438">
            <v>0</v>
          </cell>
          <cell r="CA2438">
            <v>0</v>
          </cell>
          <cell r="CB2438" t="str">
            <v>VALE    /EDJ</v>
          </cell>
          <cell r="CC2438" t="str">
            <v>PNA     N1</v>
          </cell>
          <cell r="CD2438" t="str">
            <v xml:space="preserve">OPCOES VENDA   </v>
          </cell>
          <cell r="CE2438" t="str">
            <v xml:space="preserve">Europeu        </v>
          </cell>
        </row>
        <row r="2439">
          <cell r="BY2439">
            <v>0</v>
          </cell>
          <cell r="BZ2439">
            <v>0</v>
          </cell>
          <cell r="CA2439">
            <v>0</v>
          </cell>
          <cell r="CB2439" t="str">
            <v>VALE    /EDJ</v>
          </cell>
          <cell r="CC2439" t="str">
            <v>PNA     N1</v>
          </cell>
          <cell r="CD2439" t="str">
            <v xml:space="preserve">OPCOES VENDA   </v>
          </cell>
          <cell r="CE2439" t="str">
            <v xml:space="preserve">Europeu        </v>
          </cell>
        </row>
        <row r="2440">
          <cell r="BY2440">
            <v>0</v>
          </cell>
          <cell r="BZ2440">
            <v>0</v>
          </cell>
          <cell r="CA2440">
            <v>0</v>
          </cell>
          <cell r="CB2440" t="str">
            <v>VALE    /EDJ</v>
          </cell>
          <cell r="CC2440" t="str">
            <v>PNA     N1</v>
          </cell>
          <cell r="CD2440" t="str">
            <v xml:space="preserve">OPCOES VENDA   </v>
          </cell>
          <cell r="CE2440" t="str">
            <v xml:space="preserve">Europeu        </v>
          </cell>
        </row>
        <row r="2441">
          <cell r="BY2441">
            <v>0</v>
          </cell>
          <cell r="BZ2441">
            <v>0</v>
          </cell>
          <cell r="CA2441">
            <v>0</v>
          </cell>
          <cell r="CB2441" t="str">
            <v>VALE    /EDJ</v>
          </cell>
          <cell r="CC2441" t="str">
            <v>PNA     N1</v>
          </cell>
          <cell r="CD2441" t="str">
            <v xml:space="preserve">OPCOES VENDA   </v>
          </cell>
          <cell r="CE2441" t="str">
            <v xml:space="preserve">Europeu        </v>
          </cell>
        </row>
        <row r="2442">
          <cell r="BY2442">
            <v>0</v>
          </cell>
          <cell r="BZ2442">
            <v>0</v>
          </cell>
          <cell r="CA2442">
            <v>0</v>
          </cell>
          <cell r="CB2442" t="str">
            <v>VALE    /EDJ</v>
          </cell>
          <cell r="CC2442" t="str">
            <v>PNA     N1</v>
          </cell>
          <cell r="CD2442" t="str">
            <v xml:space="preserve">OPCOES VENDA   </v>
          </cell>
          <cell r="CE2442" t="str">
            <v xml:space="preserve">Europeu        </v>
          </cell>
        </row>
        <row r="2443">
          <cell r="BY2443">
            <v>0</v>
          </cell>
          <cell r="BZ2443">
            <v>0</v>
          </cell>
          <cell r="CA2443">
            <v>0</v>
          </cell>
          <cell r="CB2443" t="str">
            <v>VALE    /EDJ</v>
          </cell>
          <cell r="CC2443" t="str">
            <v>PNA     N1</v>
          </cell>
          <cell r="CD2443" t="str">
            <v xml:space="preserve">OPCOES VENDA   </v>
          </cell>
          <cell r="CE2443" t="str">
            <v xml:space="preserve">Europeu        </v>
          </cell>
        </row>
        <row r="2444">
          <cell r="BY2444">
            <v>0</v>
          </cell>
          <cell r="BZ2444">
            <v>0</v>
          </cell>
          <cell r="CA2444">
            <v>0</v>
          </cell>
          <cell r="CB2444" t="str">
            <v>VALE    /EDJ</v>
          </cell>
          <cell r="CC2444" t="str">
            <v>PNA     N1</v>
          </cell>
          <cell r="CD2444" t="str">
            <v xml:space="preserve">OPCOES VENDA   </v>
          </cell>
          <cell r="CE2444" t="str">
            <v xml:space="preserve">Europeu        </v>
          </cell>
        </row>
        <row r="2445">
          <cell r="BY2445">
            <v>0</v>
          </cell>
          <cell r="BZ2445">
            <v>0</v>
          </cell>
          <cell r="CA2445">
            <v>0</v>
          </cell>
          <cell r="CB2445" t="str">
            <v>VALE    /EDJ</v>
          </cell>
          <cell r="CC2445" t="str">
            <v>PNA     N1</v>
          </cell>
          <cell r="CD2445" t="str">
            <v xml:space="preserve">OPCOES VENDA   </v>
          </cell>
          <cell r="CE2445" t="str">
            <v xml:space="preserve">Europeu        </v>
          </cell>
        </row>
        <row r="2446">
          <cell r="BY2446">
            <v>0</v>
          </cell>
          <cell r="BZ2446">
            <v>0</v>
          </cell>
          <cell r="CA2446">
            <v>0</v>
          </cell>
          <cell r="CB2446" t="str">
            <v>VALE    /EDJ</v>
          </cell>
          <cell r="CC2446" t="str">
            <v>PNA     N1</v>
          </cell>
          <cell r="CD2446" t="str">
            <v xml:space="preserve">OPCOES VENDA   </v>
          </cell>
          <cell r="CE2446" t="str">
            <v xml:space="preserve">Europeu        </v>
          </cell>
        </row>
        <row r="2447">
          <cell r="BY2447">
            <v>0</v>
          </cell>
          <cell r="BZ2447">
            <v>0</v>
          </cell>
          <cell r="CA2447">
            <v>0</v>
          </cell>
          <cell r="CB2447" t="str">
            <v>VALE    /EDJ</v>
          </cell>
          <cell r="CC2447" t="str">
            <v>PNA     N1</v>
          </cell>
          <cell r="CD2447" t="str">
            <v xml:space="preserve">OPCOES VENDA   </v>
          </cell>
          <cell r="CE2447" t="str">
            <v xml:space="preserve">Europeu        </v>
          </cell>
        </row>
        <row r="2448">
          <cell r="BY2448">
            <v>0</v>
          </cell>
          <cell r="BZ2448">
            <v>0</v>
          </cell>
          <cell r="CA2448">
            <v>0</v>
          </cell>
          <cell r="CB2448" t="str">
            <v>VALE    /EDJ</v>
          </cell>
          <cell r="CC2448" t="str">
            <v>PNA     N1</v>
          </cell>
          <cell r="CD2448" t="str">
            <v xml:space="preserve">OPCOES VENDA   </v>
          </cell>
          <cell r="CE2448" t="str">
            <v xml:space="preserve">Europeu        </v>
          </cell>
        </row>
        <row r="2449">
          <cell r="BY2449">
            <v>0</v>
          </cell>
          <cell r="BZ2449">
            <v>0</v>
          </cell>
          <cell r="CA2449">
            <v>0</v>
          </cell>
          <cell r="CB2449" t="str">
            <v>VALE    /EDJ</v>
          </cell>
          <cell r="CC2449" t="str">
            <v>PNA     N1</v>
          </cell>
          <cell r="CD2449" t="str">
            <v xml:space="preserve">OPCOES VENDA   </v>
          </cell>
          <cell r="CE2449" t="str">
            <v xml:space="preserve">Europeu        </v>
          </cell>
        </row>
        <row r="2450">
          <cell r="BY2450">
            <v>0</v>
          </cell>
          <cell r="BZ2450">
            <v>0</v>
          </cell>
          <cell r="CA2450">
            <v>0</v>
          </cell>
          <cell r="CB2450" t="str">
            <v>VALE    /EDJ</v>
          </cell>
          <cell r="CC2450" t="str">
            <v>PNA     N1</v>
          </cell>
          <cell r="CD2450" t="str">
            <v xml:space="preserve">OPCOES VENDA   </v>
          </cell>
          <cell r="CE2450" t="str">
            <v xml:space="preserve">Europeu        </v>
          </cell>
        </row>
        <row r="2451">
          <cell r="BY2451">
            <v>0</v>
          </cell>
          <cell r="BZ2451">
            <v>0</v>
          </cell>
          <cell r="CA2451">
            <v>0</v>
          </cell>
          <cell r="CB2451" t="str">
            <v>VALE    /EDJ</v>
          </cell>
          <cell r="CC2451" t="str">
            <v>PNA     N1</v>
          </cell>
          <cell r="CD2451" t="str">
            <v xml:space="preserve">OPCOES VENDA   </v>
          </cell>
          <cell r="CE2451" t="str">
            <v xml:space="preserve">Europeu        </v>
          </cell>
        </row>
        <row r="2452">
          <cell r="BY2452">
            <v>0</v>
          </cell>
          <cell r="BZ2452">
            <v>0</v>
          </cell>
          <cell r="CA2452">
            <v>0</v>
          </cell>
          <cell r="CB2452" t="str">
            <v>VALE    /EDJ</v>
          </cell>
          <cell r="CC2452" t="str">
            <v>PNA     N1</v>
          </cell>
          <cell r="CD2452" t="str">
            <v xml:space="preserve">OPCOES VENDA   </v>
          </cell>
          <cell r="CE2452" t="str">
            <v xml:space="preserve">Europeu        </v>
          </cell>
        </row>
        <row r="2453">
          <cell r="BY2453">
            <v>0</v>
          </cell>
          <cell r="BZ2453">
            <v>0</v>
          </cell>
          <cell r="CA2453">
            <v>0</v>
          </cell>
          <cell r="CB2453" t="str">
            <v>VALE    /EDJ</v>
          </cell>
          <cell r="CC2453" t="str">
            <v>PNA     N1</v>
          </cell>
          <cell r="CD2453" t="str">
            <v xml:space="preserve">OPCOES VENDA   </v>
          </cell>
          <cell r="CE2453" t="str">
            <v xml:space="preserve">Europeu        </v>
          </cell>
        </row>
        <row r="2454">
          <cell r="BY2454">
            <v>0</v>
          </cell>
          <cell r="BZ2454">
            <v>0</v>
          </cell>
          <cell r="CA2454">
            <v>0</v>
          </cell>
          <cell r="CB2454" t="str">
            <v>VALE    /EDJ</v>
          </cell>
          <cell r="CC2454" t="str">
            <v>PNA     N1</v>
          </cell>
          <cell r="CD2454" t="str">
            <v xml:space="preserve">OPCOES VENDA   </v>
          </cell>
          <cell r="CE2454" t="str">
            <v xml:space="preserve">Europeu        </v>
          </cell>
        </row>
        <row r="2455">
          <cell r="BY2455">
            <v>0</v>
          </cell>
          <cell r="BZ2455">
            <v>0</v>
          </cell>
          <cell r="CA2455">
            <v>0</v>
          </cell>
          <cell r="CB2455" t="str">
            <v>VALE    /EDJ</v>
          </cell>
          <cell r="CC2455" t="str">
            <v>PNA     N1</v>
          </cell>
          <cell r="CD2455" t="str">
            <v xml:space="preserve">OPCOES VENDA   </v>
          </cell>
          <cell r="CE2455" t="str">
            <v xml:space="preserve">Europeu        </v>
          </cell>
        </row>
        <row r="2456">
          <cell r="BY2456">
            <v>0</v>
          </cell>
          <cell r="BZ2456">
            <v>0</v>
          </cell>
          <cell r="CA2456">
            <v>0</v>
          </cell>
          <cell r="CB2456" t="str">
            <v>VALE    /EDJ</v>
          </cell>
          <cell r="CC2456" t="str">
            <v>PNA     N1</v>
          </cell>
          <cell r="CD2456" t="str">
            <v xml:space="preserve">OPCOES VENDA   </v>
          </cell>
          <cell r="CE2456" t="str">
            <v xml:space="preserve">Europeu        </v>
          </cell>
        </row>
        <row r="2457">
          <cell r="BY2457">
            <v>0</v>
          </cell>
          <cell r="BZ2457">
            <v>0</v>
          </cell>
          <cell r="CA2457">
            <v>0</v>
          </cell>
          <cell r="CB2457" t="str">
            <v>VALE    /EDJ</v>
          </cell>
          <cell r="CC2457" t="str">
            <v>PNA     N1</v>
          </cell>
          <cell r="CD2457" t="str">
            <v xml:space="preserve">OPCOES VENDA   </v>
          </cell>
          <cell r="CE2457" t="str">
            <v xml:space="preserve">Europeu        </v>
          </cell>
        </row>
        <row r="2458">
          <cell r="BY2458">
            <v>0</v>
          </cell>
          <cell r="BZ2458">
            <v>0</v>
          </cell>
          <cell r="CA2458">
            <v>0</v>
          </cell>
          <cell r="CB2458" t="str">
            <v>VALE    /EDJ</v>
          </cell>
          <cell r="CC2458" t="str">
            <v>PNA     N1</v>
          </cell>
          <cell r="CD2458" t="str">
            <v xml:space="preserve">OPCOES VENDA   </v>
          </cell>
          <cell r="CE2458" t="str">
            <v xml:space="preserve">Europeu        </v>
          </cell>
        </row>
        <row r="2459">
          <cell r="BY2459">
            <v>0</v>
          </cell>
          <cell r="BZ2459">
            <v>0</v>
          </cell>
          <cell r="CA2459">
            <v>0</v>
          </cell>
          <cell r="CB2459" t="str">
            <v>VALE    /EDJ</v>
          </cell>
          <cell r="CC2459" t="str">
            <v>PNA     N1</v>
          </cell>
          <cell r="CD2459" t="str">
            <v xml:space="preserve">OPCOES VENDA   </v>
          </cell>
          <cell r="CE2459" t="str">
            <v xml:space="preserve">Europeu        </v>
          </cell>
        </row>
        <row r="2460">
          <cell r="BY2460">
            <v>0</v>
          </cell>
          <cell r="BZ2460">
            <v>0</v>
          </cell>
          <cell r="CA2460">
            <v>0</v>
          </cell>
          <cell r="CB2460" t="str">
            <v>VALE    /EDJ</v>
          </cell>
          <cell r="CC2460" t="str">
            <v>PNA     N1</v>
          </cell>
          <cell r="CD2460" t="str">
            <v xml:space="preserve">OPCOES VENDA   </v>
          </cell>
          <cell r="CE2460" t="str">
            <v xml:space="preserve">Europeu        </v>
          </cell>
        </row>
        <row r="2461">
          <cell r="BY2461">
            <v>0</v>
          </cell>
          <cell r="BZ2461">
            <v>0</v>
          </cell>
          <cell r="CA2461">
            <v>0</v>
          </cell>
          <cell r="CB2461" t="str">
            <v>VALE    /EDJ</v>
          </cell>
          <cell r="CC2461" t="str">
            <v>PNA     N1</v>
          </cell>
          <cell r="CD2461" t="str">
            <v xml:space="preserve">OPCOES VENDA   </v>
          </cell>
          <cell r="CE2461" t="str">
            <v xml:space="preserve">Europeu        </v>
          </cell>
        </row>
        <row r="2462">
          <cell r="BY2462">
            <v>0</v>
          </cell>
          <cell r="BZ2462">
            <v>0</v>
          </cell>
          <cell r="CA2462">
            <v>0</v>
          </cell>
          <cell r="CB2462" t="str">
            <v xml:space="preserve">ARCZ        </v>
          </cell>
          <cell r="CC2462" t="str">
            <v>PNB     N1</v>
          </cell>
          <cell r="CD2462" t="str">
            <v xml:space="preserve">OPCOES COMPRA  </v>
          </cell>
          <cell r="CE2462" t="str">
            <v xml:space="preserve">Americano      </v>
          </cell>
        </row>
        <row r="2463">
          <cell r="BY2463">
            <v>0</v>
          </cell>
          <cell r="BZ2463">
            <v>0</v>
          </cell>
          <cell r="CA2463">
            <v>0</v>
          </cell>
          <cell r="CB2463" t="str">
            <v xml:space="preserve">ARCZ        </v>
          </cell>
          <cell r="CC2463" t="str">
            <v>PNB     N1</v>
          </cell>
          <cell r="CD2463" t="str">
            <v xml:space="preserve">OPCOES VENDA   </v>
          </cell>
          <cell r="CE2463" t="str">
            <v xml:space="preserve">Europeu        </v>
          </cell>
        </row>
        <row r="2464">
          <cell r="BY2464">
            <v>0</v>
          </cell>
          <cell r="BZ2464">
            <v>0</v>
          </cell>
          <cell r="CA2464">
            <v>0</v>
          </cell>
          <cell r="CB2464" t="str">
            <v xml:space="preserve">CESP        </v>
          </cell>
          <cell r="CC2464" t="str">
            <v>PNB     N1</v>
          </cell>
          <cell r="CD2464" t="str">
            <v xml:space="preserve">OPCOES COMPRA  </v>
          </cell>
          <cell r="CE2464" t="str">
            <v xml:space="preserve">Americano      </v>
          </cell>
        </row>
        <row r="2465">
          <cell r="BY2465">
            <v>0</v>
          </cell>
          <cell r="BZ2465">
            <v>0</v>
          </cell>
          <cell r="CA2465">
            <v>0</v>
          </cell>
          <cell r="CB2465" t="str">
            <v xml:space="preserve">CESP        </v>
          </cell>
          <cell r="CC2465" t="str">
            <v>PNB     N1</v>
          </cell>
          <cell r="CD2465" t="str">
            <v xml:space="preserve">OPCOES COMPRA  </v>
          </cell>
          <cell r="CE2465" t="str">
            <v xml:space="preserve">Americano      </v>
          </cell>
        </row>
        <row r="2466">
          <cell r="BY2466">
            <v>0</v>
          </cell>
          <cell r="BZ2466">
            <v>0</v>
          </cell>
          <cell r="CA2466">
            <v>0</v>
          </cell>
          <cell r="CB2466" t="str">
            <v xml:space="preserve">CESP        </v>
          </cell>
          <cell r="CC2466" t="str">
            <v>PNB     N1</v>
          </cell>
          <cell r="CD2466" t="str">
            <v xml:space="preserve">OPCOES COMPRA  </v>
          </cell>
          <cell r="CE2466" t="str">
            <v xml:space="preserve">Americano      </v>
          </cell>
        </row>
        <row r="2467">
          <cell r="BY2467">
            <v>0</v>
          </cell>
          <cell r="BZ2467">
            <v>0</v>
          </cell>
          <cell r="CA2467">
            <v>0</v>
          </cell>
          <cell r="CB2467" t="str">
            <v xml:space="preserve">CESP        </v>
          </cell>
          <cell r="CC2467" t="str">
            <v>PNB     N1</v>
          </cell>
          <cell r="CD2467" t="str">
            <v xml:space="preserve">OPCOES COMPRA  </v>
          </cell>
          <cell r="CE2467" t="str">
            <v xml:space="preserve">Americano      </v>
          </cell>
        </row>
        <row r="2468">
          <cell r="BY2468">
            <v>0</v>
          </cell>
          <cell r="BZ2468">
            <v>0</v>
          </cell>
          <cell r="CA2468">
            <v>0</v>
          </cell>
          <cell r="CB2468" t="str">
            <v xml:space="preserve">CESP        </v>
          </cell>
          <cell r="CC2468" t="str">
            <v>PNB     N1</v>
          </cell>
          <cell r="CD2468" t="str">
            <v xml:space="preserve">OPCOES COMPRA  </v>
          </cell>
          <cell r="CE2468" t="str">
            <v xml:space="preserve">Americano      </v>
          </cell>
        </row>
        <row r="2469">
          <cell r="BY2469">
            <v>0</v>
          </cell>
          <cell r="BZ2469">
            <v>0</v>
          </cell>
          <cell r="CA2469">
            <v>0</v>
          </cell>
          <cell r="CB2469" t="str">
            <v xml:space="preserve">CESP        </v>
          </cell>
          <cell r="CC2469" t="str">
            <v>PNB     N1</v>
          </cell>
          <cell r="CD2469" t="str">
            <v xml:space="preserve">OPCOES COMPRA  </v>
          </cell>
          <cell r="CE2469" t="str">
            <v xml:space="preserve">Americano      </v>
          </cell>
        </row>
        <row r="2470">
          <cell r="BY2470">
            <v>0</v>
          </cell>
          <cell r="BZ2470">
            <v>0</v>
          </cell>
          <cell r="CA2470">
            <v>0</v>
          </cell>
          <cell r="CB2470" t="str">
            <v xml:space="preserve">CESP        </v>
          </cell>
          <cell r="CC2470" t="str">
            <v>PNB     N1</v>
          </cell>
          <cell r="CD2470" t="str">
            <v xml:space="preserve">OPCOES COMPRA  </v>
          </cell>
          <cell r="CE2470" t="str">
            <v xml:space="preserve">Americano      </v>
          </cell>
        </row>
        <row r="2471">
          <cell r="BY2471">
            <v>0</v>
          </cell>
          <cell r="BZ2471">
            <v>0</v>
          </cell>
          <cell r="CA2471">
            <v>0</v>
          </cell>
          <cell r="CB2471" t="str">
            <v xml:space="preserve">CESP        </v>
          </cell>
          <cell r="CC2471" t="str">
            <v>PNB     N1</v>
          </cell>
          <cell r="CD2471" t="str">
            <v xml:space="preserve">OPCOES COMPRA  </v>
          </cell>
          <cell r="CE2471" t="str">
            <v xml:space="preserve">Americano      </v>
          </cell>
        </row>
        <row r="2472">
          <cell r="BY2472">
            <v>0</v>
          </cell>
          <cell r="BZ2472">
            <v>0</v>
          </cell>
          <cell r="CA2472">
            <v>0</v>
          </cell>
          <cell r="CB2472" t="str">
            <v xml:space="preserve">CESP        </v>
          </cell>
          <cell r="CC2472" t="str">
            <v>PNB     N1</v>
          </cell>
          <cell r="CD2472" t="str">
            <v xml:space="preserve">OPCOES COMPRA  </v>
          </cell>
          <cell r="CE2472" t="str">
            <v xml:space="preserve">Americano      </v>
          </cell>
        </row>
        <row r="2473">
          <cell r="BY2473">
            <v>0</v>
          </cell>
          <cell r="BZ2473">
            <v>0</v>
          </cell>
          <cell r="CA2473">
            <v>0</v>
          </cell>
          <cell r="CB2473" t="str">
            <v xml:space="preserve">CESP        </v>
          </cell>
          <cell r="CC2473" t="str">
            <v>PNB     N1</v>
          </cell>
          <cell r="CD2473" t="str">
            <v xml:space="preserve">OPCOES COMPRA  </v>
          </cell>
          <cell r="CE2473" t="str">
            <v xml:space="preserve">Americano      </v>
          </cell>
        </row>
        <row r="2474">
          <cell r="BY2474">
            <v>0</v>
          </cell>
          <cell r="BZ2474">
            <v>0</v>
          </cell>
          <cell r="CA2474">
            <v>0</v>
          </cell>
          <cell r="CB2474" t="str">
            <v xml:space="preserve">CESP        </v>
          </cell>
          <cell r="CC2474" t="str">
            <v>PNB     N1</v>
          </cell>
          <cell r="CD2474" t="str">
            <v xml:space="preserve">OPCOES COMPRA  </v>
          </cell>
          <cell r="CE2474" t="str">
            <v xml:space="preserve">Americano      </v>
          </cell>
        </row>
        <row r="2475">
          <cell r="BY2475">
            <v>0</v>
          </cell>
          <cell r="BZ2475">
            <v>0</v>
          </cell>
          <cell r="CA2475">
            <v>0</v>
          </cell>
          <cell r="CB2475" t="str">
            <v xml:space="preserve">CESP        </v>
          </cell>
          <cell r="CC2475" t="str">
            <v>PNB     N1</v>
          </cell>
          <cell r="CD2475" t="str">
            <v xml:space="preserve">OPCOES COMPRA  </v>
          </cell>
          <cell r="CE2475" t="str">
            <v xml:space="preserve">Americano      </v>
          </cell>
        </row>
        <row r="2476">
          <cell r="BY2476">
            <v>0</v>
          </cell>
          <cell r="BZ2476">
            <v>0</v>
          </cell>
          <cell r="CA2476">
            <v>0</v>
          </cell>
          <cell r="CB2476" t="str">
            <v xml:space="preserve">CESP        </v>
          </cell>
          <cell r="CC2476" t="str">
            <v>PNB     N1</v>
          </cell>
          <cell r="CD2476" t="str">
            <v xml:space="preserve">OPCOES COMPRA  </v>
          </cell>
          <cell r="CE2476" t="str">
            <v xml:space="preserve">Americano      </v>
          </cell>
        </row>
        <row r="2477">
          <cell r="BY2477">
            <v>0</v>
          </cell>
          <cell r="BZ2477">
            <v>0</v>
          </cell>
          <cell r="CA2477">
            <v>0</v>
          </cell>
          <cell r="CB2477" t="str">
            <v xml:space="preserve">CESP        </v>
          </cell>
          <cell r="CC2477" t="str">
            <v>PNB     N1</v>
          </cell>
          <cell r="CD2477" t="str">
            <v xml:space="preserve">OPCOES COMPRA  </v>
          </cell>
          <cell r="CE2477" t="str">
            <v xml:space="preserve">Americano      </v>
          </cell>
        </row>
        <row r="2478">
          <cell r="BY2478">
            <v>0</v>
          </cell>
          <cell r="BZ2478">
            <v>0</v>
          </cell>
          <cell r="CA2478">
            <v>0</v>
          </cell>
          <cell r="CB2478" t="str">
            <v xml:space="preserve">CESP        </v>
          </cell>
          <cell r="CC2478" t="str">
            <v>PNB     N1</v>
          </cell>
          <cell r="CD2478" t="str">
            <v xml:space="preserve">OPCOES VENDA   </v>
          </cell>
          <cell r="CE2478" t="str">
            <v xml:space="preserve">Europeu        </v>
          </cell>
        </row>
        <row r="2479">
          <cell r="BY2479">
            <v>0</v>
          </cell>
          <cell r="BZ2479">
            <v>0</v>
          </cell>
          <cell r="CA2479">
            <v>0</v>
          </cell>
          <cell r="CB2479" t="str">
            <v xml:space="preserve">CESP        </v>
          </cell>
          <cell r="CC2479" t="str">
            <v>PNB     N1</v>
          </cell>
          <cell r="CD2479" t="str">
            <v xml:space="preserve">OPCOES VENDA   </v>
          </cell>
          <cell r="CE2479" t="str">
            <v xml:space="preserve">Europeu        </v>
          </cell>
        </row>
        <row r="2480">
          <cell r="BY2480">
            <v>0</v>
          </cell>
          <cell r="BZ2480">
            <v>0</v>
          </cell>
          <cell r="CA2480">
            <v>0</v>
          </cell>
          <cell r="CB2480" t="str">
            <v xml:space="preserve">CESP        </v>
          </cell>
          <cell r="CC2480" t="str">
            <v>PNB     N1</v>
          </cell>
          <cell r="CD2480" t="str">
            <v xml:space="preserve">OPCOES VENDA   </v>
          </cell>
          <cell r="CE2480" t="str">
            <v xml:space="preserve">Europeu        </v>
          </cell>
        </row>
        <row r="2481">
          <cell r="BY2481">
            <v>0</v>
          </cell>
          <cell r="BZ2481">
            <v>0</v>
          </cell>
          <cell r="CA2481">
            <v>0</v>
          </cell>
          <cell r="CB2481" t="str">
            <v xml:space="preserve">CESP        </v>
          </cell>
          <cell r="CC2481" t="str">
            <v>PNB     N1</v>
          </cell>
          <cell r="CD2481" t="str">
            <v xml:space="preserve">OPCOES VENDA   </v>
          </cell>
          <cell r="CE2481" t="str">
            <v xml:space="preserve">Europeu        </v>
          </cell>
        </row>
        <row r="2482">
          <cell r="BY2482">
            <v>0</v>
          </cell>
          <cell r="BZ2482">
            <v>0</v>
          </cell>
          <cell r="CA2482">
            <v>0</v>
          </cell>
          <cell r="CB2482" t="str">
            <v xml:space="preserve">CESP        </v>
          </cell>
          <cell r="CC2482" t="str">
            <v>PNB     N1</v>
          </cell>
          <cell r="CD2482" t="str">
            <v xml:space="preserve">OPCOES VENDA   </v>
          </cell>
          <cell r="CE2482" t="str">
            <v xml:space="preserve">Europeu        </v>
          </cell>
        </row>
        <row r="2483">
          <cell r="BY2483">
            <v>0</v>
          </cell>
          <cell r="BZ2483">
            <v>0</v>
          </cell>
          <cell r="CA2483">
            <v>0</v>
          </cell>
          <cell r="CB2483" t="str">
            <v xml:space="preserve">CESP        </v>
          </cell>
          <cell r="CC2483" t="str">
            <v>PNB     N1</v>
          </cell>
          <cell r="CD2483" t="str">
            <v xml:space="preserve">OPCOES VENDA   </v>
          </cell>
          <cell r="CE2483" t="str">
            <v xml:space="preserve">Europeu        </v>
          </cell>
        </row>
        <row r="2484">
          <cell r="BY2484">
            <v>0</v>
          </cell>
          <cell r="BZ2484">
            <v>0</v>
          </cell>
          <cell r="CA2484">
            <v>0</v>
          </cell>
          <cell r="CB2484" t="str">
            <v xml:space="preserve">CESP        </v>
          </cell>
          <cell r="CC2484" t="str">
            <v>PNB     N1</v>
          </cell>
          <cell r="CD2484" t="str">
            <v xml:space="preserve">OPCOES VENDA   </v>
          </cell>
          <cell r="CE2484" t="str">
            <v xml:space="preserve">Europeu        </v>
          </cell>
        </row>
        <row r="2485">
          <cell r="BY2485">
            <v>0</v>
          </cell>
          <cell r="BZ2485">
            <v>0</v>
          </cell>
          <cell r="CA2485">
            <v>0</v>
          </cell>
          <cell r="CB2485" t="str">
            <v xml:space="preserve">CESP        </v>
          </cell>
          <cell r="CC2485" t="str">
            <v>PNB     N1</v>
          </cell>
          <cell r="CD2485" t="str">
            <v xml:space="preserve">OPCOES VENDA   </v>
          </cell>
          <cell r="CE2485" t="str">
            <v xml:space="preserve">Europeu        </v>
          </cell>
        </row>
        <row r="2486">
          <cell r="BY2486">
            <v>0</v>
          </cell>
          <cell r="BZ2486">
            <v>0</v>
          </cell>
          <cell r="CA2486">
            <v>0</v>
          </cell>
          <cell r="CB2486" t="str">
            <v xml:space="preserve">CESP        </v>
          </cell>
          <cell r="CC2486" t="str">
            <v>PNB     N1</v>
          </cell>
          <cell r="CD2486" t="str">
            <v xml:space="preserve">OPCOES VENDA   </v>
          </cell>
          <cell r="CE2486" t="str">
            <v xml:space="preserve">Europeu        </v>
          </cell>
        </row>
        <row r="2487">
          <cell r="BY2487">
            <v>0</v>
          </cell>
          <cell r="BZ2487">
            <v>0</v>
          </cell>
          <cell r="CA2487">
            <v>0</v>
          </cell>
          <cell r="CB2487" t="str">
            <v xml:space="preserve">CESP        </v>
          </cell>
          <cell r="CC2487" t="str">
            <v>PNB     N1</v>
          </cell>
          <cell r="CD2487" t="str">
            <v xml:space="preserve">OPCOES VENDA   </v>
          </cell>
          <cell r="CE2487" t="str">
            <v xml:space="preserve">Europeu        </v>
          </cell>
        </row>
        <row r="2488">
          <cell r="BY2488">
            <v>0</v>
          </cell>
          <cell r="BZ2488">
            <v>0</v>
          </cell>
          <cell r="CA2488">
            <v>0</v>
          </cell>
          <cell r="CB2488" t="str">
            <v xml:space="preserve">CESP        </v>
          </cell>
          <cell r="CC2488" t="str">
            <v>PNB     N1</v>
          </cell>
          <cell r="CD2488" t="str">
            <v xml:space="preserve">OPCOES VENDA   </v>
          </cell>
          <cell r="CE2488" t="str">
            <v xml:space="preserve">Europeu        </v>
          </cell>
        </row>
        <row r="2489">
          <cell r="BY2489">
            <v>0</v>
          </cell>
          <cell r="BZ2489">
            <v>0</v>
          </cell>
          <cell r="CA2489">
            <v>0</v>
          </cell>
          <cell r="CB2489" t="str">
            <v xml:space="preserve">CESP        </v>
          </cell>
          <cell r="CC2489" t="str">
            <v>PNB     N1</v>
          </cell>
          <cell r="CD2489" t="str">
            <v xml:space="preserve">OPCOES VENDA   </v>
          </cell>
          <cell r="CE2489" t="str">
            <v xml:space="preserve">Europeu        </v>
          </cell>
        </row>
        <row r="2490">
          <cell r="BY2490">
            <v>0</v>
          </cell>
          <cell r="BZ2490">
            <v>0</v>
          </cell>
          <cell r="CA2490">
            <v>0</v>
          </cell>
          <cell r="CB2490" t="str">
            <v xml:space="preserve">CESP        </v>
          </cell>
          <cell r="CC2490" t="str">
            <v>PNB     N1</v>
          </cell>
          <cell r="CD2490" t="str">
            <v xml:space="preserve">OPCOES VENDA   </v>
          </cell>
          <cell r="CE2490" t="str">
            <v xml:space="preserve">Europeu        </v>
          </cell>
        </row>
        <row r="2491">
          <cell r="BY2491">
            <v>0</v>
          </cell>
          <cell r="BZ2491">
            <v>0</v>
          </cell>
          <cell r="CA2491">
            <v>0</v>
          </cell>
          <cell r="CB2491" t="str">
            <v xml:space="preserve">CESP        </v>
          </cell>
          <cell r="CC2491" t="str">
            <v>PNB     N1</v>
          </cell>
          <cell r="CD2491" t="str">
            <v xml:space="preserve">OPCOES VENDA   </v>
          </cell>
          <cell r="CE2491" t="str">
            <v xml:space="preserve">Europeu        </v>
          </cell>
        </row>
        <row r="2492">
          <cell r="BY2492">
            <v>0</v>
          </cell>
          <cell r="BZ2492">
            <v>0</v>
          </cell>
          <cell r="CA2492">
            <v>0</v>
          </cell>
          <cell r="CB2492" t="str">
            <v xml:space="preserve">CPLE        </v>
          </cell>
          <cell r="CC2492" t="str">
            <v>PNB     N1</v>
          </cell>
          <cell r="CD2492" t="str">
            <v xml:space="preserve">OPCOES COMPRA  </v>
          </cell>
          <cell r="CE2492" t="str">
            <v xml:space="preserve">Americano      </v>
          </cell>
        </row>
        <row r="2493">
          <cell r="BY2493">
            <v>0</v>
          </cell>
          <cell r="BZ2493">
            <v>0</v>
          </cell>
          <cell r="CA2493">
            <v>0</v>
          </cell>
          <cell r="CB2493" t="str">
            <v xml:space="preserve">CPLE        </v>
          </cell>
          <cell r="CC2493" t="str">
            <v>PNB     N1</v>
          </cell>
          <cell r="CD2493" t="str">
            <v xml:space="preserve">OPCOES VENDA   </v>
          </cell>
          <cell r="CE2493" t="str">
            <v xml:space="preserve">Europeu        </v>
          </cell>
        </row>
        <row r="2494">
          <cell r="BY2494">
            <v>0</v>
          </cell>
          <cell r="BZ2494">
            <v>0</v>
          </cell>
          <cell r="CA2494">
            <v>0</v>
          </cell>
          <cell r="CB2494" t="str">
            <v xml:space="preserve">ELET        </v>
          </cell>
          <cell r="CC2494" t="str">
            <v>PNB     N1</v>
          </cell>
          <cell r="CD2494" t="str">
            <v xml:space="preserve">OPCOES COMPRA  </v>
          </cell>
          <cell r="CE2494" t="str">
            <v xml:space="preserve">Americano      </v>
          </cell>
        </row>
        <row r="2495">
          <cell r="BY2495">
            <v>0</v>
          </cell>
          <cell r="BZ2495">
            <v>0</v>
          </cell>
          <cell r="CA2495">
            <v>0</v>
          </cell>
          <cell r="CB2495" t="str">
            <v xml:space="preserve">ELET        </v>
          </cell>
          <cell r="CC2495" t="str">
            <v>PNB     N1</v>
          </cell>
          <cell r="CD2495" t="str">
            <v xml:space="preserve">OPCOES VENDA   </v>
          </cell>
          <cell r="CE2495" t="str">
            <v xml:space="preserve">Europeu        </v>
          </cell>
        </row>
        <row r="2496">
          <cell r="BY2496">
            <v>0</v>
          </cell>
          <cell r="BZ2496">
            <v>0</v>
          </cell>
          <cell r="CA2496">
            <v>0</v>
          </cell>
          <cell r="CB2496" t="str">
            <v xml:space="preserve">UNIP        </v>
          </cell>
          <cell r="CC2496" t="str">
            <v>PNB     N1</v>
          </cell>
          <cell r="CD2496" t="str">
            <v xml:space="preserve">OPCOES COMPRA  </v>
          </cell>
          <cell r="CE2496" t="str">
            <v xml:space="preserve">Americano      </v>
          </cell>
        </row>
        <row r="2497">
          <cell r="BY2497">
            <v>0</v>
          </cell>
          <cell r="BZ2497">
            <v>0</v>
          </cell>
          <cell r="CA2497">
            <v>0</v>
          </cell>
          <cell r="CB2497" t="str">
            <v xml:space="preserve">UNIP        </v>
          </cell>
          <cell r="CC2497" t="str">
            <v>PNB     N1</v>
          </cell>
          <cell r="CD2497" t="str">
            <v xml:space="preserve">OPCOES VENDA   </v>
          </cell>
          <cell r="CE2497" t="str">
            <v xml:space="preserve">Europeu        </v>
          </cell>
        </row>
        <row r="2498">
          <cell r="BY2498">
            <v>0</v>
          </cell>
          <cell r="BZ2498">
            <v>0</v>
          </cell>
          <cell r="CA2498">
            <v>0</v>
          </cell>
          <cell r="CB2498" t="str">
            <v xml:space="preserve">USIM        </v>
          </cell>
          <cell r="CC2498" t="str">
            <v>PNB     N1</v>
          </cell>
          <cell r="CD2498" t="str">
            <v xml:space="preserve">OPCOES COMPRA  </v>
          </cell>
          <cell r="CE2498" t="str">
            <v xml:space="preserve">Americano      </v>
          </cell>
        </row>
        <row r="2499">
          <cell r="BY2499">
            <v>0</v>
          </cell>
          <cell r="BZ2499">
            <v>0</v>
          </cell>
          <cell r="CA2499">
            <v>0</v>
          </cell>
          <cell r="CB2499" t="str">
            <v xml:space="preserve">USIM        </v>
          </cell>
          <cell r="CC2499" t="str">
            <v>PNB     N1</v>
          </cell>
          <cell r="CD2499" t="str">
            <v xml:space="preserve">OPCOES VENDA   </v>
          </cell>
          <cell r="CE2499" t="str">
            <v xml:space="preserve">Europeu        </v>
          </cell>
        </row>
        <row r="2500">
          <cell r="BY2500">
            <v>0</v>
          </cell>
          <cell r="BZ2500">
            <v>0</v>
          </cell>
          <cell r="CA2500">
            <v>0</v>
          </cell>
          <cell r="CB2500" t="str">
            <v xml:space="preserve">CLSC        </v>
          </cell>
          <cell r="CC2500" t="str">
            <v>PNB     N2</v>
          </cell>
          <cell r="CD2500" t="str">
            <v xml:space="preserve">OPCOES COMPRA  </v>
          </cell>
          <cell r="CE2500" t="str">
            <v xml:space="preserve">Americano      </v>
          </cell>
        </row>
        <row r="2501">
          <cell r="BY2501">
            <v>0</v>
          </cell>
          <cell r="BZ2501">
            <v>0</v>
          </cell>
          <cell r="CA2501">
            <v>0</v>
          </cell>
          <cell r="CB2501" t="str">
            <v xml:space="preserve">CLSC        </v>
          </cell>
          <cell r="CC2501" t="str">
            <v>PNB     N2</v>
          </cell>
          <cell r="CD2501" t="str">
            <v xml:space="preserve">OPCOES VENDA   </v>
          </cell>
          <cell r="CE2501" t="str">
            <v xml:space="preserve">Europeu        </v>
          </cell>
        </row>
        <row r="2502">
          <cell r="BY2502">
            <v>0</v>
          </cell>
          <cell r="BZ2502">
            <v>0</v>
          </cell>
          <cell r="CA2502">
            <v>0</v>
          </cell>
          <cell r="CB2502" t="str">
            <v xml:space="preserve">ELPL        </v>
          </cell>
          <cell r="CC2502" t="str">
            <v>PNB     N2</v>
          </cell>
          <cell r="CD2502" t="str">
            <v xml:space="preserve">OPCOES COMPRA  </v>
          </cell>
          <cell r="CE2502" t="str">
            <v xml:space="preserve">Americano      </v>
          </cell>
        </row>
        <row r="2503">
          <cell r="BY2503">
            <v>0</v>
          </cell>
          <cell r="BZ2503">
            <v>0</v>
          </cell>
          <cell r="CA2503">
            <v>0</v>
          </cell>
          <cell r="CB2503" t="str">
            <v xml:space="preserve">ELPL        </v>
          </cell>
          <cell r="CC2503" t="str">
            <v>PNB     N2</v>
          </cell>
          <cell r="CD2503" t="str">
            <v xml:space="preserve">OPCOES COMPRA  </v>
          </cell>
          <cell r="CE2503" t="str">
            <v xml:space="preserve">Americano      </v>
          </cell>
        </row>
        <row r="2504">
          <cell r="BY2504">
            <v>0</v>
          </cell>
          <cell r="BZ2504">
            <v>0</v>
          </cell>
          <cell r="CA2504">
            <v>0</v>
          </cell>
          <cell r="CB2504" t="str">
            <v xml:space="preserve">ELPL        </v>
          </cell>
          <cell r="CC2504" t="str">
            <v>PNB     N2</v>
          </cell>
          <cell r="CD2504" t="str">
            <v xml:space="preserve">OPCOES COMPRA  </v>
          </cell>
          <cell r="CE2504" t="str">
            <v xml:space="preserve">Americano      </v>
          </cell>
        </row>
        <row r="2505">
          <cell r="BY2505">
            <v>0</v>
          </cell>
          <cell r="BZ2505">
            <v>0</v>
          </cell>
          <cell r="CA2505">
            <v>0</v>
          </cell>
          <cell r="CB2505" t="str">
            <v xml:space="preserve">ELPL        </v>
          </cell>
          <cell r="CC2505" t="str">
            <v>PNB     N2</v>
          </cell>
          <cell r="CD2505" t="str">
            <v xml:space="preserve">OPCOES VENDA   </v>
          </cell>
          <cell r="CE2505" t="str">
            <v xml:space="preserve">Europeu        </v>
          </cell>
        </row>
        <row r="2506">
          <cell r="BY2506">
            <v>0</v>
          </cell>
          <cell r="BZ2506">
            <v>0</v>
          </cell>
          <cell r="CA2506">
            <v>0</v>
          </cell>
          <cell r="CB2506" t="str">
            <v xml:space="preserve">ELPL        </v>
          </cell>
          <cell r="CC2506" t="str">
            <v>PNB     N2</v>
          </cell>
          <cell r="CD2506" t="str">
            <v xml:space="preserve">OPCOES VENDA   </v>
          </cell>
          <cell r="CE2506" t="str">
            <v xml:space="preserve">Europeu        </v>
          </cell>
        </row>
        <row r="2507">
          <cell r="BY2507">
            <v>0</v>
          </cell>
          <cell r="BZ2507">
            <v>0</v>
          </cell>
          <cell r="CA2507">
            <v>0</v>
          </cell>
          <cell r="CB2507" t="str">
            <v xml:space="preserve">ELPL        </v>
          </cell>
          <cell r="CC2507" t="str">
            <v>PNB     N2</v>
          </cell>
          <cell r="CD2507" t="str">
            <v xml:space="preserve">OPCOES VENDA   </v>
          </cell>
          <cell r="CE2507" t="str">
            <v xml:space="preserve">Europeu        </v>
          </cell>
        </row>
        <row r="2508">
          <cell r="BY2508">
            <v>0</v>
          </cell>
          <cell r="BZ2508">
            <v>0</v>
          </cell>
          <cell r="CA2508">
            <v>0</v>
          </cell>
          <cell r="CB2508" t="str">
            <v xml:space="preserve">UBBR        </v>
          </cell>
          <cell r="CC2508" t="str">
            <v>UNT     N1</v>
          </cell>
          <cell r="CD2508" t="str">
            <v xml:space="preserve">OPCOES COMPRA  </v>
          </cell>
          <cell r="CE2508" t="str">
            <v xml:space="preserve">Americano      </v>
          </cell>
        </row>
        <row r="2509">
          <cell r="BY2509">
            <v>0</v>
          </cell>
          <cell r="BZ2509">
            <v>0</v>
          </cell>
          <cell r="CA2509">
            <v>0</v>
          </cell>
          <cell r="CB2509" t="str">
            <v xml:space="preserve">UBBR        </v>
          </cell>
          <cell r="CC2509" t="str">
            <v>UNT     N1</v>
          </cell>
          <cell r="CD2509" t="str">
            <v xml:space="preserve">OPCOES COMPRA  </v>
          </cell>
          <cell r="CE2509" t="str">
            <v xml:space="preserve">Americano      </v>
          </cell>
        </row>
        <row r="2510">
          <cell r="BY2510">
            <v>0</v>
          </cell>
          <cell r="BZ2510">
            <v>0</v>
          </cell>
          <cell r="CA2510">
            <v>0</v>
          </cell>
          <cell r="CB2510" t="str">
            <v xml:space="preserve">UBBR        </v>
          </cell>
          <cell r="CC2510" t="str">
            <v>UNT     N1</v>
          </cell>
          <cell r="CD2510" t="str">
            <v xml:space="preserve">OPCOES COMPRA  </v>
          </cell>
          <cell r="CE2510" t="str">
            <v xml:space="preserve">Americano      </v>
          </cell>
        </row>
        <row r="2511">
          <cell r="BY2511">
            <v>0</v>
          </cell>
          <cell r="BZ2511">
            <v>0</v>
          </cell>
          <cell r="CA2511">
            <v>0</v>
          </cell>
          <cell r="CB2511" t="str">
            <v xml:space="preserve">UBBR        </v>
          </cell>
          <cell r="CC2511" t="str">
            <v>UNT     N1</v>
          </cell>
          <cell r="CD2511" t="str">
            <v xml:space="preserve">OPCOES COMPRA  </v>
          </cell>
          <cell r="CE2511" t="str">
            <v xml:space="preserve">Americano      </v>
          </cell>
        </row>
        <row r="2512">
          <cell r="BY2512">
            <v>0</v>
          </cell>
          <cell r="BZ2512">
            <v>0</v>
          </cell>
          <cell r="CA2512">
            <v>0</v>
          </cell>
          <cell r="CB2512" t="str">
            <v xml:space="preserve">UBBR        </v>
          </cell>
          <cell r="CC2512" t="str">
            <v>UNT     N1</v>
          </cell>
          <cell r="CD2512" t="str">
            <v xml:space="preserve">OPCOES COMPRA  </v>
          </cell>
          <cell r="CE2512" t="str">
            <v xml:space="preserve">Americano      </v>
          </cell>
        </row>
        <row r="2513">
          <cell r="BY2513">
            <v>0</v>
          </cell>
          <cell r="BZ2513">
            <v>0</v>
          </cell>
          <cell r="CA2513">
            <v>0</v>
          </cell>
          <cell r="CB2513" t="str">
            <v xml:space="preserve">UBBR        </v>
          </cell>
          <cell r="CC2513" t="str">
            <v>UNT     N1</v>
          </cell>
          <cell r="CD2513" t="str">
            <v xml:space="preserve">OPCOES COMPRA  </v>
          </cell>
          <cell r="CE2513" t="str">
            <v xml:space="preserve">Americano      </v>
          </cell>
        </row>
        <row r="2514">
          <cell r="BY2514">
            <v>0</v>
          </cell>
          <cell r="BZ2514">
            <v>0</v>
          </cell>
          <cell r="CA2514">
            <v>0</v>
          </cell>
          <cell r="CB2514" t="str">
            <v xml:space="preserve">UBBR        </v>
          </cell>
          <cell r="CC2514" t="str">
            <v>UNT     N1</v>
          </cell>
          <cell r="CD2514" t="str">
            <v xml:space="preserve">OPCOES COMPRA  </v>
          </cell>
          <cell r="CE2514" t="str">
            <v xml:space="preserve">Americano      </v>
          </cell>
        </row>
        <row r="2515">
          <cell r="BY2515">
            <v>0</v>
          </cell>
          <cell r="BZ2515">
            <v>0</v>
          </cell>
          <cell r="CA2515">
            <v>0</v>
          </cell>
          <cell r="CB2515" t="str">
            <v xml:space="preserve">UBBR        </v>
          </cell>
          <cell r="CC2515" t="str">
            <v>UNT     N1</v>
          </cell>
          <cell r="CD2515" t="str">
            <v xml:space="preserve">OPCOES COMPRA  </v>
          </cell>
          <cell r="CE2515" t="str">
            <v xml:space="preserve">Americano      </v>
          </cell>
        </row>
        <row r="2516">
          <cell r="BY2516">
            <v>0</v>
          </cell>
          <cell r="BZ2516">
            <v>0</v>
          </cell>
          <cell r="CA2516">
            <v>0</v>
          </cell>
          <cell r="CB2516" t="str">
            <v xml:space="preserve">UBBR        </v>
          </cell>
          <cell r="CC2516" t="str">
            <v>UNT     N1</v>
          </cell>
          <cell r="CD2516" t="str">
            <v xml:space="preserve">OPCOES COMPRA  </v>
          </cell>
          <cell r="CE2516" t="str">
            <v xml:space="preserve">Americano      </v>
          </cell>
        </row>
        <row r="2517">
          <cell r="BY2517">
            <v>0</v>
          </cell>
          <cell r="BZ2517">
            <v>0</v>
          </cell>
          <cell r="CA2517">
            <v>0</v>
          </cell>
          <cell r="CB2517" t="str">
            <v xml:space="preserve">UBBR        </v>
          </cell>
          <cell r="CC2517" t="str">
            <v>UNT     N1</v>
          </cell>
          <cell r="CD2517" t="str">
            <v xml:space="preserve">OPCOES COMPRA  </v>
          </cell>
          <cell r="CE2517" t="str">
            <v xml:space="preserve">Americano      </v>
          </cell>
        </row>
        <row r="2518">
          <cell r="BY2518">
            <v>0</v>
          </cell>
          <cell r="BZ2518">
            <v>0</v>
          </cell>
          <cell r="CA2518">
            <v>0</v>
          </cell>
          <cell r="CB2518" t="str">
            <v xml:space="preserve">UBBR        </v>
          </cell>
          <cell r="CC2518" t="str">
            <v>UNT     N1</v>
          </cell>
          <cell r="CD2518" t="str">
            <v xml:space="preserve">OPCOES COMPRA  </v>
          </cell>
          <cell r="CE2518" t="str">
            <v xml:space="preserve">Americano      </v>
          </cell>
        </row>
        <row r="2519">
          <cell r="BY2519">
            <v>0</v>
          </cell>
          <cell r="BZ2519">
            <v>0</v>
          </cell>
          <cell r="CA2519">
            <v>0</v>
          </cell>
          <cell r="CB2519" t="str">
            <v xml:space="preserve">UBBR        </v>
          </cell>
          <cell r="CC2519" t="str">
            <v>UNT     N1</v>
          </cell>
          <cell r="CD2519" t="str">
            <v xml:space="preserve">OPCOES COMPRA  </v>
          </cell>
          <cell r="CE2519" t="str">
            <v xml:space="preserve">Americano      </v>
          </cell>
        </row>
        <row r="2520">
          <cell r="BY2520">
            <v>0</v>
          </cell>
          <cell r="BZ2520">
            <v>0</v>
          </cell>
          <cell r="CA2520">
            <v>0</v>
          </cell>
          <cell r="CB2520" t="str">
            <v xml:space="preserve">UBBR        </v>
          </cell>
          <cell r="CC2520" t="str">
            <v>UNT     N1</v>
          </cell>
          <cell r="CD2520" t="str">
            <v xml:space="preserve">OPCOES COMPRA  </v>
          </cell>
          <cell r="CE2520" t="str">
            <v xml:space="preserve">Americano      </v>
          </cell>
        </row>
        <row r="2521">
          <cell r="BY2521">
            <v>0</v>
          </cell>
          <cell r="BZ2521">
            <v>0</v>
          </cell>
          <cell r="CA2521">
            <v>0</v>
          </cell>
          <cell r="CB2521" t="str">
            <v xml:space="preserve">UBBR        </v>
          </cell>
          <cell r="CC2521" t="str">
            <v>UNT     N1</v>
          </cell>
          <cell r="CD2521" t="str">
            <v xml:space="preserve">OPCOES COMPRA  </v>
          </cell>
          <cell r="CE2521" t="str">
            <v xml:space="preserve">Americano      </v>
          </cell>
        </row>
        <row r="2522">
          <cell r="BY2522">
            <v>0</v>
          </cell>
          <cell r="BZ2522">
            <v>0</v>
          </cell>
          <cell r="CA2522">
            <v>0</v>
          </cell>
          <cell r="CB2522" t="str">
            <v xml:space="preserve">UBBR        </v>
          </cell>
          <cell r="CC2522" t="str">
            <v>UNT     N1</v>
          </cell>
          <cell r="CD2522" t="str">
            <v xml:space="preserve">OPCOES COMPRA  </v>
          </cell>
          <cell r="CE2522" t="str">
            <v xml:space="preserve">Americano      </v>
          </cell>
        </row>
        <row r="2523">
          <cell r="BY2523">
            <v>0</v>
          </cell>
          <cell r="BZ2523">
            <v>0</v>
          </cell>
          <cell r="CA2523">
            <v>0</v>
          </cell>
          <cell r="CB2523" t="str">
            <v xml:space="preserve">UBBR        </v>
          </cell>
          <cell r="CC2523" t="str">
            <v>UNT     N1</v>
          </cell>
          <cell r="CD2523" t="str">
            <v xml:space="preserve">OPCOES COMPRA  </v>
          </cell>
          <cell r="CE2523" t="str">
            <v xml:space="preserve">Americano      </v>
          </cell>
        </row>
        <row r="2524">
          <cell r="BY2524">
            <v>0</v>
          </cell>
          <cell r="BZ2524">
            <v>0</v>
          </cell>
          <cell r="CA2524">
            <v>0</v>
          </cell>
          <cell r="CB2524" t="str">
            <v xml:space="preserve">UBBR        </v>
          </cell>
          <cell r="CC2524" t="str">
            <v>UNT     N1</v>
          </cell>
          <cell r="CD2524" t="str">
            <v xml:space="preserve">OPCOES COMPRA  </v>
          </cell>
          <cell r="CE2524" t="str">
            <v xml:space="preserve">Americano      </v>
          </cell>
        </row>
        <row r="2525">
          <cell r="BY2525">
            <v>0</v>
          </cell>
          <cell r="BZ2525">
            <v>0</v>
          </cell>
          <cell r="CA2525">
            <v>0</v>
          </cell>
          <cell r="CB2525" t="str">
            <v xml:space="preserve">UBBR        </v>
          </cell>
          <cell r="CC2525" t="str">
            <v>UNT     N1</v>
          </cell>
          <cell r="CD2525" t="str">
            <v xml:space="preserve">OPCOES COMPRA  </v>
          </cell>
          <cell r="CE2525" t="str">
            <v xml:space="preserve">Americano      </v>
          </cell>
        </row>
        <row r="2526">
          <cell r="BY2526">
            <v>0</v>
          </cell>
          <cell r="BZ2526">
            <v>0</v>
          </cell>
          <cell r="CA2526">
            <v>0</v>
          </cell>
          <cell r="CB2526" t="str">
            <v xml:space="preserve">UBBR        </v>
          </cell>
          <cell r="CC2526" t="str">
            <v>UNT     N1</v>
          </cell>
          <cell r="CD2526" t="str">
            <v xml:space="preserve">OPCOES COMPRA  </v>
          </cell>
          <cell r="CE2526" t="str">
            <v xml:space="preserve">Americano      </v>
          </cell>
        </row>
        <row r="2527">
          <cell r="BY2527">
            <v>0</v>
          </cell>
          <cell r="BZ2527">
            <v>0</v>
          </cell>
          <cell r="CA2527">
            <v>0</v>
          </cell>
          <cell r="CB2527" t="str">
            <v xml:space="preserve">UBBR        </v>
          </cell>
          <cell r="CC2527" t="str">
            <v>UNT     N1</v>
          </cell>
          <cell r="CD2527" t="str">
            <v xml:space="preserve">OPCOES COMPRA  </v>
          </cell>
          <cell r="CE2527" t="str">
            <v xml:space="preserve">Americano      </v>
          </cell>
        </row>
        <row r="2528">
          <cell r="BY2528">
            <v>0</v>
          </cell>
          <cell r="BZ2528">
            <v>0</v>
          </cell>
          <cell r="CA2528">
            <v>0</v>
          </cell>
          <cell r="CB2528" t="str">
            <v xml:space="preserve">UBBR        </v>
          </cell>
          <cell r="CC2528" t="str">
            <v>UNT     N1</v>
          </cell>
          <cell r="CD2528" t="str">
            <v xml:space="preserve">OPCOES COMPRA  </v>
          </cell>
          <cell r="CE2528" t="str">
            <v xml:space="preserve">Americano      </v>
          </cell>
        </row>
        <row r="2529">
          <cell r="BY2529">
            <v>0</v>
          </cell>
          <cell r="BZ2529">
            <v>0</v>
          </cell>
          <cell r="CA2529">
            <v>0</v>
          </cell>
          <cell r="CB2529" t="str">
            <v xml:space="preserve">UBBR        </v>
          </cell>
          <cell r="CC2529" t="str">
            <v>UNT     N1</v>
          </cell>
          <cell r="CD2529" t="str">
            <v xml:space="preserve">OPCOES COMPRA  </v>
          </cell>
          <cell r="CE2529" t="str">
            <v xml:space="preserve">Americano      </v>
          </cell>
        </row>
        <row r="2530">
          <cell r="BY2530">
            <v>0</v>
          </cell>
          <cell r="BZ2530">
            <v>0</v>
          </cell>
          <cell r="CA2530">
            <v>0</v>
          </cell>
          <cell r="CB2530" t="str">
            <v xml:space="preserve">UBBR        </v>
          </cell>
          <cell r="CC2530" t="str">
            <v>UNT     N1</v>
          </cell>
          <cell r="CD2530" t="str">
            <v xml:space="preserve">OPCOES COMPRA  </v>
          </cell>
          <cell r="CE2530" t="str">
            <v xml:space="preserve">Americano      </v>
          </cell>
        </row>
        <row r="2531">
          <cell r="BY2531">
            <v>0</v>
          </cell>
          <cell r="BZ2531">
            <v>0</v>
          </cell>
          <cell r="CA2531">
            <v>0</v>
          </cell>
          <cell r="CB2531" t="str">
            <v xml:space="preserve">UBBR        </v>
          </cell>
          <cell r="CC2531" t="str">
            <v>UNT     N1</v>
          </cell>
          <cell r="CD2531" t="str">
            <v xml:space="preserve">OPCOES COMPRA  </v>
          </cell>
          <cell r="CE2531" t="str">
            <v xml:space="preserve">Americano      </v>
          </cell>
        </row>
        <row r="2532">
          <cell r="BY2532">
            <v>0</v>
          </cell>
          <cell r="BZ2532">
            <v>0</v>
          </cell>
          <cell r="CA2532">
            <v>0</v>
          </cell>
          <cell r="CB2532" t="str">
            <v xml:space="preserve">UBBR        </v>
          </cell>
          <cell r="CC2532" t="str">
            <v>UNT     N1</v>
          </cell>
          <cell r="CD2532" t="str">
            <v xml:space="preserve">OPCOES COMPRA  </v>
          </cell>
          <cell r="CE2532" t="str">
            <v xml:space="preserve">Americano      </v>
          </cell>
        </row>
        <row r="2533">
          <cell r="BY2533">
            <v>0</v>
          </cell>
          <cell r="BZ2533">
            <v>0</v>
          </cell>
          <cell r="CA2533">
            <v>0</v>
          </cell>
          <cell r="CB2533" t="str">
            <v xml:space="preserve">UBBR        </v>
          </cell>
          <cell r="CC2533" t="str">
            <v>UNT     N1</v>
          </cell>
          <cell r="CD2533" t="str">
            <v xml:space="preserve">OPCOES COMPRA  </v>
          </cell>
          <cell r="CE2533" t="str">
            <v xml:space="preserve">Americano      </v>
          </cell>
        </row>
        <row r="2534">
          <cell r="BY2534">
            <v>0</v>
          </cell>
          <cell r="BZ2534">
            <v>0</v>
          </cell>
          <cell r="CA2534">
            <v>0</v>
          </cell>
          <cell r="CB2534" t="str">
            <v xml:space="preserve">UBBR        </v>
          </cell>
          <cell r="CC2534" t="str">
            <v>UNT     N1</v>
          </cell>
          <cell r="CD2534" t="str">
            <v xml:space="preserve">OPCOES VENDA   </v>
          </cell>
          <cell r="CE2534" t="str">
            <v xml:space="preserve">Europeu        </v>
          </cell>
        </row>
        <row r="2535">
          <cell r="BY2535">
            <v>0</v>
          </cell>
          <cell r="BZ2535">
            <v>0</v>
          </cell>
          <cell r="CA2535">
            <v>0</v>
          </cell>
          <cell r="CB2535" t="str">
            <v xml:space="preserve">UBBR        </v>
          </cell>
          <cell r="CC2535" t="str">
            <v>UNT     N1</v>
          </cell>
          <cell r="CD2535" t="str">
            <v xml:space="preserve">OPCOES VENDA   </v>
          </cell>
          <cell r="CE2535" t="str">
            <v xml:space="preserve">Europeu        </v>
          </cell>
        </row>
        <row r="2536">
          <cell r="BY2536">
            <v>0</v>
          </cell>
          <cell r="BZ2536">
            <v>0</v>
          </cell>
          <cell r="CA2536">
            <v>0</v>
          </cell>
          <cell r="CB2536" t="str">
            <v xml:space="preserve">UBBR        </v>
          </cell>
          <cell r="CC2536" t="str">
            <v>UNT     N1</v>
          </cell>
          <cell r="CD2536" t="str">
            <v xml:space="preserve">OPCOES VENDA   </v>
          </cell>
          <cell r="CE2536" t="str">
            <v xml:space="preserve">Europeu        </v>
          </cell>
        </row>
        <row r="2537">
          <cell r="BY2537">
            <v>0</v>
          </cell>
          <cell r="BZ2537">
            <v>0</v>
          </cell>
          <cell r="CA2537">
            <v>0</v>
          </cell>
          <cell r="CB2537" t="str">
            <v xml:space="preserve">UBBR        </v>
          </cell>
          <cell r="CC2537" t="str">
            <v>UNT     N1</v>
          </cell>
          <cell r="CD2537" t="str">
            <v xml:space="preserve">OPCOES VENDA   </v>
          </cell>
          <cell r="CE2537" t="str">
            <v xml:space="preserve">Europeu        </v>
          </cell>
        </row>
        <row r="2538">
          <cell r="BY2538">
            <v>0</v>
          </cell>
          <cell r="BZ2538">
            <v>0</v>
          </cell>
          <cell r="CA2538">
            <v>0</v>
          </cell>
          <cell r="CB2538" t="str">
            <v xml:space="preserve">UBBR        </v>
          </cell>
          <cell r="CC2538" t="str">
            <v>UNT     N1</v>
          </cell>
          <cell r="CD2538" t="str">
            <v xml:space="preserve">OPCOES VENDA   </v>
          </cell>
          <cell r="CE2538" t="str">
            <v xml:space="preserve">Europeu        </v>
          </cell>
        </row>
        <row r="2539">
          <cell r="BY2539">
            <v>0</v>
          </cell>
          <cell r="BZ2539">
            <v>0</v>
          </cell>
          <cell r="CA2539">
            <v>0</v>
          </cell>
          <cell r="CB2539" t="str">
            <v xml:space="preserve">UBBR        </v>
          </cell>
          <cell r="CC2539" t="str">
            <v>UNT     N1</v>
          </cell>
          <cell r="CD2539" t="str">
            <v xml:space="preserve">OPCOES VENDA   </v>
          </cell>
          <cell r="CE2539" t="str">
            <v xml:space="preserve">Europeu        </v>
          </cell>
        </row>
        <row r="2540">
          <cell r="BY2540">
            <v>0</v>
          </cell>
          <cell r="BZ2540">
            <v>0</v>
          </cell>
          <cell r="CA2540">
            <v>0</v>
          </cell>
          <cell r="CB2540" t="str">
            <v xml:space="preserve">UBBR        </v>
          </cell>
          <cell r="CC2540" t="str">
            <v>UNT     N1</v>
          </cell>
          <cell r="CD2540" t="str">
            <v xml:space="preserve">OPCOES VENDA   </v>
          </cell>
          <cell r="CE2540" t="str">
            <v xml:space="preserve">Europeu        </v>
          </cell>
        </row>
        <row r="2541">
          <cell r="BY2541">
            <v>0</v>
          </cell>
          <cell r="BZ2541">
            <v>0</v>
          </cell>
          <cell r="CA2541">
            <v>0</v>
          </cell>
          <cell r="CB2541" t="str">
            <v xml:space="preserve">UBBR        </v>
          </cell>
          <cell r="CC2541" t="str">
            <v>UNT     N1</v>
          </cell>
          <cell r="CD2541" t="str">
            <v xml:space="preserve">OPCOES VENDA   </v>
          </cell>
          <cell r="CE2541" t="str">
            <v xml:space="preserve">Europeu        </v>
          </cell>
        </row>
        <row r="2542">
          <cell r="BY2542">
            <v>0</v>
          </cell>
          <cell r="BZ2542">
            <v>0</v>
          </cell>
          <cell r="CA2542">
            <v>0</v>
          </cell>
          <cell r="CB2542" t="str">
            <v xml:space="preserve">UBBR        </v>
          </cell>
          <cell r="CC2542" t="str">
            <v>UNT     N1</v>
          </cell>
          <cell r="CD2542" t="str">
            <v xml:space="preserve">OPCOES VENDA   </v>
          </cell>
          <cell r="CE2542" t="str">
            <v xml:space="preserve">Europeu        </v>
          </cell>
        </row>
        <row r="2543">
          <cell r="BY2543">
            <v>0</v>
          </cell>
          <cell r="BZ2543">
            <v>0</v>
          </cell>
          <cell r="CA2543">
            <v>0</v>
          </cell>
          <cell r="CB2543" t="str">
            <v xml:space="preserve">UBBR        </v>
          </cell>
          <cell r="CC2543" t="str">
            <v>UNT     N1</v>
          </cell>
          <cell r="CD2543" t="str">
            <v xml:space="preserve">OPCOES VENDA   </v>
          </cell>
          <cell r="CE2543" t="str">
            <v xml:space="preserve">Europeu        </v>
          </cell>
        </row>
        <row r="2544">
          <cell r="BY2544">
            <v>0</v>
          </cell>
          <cell r="BZ2544">
            <v>0</v>
          </cell>
          <cell r="CA2544">
            <v>0</v>
          </cell>
          <cell r="CB2544" t="str">
            <v xml:space="preserve">UBBR        </v>
          </cell>
          <cell r="CC2544" t="str">
            <v>UNT     N1</v>
          </cell>
          <cell r="CD2544" t="str">
            <v xml:space="preserve">OPCOES VENDA   </v>
          </cell>
          <cell r="CE2544" t="str">
            <v xml:space="preserve">Europeu        </v>
          </cell>
        </row>
        <row r="2545">
          <cell r="BY2545">
            <v>0</v>
          </cell>
          <cell r="BZ2545">
            <v>0</v>
          </cell>
          <cell r="CA2545">
            <v>0</v>
          </cell>
          <cell r="CB2545" t="str">
            <v xml:space="preserve">UBBR        </v>
          </cell>
          <cell r="CC2545" t="str">
            <v>UNT     N1</v>
          </cell>
          <cell r="CD2545" t="str">
            <v xml:space="preserve">OPCOES VENDA   </v>
          </cell>
          <cell r="CE2545" t="str">
            <v xml:space="preserve">Europeu        </v>
          </cell>
        </row>
        <row r="2546">
          <cell r="BY2546">
            <v>0</v>
          </cell>
          <cell r="BZ2546">
            <v>0</v>
          </cell>
          <cell r="CA2546">
            <v>0</v>
          </cell>
          <cell r="CB2546" t="str">
            <v xml:space="preserve">UBBR        </v>
          </cell>
          <cell r="CC2546" t="str">
            <v>UNT     N1</v>
          </cell>
          <cell r="CD2546" t="str">
            <v xml:space="preserve">OPCOES VENDA   </v>
          </cell>
          <cell r="CE2546" t="str">
            <v xml:space="preserve">Europeu        </v>
          </cell>
        </row>
        <row r="2547">
          <cell r="BY2547">
            <v>0</v>
          </cell>
          <cell r="BZ2547">
            <v>0</v>
          </cell>
          <cell r="CA2547">
            <v>0</v>
          </cell>
          <cell r="CB2547" t="str">
            <v xml:space="preserve">UBBR        </v>
          </cell>
          <cell r="CC2547" t="str">
            <v>UNT     N1</v>
          </cell>
          <cell r="CD2547" t="str">
            <v xml:space="preserve">OPCOES VENDA   </v>
          </cell>
          <cell r="CE2547" t="str">
            <v xml:space="preserve">Europeu        </v>
          </cell>
        </row>
        <row r="2548">
          <cell r="BY2548">
            <v>0</v>
          </cell>
          <cell r="BZ2548">
            <v>0</v>
          </cell>
          <cell r="CA2548">
            <v>0</v>
          </cell>
          <cell r="CB2548" t="str">
            <v xml:space="preserve">UBBR        </v>
          </cell>
          <cell r="CC2548" t="str">
            <v>UNT     N1</v>
          </cell>
          <cell r="CD2548" t="str">
            <v xml:space="preserve">OPCOES VENDA   </v>
          </cell>
          <cell r="CE2548" t="str">
            <v xml:space="preserve">Europeu        </v>
          </cell>
        </row>
        <row r="2549">
          <cell r="BY2549">
            <v>0</v>
          </cell>
          <cell r="BZ2549">
            <v>0</v>
          </cell>
          <cell r="CA2549">
            <v>0</v>
          </cell>
          <cell r="CB2549" t="str">
            <v xml:space="preserve">UBBR        </v>
          </cell>
          <cell r="CC2549" t="str">
            <v>UNT     N1</v>
          </cell>
          <cell r="CD2549" t="str">
            <v xml:space="preserve">OPCOES VENDA   </v>
          </cell>
          <cell r="CE2549" t="str">
            <v xml:space="preserve">Europeu        </v>
          </cell>
        </row>
        <row r="2550">
          <cell r="BY2550">
            <v>0</v>
          </cell>
          <cell r="BZ2550">
            <v>0</v>
          </cell>
          <cell r="CA2550">
            <v>0</v>
          </cell>
          <cell r="CB2550" t="str">
            <v xml:space="preserve">UBBR        </v>
          </cell>
          <cell r="CC2550" t="str">
            <v>UNT     N1</v>
          </cell>
          <cell r="CD2550" t="str">
            <v xml:space="preserve">OPCOES VENDA   </v>
          </cell>
          <cell r="CE2550" t="str">
            <v xml:space="preserve">Europeu        </v>
          </cell>
        </row>
        <row r="2551">
          <cell r="BY2551">
            <v>0</v>
          </cell>
          <cell r="BZ2551">
            <v>0</v>
          </cell>
          <cell r="CA2551">
            <v>0</v>
          </cell>
          <cell r="CB2551" t="str">
            <v xml:space="preserve">UBBR        </v>
          </cell>
          <cell r="CC2551" t="str">
            <v>UNT     N1</v>
          </cell>
          <cell r="CD2551" t="str">
            <v xml:space="preserve">OPCOES VENDA   </v>
          </cell>
          <cell r="CE2551" t="str">
            <v xml:space="preserve">Europeu        </v>
          </cell>
        </row>
        <row r="2552">
          <cell r="BY2552">
            <v>0</v>
          </cell>
          <cell r="BZ2552">
            <v>0</v>
          </cell>
          <cell r="CA2552">
            <v>0</v>
          </cell>
          <cell r="CB2552" t="str">
            <v xml:space="preserve">UBBR        </v>
          </cell>
          <cell r="CC2552" t="str">
            <v>UNT     N1</v>
          </cell>
          <cell r="CD2552" t="str">
            <v xml:space="preserve">OPCOES VENDA   </v>
          </cell>
          <cell r="CE2552" t="str">
            <v xml:space="preserve">Europeu        </v>
          </cell>
        </row>
        <row r="2553">
          <cell r="BY2553">
            <v>0</v>
          </cell>
          <cell r="BZ2553">
            <v>0</v>
          </cell>
          <cell r="CA2553">
            <v>0</v>
          </cell>
          <cell r="CB2553" t="str">
            <v xml:space="preserve">UBBR        </v>
          </cell>
          <cell r="CC2553" t="str">
            <v>UNT     N1</v>
          </cell>
          <cell r="CD2553" t="str">
            <v xml:space="preserve">OPCOES VENDA   </v>
          </cell>
          <cell r="CE2553" t="str">
            <v xml:space="preserve">Europeu        </v>
          </cell>
        </row>
        <row r="2554">
          <cell r="BY2554">
            <v>0</v>
          </cell>
          <cell r="BZ2554">
            <v>0</v>
          </cell>
          <cell r="CA2554">
            <v>0</v>
          </cell>
          <cell r="CB2554" t="str">
            <v xml:space="preserve">UBBR        </v>
          </cell>
          <cell r="CC2554" t="str">
            <v>UNT     N1</v>
          </cell>
          <cell r="CD2554" t="str">
            <v xml:space="preserve">OPCOES VENDA   </v>
          </cell>
          <cell r="CE2554" t="str">
            <v xml:space="preserve">Europeu        </v>
          </cell>
        </row>
        <row r="2555">
          <cell r="BY2555">
            <v>0</v>
          </cell>
          <cell r="BZ2555">
            <v>0</v>
          </cell>
          <cell r="CA2555">
            <v>0</v>
          </cell>
          <cell r="CB2555" t="str">
            <v xml:space="preserve">UBBR        </v>
          </cell>
          <cell r="CC2555" t="str">
            <v>UNT     N1</v>
          </cell>
          <cell r="CD2555" t="str">
            <v xml:space="preserve">OPCOES VENDA   </v>
          </cell>
          <cell r="CE2555" t="str">
            <v xml:space="preserve">Europeu        </v>
          </cell>
        </row>
        <row r="2556">
          <cell r="BY2556">
            <v>0</v>
          </cell>
          <cell r="BZ2556">
            <v>0</v>
          </cell>
          <cell r="CA2556">
            <v>0</v>
          </cell>
          <cell r="CB2556" t="str">
            <v xml:space="preserve">UBBR        </v>
          </cell>
          <cell r="CC2556" t="str">
            <v>UNT     N1</v>
          </cell>
          <cell r="CD2556" t="str">
            <v xml:space="preserve">OPCOES VENDA   </v>
          </cell>
          <cell r="CE2556" t="str">
            <v xml:space="preserve">Europeu        </v>
          </cell>
        </row>
        <row r="2557">
          <cell r="BY2557">
            <v>0</v>
          </cell>
          <cell r="BZ2557">
            <v>0</v>
          </cell>
          <cell r="CA2557">
            <v>0</v>
          </cell>
          <cell r="CB2557" t="str">
            <v xml:space="preserve">UBBR        </v>
          </cell>
          <cell r="CC2557" t="str">
            <v>UNT     N1</v>
          </cell>
          <cell r="CD2557" t="str">
            <v xml:space="preserve">OPCOES VENDA   </v>
          </cell>
          <cell r="CE2557" t="str">
            <v xml:space="preserve">Europeu        </v>
          </cell>
        </row>
        <row r="2558">
          <cell r="BY2558">
            <v>0</v>
          </cell>
          <cell r="BZ2558">
            <v>0</v>
          </cell>
          <cell r="CA2558">
            <v>0</v>
          </cell>
          <cell r="CB2558" t="str">
            <v xml:space="preserve">UBBR        </v>
          </cell>
          <cell r="CC2558" t="str">
            <v>UNT     N1</v>
          </cell>
          <cell r="CD2558" t="str">
            <v xml:space="preserve">OPCOES VENDA   </v>
          </cell>
          <cell r="CE2558" t="str">
            <v xml:space="preserve">Europeu        </v>
          </cell>
        </row>
        <row r="2559">
          <cell r="BY2559">
            <v>0</v>
          </cell>
          <cell r="BZ2559">
            <v>0</v>
          </cell>
          <cell r="CA2559">
            <v>0</v>
          </cell>
          <cell r="CB2559" t="str">
            <v xml:space="preserve">UBBR        </v>
          </cell>
          <cell r="CC2559" t="str">
            <v>UNT     N1</v>
          </cell>
          <cell r="CD2559" t="str">
            <v xml:space="preserve">OPCOES VENDA   </v>
          </cell>
          <cell r="CE2559" t="str">
            <v xml:space="preserve">Europeu        </v>
          </cell>
        </row>
        <row r="2560">
          <cell r="BY2560">
            <v>0</v>
          </cell>
          <cell r="BZ2560">
            <v>0</v>
          </cell>
          <cell r="CA2560">
            <v>0</v>
          </cell>
          <cell r="CB2560" t="str">
            <v xml:space="preserve">ALLL        </v>
          </cell>
          <cell r="CC2560" t="str">
            <v>UNT     N2</v>
          </cell>
          <cell r="CD2560" t="str">
            <v xml:space="preserve">OPCOES COMPRA  </v>
          </cell>
          <cell r="CE2560" t="str">
            <v xml:space="preserve">Americano      </v>
          </cell>
        </row>
        <row r="2561">
          <cell r="BY2561">
            <v>0</v>
          </cell>
          <cell r="BZ2561">
            <v>0</v>
          </cell>
          <cell r="CA2561">
            <v>0</v>
          </cell>
          <cell r="CB2561" t="str">
            <v xml:space="preserve">ALLL        </v>
          </cell>
          <cell r="CC2561" t="str">
            <v>UNT     N2</v>
          </cell>
          <cell r="CD2561" t="str">
            <v xml:space="preserve">OPCOES COMPRA  </v>
          </cell>
          <cell r="CE2561" t="str">
            <v xml:space="preserve">Americano      </v>
          </cell>
        </row>
        <row r="2562">
          <cell r="BY2562">
            <v>0</v>
          </cell>
          <cell r="BZ2562">
            <v>0</v>
          </cell>
          <cell r="CA2562">
            <v>0</v>
          </cell>
          <cell r="CB2562" t="str">
            <v xml:space="preserve">ALLL        </v>
          </cell>
          <cell r="CC2562" t="str">
            <v>UNT     N2</v>
          </cell>
          <cell r="CD2562" t="str">
            <v xml:space="preserve">OPCOES COMPRA  </v>
          </cell>
          <cell r="CE2562" t="str">
            <v xml:space="preserve">Americano      </v>
          </cell>
        </row>
        <row r="2563">
          <cell r="BY2563">
            <v>0</v>
          </cell>
          <cell r="BZ2563">
            <v>0</v>
          </cell>
          <cell r="CA2563">
            <v>0</v>
          </cell>
          <cell r="CB2563" t="str">
            <v xml:space="preserve">ALLL        </v>
          </cell>
          <cell r="CC2563" t="str">
            <v>UNT     N2</v>
          </cell>
          <cell r="CD2563" t="str">
            <v xml:space="preserve">OPCOES COMPRA  </v>
          </cell>
          <cell r="CE2563" t="str">
            <v xml:space="preserve">Americano      </v>
          </cell>
        </row>
        <row r="2564">
          <cell r="BY2564">
            <v>0</v>
          </cell>
          <cell r="BZ2564">
            <v>0</v>
          </cell>
          <cell r="CA2564">
            <v>0</v>
          </cell>
          <cell r="CB2564" t="str">
            <v xml:space="preserve">ALLL        </v>
          </cell>
          <cell r="CC2564" t="str">
            <v>UNT     N2</v>
          </cell>
          <cell r="CD2564" t="str">
            <v xml:space="preserve">OPCOES COMPRA  </v>
          </cell>
          <cell r="CE2564" t="str">
            <v xml:space="preserve">Americano      </v>
          </cell>
        </row>
        <row r="2565">
          <cell r="BY2565">
            <v>0</v>
          </cell>
          <cell r="BZ2565">
            <v>0</v>
          </cell>
          <cell r="CA2565">
            <v>0</v>
          </cell>
          <cell r="CB2565" t="str">
            <v xml:space="preserve">ALLL        </v>
          </cell>
          <cell r="CC2565" t="str">
            <v>UNT     N2</v>
          </cell>
          <cell r="CD2565" t="str">
            <v xml:space="preserve">OPCOES COMPRA  </v>
          </cell>
          <cell r="CE2565" t="str">
            <v xml:space="preserve">Americano      </v>
          </cell>
        </row>
        <row r="2566">
          <cell r="BY2566">
            <v>0</v>
          </cell>
          <cell r="BZ2566">
            <v>0</v>
          </cell>
          <cell r="CA2566">
            <v>0</v>
          </cell>
          <cell r="CB2566" t="str">
            <v xml:space="preserve">ALLL        </v>
          </cell>
          <cell r="CC2566" t="str">
            <v>UNT     N2</v>
          </cell>
          <cell r="CD2566" t="str">
            <v xml:space="preserve">OPCOES COMPRA  </v>
          </cell>
          <cell r="CE2566" t="str">
            <v xml:space="preserve">Europeu        </v>
          </cell>
        </row>
        <row r="2567">
          <cell r="BY2567">
            <v>0</v>
          </cell>
          <cell r="BZ2567">
            <v>0</v>
          </cell>
          <cell r="CA2567">
            <v>0</v>
          </cell>
          <cell r="CB2567" t="str">
            <v xml:space="preserve">ALLL        </v>
          </cell>
          <cell r="CC2567" t="str">
            <v>UNT     N2</v>
          </cell>
          <cell r="CD2567" t="str">
            <v xml:space="preserve">OPCOES COMPRA  </v>
          </cell>
          <cell r="CE2567" t="str">
            <v xml:space="preserve">Americano      </v>
          </cell>
        </row>
        <row r="2568">
          <cell r="BY2568">
            <v>0</v>
          </cell>
          <cell r="BZ2568">
            <v>0</v>
          </cell>
          <cell r="CA2568">
            <v>0</v>
          </cell>
          <cell r="CB2568" t="str">
            <v xml:space="preserve">ALLL        </v>
          </cell>
          <cell r="CC2568" t="str">
            <v>UNT     N2</v>
          </cell>
          <cell r="CD2568" t="str">
            <v xml:space="preserve">OPCOES COMPRA  </v>
          </cell>
          <cell r="CE2568" t="str">
            <v xml:space="preserve">Americano      </v>
          </cell>
        </row>
        <row r="2569">
          <cell r="BY2569">
            <v>0</v>
          </cell>
          <cell r="BZ2569">
            <v>0</v>
          </cell>
          <cell r="CA2569">
            <v>0</v>
          </cell>
          <cell r="CB2569" t="str">
            <v xml:space="preserve">ALLL        </v>
          </cell>
          <cell r="CC2569" t="str">
            <v>UNT     N2</v>
          </cell>
          <cell r="CD2569" t="str">
            <v xml:space="preserve">OPCOES COMPRA  </v>
          </cell>
          <cell r="CE2569" t="str">
            <v xml:space="preserve">Americano      </v>
          </cell>
        </row>
        <row r="2570">
          <cell r="BY2570">
            <v>0</v>
          </cell>
          <cell r="BZ2570">
            <v>0</v>
          </cell>
          <cell r="CA2570">
            <v>0</v>
          </cell>
          <cell r="CB2570" t="str">
            <v xml:space="preserve">ALLL        </v>
          </cell>
          <cell r="CC2570" t="str">
            <v>UNT     N2</v>
          </cell>
          <cell r="CD2570" t="str">
            <v xml:space="preserve">OPCOES COMPRA  </v>
          </cell>
          <cell r="CE2570" t="str">
            <v xml:space="preserve">Americano      </v>
          </cell>
        </row>
        <row r="2571">
          <cell r="BY2571">
            <v>0</v>
          </cell>
          <cell r="BZ2571">
            <v>0</v>
          </cell>
          <cell r="CA2571">
            <v>0</v>
          </cell>
          <cell r="CB2571" t="str">
            <v xml:space="preserve">ALLL        </v>
          </cell>
          <cell r="CC2571" t="str">
            <v>UNT     N2</v>
          </cell>
          <cell r="CD2571" t="str">
            <v xml:space="preserve">OPCOES COMPRA  </v>
          </cell>
          <cell r="CE2571" t="str">
            <v xml:space="preserve">Americano      </v>
          </cell>
        </row>
        <row r="2572">
          <cell r="BY2572">
            <v>0</v>
          </cell>
          <cell r="BZ2572">
            <v>0</v>
          </cell>
          <cell r="CA2572">
            <v>0</v>
          </cell>
          <cell r="CB2572" t="str">
            <v xml:space="preserve">ALLL        </v>
          </cell>
          <cell r="CC2572" t="str">
            <v>UNT     N2</v>
          </cell>
          <cell r="CD2572" t="str">
            <v xml:space="preserve">OPCOES COMPRA  </v>
          </cell>
          <cell r="CE2572" t="str">
            <v xml:space="preserve">Americano      </v>
          </cell>
        </row>
        <row r="2573">
          <cell r="BY2573">
            <v>0</v>
          </cell>
          <cell r="BZ2573">
            <v>0</v>
          </cell>
          <cell r="CA2573">
            <v>0</v>
          </cell>
          <cell r="CB2573" t="str">
            <v xml:space="preserve">ALLL        </v>
          </cell>
          <cell r="CC2573" t="str">
            <v>UNT     N2</v>
          </cell>
          <cell r="CD2573" t="str">
            <v xml:space="preserve">OPCOES COMPRA  </v>
          </cell>
          <cell r="CE2573" t="str">
            <v xml:space="preserve">Americano      </v>
          </cell>
        </row>
        <row r="2574">
          <cell r="BY2574">
            <v>0</v>
          </cell>
          <cell r="BZ2574">
            <v>0</v>
          </cell>
          <cell r="CA2574">
            <v>0</v>
          </cell>
          <cell r="CB2574" t="str">
            <v xml:space="preserve">ALLL        </v>
          </cell>
          <cell r="CC2574" t="str">
            <v>UNT     N2</v>
          </cell>
          <cell r="CD2574" t="str">
            <v xml:space="preserve">OPCOES COMPRA  </v>
          </cell>
          <cell r="CE2574" t="str">
            <v xml:space="preserve">Americano      </v>
          </cell>
        </row>
        <row r="2575">
          <cell r="BY2575">
            <v>0</v>
          </cell>
          <cell r="BZ2575">
            <v>0</v>
          </cell>
          <cell r="CA2575">
            <v>0</v>
          </cell>
          <cell r="CB2575" t="str">
            <v xml:space="preserve">ALLL        </v>
          </cell>
          <cell r="CC2575" t="str">
            <v>UNT     N2</v>
          </cell>
          <cell r="CD2575" t="str">
            <v xml:space="preserve">OPCOES COMPRA  </v>
          </cell>
          <cell r="CE2575" t="str">
            <v xml:space="preserve">Americano      </v>
          </cell>
        </row>
        <row r="2576">
          <cell r="BY2576">
            <v>0</v>
          </cell>
          <cell r="BZ2576">
            <v>0</v>
          </cell>
          <cell r="CA2576">
            <v>0</v>
          </cell>
          <cell r="CB2576" t="str">
            <v xml:space="preserve">ALLL        </v>
          </cell>
          <cell r="CC2576" t="str">
            <v>UNT     N2</v>
          </cell>
          <cell r="CD2576" t="str">
            <v xml:space="preserve">OPCOES COMPRA  </v>
          </cell>
          <cell r="CE2576" t="str">
            <v xml:space="preserve">Americano      </v>
          </cell>
        </row>
        <row r="2577">
          <cell r="BY2577">
            <v>0</v>
          </cell>
          <cell r="BZ2577">
            <v>0</v>
          </cell>
          <cell r="CA2577">
            <v>0</v>
          </cell>
          <cell r="CB2577" t="str">
            <v xml:space="preserve">ALLL        </v>
          </cell>
          <cell r="CC2577" t="str">
            <v>UNT     N2</v>
          </cell>
          <cell r="CD2577" t="str">
            <v xml:space="preserve">OPCOES COMPRA  </v>
          </cell>
          <cell r="CE2577" t="str">
            <v xml:space="preserve">Americano      </v>
          </cell>
        </row>
        <row r="2578">
          <cell r="BY2578">
            <v>0</v>
          </cell>
          <cell r="BZ2578">
            <v>0</v>
          </cell>
          <cell r="CA2578">
            <v>0</v>
          </cell>
          <cell r="CB2578" t="str">
            <v xml:space="preserve">ALLL        </v>
          </cell>
          <cell r="CC2578" t="str">
            <v>UNT     N2</v>
          </cell>
          <cell r="CD2578" t="str">
            <v xml:space="preserve">OPCOES COMPRA  </v>
          </cell>
          <cell r="CE2578" t="str">
            <v xml:space="preserve">Americano      </v>
          </cell>
        </row>
        <row r="2579">
          <cell r="BY2579">
            <v>0</v>
          </cell>
          <cell r="BZ2579">
            <v>0</v>
          </cell>
          <cell r="CA2579">
            <v>0</v>
          </cell>
          <cell r="CB2579" t="str">
            <v xml:space="preserve">ALLL        </v>
          </cell>
          <cell r="CC2579" t="str">
            <v>UNT     N2</v>
          </cell>
          <cell r="CD2579" t="str">
            <v xml:space="preserve">OPCOES COMPRA  </v>
          </cell>
          <cell r="CE2579" t="str">
            <v xml:space="preserve">Americano      </v>
          </cell>
        </row>
        <row r="2580">
          <cell r="BY2580">
            <v>0</v>
          </cell>
          <cell r="BZ2580">
            <v>0</v>
          </cell>
          <cell r="CA2580">
            <v>0</v>
          </cell>
          <cell r="CB2580" t="str">
            <v xml:space="preserve">ALLL        </v>
          </cell>
          <cell r="CC2580" t="str">
            <v>UNT     N2</v>
          </cell>
          <cell r="CD2580" t="str">
            <v xml:space="preserve">OPCOES COMPRA  </v>
          </cell>
          <cell r="CE2580" t="str">
            <v xml:space="preserve">Americano      </v>
          </cell>
        </row>
        <row r="2581">
          <cell r="BY2581">
            <v>0</v>
          </cell>
          <cell r="BZ2581">
            <v>0</v>
          </cell>
          <cell r="CA2581">
            <v>0</v>
          </cell>
          <cell r="CB2581" t="str">
            <v xml:space="preserve">ALLL        </v>
          </cell>
          <cell r="CC2581" t="str">
            <v>UNT     N2</v>
          </cell>
          <cell r="CD2581" t="str">
            <v xml:space="preserve">OPCOES COMPRA  </v>
          </cell>
          <cell r="CE2581" t="str">
            <v xml:space="preserve">Americano      </v>
          </cell>
        </row>
        <row r="2582">
          <cell r="BY2582">
            <v>0</v>
          </cell>
          <cell r="BZ2582">
            <v>0</v>
          </cell>
          <cell r="CA2582">
            <v>0</v>
          </cell>
          <cell r="CB2582" t="str">
            <v xml:space="preserve">ALLL        </v>
          </cell>
          <cell r="CC2582" t="str">
            <v>UNT     N2</v>
          </cell>
          <cell r="CD2582" t="str">
            <v xml:space="preserve">OPCOES VENDA   </v>
          </cell>
          <cell r="CE2582" t="str">
            <v xml:space="preserve">Europeu        </v>
          </cell>
        </row>
        <row r="2583">
          <cell r="BY2583">
            <v>0</v>
          </cell>
          <cell r="BZ2583">
            <v>0</v>
          </cell>
          <cell r="CA2583">
            <v>0</v>
          </cell>
          <cell r="CB2583" t="str">
            <v xml:space="preserve">ALLL        </v>
          </cell>
          <cell r="CC2583" t="str">
            <v>UNT     N2</v>
          </cell>
          <cell r="CD2583" t="str">
            <v xml:space="preserve">OPCOES VENDA   </v>
          </cell>
          <cell r="CE2583" t="str">
            <v xml:space="preserve">Europeu        </v>
          </cell>
        </row>
        <row r="2584">
          <cell r="BY2584">
            <v>0</v>
          </cell>
          <cell r="BZ2584">
            <v>0</v>
          </cell>
          <cell r="CA2584">
            <v>0</v>
          </cell>
          <cell r="CB2584" t="str">
            <v xml:space="preserve">ALLL        </v>
          </cell>
          <cell r="CC2584" t="str">
            <v>UNT     N2</v>
          </cell>
          <cell r="CD2584" t="str">
            <v xml:space="preserve">OPCOES VENDA   </v>
          </cell>
          <cell r="CE2584" t="str">
            <v xml:space="preserve">Europeu        </v>
          </cell>
        </row>
        <row r="2585">
          <cell r="BY2585">
            <v>0</v>
          </cell>
          <cell r="BZ2585">
            <v>0</v>
          </cell>
          <cell r="CA2585">
            <v>0</v>
          </cell>
          <cell r="CB2585" t="str">
            <v xml:space="preserve">ALLL        </v>
          </cell>
          <cell r="CC2585" t="str">
            <v>UNT     N2</v>
          </cell>
          <cell r="CD2585" t="str">
            <v xml:space="preserve">OPCOES VENDA   </v>
          </cell>
          <cell r="CE2585" t="str">
            <v xml:space="preserve">Europeu        </v>
          </cell>
        </row>
        <row r="2586">
          <cell r="BY2586">
            <v>0</v>
          </cell>
          <cell r="BZ2586">
            <v>0</v>
          </cell>
          <cell r="CA2586">
            <v>0</v>
          </cell>
          <cell r="CB2586" t="str">
            <v xml:space="preserve">ALLL        </v>
          </cell>
          <cell r="CC2586" t="str">
            <v>UNT     N2</v>
          </cell>
          <cell r="CD2586" t="str">
            <v xml:space="preserve">OPCOES VENDA   </v>
          </cell>
          <cell r="CE2586" t="str">
            <v xml:space="preserve">Europeu        </v>
          </cell>
        </row>
        <row r="2587">
          <cell r="BY2587">
            <v>0</v>
          </cell>
          <cell r="BZ2587">
            <v>0</v>
          </cell>
          <cell r="CA2587">
            <v>0</v>
          </cell>
          <cell r="CB2587" t="str">
            <v xml:space="preserve">ALLL        </v>
          </cell>
          <cell r="CC2587" t="str">
            <v>UNT     N2</v>
          </cell>
          <cell r="CD2587" t="str">
            <v xml:space="preserve">OPCOES VENDA   </v>
          </cell>
          <cell r="CE2587" t="str">
            <v xml:space="preserve">Europeu        </v>
          </cell>
        </row>
        <row r="2588">
          <cell r="BY2588">
            <v>0</v>
          </cell>
          <cell r="BZ2588">
            <v>0</v>
          </cell>
          <cell r="CA2588">
            <v>0</v>
          </cell>
          <cell r="CB2588" t="str">
            <v xml:space="preserve">ALLL        </v>
          </cell>
          <cell r="CC2588" t="str">
            <v>UNT     N2</v>
          </cell>
          <cell r="CD2588" t="str">
            <v xml:space="preserve">OPCOES VENDA   </v>
          </cell>
          <cell r="CE2588" t="str">
            <v xml:space="preserve">Europeu        </v>
          </cell>
        </row>
        <row r="2589">
          <cell r="BY2589">
            <v>0</v>
          </cell>
          <cell r="BZ2589">
            <v>0</v>
          </cell>
          <cell r="CA2589">
            <v>0</v>
          </cell>
          <cell r="CB2589" t="str">
            <v xml:space="preserve">ALLL        </v>
          </cell>
          <cell r="CC2589" t="str">
            <v>UNT     N2</v>
          </cell>
          <cell r="CD2589" t="str">
            <v xml:space="preserve">OPCOES VENDA   </v>
          </cell>
          <cell r="CE2589" t="str">
            <v xml:space="preserve">Europeu        </v>
          </cell>
        </row>
        <row r="2590">
          <cell r="BY2590">
            <v>0</v>
          </cell>
          <cell r="BZ2590">
            <v>0</v>
          </cell>
          <cell r="CA2590">
            <v>0</v>
          </cell>
          <cell r="CB2590" t="str">
            <v xml:space="preserve">ALLL        </v>
          </cell>
          <cell r="CC2590" t="str">
            <v>UNT     N2</v>
          </cell>
          <cell r="CD2590" t="str">
            <v xml:space="preserve">OPCOES VENDA   </v>
          </cell>
          <cell r="CE2590" t="str">
            <v xml:space="preserve">Europeu        </v>
          </cell>
        </row>
        <row r="2591">
          <cell r="BY2591">
            <v>0</v>
          </cell>
          <cell r="BZ2591">
            <v>0</v>
          </cell>
          <cell r="CA2591">
            <v>0</v>
          </cell>
          <cell r="CB2591" t="str">
            <v xml:space="preserve">ALLL        </v>
          </cell>
          <cell r="CC2591" t="str">
            <v>UNT     N2</v>
          </cell>
          <cell r="CD2591" t="str">
            <v xml:space="preserve">OPCOES VENDA   </v>
          </cell>
          <cell r="CE2591" t="str">
            <v xml:space="preserve">Europeu        </v>
          </cell>
        </row>
        <row r="2592">
          <cell r="BY2592">
            <v>0</v>
          </cell>
          <cell r="BZ2592">
            <v>0</v>
          </cell>
          <cell r="CA2592">
            <v>0</v>
          </cell>
          <cell r="CB2592" t="str">
            <v xml:space="preserve">ALLL        </v>
          </cell>
          <cell r="CC2592" t="str">
            <v>UNT     N2</v>
          </cell>
          <cell r="CD2592" t="str">
            <v xml:space="preserve">OPCOES VENDA   </v>
          </cell>
          <cell r="CE2592" t="str">
            <v xml:space="preserve">Europeu        </v>
          </cell>
        </row>
        <row r="2593">
          <cell r="BY2593">
            <v>0</v>
          </cell>
          <cell r="BZ2593">
            <v>0</v>
          </cell>
          <cell r="CA2593">
            <v>0</v>
          </cell>
          <cell r="CB2593" t="str">
            <v xml:space="preserve">ALLL        </v>
          </cell>
          <cell r="CC2593" t="str">
            <v>UNT     N2</v>
          </cell>
          <cell r="CD2593" t="str">
            <v xml:space="preserve">OPCOES VENDA   </v>
          </cell>
          <cell r="CE2593" t="str">
            <v xml:space="preserve">Europeu        </v>
          </cell>
        </row>
        <row r="2594">
          <cell r="BY2594">
            <v>0</v>
          </cell>
          <cell r="BZ2594">
            <v>0</v>
          </cell>
          <cell r="CA2594">
            <v>0</v>
          </cell>
          <cell r="CB2594" t="str">
            <v xml:space="preserve">ALLL        </v>
          </cell>
          <cell r="CC2594" t="str">
            <v>UNT     N2</v>
          </cell>
          <cell r="CD2594" t="str">
            <v xml:space="preserve">OPCOES VENDA   </v>
          </cell>
          <cell r="CE2594" t="str">
            <v xml:space="preserve">Europeu        </v>
          </cell>
        </row>
        <row r="2595">
          <cell r="BY2595">
            <v>0</v>
          </cell>
          <cell r="BZ2595">
            <v>0</v>
          </cell>
          <cell r="CA2595">
            <v>0</v>
          </cell>
          <cell r="CB2595" t="str">
            <v xml:space="preserve">ALLL        </v>
          </cell>
          <cell r="CC2595" t="str">
            <v>UNT     N2</v>
          </cell>
          <cell r="CD2595" t="str">
            <v xml:space="preserve">OPCOES VENDA   </v>
          </cell>
          <cell r="CE2595" t="str">
            <v xml:space="preserve">Europeu        </v>
          </cell>
        </row>
        <row r="2596">
          <cell r="BY2596">
            <v>0</v>
          </cell>
          <cell r="BZ2596">
            <v>0</v>
          </cell>
          <cell r="CA2596">
            <v>0</v>
          </cell>
          <cell r="CB2596" t="str">
            <v xml:space="preserve">ALLL        </v>
          </cell>
          <cell r="CC2596" t="str">
            <v>UNT     N2</v>
          </cell>
          <cell r="CD2596" t="str">
            <v xml:space="preserve">OPCOES VENDA   </v>
          </cell>
          <cell r="CE2596" t="str">
            <v xml:space="preserve">Europeu        </v>
          </cell>
        </row>
        <row r="2597">
          <cell r="BY2597">
            <v>0</v>
          </cell>
          <cell r="BZ2597">
            <v>0</v>
          </cell>
          <cell r="CA2597">
            <v>0</v>
          </cell>
          <cell r="CB2597" t="str">
            <v xml:space="preserve">ALLL        </v>
          </cell>
          <cell r="CC2597" t="str">
            <v>UNT     N2</v>
          </cell>
          <cell r="CD2597" t="str">
            <v xml:space="preserve">OPCOES VENDA   </v>
          </cell>
          <cell r="CE2597" t="str">
            <v xml:space="preserve">Europeu        </v>
          </cell>
        </row>
        <row r="2598">
          <cell r="BY2598">
            <v>0</v>
          </cell>
          <cell r="BZ2598">
            <v>0</v>
          </cell>
          <cell r="CA2598">
            <v>0</v>
          </cell>
          <cell r="CB2598" t="str">
            <v xml:space="preserve">ALLL        </v>
          </cell>
          <cell r="CC2598" t="str">
            <v>UNT     N2</v>
          </cell>
          <cell r="CD2598" t="str">
            <v xml:space="preserve">OPCOES VENDA   </v>
          </cell>
          <cell r="CE2598" t="str">
            <v xml:space="preserve">Europeu        </v>
          </cell>
        </row>
        <row r="2599">
          <cell r="BY2599">
            <v>0</v>
          </cell>
          <cell r="BZ2599">
            <v>0</v>
          </cell>
          <cell r="CA2599">
            <v>0</v>
          </cell>
          <cell r="CB2599" t="str">
            <v xml:space="preserve">ALLL        </v>
          </cell>
          <cell r="CC2599" t="str">
            <v>UNT     N2</v>
          </cell>
          <cell r="CD2599" t="str">
            <v xml:space="preserve">OPCOES VENDA   </v>
          </cell>
          <cell r="CE2599" t="str">
            <v xml:space="preserve">Europeu        </v>
          </cell>
        </row>
        <row r="2600">
          <cell r="BY2600">
            <v>0</v>
          </cell>
          <cell r="BZ2600">
            <v>0</v>
          </cell>
          <cell r="CA2600">
            <v>0</v>
          </cell>
          <cell r="CB2600" t="str">
            <v xml:space="preserve">ALLL        </v>
          </cell>
          <cell r="CC2600" t="str">
            <v>UNT     N2</v>
          </cell>
          <cell r="CD2600" t="str">
            <v xml:space="preserve">OPCOES VENDA   </v>
          </cell>
          <cell r="CE2600" t="str">
            <v xml:space="preserve">Europeu        </v>
          </cell>
        </row>
        <row r="2601">
          <cell r="BY2601">
            <v>0</v>
          </cell>
          <cell r="BZ2601">
            <v>0</v>
          </cell>
          <cell r="CA2601">
            <v>0</v>
          </cell>
          <cell r="CB2601" t="str">
            <v xml:space="preserve">ALLL        </v>
          </cell>
          <cell r="CC2601" t="str">
            <v>UNT     N2</v>
          </cell>
          <cell r="CD2601" t="str">
            <v xml:space="preserve">OPCOES VENDA   </v>
          </cell>
          <cell r="CE2601" t="str">
            <v xml:space="preserve">Europeu        </v>
          </cell>
        </row>
        <row r="2602">
          <cell r="BY2602">
            <v>0</v>
          </cell>
          <cell r="BZ2602">
            <v>0</v>
          </cell>
          <cell r="CA2602">
            <v>0</v>
          </cell>
          <cell r="CB2602" t="str">
            <v xml:space="preserve">ALLL        </v>
          </cell>
          <cell r="CC2602" t="str">
            <v>UNT     N2</v>
          </cell>
          <cell r="CD2602" t="str">
            <v xml:space="preserve">OPCOES VENDA   </v>
          </cell>
          <cell r="CE2602" t="str">
            <v xml:space="preserve">Europeu        </v>
          </cell>
        </row>
        <row r="2603">
          <cell r="BY2603">
            <v>0</v>
          </cell>
          <cell r="BZ2603">
            <v>0</v>
          </cell>
          <cell r="CA2603">
            <v>0</v>
          </cell>
          <cell r="CB2603" t="str">
            <v xml:space="preserve">ALLL        </v>
          </cell>
          <cell r="CC2603" t="str">
            <v>UNT     N2</v>
          </cell>
          <cell r="CD2603" t="str">
            <v xml:space="preserve">OPCOES VENDA   </v>
          </cell>
          <cell r="CE2603" t="str">
            <v xml:space="preserve">Europeu        </v>
          </cell>
        </row>
        <row r="2604">
          <cell r="BY2604">
            <v>0</v>
          </cell>
          <cell r="BZ2604">
            <v>0</v>
          </cell>
          <cell r="CA2604">
            <v>0</v>
          </cell>
          <cell r="CB2604">
            <v>0</v>
          </cell>
          <cell r="CC2604">
            <v>0</v>
          </cell>
          <cell r="CD2604">
            <v>0</v>
          </cell>
          <cell r="CE2604">
            <v>0</v>
          </cell>
        </row>
        <row r="2605">
          <cell r="BY2605">
            <v>0</v>
          </cell>
          <cell r="BZ2605">
            <v>0</v>
          </cell>
          <cell r="CA2605">
            <v>0</v>
          </cell>
          <cell r="CB2605">
            <v>0</v>
          </cell>
          <cell r="CC2605">
            <v>0</v>
          </cell>
          <cell r="CD2605">
            <v>0</v>
          </cell>
          <cell r="CE2605">
            <v>0</v>
          </cell>
        </row>
        <row r="2606">
          <cell r="BY2606">
            <v>0</v>
          </cell>
          <cell r="BZ2606">
            <v>0</v>
          </cell>
          <cell r="CA2606">
            <v>0</v>
          </cell>
          <cell r="CB2606">
            <v>0</v>
          </cell>
          <cell r="CC2606">
            <v>0</v>
          </cell>
          <cell r="CD2606">
            <v>0</v>
          </cell>
          <cell r="CE2606">
            <v>0</v>
          </cell>
        </row>
        <row r="2607">
          <cell r="BY2607">
            <v>0</v>
          </cell>
          <cell r="BZ2607">
            <v>0</v>
          </cell>
          <cell r="CA2607">
            <v>0</v>
          </cell>
          <cell r="CB2607">
            <v>0</v>
          </cell>
          <cell r="CC2607">
            <v>0</v>
          </cell>
          <cell r="CD2607">
            <v>0</v>
          </cell>
          <cell r="CE2607">
            <v>0</v>
          </cell>
        </row>
        <row r="2608">
          <cell r="BY2608">
            <v>0</v>
          </cell>
          <cell r="BZ2608">
            <v>0</v>
          </cell>
          <cell r="CA2608">
            <v>0</v>
          </cell>
          <cell r="CB2608">
            <v>0</v>
          </cell>
          <cell r="CC2608">
            <v>0</v>
          </cell>
          <cell r="CD2608">
            <v>0</v>
          </cell>
          <cell r="CE2608">
            <v>0</v>
          </cell>
        </row>
        <row r="2609">
          <cell r="BY2609">
            <v>0</v>
          </cell>
          <cell r="BZ2609">
            <v>0</v>
          </cell>
          <cell r="CA2609">
            <v>0</v>
          </cell>
          <cell r="CB2609">
            <v>0</v>
          </cell>
          <cell r="CC2609">
            <v>0</v>
          </cell>
          <cell r="CD2609">
            <v>0</v>
          </cell>
          <cell r="CE2609">
            <v>0</v>
          </cell>
        </row>
        <row r="2610">
          <cell r="BY2610">
            <v>0</v>
          </cell>
          <cell r="BZ2610">
            <v>0</v>
          </cell>
          <cell r="CA2610">
            <v>0</v>
          </cell>
          <cell r="CB2610">
            <v>0</v>
          </cell>
          <cell r="CC2610">
            <v>0</v>
          </cell>
          <cell r="CD2610">
            <v>0</v>
          </cell>
          <cell r="CE2610">
            <v>0</v>
          </cell>
        </row>
        <row r="2611">
          <cell r="BY2611">
            <v>0</v>
          </cell>
          <cell r="BZ2611">
            <v>0</v>
          </cell>
          <cell r="CA2611">
            <v>0</v>
          </cell>
          <cell r="CB2611">
            <v>0</v>
          </cell>
          <cell r="CC2611">
            <v>0</v>
          </cell>
          <cell r="CD2611">
            <v>0</v>
          </cell>
          <cell r="CE2611">
            <v>0</v>
          </cell>
        </row>
        <row r="2612">
          <cell r="BY2612">
            <v>0</v>
          </cell>
          <cell r="BZ2612">
            <v>0</v>
          </cell>
          <cell r="CA2612">
            <v>0</v>
          </cell>
          <cell r="CB2612">
            <v>0</v>
          </cell>
          <cell r="CC2612">
            <v>0</v>
          </cell>
          <cell r="CD2612">
            <v>0</v>
          </cell>
          <cell r="CE2612">
            <v>0</v>
          </cell>
        </row>
        <row r="2613">
          <cell r="BY2613">
            <v>0</v>
          </cell>
          <cell r="BZ2613">
            <v>0</v>
          </cell>
          <cell r="CA2613">
            <v>0</v>
          </cell>
          <cell r="CB2613">
            <v>0</v>
          </cell>
          <cell r="CC2613">
            <v>0</v>
          </cell>
          <cell r="CD2613">
            <v>0</v>
          </cell>
          <cell r="CE2613">
            <v>0</v>
          </cell>
        </row>
        <row r="2614">
          <cell r="BY2614">
            <v>0</v>
          </cell>
          <cell r="BZ2614">
            <v>0</v>
          </cell>
          <cell r="CA2614">
            <v>0</v>
          </cell>
          <cell r="CB2614">
            <v>0</v>
          </cell>
          <cell r="CC2614">
            <v>0</v>
          </cell>
          <cell r="CD2614">
            <v>0</v>
          </cell>
          <cell r="CE2614">
            <v>0</v>
          </cell>
        </row>
        <row r="2615">
          <cell r="BY2615">
            <v>0</v>
          </cell>
          <cell r="BZ2615">
            <v>0</v>
          </cell>
          <cell r="CA2615">
            <v>0</v>
          </cell>
          <cell r="CB2615">
            <v>0</v>
          </cell>
          <cell r="CC2615">
            <v>0</v>
          </cell>
          <cell r="CD2615">
            <v>0</v>
          </cell>
          <cell r="CE2615">
            <v>0</v>
          </cell>
        </row>
        <row r="2616">
          <cell r="BY2616">
            <v>0</v>
          </cell>
          <cell r="BZ2616">
            <v>0</v>
          </cell>
          <cell r="CA2616">
            <v>0</v>
          </cell>
          <cell r="CB2616">
            <v>0</v>
          </cell>
          <cell r="CC2616">
            <v>0</v>
          </cell>
          <cell r="CD2616">
            <v>0</v>
          </cell>
          <cell r="CE2616">
            <v>0</v>
          </cell>
        </row>
        <row r="2617">
          <cell r="BY2617">
            <v>0</v>
          </cell>
          <cell r="BZ2617">
            <v>0</v>
          </cell>
          <cell r="CA2617">
            <v>0</v>
          </cell>
          <cell r="CB2617">
            <v>0</v>
          </cell>
          <cell r="CC2617">
            <v>0</v>
          </cell>
          <cell r="CD2617">
            <v>0</v>
          </cell>
          <cell r="CE2617">
            <v>0</v>
          </cell>
        </row>
        <row r="2618">
          <cell r="BY2618">
            <v>0</v>
          </cell>
          <cell r="BZ2618">
            <v>0</v>
          </cell>
          <cell r="CA2618">
            <v>0</v>
          </cell>
          <cell r="CB2618">
            <v>0</v>
          </cell>
          <cell r="CC2618">
            <v>0</v>
          </cell>
          <cell r="CD2618">
            <v>0</v>
          </cell>
          <cell r="CE2618">
            <v>0</v>
          </cell>
        </row>
        <row r="2619">
          <cell r="BY2619">
            <v>0</v>
          </cell>
          <cell r="BZ2619">
            <v>0</v>
          </cell>
          <cell r="CA2619">
            <v>0</v>
          </cell>
          <cell r="CB2619">
            <v>0</v>
          </cell>
          <cell r="CC2619">
            <v>0</v>
          </cell>
          <cell r="CD2619">
            <v>0</v>
          </cell>
          <cell r="CE2619">
            <v>0</v>
          </cell>
        </row>
        <row r="2620">
          <cell r="BY2620">
            <v>0</v>
          </cell>
          <cell r="BZ2620">
            <v>0</v>
          </cell>
          <cell r="CA2620">
            <v>0</v>
          </cell>
          <cell r="CB2620">
            <v>0</v>
          </cell>
          <cell r="CC2620">
            <v>0</v>
          </cell>
          <cell r="CD2620">
            <v>0</v>
          </cell>
          <cell r="CE2620">
            <v>0</v>
          </cell>
        </row>
        <row r="2621">
          <cell r="BY2621">
            <v>0</v>
          </cell>
          <cell r="BZ2621">
            <v>0</v>
          </cell>
          <cell r="CA2621">
            <v>0</v>
          </cell>
          <cell r="CB2621">
            <v>0</v>
          </cell>
          <cell r="CC2621">
            <v>0</v>
          </cell>
          <cell r="CD2621">
            <v>0</v>
          </cell>
          <cell r="CE2621">
            <v>0</v>
          </cell>
        </row>
        <row r="2622">
          <cell r="BY2622">
            <v>0</v>
          </cell>
          <cell r="BZ2622">
            <v>0</v>
          </cell>
          <cell r="CA2622">
            <v>0</v>
          </cell>
          <cell r="CB2622">
            <v>0</v>
          </cell>
          <cell r="CC2622">
            <v>0</v>
          </cell>
          <cell r="CD2622">
            <v>0</v>
          </cell>
          <cell r="CE2622">
            <v>0</v>
          </cell>
        </row>
        <row r="2623">
          <cell r="BY2623">
            <v>0</v>
          </cell>
          <cell r="BZ2623">
            <v>0</v>
          </cell>
          <cell r="CA2623">
            <v>0</v>
          </cell>
          <cell r="CB2623">
            <v>0</v>
          </cell>
          <cell r="CC2623">
            <v>0</v>
          </cell>
          <cell r="CD2623">
            <v>0</v>
          </cell>
          <cell r="CE2623">
            <v>0</v>
          </cell>
        </row>
        <row r="2624">
          <cell r="BY2624">
            <v>0</v>
          </cell>
          <cell r="BZ2624">
            <v>0</v>
          </cell>
          <cell r="CA2624">
            <v>0</v>
          </cell>
          <cell r="CB2624">
            <v>0</v>
          </cell>
          <cell r="CC2624">
            <v>0</v>
          </cell>
          <cell r="CD2624">
            <v>0</v>
          </cell>
          <cell r="CE2624">
            <v>0</v>
          </cell>
        </row>
        <row r="2625">
          <cell r="BY2625">
            <v>0</v>
          </cell>
          <cell r="BZ2625">
            <v>0</v>
          </cell>
          <cell r="CA2625">
            <v>0</v>
          </cell>
          <cell r="CB2625">
            <v>0</v>
          </cell>
          <cell r="CC2625">
            <v>0</v>
          </cell>
          <cell r="CD2625">
            <v>0</v>
          </cell>
          <cell r="CE2625">
            <v>0</v>
          </cell>
        </row>
        <row r="2626">
          <cell r="BY2626">
            <v>0</v>
          </cell>
          <cell r="BZ2626">
            <v>0</v>
          </cell>
          <cell r="CA2626">
            <v>0</v>
          </cell>
          <cell r="CB2626">
            <v>0</v>
          </cell>
          <cell r="CC2626">
            <v>0</v>
          </cell>
          <cell r="CD2626">
            <v>0</v>
          </cell>
          <cell r="CE2626">
            <v>0</v>
          </cell>
        </row>
        <row r="2627">
          <cell r="BY2627">
            <v>0</v>
          </cell>
          <cell r="BZ2627">
            <v>0</v>
          </cell>
          <cell r="CA2627">
            <v>0</v>
          </cell>
          <cell r="CB2627">
            <v>0</v>
          </cell>
          <cell r="CC2627">
            <v>0</v>
          </cell>
          <cell r="CD2627">
            <v>0</v>
          </cell>
          <cell r="CE2627">
            <v>0</v>
          </cell>
        </row>
        <row r="2628">
          <cell r="BY2628">
            <v>0</v>
          </cell>
          <cell r="BZ2628">
            <v>0</v>
          </cell>
          <cell r="CA2628">
            <v>0</v>
          </cell>
          <cell r="CB2628">
            <v>0</v>
          </cell>
          <cell r="CC2628">
            <v>0</v>
          </cell>
          <cell r="CD2628">
            <v>0</v>
          </cell>
          <cell r="CE2628">
            <v>0</v>
          </cell>
        </row>
        <row r="2629">
          <cell r="BY2629">
            <v>0</v>
          </cell>
          <cell r="BZ2629">
            <v>0</v>
          </cell>
          <cell r="CA2629">
            <v>0</v>
          </cell>
          <cell r="CB2629">
            <v>0</v>
          </cell>
          <cell r="CC2629">
            <v>0</v>
          </cell>
          <cell r="CD2629">
            <v>0</v>
          </cell>
          <cell r="CE2629">
            <v>0</v>
          </cell>
        </row>
        <row r="2630">
          <cell r="BY2630">
            <v>0</v>
          </cell>
          <cell r="BZ2630">
            <v>0</v>
          </cell>
          <cell r="CA2630">
            <v>0</v>
          </cell>
          <cell r="CB2630">
            <v>0</v>
          </cell>
          <cell r="CC2630">
            <v>0</v>
          </cell>
          <cell r="CD2630">
            <v>0</v>
          </cell>
          <cell r="CE2630">
            <v>0</v>
          </cell>
        </row>
        <row r="2631">
          <cell r="BY2631">
            <v>0</v>
          </cell>
          <cell r="BZ2631">
            <v>0</v>
          </cell>
          <cell r="CA2631">
            <v>0</v>
          </cell>
          <cell r="CB2631">
            <v>0</v>
          </cell>
          <cell r="CC2631">
            <v>0</v>
          </cell>
          <cell r="CD2631">
            <v>0</v>
          </cell>
          <cell r="CE2631">
            <v>0</v>
          </cell>
        </row>
        <row r="2632">
          <cell r="BY2632">
            <v>0</v>
          </cell>
          <cell r="BZ2632">
            <v>0</v>
          </cell>
          <cell r="CA2632">
            <v>0</v>
          </cell>
          <cell r="CB2632">
            <v>0</v>
          </cell>
          <cell r="CC2632">
            <v>0</v>
          </cell>
          <cell r="CD2632">
            <v>0</v>
          </cell>
          <cell r="CE2632">
            <v>0</v>
          </cell>
        </row>
        <row r="2633">
          <cell r="BY2633">
            <v>0</v>
          </cell>
          <cell r="BZ2633">
            <v>0</v>
          </cell>
          <cell r="CA2633">
            <v>0</v>
          </cell>
          <cell r="CB2633">
            <v>0</v>
          </cell>
          <cell r="CC2633">
            <v>0</v>
          </cell>
          <cell r="CD2633">
            <v>0</v>
          </cell>
          <cell r="CE2633">
            <v>0</v>
          </cell>
        </row>
        <row r="2634">
          <cell r="BY2634">
            <v>0</v>
          </cell>
          <cell r="BZ2634">
            <v>0</v>
          </cell>
          <cell r="CA2634">
            <v>0</v>
          </cell>
          <cell r="CB2634">
            <v>0</v>
          </cell>
          <cell r="CC2634">
            <v>0</v>
          </cell>
          <cell r="CD2634">
            <v>0</v>
          </cell>
          <cell r="CE2634">
            <v>0</v>
          </cell>
        </row>
        <row r="2635">
          <cell r="BY2635">
            <v>0</v>
          </cell>
          <cell r="BZ2635">
            <v>0</v>
          </cell>
          <cell r="CA2635">
            <v>0</v>
          </cell>
          <cell r="CB2635">
            <v>0</v>
          </cell>
          <cell r="CC2635">
            <v>0</v>
          </cell>
          <cell r="CD2635">
            <v>0</v>
          </cell>
          <cell r="CE2635">
            <v>0</v>
          </cell>
        </row>
        <row r="2636">
          <cell r="BY2636">
            <v>0</v>
          </cell>
          <cell r="BZ2636">
            <v>0</v>
          </cell>
          <cell r="CA2636">
            <v>0</v>
          </cell>
          <cell r="CB2636">
            <v>0</v>
          </cell>
          <cell r="CC2636">
            <v>0</v>
          </cell>
          <cell r="CD2636">
            <v>0</v>
          </cell>
          <cell r="CE2636">
            <v>0</v>
          </cell>
        </row>
        <row r="2637">
          <cell r="BY2637">
            <v>0</v>
          </cell>
          <cell r="BZ2637">
            <v>0</v>
          </cell>
          <cell r="CA2637">
            <v>0</v>
          </cell>
          <cell r="CB2637">
            <v>0</v>
          </cell>
          <cell r="CC2637">
            <v>0</v>
          </cell>
          <cell r="CD2637">
            <v>0</v>
          </cell>
          <cell r="CE2637">
            <v>0</v>
          </cell>
        </row>
        <row r="2638">
          <cell r="BY2638">
            <v>0</v>
          </cell>
          <cell r="BZ2638">
            <v>0</v>
          </cell>
          <cell r="CA2638">
            <v>0</v>
          </cell>
          <cell r="CB2638">
            <v>0</v>
          </cell>
          <cell r="CC2638">
            <v>0</v>
          </cell>
          <cell r="CD2638">
            <v>0</v>
          </cell>
          <cell r="CE2638">
            <v>0</v>
          </cell>
        </row>
        <row r="2639">
          <cell r="BY2639">
            <v>0</v>
          </cell>
          <cell r="BZ2639">
            <v>0</v>
          </cell>
          <cell r="CA2639">
            <v>0</v>
          </cell>
          <cell r="CB2639">
            <v>0</v>
          </cell>
          <cell r="CC2639">
            <v>0</v>
          </cell>
          <cell r="CD2639">
            <v>0</v>
          </cell>
          <cell r="CE2639">
            <v>0</v>
          </cell>
        </row>
        <row r="2640">
          <cell r="BY2640">
            <v>0</v>
          </cell>
          <cell r="BZ2640">
            <v>0</v>
          </cell>
          <cell r="CA2640">
            <v>0</v>
          </cell>
          <cell r="CB2640">
            <v>0</v>
          </cell>
          <cell r="CC2640">
            <v>0</v>
          </cell>
          <cell r="CD2640">
            <v>0</v>
          </cell>
          <cell r="CE2640">
            <v>0</v>
          </cell>
        </row>
        <row r="2641">
          <cell r="BY2641">
            <v>0</v>
          </cell>
          <cell r="BZ2641">
            <v>0</v>
          </cell>
          <cell r="CA2641">
            <v>0</v>
          </cell>
          <cell r="CB2641">
            <v>0</v>
          </cell>
          <cell r="CC2641">
            <v>0</v>
          </cell>
          <cell r="CD2641">
            <v>0</v>
          </cell>
          <cell r="CE2641">
            <v>0</v>
          </cell>
        </row>
        <row r="2642">
          <cell r="BY2642">
            <v>0</v>
          </cell>
          <cell r="BZ2642">
            <v>0</v>
          </cell>
          <cell r="CA2642">
            <v>0</v>
          </cell>
          <cell r="CB2642">
            <v>0</v>
          </cell>
          <cell r="CC2642">
            <v>0</v>
          </cell>
          <cell r="CD2642">
            <v>0</v>
          </cell>
          <cell r="CE2642">
            <v>0</v>
          </cell>
        </row>
        <row r="2643">
          <cell r="BY2643">
            <v>0</v>
          </cell>
          <cell r="BZ2643">
            <v>0</v>
          </cell>
          <cell r="CA2643">
            <v>0</v>
          </cell>
          <cell r="CB2643">
            <v>0</v>
          </cell>
          <cell r="CC2643">
            <v>0</v>
          </cell>
          <cell r="CD2643">
            <v>0</v>
          </cell>
          <cell r="CE2643">
            <v>0</v>
          </cell>
        </row>
        <row r="2644">
          <cell r="BY2644">
            <v>0</v>
          </cell>
          <cell r="BZ2644">
            <v>0</v>
          </cell>
          <cell r="CA2644">
            <v>0</v>
          </cell>
          <cell r="CB2644">
            <v>0</v>
          </cell>
          <cell r="CC2644">
            <v>0</v>
          </cell>
          <cell r="CD2644">
            <v>0</v>
          </cell>
          <cell r="CE2644">
            <v>0</v>
          </cell>
        </row>
        <row r="2645">
          <cell r="BY2645">
            <v>0</v>
          </cell>
          <cell r="BZ2645">
            <v>0</v>
          </cell>
          <cell r="CA2645">
            <v>0</v>
          </cell>
          <cell r="CB2645">
            <v>0</v>
          </cell>
          <cell r="CC2645">
            <v>0</v>
          </cell>
          <cell r="CD2645">
            <v>0</v>
          </cell>
          <cell r="CE2645">
            <v>0</v>
          </cell>
        </row>
        <row r="2646">
          <cell r="BY2646">
            <v>0</v>
          </cell>
          <cell r="BZ2646">
            <v>0</v>
          </cell>
          <cell r="CA2646">
            <v>0</v>
          </cell>
          <cell r="CB2646">
            <v>0</v>
          </cell>
          <cell r="CC2646">
            <v>0</v>
          </cell>
          <cell r="CD2646">
            <v>0</v>
          </cell>
          <cell r="CE2646">
            <v>0</v>
          </cell>
        </row>
        <row r="2647">
          <cell r="BY2647">
            <v>0</v>
          </cell>
          <cell r="BZ2647">
            <v>0</v>
          </cell>
          <cell r="CA2647">
            <v>0</v>
          </cell>
          <cell r="CB2647">
            <v>0</v>
          </cell>
          <cell r="CC2647">
            <v>0</v>
          </cell>
          <cell r="CD2647">
            <v>0</v>
          </cell>
          <cell r="CE2647">
            <v>0</v>
          </cell>
        </row>
        <row r="2648">
          <cell r="BY2648">
            <v>0</v>
          </cell>
          <cell r="BZ2648">
            <v>0</v>
          </cell>
          <cell r="CA2648">
            <v>0</v>
          </cell>
          <cell r="CB2648">
            <v>0</v>
          </cell>
          <cell r="CC2648">
            <v>0</v>
          </cell>
          <cell r="CD2648">
            <v>0</v>
          </cell>
          <cell r="CE2648">
            <v>0</v>
          </cell>
        </row>
        <row r="2649">
          <cell r="BY2649">
            <v>0</v>
          </cell>
          <cell r="BZ2649">
            <v>0</v>
          </cell>
          <cell r="CA2649">
            <v>0</v>
          </cell>
          <cell r="CB2649">
            <v>0</v>
          </cell>
          <cell r="CC2649">
            <v>0</v>
          </cell>
          <cell r="CD2649">
            <v>0</v>
          </cell>
          <cell r="CE2649">
            <v>0</v>
          </cell>
        </row>
        <row r="2650">
          <cell r="BY2650">
            <v>0</v>
          </cell>
          <cell r="BZ2650">
            <v>0</v>
          </cell>
          <cell r="CA2650">
            <v>0</v>
          </cell>
          <cell r="CB2650">
            <v>0</v>
          </cell>
          <cell r="CC2650">
            <v>0</v>
          </cell>
          <cell r="CD2650">
            <v>0</v>
          </cell>
          <cell r="CE2650">
            <v>0</v>
          </cell>
        </row>
        <row r="2651">
          <cell r="BY2651">
            <v>0</v>
          </cell>
          <cell r="BZ2651">
            <v>0</v>
          </cell>
          <cell r="CA2651">
            <v>0</v>
          </cell>
          <cell r="CB2651">
            <v>0</v>
          </cell>
          <cell r="CC2651">
            <v>0</v>
          </cell>
          <cell r="CD2651">
            <v>0</v>
          </cell>
          <cell r="CE2651">
            <v>0</v>
          </cell>
        </row>
        <row r="2652">
          <cell r="BY2652">
            <v>0</v>
          </cell>
          <cell r="BZ2652">
            <v>0</v>
          </cell>
          <cell r="CA2652">
            <v>0</v>
          </cell>
          <cell r="CB2652">
            <v>0</v>
          </cell>
          <cell r="CC2652">
            <v>0</v>
          </cell>
          <cell r="CD2652">
            <v>0</v>
          </cell>
          <cell r="CE2652">
            <v>0</v>
          </cell>
        </row>
        <row r="2653">
          <cell r="BY2653">
            <v>0</v>
          </cell>
          <cell r="BZ2653">
            <v>0</v>
          </cell>
          <cell r="CA2653">
            <v>0</v>
          </cell>
          <cell r="CB2653">
            <v>0</v>
          </cell>
          <cell r="CC2653">
            <v>0</v>
          </cell>
          <cell r="CD2653">
            <v>0</v>
          </cell>
          <cell r="CE2653">
            <v>0</v>
          </cell>
        </row>
        <row r="2654">
          <cell r="BY2654">
            <v>0</v>
          </cell>
          <cell r="BZ2654">
            <v>0</v>
          </cell>
          <cell r="CA2654">
            <v>0</v>
          </cell>
          <cell r="CB2654">
            <v>0</v>
          </cell>
          <cell r="CC2654">
            <v>0</v>
          </cell>
          <cell r="CD2654">
            <v>0</v>
          </cell>
          <cell r="CE2654">
            <v>0</v>
          </cell>
        </row>
        <row r="2655">
          <cell r="BY2655">
            <v>0</v>
          </cell>
          <cell r="BZ2655">
            <v>0</v>
          </cell>
          <cell r="CA2655">
            <v>0</v>
          </cell>
          <cell r="CB2655">
            <v>0</v>
          </cell>
          <cell r="CC2655">
            <v>0</v>
          </cell>
          <cell r="CD2655">
            <v>0</v>
          </cell>
          <cell r="CE2655">
            <v>0</v>
          </cell>
        </row>
        <row r="2656">
          <cell r="BY2656">
            <v>0</v>
          </cell>
          <cell r="BZ2656">
            <v>0</v>
          </cell>
          <cell r="CA2656">
            <v>0</v>
          </cell>
          <cell r="CB2656">
            <v>0</v>
          </cell>
          <cell r="CC2656">
            <v>0</v>
          </cell>
          <cell r="CD2656">
            <v>0</v>
          </cell>
          <cell r="CE2656">
            <v>0</v>
          </cell>
        </row>
        <row r="2657">
          <cell r="BY2657">
            <v>0</v>
          </cell>
          <cell r="BZ2657">
            <v>0</v>
          </cell>
          <cell r="CA2657">
            <v>0</v>
          </cell>
          <cell r="CB2657">
            <v>0</v>
          </cell>
          <cell r="CC2657">
            <v>0</v>
          </cell>
          <cell r="CD2657">
            <v>0</v>
          </cell>
          <cell r="CE2657">
            <v>0</v>
          </cell>
        </row>
        <row r="2658">
          <cell r="BY2658">
            <v>0</v>
          </cell>
          <cell r="BZ2658">
            <v>0</v>
          </cell>
          <cell r="CA2658">
            <v>0</v>
          </cell>
          <cell r="CB2658">
            <v>0</v>
          </cell>
          <cell r="CC2658">
            <v>0</v>
          </cell>
          <cell r="CD2658">
            <v>0</v>
          </cell>
          <cell r="CE2658">
            <v>0</v>
          </cell>
        </row>
        <row r="2659">
          <cell r="BY2659">
            <v>0</v>
          </cell>
          <cell r="BZ2659">
            <v>0</v>
          </cell>
          <cell r="CA2659">
            <v>0</v>
          </cell>
          <cell r="CB2659">
            <v>0</v>
          </cell>
          <cell r="CC2659">
            <v>0</v>
          </cell>
          <cell r="CD2659">
            <v>0</v>
          </cell>
          <cell r="CE2659">
            <v>0</v>
          </cell>
        </row>
        <row r="2660">
          <cell r="BY2660">
            <v>0</v>
          </cell>
          <cell r="BZ2660">
            <v>0</v>
          </cell>
          <cell r="CA2660">
            <v>0</v>
          </cell>
          <cell r="CB2660">
            <v>0</v>
          </cell>
          <cell r="CC2660">
            <v>0</v>
          </cell>
          <cell r="CD2660">
            <v>0</v>
          </cell>
          <cell r="CE2660">
            <v>0</v>
          </cell>
        </row>
        <row r="2661">
          <cell r="BY2661">
            <v>0</v>
          </cell>
          <cell r="BZ2661">
            <v>0</v>
          </cell>
          <cell r="CA2661">
            <v>0</v>
          </cell>
          <cell r="CB2661">
            <v>0</v>
          </cell>
          <cell r="CC2661">
            <v>0</v>
          </cell>
          <cell r="CD2661">
            <v>0</v>
          </cell>
          <cell r="CE2661">
            <v>0</v>
          </cell>
        </row>
        <row r="2662">
          <cell r="BY2662">
            <v>0</v>
          </cell>
          <cell r="BZ2662">
            <v>0</v>
          </cell>
          <cell r="CA2662">
            <v>0</v>
          </cell>
          <cell r="CB2662">
            <v>0</v>
          </cell>
          <cell r="CC2662">
            <v>0</v>
          </cell>
          <cell r="CD2662">
            <v>0</v>
          </cell>
          <cell r="CE2662">
            <v>0</v>
          </cell>
        </row>
        <row r="2663">
          <cell r="BY2663">
            <v>0</v>
          </cell>
          <cell r="BZ2663">
            <v>0</v>
          </cell>
          <cell r="CA2663">
            <v>0</v>
          </cell>
          <cell r="CB2663">
            <v>0</v>
          </cell>
          <cell r="CC2663">
            <v>0</v>
          </cell>
          <cell r="CD2663">
            <v>0</v>
          </cell>
          <cell r="CE2663">
            <v>0</v>
          </cell>
        </row>
        <row r="2664">
          <cell r="BY2664">
            <v>0</v>
          </cell>
          <cell r="BZ2664">
            <v>0</v>
          </cell>
          <cell r="CA2664">
            <v>0</v>
          </cell>
          <cell r="CB2664">
            <v>0</v>
          </cell>
          <cell r="CC2664">
            <v>0</v>
          </cell>
          <cell r="CD2664">
            <v>0</v>
          </cell>
          <cell r="CE2664">
            <v>0</v>
          </cell>
        </row>
        <row r="2665">
          <cell r="BY2665">
            <v>0</v>
          </cell>
          <cell r="BZ2665">
            <v>0</v>
          </cell>
          <cell r="CA2665">
            <v>0</v>
          </cell>
          <cell r="CB2665">
            <v>0</v>
          </cell>
          <cell r="CC2665">
            <v>0</v>
          </cell>
          <cell r="CD2665">
            <v>0</v>
          </cell>
          <cell r="CE2665">
            <v>0</v>
          </cell>
        </row>
        <row r="2666">
          <cell r="BY2666">
            <v>0</v>
          </cell>
          <cell r="BZ2666">
            <v>0</v>
          </cell>
          <cell r="CA2666">
            <v>0</v>
          </cell>
          <cell r="CB2666">
            <v>0</v>
          </cell>
          <cell r="CC2666">
            <v>0</v>
          </cell>
          <cell r="CD2666">
            <v>0</v>
          </cell>
          <cell r="CE2666">
            <v>0</v>
          </cell>
        </row>
        <row r="2667">
          <cell r="BY2667">
            <v>0</v>
          </cell>
          <cell r="BZ2667">
            <v>0</v>
          </cell>
          <cell r="CA2667">
            <v>0</v>
          </cell>
          <cell r="CB2667">
            <v>0</v>
          </cell>
          <cell r="CC2667">
            <v>0</v>
          </cell>
          <cell r="CD2667">
            <v>0</v>
          </cell>
          <cell r="CE2667">
            <v>0</v>
          </cell>
        </row>
        <row r="2668">
          <cell r="BY2668">
            <v>0</v>
          </cell>
          <cell r="BZ2668">
            <v>0</v>
          </cell>
          <cell r="CA2668">
            <v>0</v>
          </cell>
          <cell r="CB2668">
            <v>0</v>
          </cell>
          <cell r="CC2668">
            <v>0</v>
          </cell>
          <cell r="CD2668">
            <v>0</v>
          </cell>
          <cell r="CE2668">
            <v>0</v>
          </cell>
        </row>
        <row r="2669">
          <cell r="BY2669">
            <v>0</v>
          </cell>
          <cell r="BZ2669">
            <v>0</v>
          </cell>
          <cell r="CA2669">
            <v>0</v>
          </cell>
          <cell r="CB2669">
            <v>0</v>
          </cell>
          <cell r="CC2669">
            <v>0</v>
          </cell>
          <cell r="CD2669">
            <v>0</v>
          </cell>
          <cell r="CE2669">
            <v>0</v>
          </cell>
        </row>
        <row r="2670">
          <cell r="BY2670">
            <v>0</v>
          </cell>
          <cell r="BZ2670">
            <v>0</v>
          </cell>
          <cell r="CA2670">
            <v>0</v>
          </cell>
          <cell r="CB2670">
            <v>0</v>
          </cell>
          <cell r="CC2670">
            <v>0</v>
          </cell>
          <cell r="CD2670">
            <v>0</v>
          </cell>
          <cell r="CE2670">
            <v>0</v>
          </cell>
        </row>
        <row r="2671">
          <cell r="BY2671">
            <v>0</v>
          </cell>
          <cell r="BZ2671">
            <v>0</v>
          </cell>
          <cell r="CA2671">
            <v>0</v>
          </cell>
          <cell r="CB2671">
            <v>0</v>
          </cell>
          <cell r="CC2671">
            <v>0</v>
          </cell>
          <cell r="CD2671">
            <v>0</v>
          </cell>
          <cell r="CE2671">
            <v>0</v>
          </cell>
        </row>
        <row r="2672">
          <cell r="BY2672">
            <v>0</v>
          </cell>
          <cell r="BZ2672">
            <v>0</v>
          </cell>
          <cell r="CA2672">
            <v>0</v>
          </cell>
          <cell r="CB2672">
            <v>0</v>
          </cell>
          <cell r="CC2672">
            <v>0</v>
          </cell>
          <cell r="CD2672">
            <v>0</v>
          </cell>
          <cell r="CE2672">
            <v>0</v>
          </cell>
        </row>
        <row r="2673">
          <cell r="BY2673">
            <v>0</v>
          </cell>
          <cell r="BZ2673">
            <v>0</v>
          </cell>
          <cell r="CA2673">
            <v>0</v>
          </cell>
          <cell r="CB2673">
            <v>0</v>
          </cell>
          <cell r="CC2673">
            <v>0</v>
          </cell>
          <cell r="CD2673">
            <v>0</v>
          </cell>
          <cell r="CE2673">
            <v>0</v>
          </cell>
        </row>
        <row r="2674">
          <cell r="BY2674">
            <v>0</v>
          </cell>
          <cell r="BZ2674">
            <v>0</v>
          </cell>
          <cell r="CA2674">
            <v>0</v>
          </cell>
          <cell r="CB2674">
            <v>0</v>
          </cell>
          <cell r="CC2674">
            <v>0</v>
          </cell>
          <cell r="CD2674">
            <v>0</v>
          </cell>
          <cell r="CE2674">
            <v>0</v>
          </cell>
        </row>
        <row r="2675">
          <cell r="BY2675">
            <v>0</v>
          </cell>
          <cell r="BZ2675">
            <v>0</v>
          </cell>
          <cell r="CA2675">
            <v>0</v>
          </cell>
          <cell r="CB2675">
            <v>0</v>
          </cell>
          <cell r="CC2675">
            <v>0</v>
          </cell>
          <cell r="CD2675">
            <v>0</v>
          </cell>
          <cell r="CE2675">
            <v>0</v>
          </cell>
        </row>
        <row r="2676">
          <cell r="BY2676">
            <v>0</v>
          </cell>
          <cell r="BZ2676">
            <v>0</v>
          </cell>
          <cell r="CA2676">
            <v>0</v>
          </cell>
          <cell r="CB2676">
            <v>0</v>
          </cell>
          <cell r="CC2676">
            <v>0</v>
          </cell>
          <cell r="CD2676">
            <v>0</v>
          </cell>
          <cell r="CE2676">
            <v>0</v>
          </cell>
        </row>
        <row r="2677">
          <cell r="BY2677">
            <v>0</v>
          </cell>
          <cell r="BZ2677">
            <v>0</v>
          </cell>
          <cell r="CA2677">
            <v>0</v>
          </cell>
          <cell r="CB2677">
            <v>0</v>
          </cell>
          <cell r="CC2677">
            <v>0</v>
          </cell>
          <cell r="CD2677">
            <v>0</v>
          </cell>
          <cell r="CE2677">
            <v>0</v>
          </cell>
        </row>
        <row r="2678">
          <cell r="BY2678">
            <v>0</v>
          </cell>
          <cell r="BZ2678">
            <v>0</v>
          </cell>
          <cell r="CA2678">
            <v>0</v>
          </cell>
          <cell r="CB2678">
            <v>0</v>
          </cell>
          <cell r="CC2678">
            <v>0</v>
          </cell>
          <cell r="CD2678">
            <v>0</v>
          </cell>
          <cell r="CE2678">
            <v>0</v>
          </cell>
        </row>
        <row r="2679">
          <cell r="BY2679">
            <v>0</v>
          </cell>
          <cell r="BZ2679">
            <v>0</v>
          </cell>
          <cell r="CA2679">
            <v>0</v>
          </cell>
          <cell r="CB2679">
            <v>0</v>
          </cell>
          <cell r="CC2679">
            <v>0</v>
          </cell>
          <cell r="CD2679">
            <v>0</v>
          </cell>
          <cell r="CE2679">
            <v>0</v>
          </cell>
        </row>
        <row r="2680">
          <cell r="BY2680">
            <v>0</v>
          </cell>
          <cell r="BZ2680">
            <v>0</v>
          </cell>
          <cell r="CA2680">
            <v>0</v>
          </cell>
          <cell r="CB2680">
            <v>0</v>
          </cell>
          <cell r="CC2680">
            <v>0</v>
          </cell>
          <cell r="CD2680">
            <v>0</v>
          </cell>
          <cell r="CE2680">
            <v>0</v>
          </cell>
        </row>
        <row r="2681">
          <cell r="BY2681">
            <v>0</v>
          </cell>
          <cell r="BZ2681">
            <v>0</v>
          </cell>
          <cell r="CA2681">
            <v>0</v>
          </cell>
          <cell r="CB2681">
            <v>0</v>
          </cell>
          <cell r="CC2681">
            <v>0</v>
          </cell>
          <cell r="CD2681">
            <v>0</v>
          </cell>
          <cell r="CE2681">
            <v>0</v>
          </cell>
        </row>
        <row r="2682">
          <cell r="BY2682">
            <v>0</v>
          </cell>
          <cell r="BZ2682">
            <v>0</v>
          </cell>
          <cell r="CA2682">
            <v>0</v>
          </cell>
          <cell r="CB2682">
            <v>0</v>
          </cell>
          <cell r="CC2682">
            <v>0</v>
          </cell>
          <cell r="CD2682">
            <v>0</v>
          </cell>
          <cell r="CE2682">
            <v>0</v>
          </cell>
        </row>
        <row r="2683">
          <cell r="BY2683">
            <v>0</v>
          </cell>
          <cell r="BZ2683">
            <v>0</v>
          </cell>
          <cell r="CA2683">
            <v>0</v>
          </cell>
          <cell r="CB2683">
            <v>0</v>
          </cell>
          <cell r="CC2683">
            <v>0</v>
          </cell>
          <cell r="CD2683">
            <v>0</v>
          </cell>
          <cell r="CE2683">
            <v>0</v>
          </cell>
        </row>
        <row r="2684">
          <cell r="BY2684">
            <v>0</v>
          </cell>
          <cell r="BZ2684">
            <v>0</v>
          </cell>
          <cell r="CA2684">
            <v>0</v>
          </cell>
          <cell r="CB2684">
            <v>0</v>
          </cell>
          <cell r="CC2684">
            <v>0</v>
          </cell>
          <cell r="CD2684">
            <v>0</v>
          </cell>
          <cell r="CE2684">
            <v>0</v>
          </cell>
        </row>
        <row r="2685">
          <cell r="BY2685">
            <v>0</v>
          </cell>
          <cell r="BZ2685">
            <v>0</v>
          </cell>
          <cell r="CA2685">
            <v>0</v>
          </cell>
          <cell r="CB2685">
            <v>0</v>
          </cell>
          <cell r="CC2685">
            <v>0</v>
          </cell>
          <cell r="CD2685">
            <v>0</v>
          </cell>
          <cell r="CE2685">
            <v>0</v>
          </cell>
        </row>
        <row r="2686">
          <cell r="BY2686">
            <v>0</v>
          </cell>
          <cell r="BZ2686">
            <v>0</v>
          </cell>
          <cell r="CA2686">
            <v>0</v>
          </cell>
          <cell r="CB2686">
            <v>0</v>
          </cell>
          <cell r="CC2686">
            <v>0</v>
          </cell>
          <cell r="CD2686">
            <v>0</v>
          </cell>
          <cell r="CE2686">
            <v>0</v>
          </cell>
        </row>
        <row r="2687">
          <cell r="BY2687">
            <v>0</v>
          </cell>
          <cell r="BZ2687">
            <v>0</v>
          </cell>
          <cell r="CA2687">
            <v>0</v>
          </cell>
          <cell r="CB2687">
            <v>0</v>
          </cell>
          <cell r="CC2687">
            <v>0</v>
          </cell>
          <cell r="CD2687">
            <v>0</v>
          </cell>
          <cell r="CE2687">
            <v>0</v>
          </cell>
        </row>
        <row r="2688">
          <cell r="BY2688">
            <v>0</v>
          </cell>
          <cell r="BZ2688">
            <v>0</v>
          </cell>
          <cell r="CA2688">
            <v>0</v>
          </cell>
          <cell r="CB2688">
            <v>0</v>
          </cell>
          <cell r="CC2688">
            <v>0</v>
          </cell>
          <cell r="CD2688">
            <v>0</v>
          </cell>
          <cell r="CE2688">
            <v>0</v>
          </cell>
        </row>
        <row r="2689">
          <cell r="BY2689">
            <v>0</v>
          </cell>
          <cell r="BZ2689">
            <v>0</v>
          </cell>
          <cell r="CA2689">
            <v>0</v>
          </cell>
          <cell r="CB2689">
            <v>0</v>
          </cell>
          <cell r="CC2689">
            <v>0</v>
          </cell>
          <cell r="CD2689">
            <v>0</v>
          </cell>
          <cell r="CE2689">
            <v>0</v>
          </cell>
        </row>
        <row r="2690">
          <cell r="BY2690">
            <v>0</v>
          </cell>
          <cell r="BZ2690">
            <v>0</v>
          </cell>
          <cell r="CA2690">
            <v>0</v>
          </cell>
          <cell r="CB2690">
            <v>0</v>
          </cell>
          <cell r="CC2690">
            <v>0</v>
          </cell>
          <cell r="CD2690">
            <v>0</v>
          </cell>
          <cell r="CE2690">
            <v>0</v>
          </cell>
        </row>
        <row r="2691">
          <cell r="BY2691">
            <v>0</v>
          </cell>
          <cell r="BZ2691">
            <v>0</v>
          </cell>
          <cell r="CA2691">
            <v>0</v>
          </cell>
          <cell r="CB2691">
            <v>0</v>
          </cell>
          <cell r="CC2691">
            <v>0</v>
          </cell>
          <cell r="CD2691">
            <v>0</v>
          </cell>
          <cell r="CE2691">
            <v>0</v>
          </cell>
        </row>
        <row r="2692">
          <cell r="BY2692">
            <v>0</v>
          </cell>
          <cell r="BZ2692">
            <v>0</v>
          </cell>
          <cell r="CA2692">
            <v>0</v>
          </cell>
          <cell r="CB2692">
            <v>0</v>
          </cell>
          <cell r="CC2692">
            <v>0</v>
          </cell>
          <cell r="CD2692">
            <v>0</v>
          </cell>
          <cell r="CE2692">
            <v>0</v>
          </cell>
        </row>
        <row r="2693">
          <cell r="BY2693">
            <v>0</v>
          </cell>
          <cell r="BZ2693">
            <v>0</v>
          </cell>
          <cell r="CA2693">
            <v>0</v>
          </cell>
          <cell r="CB2693">
            <v>0</v>
          </cell>
          <cell r="CC2693">
            <v>0</v>
          </cell>
          <cell r="CD2693">
            <v>0</v>
          </cell>
          <cell r="CE2693">
            <v>0</v>
          </cell>
        </row>
        <row r="2694">
          <cell r="BY2694">
            <v>0</v>
          </cell>
          <cell r="BZ2694">
            <v>0</v>
          </cell>
          <cell r="CA2694">
            <v>0</v>
          </cell>
          <cell r="CB2694">
            <v>0</v>
          </cell>
          <cell r="CC2694">
            <v>0</v>
          </cell>
          <cell r="CD2694">
            <v>0</v>
          </cell>
          <cell r="CE2694">
            <v>0</v>
          </cell>
        </row>
        <row r="2695">
          <cell r="BY2695">
            <v>0</v>
          </cell>
          <cell r="BZ2695">
            <v>0</v>
          </cell>
          <cell r="CA2695">
            <v>0</v>
          </cell>
          <cell r="CB2695">
            <v>0</v>
          </cell>
          <cell r="CC2695">
            <v>0</v>
          </cell>
          <cell r="CD2695">
            <v>0</v>
          </cell>
          <cell r="CE2695">
            <v>0</v>
          </cell>
        </row>
        <row r="2696">
          <cell r="BY2696">
            <v>0</v>
          </cell>
          <cell r="BZ2696">
            <v>0</v>
          </cell>
          <cell r="CA2696">
            <v>0</v>
          </cell>
          <cell r="CB2696">
            <v>0</v>
          </cell>
          <cell r="CC2696">
            <v>0</v>
          </cell>
          <cell r="CD2696">
            <v>0</v>
          </cell>
          <cell r="CE2696">
            <v>0</v>
          </cell>
        </row>
        <row r="2697">
          <cell r="BY2697">
            <v>0</v>
          </cell>
          <cell r="BZ2697">
            <v>0</v>
          </cell>
          <cell r="CA2697">
            <v>0</v>
          </cell>
          <cell r="CB2697">
            <v>0</v>
          </cell>
          <cell r="CC2697">
            <v>0</v>
          </cell>
          <cell r="CD2697">
            <v>0</v>
          </cell>
          <cell r="CE2697">
            <v>0</v>
          </cell>
        </row>
        <row r="2698">
          <cell r="BY2698">
            <v>0</v>
          </cell>
          <cell r="BZ2698">
            <v>0</v>
          </cell>
          <cell r="CA2698">
            <v>0</v>
          </cell>
          <cell r="CB2698">
            <v>0</v>
          </cell>
          <cell r="CC2698">
            <v>0</v>
          </cell>
          <cell r="CD2698">
            <v>0</v>
          </cell>
          <cell r="CE2698">
            <v>0</v>
          </cell>
        </row>
        <row r="2699">
          <cell r="BY2699">
            <v>0</v>
          </cell>
          <cell r="BZ2699">
            <v>0</v>
          </cell>
          <cell r="CA2699">
            <v>0</v>
          </cell>
          <cell r="CB2699">
            <v>0</v>
          </cell>
          <cell r="CC2699">
            <v>0</v>
          </cell>
          <cell r="CD2699">
            <v>0</v>
          </cell>
          <cell r="CE2699">
            <v>0</v>
          </cell>
        </row>
        <row r="2700">
          <cell r="BY2700">
            <v>0</v>
          </cell>
          <cell r="BZ2700">
            <v>0</v>
          </cell>
          <cell r="CA2700">
            <v>0</v>
          </cell>
          <cell r="CB2700">
            <v>0</v>
          </cell>
          <cell r="CC2700">
            <v>0</v>
          </cell>
          <cell r="CD2700">
            <v>0</v>
          </cell>
          <cell r="CE2700">
            <v>0</v>
          </cell>
        </row>
        <row r="2701">
          <cell r="BY2701">
            <v>0</v>
          </cell>
          <cell r="BZ2701">
            <v>0</v>
          </cell>
          <cell r="CA2701">
            <v>0</v>
          </cell>
          <cell r="CB2701">
            <v>0</v>
          </cell>
          <cell r="CC2701">
            <v>0</v>
          </cell>
          <cell r="CD2701">
            <v>0</v>
          </cell>
          <cell r="CE2701">
            <v>0</v>
          </cell>
        </row>
        <row r="2702">
          <cell r="BY2702">
            <v>0</v>
          </cell>
          <cell r="BZ2702">
            <v>0</v>
          </cell>
          <cell r="CA2702">
            <v>0</v>
          </cell>
          <cell r="CB2702">
            <v>0</v>
          </cell>
          <cell r="CC2702">
            <v>0</v>
          </cell>
          <cell r="CD2702">
            <v>0</v>
          </cell>
          <cell r="CE2702">
            <v>0</v>
          </cell>
        </row>
        <row r="2703">
          <cell r="BY2703">
            <v>0</v>
          </cell>
          <cell r="BZ2703">
            <v>0</v>
          </cell>
          <cell r="CA2703">
            <v>0</v>
          </cell>
          <cell r="CB2703">
            <v>0</v>
          </cell>
          <cell r="CC2703">
            <v>0</v>
          </cell>
          <cell r="CD2703">
            <v>0</v>
          </cell>
          <cell r="CE2703">
            <v>0</v>
          </cell>
        </row>
        <row r="2704">
          <cell r="BY2704">
            <v>0</v>
          </cell>
          <cell r="BZ2704">
            <v>0</v>
          </cell>
          <cell r="CA2704">
            <v>0</v>
          </cell>
          <cell r="CB2704">
            <v>0</v>
          </cell>
          <cell r="CC2704">
            <v>0</v>
          </cell>
          <cell r="CD2704">
            <v>0</v>
          </cell>
          <cell r="CE2704">
            <v>0</v>
          </cell>
        </row>
        <row r="2705">
          <cell r="BY2705">
            <v>0</v>
          </cell>
          <cell r="BZ2705">
            <v>0</v>
          </cell>
          <cell r="CA2705">
            <v>0</v>
          </cell>
          <cell r="CB2705">
            <v>0</v>
          </cell>
          <cell r="CC2705">
            <v>0</v>
          </cell>
          <cell r="CD2705">
            <v>0</v>
          </cell>
          <cell r="CE2705">
            <v>0</v>
          </cell>
        </row>
        <row r="2706">
          <cell r="BY2706">
            <v>0</v>
          </cell>
          <cell r="BZ2706">
            <v>0</v>
          </cell>
          <cell r="CA2706">
            <v>0</v>
          </cell>
          <cell r="CB2706">
            <v>0</v>
          </cell>
          <cell r="CC2706">
            <v>0</v>
          </cell>
          <cell r="CD2706">
            <v>0</v>
          </cell>
          <cell r="CE2706">
            <v>0</v>
          </cell>
        </row>
        <row r="2707">
          <cell r="BY2707">
            <v>0</v>
          </cell>
          <cell r="BZ2707">
            <v>0</v>
          </cell>
          <cell r="CA2707">
            <v>0</v>
          </cell>
          <cell r="CB2707">
            <v>0</v>
          </cell>
          <cell r="CC2707">
            <v>0</v>
          </cell>
          <cell r="CD2707">
            <v>0</v>
          </cell>
          <cell r="CE2707">
            <v>0</v>
          </cell>
        </row>
        <row r="2708">
          <cell r="BY2708">
            <v>0</v>
          </cell>
          <cell r="BZ2708">
            <v>0</v>
          </cell>
          <cell r="CA2708">
            <v>0</v>
          </cell>
          <cell r="CB2708">
            <v>0</v>
          </cell>
          <cell r="CC2708">
            <v>0</v>
          </cell>
          <cell r="CD2708">
            <v>0</v>
          </cell>
          <cell r="CE2708">
            <v>0</v>
          </cell>
        </row>
        <row r="2709">
          <cell r="BY2709">
            <v>0</v>
          </cell>
          <cell r="BZ2709">
            <v>0</v>
          </cell>
          <cell r="CA2709">
            <v>0</v>
          </cell>
          <cell r="CB2709">
            <v>0</v>
          </cell>
          <cell r="CC2709">
            <v>0</v>
          </cell>
          <cell r="CD2709">
            <v>0</v>
          </cell>
          <cell r="CE2709">
            <v>0</v>
          </cell>
        </row>
        <row r="2710">
          <cell r="BY2710">
            <v>0</v>
          </cell>
          <cell r="BZ2710">
            <v>0</v>
          </cell>
          <cell r="CA2710">
            <v>0</v>
          </cell>
          <cell r="CB2710">
            <v>0</v>
          </cell>
          <cell r="CC2710">
            <v>0</v>
          </cell>
          <cell r="CD2710">
            <v>0</v>
          </cell>
          <cell r="CE2710">
            <v>0</v>
          </cell>
        </row>
        <row r="2711">
          <cell r="BY2711">
            <v>0</v>
          </cell>
          <cell r="BZ2711">
            <v>0</v>
          </cell>
          <cell r="CA2711">
            <v>0</v>
          </cell>
          <cell r="CB2711">
            <v>0</v>
          </cell>
          <cell r="CC2711">
            <v>0</v>
          </cell>
          <cell r="CD2711">
            <v>0</v>
          </cell>
          <cell r="CE2711">
            <v>0</v>
          </cell>
        </row>
        <row r="2712">
          <cell r="BY2712">
            <v>0</v>
          </cell>
          <cell r="BZ2712">
            <v>0</v>
          </cell>
          <cell r="CA2712">
            <v>0</v>
          </cell>
          <cell r="CB2712">
            <v>0</v>
          </cell>
          <cell r="CC2712">
            <v>0</v>
          </cell>
          <cell r="CD2712">
            <v>0</v>
          </cell>
          <cell r="CE2712">
            <v>0</v>
          </cell>
        </row>
        <row r="2713">
          <cell r="BY2713">
            <v>0</v>
          </cell>
          <cell r="BZ2713">
            <v>0</v>
          </cell>
          <cell r="CA2713">
            <v>0</v>
          </cell>
          <cell r="CB2713">
            <v>0</v>
          </cell>
          <cell r="CC2713">
            <v>0</v>
          </cell>
          <cell r="CD2713">
            <v>0</v>
          </cell>
          <cell r="CE2713">
            <v>0</v>
          </cell>
        </row>
        <row r="2714">
          <cell r="BY2714">
            <v>0</v>
          </cell>
          <cell r="BZ2714">
            <v>0</v>
          </cell>
          <cell r="CA2714">
            <v>0</v>
          </cell>
          <cell r="CB2714">
            <v>0</v>
          </cell>
          <cell r="CC2714">
            <v>0</v>
          </cell>
          <cell r="CD2714">
            <v>0</v>
          </cell>
          <cell r="CE2714">
            <v>0</v>
          </cell>
        </row>
        <row r="2715">
          <cell r="BY2715">
            <v>0</v>
          </cell>
          <cell r="BZ2715">
            <v>0</v>
          </cell>
          <cell r="CA2715">
            <v>0</v>
          </cell>
          <cell r="CB2715">
            <v>0</v>
          </cell>
          <cell r="CC2715">
            <v>0</v>
          </cell>
          <cell r="CD2715">
            <v>0</v>
          </cell>
          <cell r="CE2715">
            <v>0</v>
          </cell>
        </row>
        <row r="2716">
          <cell r="BY2716">
            <v>0</v>
          </cell>
          <cell r="BZ2716">
            <v>0</v>
          </cell>
          <cell r="CA2716">
            <v>0</v>
          </cell>
          <cell r="CB2716">
            <v>0</v>
          </cell>
          <cell r="CC2716">
            <v>0</v>
          </cell>
          <cell r="CD2716">
            <v>0</v>
          </cell>
          <cell r="CE2716">
            <v>0</v>
          </cell>
        </row>
        <row r="2717">
          <cell r="BY2717">
            <v>0</v>
          </cell>
          <cell r="BZ2717">
            <v>0</v>
          </cell>
          <cell r="CA2717">
            <v>0</v>
          </cell>
          <cell r="CB2717">
            <v>0</v>
          </cell>
          <cell r="CC2717">
            <v>0</v>
          </cell>
          <cell r="CD2717">
            <v>0</v>
          </cell>
          <cell r="CE2717">
            <v>0</v>
          </cell>
        </row>
        <row r="2718">
          <cell r="BY2718">
            <v>0</v>
          </cell>
          <cell r="BZ2718">
            <v>0</v>
          </cell>
          <cell r="CA2718">
            <v>0</v>
          </cell>
          <cell r="CB2718">
            <v>0</v>
          </cell>
          <cell r="CC2718">
            <v>0</v>
          </cell>
          <cell r="CD2718">
            <v>0</v>
          </cell>
          <cell r="CE2718">
            <v>0</v>
          </cell>
        </row>
        <row r="2719">
          <cell r="BY2719">
            <v>0</v>
          </cell>
          <cell r="BZ2719">
            <v>0</v>
          </cell>
          <cell r="CA2719">
            <v>0</v>
          </cell>
          <cell r="CB2719">
            <v>0</v>
          </cell>
          <cell r="CC2719">
            <v>0</v>
          </cell>
          <cell r="CD2719">
            <v>0</v>
          </cell>
          <cell r="CE2719">
            <v>0</v>
          </cell>
        </row>
        <row r="2720">
          <cell r="BY2720">
            <v>0</v>
          </cell>
          <cell r="BZ2720">
            <v>0</v>
          </cell>
          <cell r="CA2720">
            <v>0</v>
          </cell>
          <cell r="CB2720">
            <v>0</v>
          </cell>
          <cell r="CC2720">
            <v>0</v>
          </cell>
          <cell r="CD2720">
            <v>0</v>
          </cell>
          <cell r="CE2720">
            <v>0</v>
          </cell>
        </row>
        <row r="2721">
          <cell r="BY2721">
            <v>0</v>
          </cell>
          <cell r="BZ2721">
            <v>0</v>
          </cell>
          <cell r="CA2721">
            <v>0</v>
          </cell>
          <cell r="CB2721">
            <v>0</v>
          </cell>
          <cell r="CC2721">
            <v>0</v>
          </cell>
          <cell r="CD2721">
            <v>0</v>
          </cell>
          <cell r="CE2721">
            <v>0</v>
          </cell>
        </row>
        <row r="2722">
          <cell r="BY2722">
            <v>0</v>
          </cell>
          <cell r="BZ2722">
            <v>0</v>
          </cell>
          <cell r="CA2722">
            <v>0</v>
          </cell>
          <cell r="CB2722">
            <v>0</v>
          </cell>
          <cell r="CC2722">
            <v>0</v>
          </cell>
          <cell r="CD2722">
            <v>0</v>
          </cell>
          <cell r="CE2722">
            <v>0</v>
          </cell>
        </row>
        <row r="2723">
          <cell r="BY2723">
            <v>0</v>
          </cell>
          <cell r="BZ2723">
            <v>0</v>
          </cell>
          <cell r="CA2723">
            <v>0</v>
          </cell>
          <cell r="CB2723">
            <v>0</v>
          </cell>
          <cell r="CC2723">
            <v>0</v>
          </cell>
          <cell r="CD2723">
            <v>0</v>
          </cell>
          <cell r="CE2723">
            <v>0</v>
          </cell>
        </row>
        <row r="2724">
          <cell r="BY2724">
            <v>0</v>
          </cell>
          <cell r="BZ2724">
            <v>0</v>
          </cell>
          <cell r="CA2724">
            <v>0</v>
          </cell>
          <cell r="CB2724">
            <v>0</v>
          </cell>
          <cell r="CC2724">
            <v>0</v>
          </cell>
          <cell r="CD2724">
            <v>0</v>
          </cell>
          <cell r="CE2724">
            <v>0</v>
          </cell>
        </row>
        <row r="2725">
          <cell r="BY2725">
            <v>0</v>
          </cell>
          <cell r="BZ2725">
            <v>0</v>
          </cell>
          <cell r="CA2725">
            <v>0</v>
          </cell>
          <cell r="CB2725">
            <v>0</v>
          </cell>
          <cell r="CC2725">
            <v>0</v>
          </cell>
          <cell r="CD2725">
            <v>0</v>
          </cell>
          <cell r="CE2725">
            <v>0</v>
          </cell>
        </row>
        <row r="2726">
          <cell r="BY2726">
            <v>0</v>
          </cell>
          <cell r="BZ2726">
            <v>0</v>
          </cell>
          <cell r="CA2726">
            <v>0</v>
          </cell>
          <cell r="CB2726">
            <v>0</v>
          </cell>
          <cell r="CC2726">
            <v>0</v>
          </cell>
          <cell r="CD2726">
            <v>0</v>
          </cell>
          <cell r="CE2726">
            <v>0</v>
          </cell>
        </row>
        <row r="2727">
          <cell r="BY2727">
            <v>0</v>
          </cell>
          <cell r="BZ2727">
            <v>0</v>
          </cell>
          <cell r="CA2727">
            <v>0</v>
          </cell>
          <cell r="CB2727">
            <v>0</v>
          </cell>
          <cell r="CC2727">
            <v>0</v>
          </cell>
          <cell r="CD2727">
            <v>0</v>
          </cell>
          <cell r="CE2727">
            <v>0</v>
          </cell>
        </row>
        <row r="2728">
          <cell r="BY2728">
            <v>0</v>
          </cell>
          <cell r="BZ2728">
            <v>0</v>
          </cell>
          <cell r="CA2728">
            <v>0</v>
          </cell>
          <cell r="CB2728">
            <v>0</v>
          </cell>
          <cell r="CC2728">
            <v>0</v>
          </cell>
          <cell r="CD2728">
            <v>0</v>
          </cell>
          <cell r="CE2728">
            <v>0</v>
          </cell>
        </row>
        <row r="2729">
          <cell r="BY2729">
            <v>0</v>
          </cell>
          <cell r="BZ2729">
            <v>0</v>
          </cell>
          <cell r="CA2729">
            <v>0</v>
          </cell>
          <cell r="CB2729">
            <v>0</v>
          </cell>
          <cell r="CC2729">
            <v>0</v>
          </cell>
          <cell r="CD2729">
            <v>0</v>
          </cell>
          <cell r="CE2729">
            <v>0</v>
          </cell>
        </row>
        <row r="2730">
          <cell r="BY2730">
            <v>0</v>
          </cell>
          <cell r="BZ2730">
            <v>0</v>
          </cell>
          <cell r="CA2730">
            <v>0</v>
          </cell>
          <cell r="CB2730">
            <v>0</v>
          </cell>
          <cell r="CC2730">
            <v>0</v>
          </cell>
          <cell r="CD2730">
            <v>0</v>
          </cell>
          <cell r="CE2730">
            <v>0</v>
          </cell>
        </row>
        <row r="2731">
          <cell r="BY2731">
            <v>0</v>
          </cell>
          <cell r="BZ2731">
            <v>0</v>
          </cell>
          <cell r="CA2731">
            <v>0</v>
          </cell>
          <cell r="CB2731">
            <v>0</v>
          </cell>
          <cell r="CC2731">
            <v>0</v>
          </cell>
          <cell r="CD2731">
            <v>0</v>
          </cell>
          <cell r="CE2731">
            <v>0</v>
          </cell>
        </row>
        <row r="2732">
          <cell r="BY2732">
            <v>0</v>
          </cell>
          <cell r="BZ2732">
            <v>0</v>
          </cell>
          <cell r="CA2732">
            <v>0</v>
          </cell>
          <cell r="CB2732">
            <v>0</v>
          </cell>
          <cell r="CC2732">
            <v>0</v>
          </cell>
          <cell r="CD2732">
            <v>0</v>
          </cell>
          <cell r="CE2732">
            <v>0</v>
          </cell>
        </row>
        <row r="2733">
          <cell r="BY2733">
            <v>0</v>
          </cell>
          <cell r="BZ2733">
            <v>0</v>
          </cell>
          <cell r="CA2733">
            <v>0</v>
          </cell>
          <cell r="CB2733">
            <v>0</v>
          </cell>
          <cell r="CC2733">
            <v>0</v>
          </cell>
          <cell r="CD2733">
            <v>0</v>
          </cell>
          <cell r="CE2733">
            <v>0</v>
          </cell>
        </row>
        <row r="2734">
          <cell r="BY2734">
            <v>0</v>
          </cell>
          <cell r="BZ2734">
            <v>0</v>
          </cell>
          <cell r="CA2734">
            <v>0</v>
          </cell>
          <cell r="CB2734">
            <v>0</v>
          </cell>
          <cell r="CC2734">
            <v>0</v>
          </cell>
          <cell r="CD2734">
            <v>0</v>
          </cell>
          <cell r="CE2734">
            <v>0</v>
          </cell>
        </row>
        <row r="2735">
          <cell r="BY2735">
            <v>0</v>
          </cell>
          <cell r="BZ2735">
            <v>0</v>
          </cell>
          <cell r="CA2735">
            <v>0</v>
          </cell>
          <cell r="CB2735">
            <v>0</v>
          </cell>
          <cell r="CC2735">
            <v>0</v>
          </cell>
          <cell r="CD2735">
            <v>0</v>
          </cell>
          <cell r="CE2735">
            <v>0</v>
          </cell>
        </row>
        <row r="2736">
          <cell r="BY2736">
            <v>0</v>
          </cell>
          <cell r="BZ2736">
            <v>0</v>
          </cell>
          <cell r="CA2736">
            <v>0</v>
          </cell>
          <cell r="CB2736">
            <v>0</v>
          </cell>
          <cell r="CC2736">
            <v>0</v>
          </cell>
          <cell r="CD2736">
            <v>0</v>
          </cell>
          <cell r="CE2736">
            <v>0</v>
          </cell>
        </row>
        <row r="2737">
          <cell r="BY2737">
            <v>0</v>
          </cell>
          <cell r="BZ2737">
            <v>0</v>
          </cell>
          <cell r="CA2737">
            <v>0</v>
          </cell>
          <cell r="CB2737">
            <v>0</v>
          </cell>
          <cell r="CC2737">
            <v>0</v>
          </cell>
          <cell r="CD2737">
            <v>0</v>
          </cell>
          <cell r="CE2737">
            <v>0</v>
          </cell>
        </row>
        <row r="2738">
          <cell r="BY2738">
            <v>0</v>
          </cell>
          <cell r="BZ2738">
            <v>0</v>
          </cell>
          <cell r="CA2738">
            <v>0</v>
          </cell>
          <cell r="CB2738">
            <v>0</v>
          </cell>
          <cell r="CC2738">
            <v>0</v>
          </cell>
          <cell r="CD2738">
            <v>0</v>
          </cell>
          <cell r="CE2738">
            <v>0</v>
          </cell>
        </row>
        <row r="2739">
          <cell r="BY2739">
            <v>0</v>
          </cell>
          <cell r="BZ2739">
            <v>0</v>
          </cell>
          <cell r="CA2739">
            <v>0</v>
          </cell>
          <cell r="CB2739">
            <v>0</v>
          </cell>
          <cell r="CC2739">
            <v>0</v>
          </cell>
          <cell r="CD2739">
            <v>0</v>
          </cell>
          <cell r="CE2739">
            <v>0</v>
          </cell>
        </row>
        <row r="2740">
          <cell r="BY2740">
            <v>0</v>
          </cell>
          <cell r="BZ2740">
            <v>0</v>
          </cell>
          <cell r="CA2740">
            <v>0</v>
          </cell>
          <cell r="CB2740">
            <v>0</v>
          </cell>
          <cell r="CC2740">
            <v>0</v>
          </cell>
          <cell r="CD2740">
            <v>0</v>
          </cell>
          <cell r="CE2740">
            <v>0</v>
          </cell>
        </row>
        <row r="2741">
          <cell r="BY2741">
            <v>0</v>
          </cell>
          <cell r="BZ2741">
            <v>0</v>
          </cell>
          <cell r="CA2741">
            <v>0</v>
          </cell>
          <cell r="CB2741">
            <v>0</v>
          </cell>
          <cell r="CC2741">
            <v>0</v>
          </cell>
          <cell r="CD2741">
            <v>0</v>
          </cell>
          <cell r="CE2741">
            <v>0</v>
          </cell>
        </row>
        <row r="2742">
          <cell r="BY2742">
            <v>0</v>
          </cell>
          <cell r="BZ2742">
            <v>0</v>
          </cell>
          <cell r="CA2742">
            <v>0</v>
          </cell>
          <cell r="CB2742">
            <v>0</v>
          </cell>
          <cell r="CC2742">
            <v>0</v>
          </cell>
          <cell r="CD2742">
            <v>0</v>
          </cell>
          <cell r="CE2742">
            <v>0</v>
          </cell>
        </row>
        <row r="2743">
          <cell r="BY2743">
            <v>0</v>
          </cell>
          <cell r="BZ2743">
            <v>0</v>
          </cell>
          <cell r="CA2743">
            <v>0</v>
          </cell>
          <cell r="CB2743">
            <v>0</v>
          </cell>
          <cell r="CC2743">
            <v>0</v>
          </cell>
          <cell r="CD2743">
            <v>0</v>
          </cell>
          <cell r="CE2743">
            <v>0</v>
          </cell>
        </row>
        <row r="2744">
          <cell r="BY2744">
            <v>0</v>
          </cell>
          <cell r="BZ2744">
            <v>0</v>
          </cell>
          <cell r="CA2744">
            <v>0</v>
          </cell>
          <cell r="CB2744">
            <v>0</v>
          </cell>
          <cell r="CC2744">
            <v>0</v>
          </cell>
          <cell r="CD2744">
            <v>0</v>
          </cell>
          <cell r="CE2744">
            <v>0</v>
          </cell>
        </row>
        <row r="2745">
          <cell r="BY2745">
            <v>0</v>
          </cell>
          <cell r="BZ2745">
            <v>0</v>
          </cell>
          <cell r="CA2745">
            <v>0</v>
          </cell>
          <cell r="CB2745">
            <v>0</v>
          </cell>
          <cell r="CC2745">
            <v>0</v>
          </cell>
          <cell r="CD2745">
            <v>0</v>
          </cell>
          <cell r="CE2745">
            <v>0</v>
          </cell>
        </row>
        <row r="2746">
          <cell r="BY2746">
            <v>0</v>
          </cell>
          <cell r="BZ2746">
            <v>0</v>
          </cell>
          <cell r="CA2746">
            <v>0</v>
          </cell>
          <cell r="CB2746">
            <v>0</v>
          </cell>
          <cell r="CC2746">
            <v>0</v>
          </cell>
          <cell r="CD2746">
            <v>0</v>
          </cell>
          <cell r="CE2746">
            <v>0</v>
          </cell>
        </row>
        <row r="2747">
          <cell r="BY2747">
            <v>0</v>
          </cell>
          <cell r="BZ2747">
            <v>0</v>
          </cell>
          <cell r="CA2747">
            <v>0</v>
          </cell>
          <cell r="CB2747">
            <v>0</v>
          </cell>
          <cell r="CC2747">
            <v>0</v>
          </cell>
          <cell r="CD2747">
            <v>0</v>
          </cell>
          <cell r="CE2747">
            <v>0</v>
          </cell>
        </row>
        <row r="2748">
          <cell r="BY2748">
            <v>0</v>
          </cell>
          <cell r="BZ2748">
            <v>0</v>
          </cell>
          <cell r="CA2748">
            <v>0</v>
          </cell>
          <cell r="CB2748">
            <v>0</v>
          </cell>
          <cell r="CC2748">
            <v>0</v>
          </cell>
          <cell r="CD2748">
            <v>0</v>
          </cell>
          <cell r="CE2748">
            <v>0</v>
          </cell>
        </row>
        <row r="2749">
          <cell r="BY2749">
            <v>0</v>
          </cell>
          <cell r="BZ2749">
            <v>0</v>
          </cell>
          <cell r="CA2749">
            <v>0</v>
          </cell>
          <cell r="CB2749">
            <v>0</v>
          </cell>
          <cell r="CC2749">
            <v>0</v>
          </cell>
          <cell r="CD2749">
            <v>0</v>
          </cell>
          <cell r="CE2749">
            <v>0</v>
          </cell>
        </row>
        <row r="2750">
          <cell r="BY2750">
            <v>0</v>
          </cell>
          <cell r="BZ2750">
            <v>0</v>
          </cell>
          <cell r="CA2750">
            <v>0</v>
          </cell>
          <cell r="CB2750">
            <v>0</v>
          </cell>
          <cell r="CC2750">
            <v>0</v>
          </cell>
          <cell r="CD2750">
            <v>0</v>
          </cell>
          <cell r="CE2750">
            <v>0</v>
          </cell>
        </row>
        <row r="2751">
          <cell r="BY2751">
            <v>0</v>
          </cell>
          <cell r="BZ2751">
            <v>0</v>
          </cell>
          <cell r="CA2751">
            <v>0</v>
          </cell>
          <cell r="CB2751">
            <v>0</v>
          </cell>
          <cell r="CC2751">
            <v>0</v>
          </cell>
          <cell r="CD2751">
            <v>0</v>
          </cell>
          <cell r="CE2751">
            <v>0</v>
          </cell>
        </row>
        <row r="2752">
          <cell r="BY2752">
            <v>0</v>
          </cell>
          <cell r="BZ2752">
            <v>0</v>
          </cell>
          <cell r="CA2752">
            <v>0</v>
          </cell>
          <cell r="CB2752">
            <v>0</v>
          </cell>
          <cell r="CC2752">
            <v>0</v>
          </cell>
          <cell r="CD2752">
            <v>0</v>
          </cell>
          <cell r="CE2752">
            <v>0</v>
          </cell>
        </row>
        <row r="2753">
          <cell r="BY2753">
            <v>0</v>
          </cell>
          <cell r="BZ2753">
            <v>0</v>
          </cell>
          <cell r="CA2753">
            <v>0</v>
          </cell>
          <cell r="CB2753">
            <v>0</v>
          </cell>
          <cell r="CC2753">
            <v>0</v>
          </cell>
          <cell r="CD2753">
            <v>0</v>
          </cell>
          <cell r="CE2753">
            <v>0</v>
          </cell>
        </row>
        <row r="2754">
          <cell r="BY2754">
            <v>0</v>
          </cell>
          <cell r="BZ2754">
            <v>0</v>
          </cell>
          <cell r="CA2754">
            <v>0</v>
          </cell>
          <cell r="CB2754">
            <v>0</v>
          </cell>
          <cell r="CC2754">
            <v>0</v>
          </cell>
          <cell r="CD2754">
            <v>0</v>
          </cell>
          <cell r="CE2754">
            <v>0</v>
          </cell>
        </row>
        <row r="2755">
          <cell r="BY2755">
            <v>0</v>
          </cell>
          <cell r="BZ2755">
            <v>0</v>
          </cell>
          <cell r="CA2755">
            <v>0</v>
          </cell>
          <cell r="CB2755">
            <v>0</v>
          </cell>
          <cell r="CC2755">
            <v>0</v>
          </cell>
          <cell r="CD2755">
            <v>0</v>
          </cell>
          <cell r="CE2755">
            <v>0</v>
          </cell>
        </row>
        <row r="2756">
          <cell r="BY2756">
            <v>0</v>
          </cell>
          <cell r="BZ2756">
            <v>0</v>
          </cell>
          <cell r="CA2756">
            <v>0</v>
          </cell>
          <cell r="CB2756">
            <v>0</v>
          </cell>
          <cell r="CC2756">
            <v>0</v>
          </cell>
          <cell r="CD2756">
            <v>0</v>
          </cell>
          <cell r="CE2756">
            <v>0</v>
          </cell>
        </row>
        <row r="2757">
          <cell r="BY2757">
            <v>0</v>
          </cell>
          <cell r="BZ2757">
            <v>0</v>
          </cell>
          <cell r="CA2757">
            <v>0</v>
          </cell>
          <cell r="CB2757">
            <v>0</v>
          </cell>
          <cell r="CC2757">
            <v>0</v>
          </cell>
          <cell r="CD2757">
            <v>0</v>
          </cell>
          <cell r="CE2757">
            <v>0</v>
          </cell>
        </row>
        <row r="2758">
          <cell r="BY2758">
            <v>0</v>
          </cell>
          <cell r="BZ2758">
            <v>0</v>
          </cell>
          <cell r="CA2758">
            <v>0</v>
          </cell>
          <cell r="CB2758">
            <v>0</v>
          </cell>
          <cell r="CC2758">
            <v>0</v>
          </cell>
          <cell r="CD2758">
            <v>0</v>
          </cell>
          <cell r="CE2758">
            <v>0</v>
          </cell>
        </row>
        <row r="2759">
          <cell r="BY2759">
            <v>0</v>
          </cell>
          <cell r="BZ2759">
            <v>0</v>
          </cell>
          <cell r="CA2759">
            <v>0</v>
          </cell>
          <cell r="CB2759">
            <v>0</v>
          </cell>
          <cell r="CC2759">
            <v>0</v>
          </cell>
          <cell r="CD2759">
            <v>0</v>
          </cell>
          <cell r="CE2759">
            <v>0</v>
          </cell>
        </row>
        <row r="2760">
          <cell r="BY2760">
            <v>0</v>
          </cell>
          <cell r="BZ2760">
            <v>0</v>
          </cell>
          <cell r="CA2760">
            <v>0</v>
          </cell>
          <cell r="CB2760">
            <v>0</v>
          </cell>
          <cell r="CC2760">
            <v>0</v>
          </cell>
          <cell r="CD2760">
            <v>0</v>
          </cell>
          <cell r="CE2760">
            <v>0</v>
          </cell>
        </row>
        <row r="2761">
          <cell r="BY2761">
            <v>0</v>
          </cell>
          <cell r="BZ2761">
            <v>0</v>
          </cell>
          <cell r="CA2761">
            <v>0</v>
          </cell>
          <cell r="CB2761">
            <v>0</v>
          </cell>
          <cell r="CC2761">
            <v>0</v>
          </cell>
          <cell r="CD2761">
            <v>0</v>
          </cell>
          <cell r="CE2761">
            <v>0</v>
          </cell>
        </row>
        <row r="2762">
          <cell r="BY2762">
            <v>0</v>
          </cell>
          <cell r="BZ2762">
            <v>0</v>
          </cell>
          <cell r="CA2762">
            <v>0</v>
          </cell>
          <cell r="CB2762">
            <v>0</v>
          </cell>
          <cell r="CC2762">
            <v>0</v>
          </cell>
          <cell r="CD2762">
            <v>0</v>
          </cell>
          <cell r="CE2762">
            <v>0</v>
          </cell>
        </row>
        <row r="2763">
          <cell r="BY2763">
            <v>0</v>
          </cell>
          <cell r="BZ2763">
            <v>0</v>
          </cell>
          <cell r="CA2763">
            <v>0</v>
          </cell>
          <cell r="CB2763">
            <v>0</v>
          </cell>
          <cell r="CC2763">
            <v>0</v>
          </cell>
          <cell r="CD2763">
            <v>0</v>
          </cell>
          <cell r="CE2763">
            <v>0</v>
          </cell>
        </row>
        <row r="2764">
          <cell r="BY2764">
            <v>0</v>
          </cell>
          <cell r="BZ2764">
            <v>0</v>
          </cell>
          <cell r="CA2764">
            <v>0</v>
          </cell>
          <cell r="CB2764">
            <v>0</v>
          </cell>
          <cell r="CC2764">
            <v>0</v>
          </cell>
          <cell r="CD2764">
            <v>0</v>
          </cell>
          <cell r="CE2764">
            <v>0</v>
          </cell>
        </row>
        <row r="2765">
          <cell r="BY2765">
            <v>0</v>
          </cell>
          <cell r="BZ2765">
            <v>0</v>
          </cell>
          <cell r="CA2765">
            <v>0</v>
          </cell>
          <cell r="CB2765">
            <v>0</v>
          </cell>
          <cell r="CC2765">
            <v>0</v>
          </cell>
          <cell r="CD2765">
            <v>0</v>
          </cell>
          <cell r="CE2765">
            <v>0</v>
          </cell>
        </row>
        <row r="2766">
          <cell r="BY2766">
            <v>0</v>
          </cell>
          <cell r="BZ2766">
            <v>0</v>
          </cell>
          <cell r="CA2766">
            <v>0</v>
          </cell>
          <cell r="CB2766">
            <v>0</v>
          </cell>
          <cell r="CC2766">
            <v>0</v>
          </cell>
          <cell r="CD2766">
            <v>0</v>
          </cell>
          <cell r="CE2766">
            <v>0</v>
          </cell>
        </row>
        <row r="2767">
          <cell r="BY2767">
            <v>0</v>
          </cell>
          <cell r="BZ2767">
            <v>0</v>
          </cell>
          <cell r="CA2767">
            <v>0</v>
          </cell>
          <cell r="CB2767">
            <v>0</v>
          </cell>
          <cell r="CC2767">
            <v>0</v>
          </cell>
          <cell r="CD2767">
            <v>0</v>
          </cell>
          <cell r="CE2767">
            <v>0</v>
          </cell>
        </row>
        <row r="2768">
          <cell r="BY2768">
            <v>0</v>
          </cell>
          <cell r="BZ2768">
            <v>0</v>
          </cell>
          <cell r="CA2768">
            <v>0</v>
          </cell>
          <cell r="CB2768">
            <v>0</v>
          </cell>
          <cell r="CC2768">
            <v>0</v>
          </cell>
          <cell r="CD2768">
            <v>0</v>
          </cell>
          <cell r="CE2768">
            <v>0</v>
          </cell>
        </row>
        <row r="2769">
          <cell r="BY2769">
            <v>0</v>
          </cell>
          <cell r="BZ2769">
            <v>0</v>
          </cell>
          <cell r="CA2769">
            <v>0</v>
          </cell>
          <cell r="CB2769">
            <v>0</v>
          </cell>
          <cell r="CC2769">
            <v>0</v>
          </cell>
          <cell r="CD2769">
            <v>0</v>
          </cell>
          <cell r="CE2769">
            <v>0</v>
          </cell>
        </row>
        <row r="2770">
          <cell r="BY2770">
            <v>0</v>
          </cell>
          <cell r="BZ2770">
            <v>0</v>
          </cell>
          <cell r="CA2770">
            <v>0</v>
          </cell>
          <cell r="CB2770">
            <v>0</v>
          </cell>
          <cell r="CC2770">
            <v>0</v>
          </cell>
          <cell r="CD2770">
            <v>0</v>
          </cell>
          <cell r="CE2770">
            <v>0</v>
          </cell>
        </row>
        <row r="2771">
          <cell r="BY2771">
            <v>0</v>
          </cell>
          <cell r="BZ2771">
            <v>0</v>
          </cell>
          <cell r="CA2771">
            <v>0</v>
          </cell>
          <cell r="CB2771">
            <v>0</v>
          </cell>
          <cell r="CC2771">
            <v>0</v>
          </cell>
          <cell r="CD2771">
            <v>0</v>
          </cell>
          <cell r="CE2771">
            <v>0</v>
          </cell>
        </row>
        <row r="2772">
          <cell r="BY2772">
            <v>0</v>
          </cell>
          <cell r="BZ2772">
            <v>0</v>
          </cell>
          <cell r="CA2772">
            <v>0</v>
          </cell>
          <cell r="CB2772">
            <v>0</v>
          </cell>
          <cell r="CC2772">
            <v>0</v>
          </cell>
          <cell r="CD2772">
            <v>0</v>
          </cell>
          <cell r="CE2772">
            <v>0</v>
          </cell>
        </row>
        <row r="2773">
          <cell r="BY2773">
            <v>0</v>
          </cell>
          <cell r="BZ2773">
            <v>0</v>
          </cell>
          <cell r="CA2773">
            <v>0</v>
          </cell>
          <cell r="CB2773">
            <v>0</v>
          </cell>
          <cell r="CC2773">
            <v>0</v>
          </cell>
          <cell r="CD2773">
            <v>0</v>
          </cell>
          <cell r="CE2773">
            <v>0</v>
          </cell>
        </row>
        <row r="2774">
          <cell r="BY2774">
            <v>0</v>
          </cell>
          <cell r="BZ2774">
            <v>0</v>
          </cell>
          <cell r="CA2774">
            <v>0</v>
          </cell>
          <cell r="CB2774">
            <v>0</v>
          </cell>
          <cell r="CC2774">
            <v>0</v>
          </cell>
          <cell r="CD2774">
            <v>0</v>
          </cell>
          <cell r="CE2774">
            <v>0</v>
          </cell>
        </row>
        <row r="2775">
          <cell r="BY2775">
            <v>0</v>
          </cell>
          <cell r="BZ2775">
            <v>0</v>
          </cell>
          <cell r="CA2775">
            <v>0</v>
          </cell>
          <cell r="CB2775">
            <v>0</v>
          </cell>
          <cell r="CC2775">
            <v>0</v>
          </cell>
          <cell r="CD2775">
            <v>0</v>
          </cell>
          <cell r="CE2775">
            <v>0</v>
          </cell>
        </row>
        <row r="2776">
          <cell r="BY2776">
            <v>0</v>
          </cell>
          <cell r="BZ2776">
            <v>0</v>
          </cell>
          <cell r="CA2776">
            <v>0</v>
          </cell>
          <cell r="CB2776">
            <v>0</v>
          </cell>
          <cell r="CC2776">
            <v>0</v>
          </cell>
          <cell r="CD2776">
            <v>0</v>
          </cell>
          <cell r="CE2776">
            <v>0</v>
          </cell>
        </row>
        <row r="2777">
          <cell r="BY2777">
            <v>0</v>
          </cell>
          <cell r="BZ2777">
            <v>0</v>
          </cell>
          <cell r="CA2777">
            <v>0</v>
          </cell>
          <cell r="CB2777">
            <v>0</v>
          </cell>
          <cell r="CC2777">
            <v>0</v>
          </cell>
          <cell r="CD2777">
            <v>0</v>
          </cell>
          <cell r="CE2777">
            <v>0</v>
          </cell>
        </row>
        <row r="2778">
          <cell r="BY2778">
            <v>0</v>
          </cell>
          <cell r="BZ2778">
            <v>0</v>
          </cell>
          <cell r="CA2778">
            <v>0</v>
          </cell>
          <cell r="CB2778">
            <v>0</v>
          </cell>
          <cell r="CC2778">
            <v>0</v>
          </cell>
          <cell r="CD2778">
            <v>0</v>
          </cell>
          <cell r="CE2778">
            <v>0</v>
          </cell>
        </row>
        <row r="2779">
          <cell r="BY2779">
            <v>0</v>
          </cell>
          <cell r="BZ2779">
            <v>0</v>
          </cell>
          <cell r="CA2779">
            <v>0</v>
          </cell>
          <cell r="CB2779">
            <v>0</v>
          </cell>
          <cell r="CC2779">
            <v>0</v>
          </cell>
          <cell r="CD2779">
            <v>0</v>
          </cell>
          <cell r="CE2779">
            <v>0</v>
          </cell>
        </row>
        <row r="2780">
          <cell r="BY2780">
            <v>0</v>
          </cell>
          <cell r="BZ2780">
            <v>0</v>
          </cell>
          <cell r="CA2780">
            <v>0</v>
          </cell>
          <cell r="CB2780">
            <v>0</v>
          </cell>
          <cell r="CC2780">
            <v>0</v>
          </cell>
          <cell r="CD2780">
            <v>0</v>
          </cell>
          <cell r="CE2780">
            <v>0</v>
          </cell>
        </row>
        <row r="2781">
          <cell r="BY2781">
            <v>0</v>
          </cell>
          <cell r="BZ2781">
            <v>0</v>
          </cell>
          <cell r="CA2781">
            <v>0</v>
          </cell>
          <cell r="CB2781">
            <v>0</v>
          </cell>
          <cell r="CC2781">
            <v>0</v>
          </cell>
          <cell r="CD2781">
            <v>0</v>
          </cell>
          <cell r="CE2781">
            <v>0</v>
          </cell>
        </row>
        <row r="2782">
          <cell r="BY2782">
            <v>0</v>
          </cell>
          <cell r="BZ2782">
            <v>0</v>
          </cell>
          <cell r="CA2782">
            <v>0</v>
          </cell>
          <cell r="CB2782">
            <v>0</v>
          </cell>
          <cell r="CC2782">
            <v>0</v>
          </cell>
          <cell r="CD2782">
            <v>0</v>
          </cell>
          <cell r="CE2782">
            <v>0</v>
          </cell>
        </row>
        <row r="2783">
          <cell r="BY2783">
            <v>0</v>
          </cell>
          <cell r="BZ2783">
            <v>0</v>
          </cell>
          <cell r="CA2783">
            <v>0</v>
          </cell>
          <cell r="CB2783">
            <v>0</v>
          </cell>
          <cell r="CC2783">
            <v>0</v>
          </cell>
          <cell r="CD2783">
            <v>0</v>
          </cell>
          <cell r="CE2783">
            <v>0</v>
          </cell>
        </row>
        <row r="2784">
          <cell r="BY2784">
            <v>0</v>
          </cell>
          <cell r="BZ2784">
            <v>0</v>
          </cell>
          <cell r="CA2784">
            <v>0</v>
          </cell>
          <cell r="CB2784">
            <v>0</v>
          </cell>
          <cell r="CC2784">
            <v>0</v>
          </cell>
          <cell r="CD2784">
            <v>0</v>
          </cell>
          <cell r="CE2784">
            <v>0</v>
          </cell>
        </row>
        <row r="2785">
          <cell r="BY2785">
            <v>0</v>
          </cell>
          <cell r="BZ2785">
            <v>0</v>
          </cell>
          <cell r="CA2785">
            <v>0</v>
          </cell>
          <cell r="CB2785">
            <v>0</v>
          </cell>
          <cell r="CC2785">
            <v>0</v>
          </cell>
          <cell r="CD2785">
            <v>0</v>
          </cell>
          <cell r="CE2785">
            <v>0</v>
          </cell>
        </row>
        <row r="2786">
          <cell r="BY2786">
            <v>0</v>
          </cell>
          <cell r="BZ2786">
            <v>0</v>
          </cell>
          <cell r="CA2786">
            <v>0</v>
          </cell>
          <cell r="CB2786">
            <v>0</v>
          </cell>
          <cell r="CC2786">
            <v>0</v>
          </cell>
          <cell r="CD2786">
            <v>0</v>
          </cell>
          <cell r="CE2786">
            <v>0</v>
          </cell>
        </row>
        <row r="2787">
          <cell r="BY2787">
            <v>0</v>
          </cell>
          <cell r="BZ2787">
            <v>0</v>
          </cell>
          <cell r="CA2787">
            <v>0</v>
          </cell>
          <cell r="CB2787">
            <v>0</v>
          </cell>
          <cell r="CC2787">
            <v>0</v>
          </cell>
          <cell r="CD2787">
            <v>0</v>
          </cell>
          <cell r="CE2787">
            <v>0</v>
          </cell>
        </row>
        <row r="2788">
          <cell r="BY2788">
            <v>0</v>
          </cell>
          <cell r="BZ2788">
            <v>0</v>
          </cell>
          <cell r="CA2788">
            <v>0</v>
          </cell>
          <cell r="CB2788">
            <v>0</v>
          </cell>
          <cell r="CC2788">
            <v>0</v>
          </cell>
          <cell r="CD2788">
            <v>0</v>
          </cell>
          <cell r="CE2788">
            <v>0</v>
          </cell>
        </row>
        <row r="2789">
          <cell r="BY2789">
            <v>0</v>
          </cell>
          <cell r="BZ2789">
            <v>0</v>
          </cell>
          <cell r="CA2789">
            <v>0</v>
          </cell>
          <cell r="CB2789">
            <v>0</v>
          </cell>
          <cell r="CC2789">
            <v>0</v>
          </cell>
          <cell r="CD2789">
            <v>0</v>
          </cell>
          <cell r="CE2789">
            <v>0</v>
          </cell>
        </row>
        <row r="2790">
          <cell r="BY2790">
            <v>0</v>
          </cell>
          <cell r="BZ2790">
            <v>0</v>
          </cell>
          <cell r="CA2790">
            <v>0</v>
          </cell>
          <cell r="CB2790">
            <v>0</v>
          </cell>
          <cell r="CC2790">
            <v>0</v>
          </cell>
          <cell r="CD2790">
            <v>0</v>
          </cell>
          <cell r="CE2790">
            <v>0</v>
          </cell>
        </row>
        <row r="2791">
          <cell r="BY2791">
            <v>0</v>
          </cell>
          <cell r="BZ2791">
            <v>0</v>
          </cell>
          <cell r="CA2791">
            <v>0</v>
          </cell>
          <cell r="CB2791">
            <v>0</v>
          </cell>
          <cell r="CC2791">
            <v>0</v>
          </cell>
          <cell r="CD2791">
            <v>0</v>
          </cell>
          <cell r="CE2791">
            <v>0</v>
          </cell>
        </row>
        <row r="2792">
          <cell r="BY2792">
            <v>0</v>
          </cell>
          <cell r="BZ2792">
            <v>0</v>
          </cell>
          <cell r="CA2792">
            <v>0</v>
          </cell>
          <cell r="CB2792">
            <v>0</v>
          </cell>
          <cell r="CC2792">
            <v>0</v>
          </cell>
          <cell r="CD2792">
            <v>0</v>
          </cell>
          <cell r="CE2792">
            <v>0</v>
          </cell>
        </row>
        <row r="2793">
          <cell r="BY2793">
            <v>0</v>
          </cell>
          <cell r="BZ2793">
            <v>0</v>
          </cell>
          <cell r="CA2793">
            <v>0</v>
          </cell>
          <cell r="CB2793">
            <v>0</v>
          </cell>
          <cell r="CC2793">
            <v>0</v>
          </cell>
          <cell r="CD2793">
            <v>0</v>
          </cell>
          <cell r="CE2793">
            <v>0</v>
          </cell>
        </row>
        <row r="2794">
          <cell r="BY2794">
            <v>0</v>
          </cell>
          <cell r="BZ2794">
            <v>0</v>
          </cell>
          <cell r="CA2794">
            <v>0</v>
          </cell>
          <cell r="CB2794">
            <v>0</v>
          </cell>
          <cell r="CC2794">
            <v>0</v>
          </cell>
          <cell r="CD2794">
            <v>0</v>
          </cell>
          <cell r="CE2794">
            <v>0</v>
          </cell>
        </row>
        <row r="2795">
          <cell r="BY2795">
            <v>0</v>
          </cell>
          <cell r="BZ2795">
            <v>0</v>
          </cell>
          <cell r="CA2795">
            <v>0</v>
          </cell>
          <cell r="CB2795">
            <v>0</v>
          </cell>
          <cell r="CC2795">
            <v>0</v>
          </cell>
          <cell r="CD2795">
            <v>0</v>
          </cell>
          <cell r="CE2795">
            <v>0</v>
          </cell>
        </row>
        <row r="2796">
          <cell r="BY2796">
            <v>0</v>
          </cell>
          <cell r="BZ2796">
            <v>0</v>
          </cell>
          <cell r="CA2796">
            <v>0</v>
          </cell>
          <cell r="CB2796">
            <v>0</v>
          </cell>
          <cell r="CC2796">
            <v>0</v>
          </cell>
          <cell r="CD2796">
            <v>0</v>
          </cell>
          <cell r="CE2796">
            <v>0</v>
          </cell>
        </row>
        <row r="2797">
          <cell r="BY2797">
            <v>0</v>
          </cell>
          <cell r="BZ2797">
            <v>0</v>
          </cell>
          <cell r="CA2797">
            <v>0</v>
          </cell>
          <cell r="CB2797">
            <v>0</v>
          </cell>
          <cell r="CC2797">
            <v>0</v>
          </cell>
          <cell r="CD2797">
            <v>0</v>
          </cell>
          <cell r="CE2797">
            <v>0</v>
          </cell>
        </row>
        <row r="2798">
          <cell r="BY2798">
            <v>0</v>
          </cell>
          <cell r="BZ2798">
            <v>0</v>
          </cell>
          <cell r="CA2798">
            <v>0</v>
          </cell>
          <cell r="CB2798">
            <v>0</v>
          </cell>
          <cell r="CC2798">
            <v>0</v>
          </cell>
          <cell r="CD2798">
            <v>0</v>
          </cell>
          <cell r="CE2798">
            <v>0</v>
          </cell>
        </row>
        <row r="2799">
          <cell r="BY2799">
            <v>0</v>
          </cell>
          <cell r="BZ2799">
            <v>0</v>
          </cell>
          <cell r="CA2799">
            <v>0</v>
          </cell>
          <cell r="CB2799">
            <v>0</v>
          </cell>
          <cell r="CC2799">
            <v>0</v>
          </cell>
          <cell r="CD2799">
            <v>0</v>
          </cell>
          <cell r="CE2799">
            <v>0</v>
          </cell>
        </row>
        <row r="2800">
          <cell r="BY2800">
            <v>0</v>
          </cell>
          <cell r="BZ2800">
            <v>0</v>
          </cell>
          <cell r="CA2800">
            <v>0</v>
          </cell>
          <cell r="CB2800">
            <v>0</v>
          </cell>
          <cell r="CC2800">
            <v>0</v>
          </cell>
          <cell r="CD2800">
            <v>0</v>
          </cell>
          <cell r="CE2800">
            <v>0</v>
          </cell>
        </row>
        <row r="2801">
          <cell r="BY2801">
            <v>0</v>
          </cell>
          <cell r="BZ2801">
            <v>0</v>
          </cell>
          <cell r="CA2801">
            <v>0</v>
          </cell>
          <cell r="CB2801">
            <v>0</v>
          </cell>
          <cell r="CC2801">
            <v>0</v>
          </cell>
          <cell r="CD2801">
            <v>0</v>
          </cell>
          <cell r="CE2801">
            <v>0</v>
          </cell>
        </row>
        <row r="2802">
          <cell r="BY2802">
            <v>0</v>
          </cell>
          <cell r="BZ2802">
            <v>0</v>
          </cell>
          <cell r="CA2802">
            <v>0</v>
          </cell>
          <cell r="CB2802">
            <v>0</v>
          </cell>
          <cell r="CC2802">
            <v>0</v>
          </cell>
          <cell r="CD2802">
            <v>0</v>
          </cell>
          <cell r="CE2802">
            <v>0</v>
          </cell>
        </row>
        <row r="2803">
          <cell r="BY2803">
            <v>0</v>
          </cell>
          <cell r="BZ2803">
            <v>0</v>
          </cell>
          <cell r="CA2803">
            <v>0</v>
          </cell>
          <cell r="CB2803">
            <v>0</v>
          </cell>
          <cell r="CC2803">
            <v>0</v>
          </cell>
          <cell r="CD2803">
            <v>0</v>
          </cell>
          <cell r="CE2803">
            <v>0</v>
          </cell>
        </row>
        <row r="2804">
          <cell r="BY2804">
            <v>0</v>
          </cell>
          <cell r="BZ2804">
            <v>0</v>
          </cell>
          <cell r="CA2804">
            <v>0</v>
          </cell>
          <cell r="CB2804">
            <v>0</v>
          </cell>
          <cell r="CC2804">
            <v>0</v>
          </cell>
          <cell r="CD2804">
            <v>0</v>
          </cell>
          <cell r="CE2804">
            <v>0</v>
          </cell>
        </row>
        <row r="2805">
          <cell r="BY2805">
            <v>0</v>
          </cell>
          <cell r="BZ2805">
            <v>0</v>
          </cell>
          <cell r="CA2805">
            <v>0</v>
          </cell>
          <cell r="CB2805">
            <v>0</v>
          </cell>
          <cell r="CC2805">
            <v>0</v>
          </cell>
          <cell r="CD2805">
            <v>0</v>
          </cell>
          <cell r="CE2805">
            <v>0</v>
          </cell>
        </row>
        <row r="2806">
          <cell r="BY2806">
            <v>0</v>
          </cell>
          <cell r="BZ2806">
            <v>0</v>
          </cell>
          <cell r="CA2806">
            <v>0</v>
          </cell>
          <cell r="CB2806">
            <v>0</v>
          </cell>
          <cell r="CC2806">
            <v>0</v>
          </cell>
          <cell r="CD2806">
            <v>0</v>
          </cell>
          <cell r="CE2806">
            <v>0</v>
          </cell>
        </row>
        <row r="2807">
          <cell r="BY2807">
            <v>0</v>
          </cell>
          <cell r="BZ2807">
            <v>0</v>
          </cell>
          <cell r="CA2807">
            <v>0</v>
          </cell>
          <cell r="CB2807">
            <v>0</v>
          </cell>
          <cell r="CC2807">
            <v>0</v>
          </cell>
          <cell r="CD2807">
            <v>0</v>
          </cell>
          <cell r="CE2807">
            <v>0</v>
          </cell>
        </row>
        <row r="2808">
          <cell r="BY2808">
            <v>0</v>
          </cell>
          <cell r="BZ2808">
            <v>0</v>
          </cell>
          <cell r="CA2808">
            <v>0</v>
          </cell>
          <cell r="CB2808">
            <v>0</v>
          </cell>
          <cell r="CC2808">
            <v>0</v>
          </cell>
          <cell r="CD2808">
            <v>0</v>
          </cell>
          <cell r="CE2808">
            <v>0</v>
          </cell>
        </row>
        <row r="2809">
          <cell r="BY2809">
            <v>0</v>
          </cell>
          <cell r="BZ2809">
            <v>0</v>
          </cell>
          <cell r="CA2809">
            <v>0</v>
          </cell>
          <cell r="CB2809">
            <v>0</v>
          </cell>
          <cell r="CC2809">
            <v>0</v>
          </cell>
          <cell r="CD2809">
            <v>0</v>
          </cell>
          <cell r="CE2809">
            <v>0</v>
          </cell>
        </row>
        <row r="2810">
          <cell r="BY2810">
            <v>0</v>
          </cell>
          <cell r="BZ2810">
            <v>0</v>
          </cell>
          <cell r="CA2810">
            <v>0</v>
          </cell>
          <cell r="CB2810">
            <v>0</v>
          </cell>
          <cell r="CC2810">
            <v>0</v>
          </cell>
          <cell r="CD2810">
            <v>0</v>
          </cell>
          <cell r="CE2810">
            <v>0</v>
          </cell>
        </row>
        <row r="2811">
          <cell r="BY2811">
            <v>0</v>
          </cell>
          <cell r="BZ2811">
            <v>0</v>
          </cell>
          <cell r="CA2811">
            <v>0</v>
          </cell>
          <cell r="CB2811">
            <v>0</v>
          </cell>
          <cell r="CC2811">
            <v>0</v>
          </cell>
          <cell r="CD2811">
            <v>0</v>
          </cell>
          <cell r="CE2811">
            <v>0</v>
          </cell>
        </row>
        <row r="2812">
          <cell r="BY2812">
            <v>0</v>
          </cell>
          <cell r="BZ2812">
            <v>0</v>
          </cell>
          <cell r="CA2812">
            <v>0</v>
          </cell>
          <cell r="CB2812">
            <v>0</v>
          </cell>
          <cell r="CC2812">
            <v>0</v>
          </cell>
          <cell r="CD2812">
            <v>0</v>
          </cell>
          <cell r="CE2812">
            <v>0</v>
          </cell>
        </row>
        <row r="2813">
          <cell r="BY2813">
            <v>0</v>
          </cell>
          <cell r="BZ2813">
            <v>0</v>
          </cell>
          <cell r="CA2813">
            <v>0</v>
          </cell>
          <cell r="CB2813">
            <v>0</v>
          </cell>
          <cell r="CC2813">
            <v>0</v>
          </cell>
          <cell r="CD2813">
            <v>0</v>
          </cell>
          <cell r="CE2813">
            <v>0</v>
          </cell>
        </row>
        <row r="2814">
          <cell r="BY2814">
            <v>0</v>
          </cell>
          <cell r="BZ2814">
            <v>0</v>
          </cell>
          <cell r="CA2814">
            <v>0</v>
          </cell>
          <cell r="CB2814">
            <v>0</v>
          </cell>
          <cell r="CC2814">
            <v>0</v>
          </cell>
          <cell r="CD2814">
            <v>0</v>
          </cell>
          <cell r="CE2814">
            <v>0</v>
          </cell>
        </row>
        <row r="2815">
          <cell r="BY2815">
            <v>0</v>
          </cell>
          <cell r="BZ2815">
            <v>0</v>
          </cell>
          <cell r="CA2815">
            <v>0</v>
          </cell>
          <cell r="CB2815">
            <v>0</v>
          </cell>
          <cell r="CC2815">
            <v>0</v>
          </cell>
          <cell r="CD2815">
            <v>0</v>
          </cell>
          <cell r="CE2815">
            <v>0</v>
          </cell>
        </row>
        <row r="2816">
          <cell r="BY2816">
            <v>0</v>
          </cell>
          <cell r="BZ2816">
            <v>0</v>
          </cell>
          <cell r="CA2816">
            <v>0</v>
          </cell>
          <cell r="CB2816">
            <v>0</v>
          </cell>
          <cell r="CC2816">
            <v>0</v>
          </cell>
          <cell r="CD2816">
            <v>0</v>
          </cell>
          <cell r="CE2816">
            <v>0</v>
          </cell>
        </row>
        <row r="2817">
          <cell r="BY2817">
            <v>0</v>
          </cell>
          <cell r="BZ2817">
            <v>0</v>
          </cell>
          <cell r="CA2817">
            <v>0</v>
          </cell>
          <cell r="CB2817">
            <v>0</v>
          </cell>
          <cell r="CC2817">
            <v>0</v>
          </cell>
          <cell r="CD2817">
            <v>0</v>
          </cell>
          <cell r="CE2817">
            <v>0</v>
          </cell>
        </row>
        <row r="2818">
          <cell r="BY2818">
            <v>0</v>
          </cell>
          <cell r="BZ2818">
            <v>0</v>
          </cell>
          <cell r="CA2818">
            <v>0</v>
          </cell>
          <cell r="CB2818">
            <v>0</v>
          </cell>
          <cell r="CC2818">
            <v>0</v>
          </cell>
          <cell r="CD2818">
            <v>0</v>
          </cell>
          <cell r="CE2818">
            <v>0</v>
          </cell>
        </row>
        <row r="2819">
          <cell r="BY2819">
            <v>0</v>
          </cell>
          <cell r="BZ2819">
            <v>0</v>
          </cell>
          <cell r="CA2819">
            <v>0</v>
          </cell>
          <cell r="CB2819">
            <v>0</v>
          </cell>
          <cell r="CC2819">
            <v>0</v>
          </cell>
          <cell r="CD2819">
            <v>0</v>
          </cell>
          <cell r="CE2819">
            <v>0</v>
          </cell>
        </row>
        <row r="2820">
          <cell r="BY2820">
            <v>0</v>
          </cell>
          <cell r="BZ2820">
            <v>0</v>
          </cell>
          <cell r="CA2820">
            <v>0</v>
          </cell>
          <cell r="CB2820">
            <v>0</v>
          </cell>
          <cell r="CC2820">
            <v>0</v>
          </cell>
          <cell r="CD2820">
            <v>0</v>
          </cell>
          <cell r="CE2820">
            <v>0</v>
          </cell>
        </row>
        <row r="2821">
          <cell r="BY2821">
            <v>0</v>
          </cell>
          <cell r="BZ2821">
            <v>0</v>
          </cell>
          <cell r="CA2821">
            <v>0</v>
          </cell>
          <cell r="CB2821">
            <v>0</v>
          </cell>
          <cell r="CC2821">
            <v>0</v>
          </cell>
          <cell r="CD2821">
            <v>0</v>
          </cell>
          <cell r="CE2821">
            <v>0</v>
          </cell>
        </row>
        <row r="2822">
          <cell r="BY2822">
            <v>0</v>
          </cell>
          <cell r="BZ2822">
            <v>0</v>
          </cell>
          <cell r="CA2822">
            <v>0</v>
          </cell>
          <cell r="CB2822">
            <v>0</v>
          </cell>
          <cell r="CC2822">
            <v>0</v>
          </cell>
          <cell r="CD2822">
            <v>0</v>
          </cell>
          <cell r="CE2822">
            <v>0</v>
          </cell>
        </row>
        <row r="2823">
          <cell r="BY2823">
            <v>0</v>
          </cell>
          <cell r="BZ2823">
            <v>0</v>
          </cell>
          <cell r="CA2823">
            <v>0</v>
          </cell>
          <cell r="CB2823">
            <v>0</v>
          </cell>
          <cell r="CC2823">
            <v>0</v>
          </cell>
          <cell r="CD2823">
            <v>0</v>
          </cell>
          <cell r="CE2823">
            <v>0</v>
          </cell>
        </row>
        <row r="2824">
          <cell r="BY2824">
            <v>0</v>
          </cell>
          <cell r="BZ2824">
            <v>0</v>
          </cell>
          <cell r="CA2824">
            <v>0</v>
          </cell>
          <cell r="CB2824">
            <v>0</v>
          </cell>
          <cell r="CC2824">
            <v>0</v>
          </cell>
          <cell r="CD2824">
            <v>0</v>
          </cell>
          <cell r="CE2824">
            <v>0</v>
          </cell>
        </row>
        <row r="2825">
          <cell r="BY2825">
            <v>0</v>
          </cell>
          <cell r="BZ2825">
            <v>0</v>
          </cell>
          <cell r="CA2825">
            <v>0</v>
          </cell>
          <cell r="CB2825">
            <v>0</v>
          </cell>
          <cell r="CC2825">
            <v>0</v>
          </cell>
          <cell r="CD2825">
            <v>0</v>
          </cell>
          <cell r="CE2825">
            <v>0</v>
          </cell>
        </row>
        <row r="2826">
          <cell r="BY2826">
            <v>0</v>
          </cell>
          <cell r="BZ2826">
            <v>0</v>
          </cell>
          <cell r="CA2826">
            <v>0</v>
          </cell>
          <cell r="CB2826">
            <v>0</v>
          </cell>
          <cell r="CC2826">
            <v>0</v>
          </cell>
          <cell r="CD2826">
            <v>0</v>
          </cell>
          <cell r="CE2826">
            <v>0</v>
          </cell>
        </row>
        <row r="2827">
          <cell r="BY2827">
            <v>0</v>
          </cell>
          <cell r="BZ2827">
            <v>0</v>
          </cell>
          <cell r="CA2827">
            <v>0</v>
          </cell>
          <cell r="CB2827">
            <v>0</v>
          </cell>
          <cell r="CC2827">
            <v>0</v>
          </cell>
          <cell r="CD2827">
            <v>0</v>
          </cell>
          <cell r="CE2827">
            <v>0</v>
          </cell>
        </row>
        <row r="2828">
          <cell r="BY2828">
            <v>0</v>
          </cell>
          <cell r="BZ2828">
            <v>0</v>
          </cell>
          <cell r="CA2828">
            <v>0</v>
          </cell>
          <cell r="CB2828">
            <v>0</v>
          </cell>
          <cell r="CC2828">
            <v>0</v>
          </cell>
          <cell r="CD2828">
            <v>0</v>
          </cell>
          <cell r="CE2828">
            <v>0</v>
          </cell>
        </row>
        <row r="2829">
          <cell r="BY2829">
            <v>0</v>
          </cell>
          <cell r="BZ2829">
            <v>0</v>
          </cell>
          <cell r="CA2829">
            <v>0</v>
          </cell>
          <cell r="CB2829">
            <v>0</v>
          </cell>
          <cell r="CC2829">
            <v>0</v>
          </cell>
          <cell r="CD2829">
            <v>0</v>
          </cell>
          <cell r="CE2829">
            <v>0</v>
          </cell>
        </row>
        <row r="2830">
          <cell r="BY2830">
            <v>0</v>
          </cell>
          <cell r="BZ2830">
            <v>0</v>
          </cell>
          <cell r="CA2830">
            <v>0</v>
          </cell>
          <cell r="CB2830">
            <v>0</v>
          </cell>
          <cell r="CC2830">
            <v>0</v>
          </cell>
          <cell r="CD2830">
            <v>0</v>
          </cell>
          <cell r="CE2830">
            <v>0</v>
          </cell>
        </row>
        <row r="2831">
          <cell r="BY2831">
            <v>0</v>
          </cell>
          <cell r="BZ2831">
            <v>0</v>
          </cell>
          <cell r="CA2831">
            <v>0</v>
          </cell>
          <cell r="CB2831">
            <v>0</v>
          </cell>
          <cell r="CC2831">
            <v>0</v>
          </cell>
          <cell r="CD2831">
            <v>0</v>
          </cell>
          <cell r="CE2831">
            <v>0</v>
          </cell>
        </row>
        <row r="2832">
          <cell r="BY2832">
            <v>0</v>
          </cell>
          <cell r="BZ2832">
            <v>0</v>
          </cell>
          <cell r="CA2832">
            <v>0</v>
          </cell>
          <cell r="CB2832">
            <v>0</v>
          </cell>
          <cell r="CC2832">
            <v>0</v>
          </cell>
          <cell r="CD2832">
            <v>0</v>
          </cell>
          <cell r="CE2832">
            <v>0</v>
          </cell>
        </row>
        <row r="2833">
          <cell r="BY2833">
            <v>0</v>
          </cell>
          <cell r="BZ2833">
            <v>0</v>
          </cell>
          <cell r="CA2833">
            <v>0</v>
          </cell>
          <cell r="CB2833">
            <v>0</v>
          </cell>
          <cell r="CC2833">
            <v>0</v>
          </cell>
          <cell r="CD2833">
            <v>0</v>
          </cell>
          <cell r="CE2833">
            <v>0</v>
          </cell>
        </row>
        <row r="2834">
          <cell r="BY2834">
            <v>0</v>
          </cell>
          <cell r="BZ2834">
            <v>0</v>
          </cell>
          <cell r="CA2834">
            <v>0</v>
          </cell>
          <cell r="CB2834">
            <v>0</v>
          </cell>
          <cell r="CC2834">
            <v>0</v>
          </cell>
          <cell r="CD2834">
            <v>0</v>
          </cell>
          <cell r="CE2834">
            <v>0</v>
          </cell>
        </row>
        <row r="2835">
          <cell r="BY2835">
            <v>0</v>
          </cell>
          <cell r="BZ2835">
            <v>0</v>
          </cell>
          <cell r="CA2835">
            <v>0</v>
          </cell>
          <cell r="CB2835">
            <v>0</v>
          </cell>
          <cell r="CC2835">
            <v>0</v>
          </cell>
          <cell r="CD2835">
            <v>0</v>
          </cell>
          <cell r="CE2835">
            <v>0</v>
          </cell>
        </row>
        <row r="2836">
          <cell r="BY2836">
            <v>0</v>
          </cell>
          <cell r="BZ2836">
            <v>0</v>
          </cell>
          <cell r="CA2836">
            <v>0</v>
          </cell>
          <cell r="CB2836">
            <v>0</v>
          </cell>
          <cell r="CC2836">
            <v>0</v>
          </cell>
          <cell r="CD2836">
            <v>0</v>
          </cell>
          <cell r="CE2836">
            <v>0</v>
          </cell>
        </row>
        <row r="2837">
          <cell r="BY2837">
            <v>0</v>
          </cell>
          <cell r="BZ2837">
            <v>0</v>
          </cell>
          <cell r="CA2837">
            <v>0</v>
          </cell>
          <cell r="CB2837">
            <v>0</v>
          </cell>
          <cell r="CC2837">
            <v>0</v>
          </cell>
          <cell r="CD2837">
            <v>0</v>
          </cell>
          <cell r="CE2837">
            <v>0</v>
          </cell>
        </row>
        <row r="2838">
          <cell r="BY2838">
            <v>0</v>
          </cell>
          <cell r="BZ2838">
            <v>0</v>
          </cell>
          <cell r="CA2838">
            <v>0</v>
          </cell>
          <cell r="CB2838">
            <v>0</v>
          </cell>
          <cell r="CC2838">
            <v>0</v>
          </cell>
          <cell r="CD2838">
            <v>0</v>
          </cell>
          <cell r="CE2838">
            <v>0</v>
          </cell>
        </row>
        <row r="2839">
          <cell r="BY2839">
            <v>0</v>
          </cell>
          <cell r="BZ2839">
            <v>0</v>
          </cell>
          <cell r="CA2839">
            <v>0</v>
          </cell>
          <cell r="CB2839">
            <v>0</v>
          </cell>
          <cell r="CC2839">
            <v>0</v>
          </cell>
          <cell r="CD2839">
            <v>0</v>
          </cell>
          <cell r="CE2839">
            <v>0</v>
          </cell>
        </row>
        <row r="2840">
          <cell r="BY2840">
            <v>0</v>
          </cell>
          <cell r="BZ2840">
            <v>0</v>
          </cell>
          <cell r="CA2840">
            <v>0</v>
          </cell>
          <cell r="CB2840">
            <v>0</v>
          </cell>
          <cell r="CC2840">
            <v>0</v>
          </cell>
          <cell r="CD2840">
            <v>0</v>
          </cell>
          <cell r="CE2840">
            <v>0</v>
          </cell>
        </row>
        <row r="2841">
          <cell r="BY2841">
            <v>0</v>
          </cell>
          <cell r="BZ2841">
            <v>0</v>
          </cell>
          <cell r="CA2841">
            <v>0</v>
          </cell>
          <cell r="CB2841">
            <v>0</v>
          </cell>
          <cell r="CC2841">
            <v>0</v>
          </cell>
          <cell r="CD2841">
            <v>0</v>
          </cell>
          <cell r="CE2841">
            <v>0</v>
          </cell>
        </row>
        <row r="2842">
          <cell r="BY2842">
            <v>0</v>
          </cell>
          <cell r="BZ2842">
            <v>0</v>
          </cell>
          <cell r="CA2842">
            <v>0</v>
          </cell>
          <cell r="CB2842">
            <v>0</v>
          </cell>
          <cell r="CC2842">
            <v>0</v>
          </cell>
          <cell r="CD2842">
            <v>0</v>
          </cell>
          <cell r="CE2842">
            <v>0</v>
          </cell>
        </row>
        <row r="2843">
          <cell r="BY2843">
            <v>0</v>
          </cell>
          <cell r="BZ2843">
            <v>0</v>
          </cell>
          <cell r="CA2843">
            <v>0</v>
          </cell>
          <cell r="CB2843">
            <v>0</v>
          </cell>
          <cell r="CC2843">
            <v>0</v>
          </cell>
          <cell r="CD2843">
            <v>0</v>
          </cell>
          <cell r="CE2843">
            <v>0</v>
          </cell>
        </row>
        <row r="2844">
          <cell r="BY2844">
            <v>0</v>
          </cell>
          <cell r="BZ2844">
            <v>0</v>
          </cell>
          <cell r="CA2844">
            <v>0</v>
          </cell>
          <cell r="CB2844">
            <v>0</v>
          </cell>
          <cell r="CC2844">
            <v>0</v>
          </cell>
          <cell r="CD2844">
            <v>0</v>
          </cell>
          <cell r="CE2844">
            <v>0</v>
          </cell>
        </row>
        <row r="2845">
          <cell r="BY2845">
            <v>0</v>
          </cell>
          <cell r="BZ2845">
            <v>0</v>
          </cell>
          <cell r="CA2845">
            <v>0</v>
          </cell>
          <cell r="CB2845">
            <v>0</v>
          </cell>
          <cell r="CC2845">
            <v>0</v>
          </cell>
          <cell r="CD2845">
            <v>0</v>
          </cell>
          <cell r="CE2845">
            <v>0</v>
          </cell>
        </row>
        <row r="2846">
          <cell r="BY2846">
            <v>0</v>
          </cell>
          <cell r="BZ2846">
            <v>0</v>
          </cell>
          <cell r="CA2846">
            <v>0</v>
          </cell>
          <cell r="CB2846">
            <v>0</v>
          </cell>
          <cell r="CC2846">
            <v>0</v>
          </cell>
          <cell r="CD2846">
            <v>0</v>
          </cell>
          <cell r="CE2846">
            <v>0</v>
          </cell>
        </row>
        <row r="2847">
          <cell r="BY2847">
            <v>0</v>
          </cell>
          <cell r="BZ2847">
            <v>0</v>
          </cell>
          <cell r="CA2847">
            <v>0</v>
          </cell>
          <cell r="CB2847">
            <v>0</v>
          </cell>
          <cell r="CC2847">
            <v>0</v>
          </cell>
          <cell r="CD2847">
            <v>0</v>
          </cell>
          <cell r="CE2847">
            <v>0</v>
          </cell>
        </row>
        <row r="2848">
          <cell r="BY2848">
            <v>0</v>
          </cell>
          <cell r="BZ2848">
            <v>0</v>
          </cell>
          <cell r="CA2848">
            <v>0</v>
          </cell>
          <cell r="CB2848">
            <v>0</v>
          </cell>
          <cell r="CC2848">
            <v>0</v>
          </cell>
          <cell r="CD2848">
            <v>0</v>
          </cell>
          <cell r="CE2848">
            <v>0</v>
          </cell>
        </row>
        <row r="2849">
          <cell r="BY2849">
            <v>0</v>
          </cell>
          <cell r="BZ2849">
            <v>0</v>
          </cell>
          <cell r="CA2849">
            <v>0</v>
          </cell>
          <cell r="CB2849">
            <v>0</v>
          </cell>
          <cell r="CC2849">
            <v>0</v>
          </cell>
          <cell r="CD2849">
            <v>0</v>
          </cell>
          <cell r="CE2849">
            <v>0</v>
          </cell>
        </row>
        <row r="2850">
          <cell r="BY2850">
            <v>0</v>
          </cell>
          <cell r="BZ2850">
            <v>0</v>
          </cell>
          <cell r="CA2850">
            <v>0</v>
          </cell>
          <cell r="CB2850">
            <v>0</v>
          </cell>
          <cell r="CC2850">
            <v>0</v>
          </cell>
          <cell r="CD2850">
            <v>0</v>
          </cell>
          <cell r="CE2850">
            <v>0</v>
          </cell>
        </row>
        <row r="2851">
          <cell r="BY2851">
            <v>0</v>
          </cell>
          <cell r="BZ2851">
            <v>0</v>
          </cell>
          <cell r="CA2851">
            <v>0</v>
          </cell>
          <cell r="CB2851">
            <v>0</v>
          </cell>
          <cell r="CC2851">
            <v>0</v>
          </cell>
          <cell r="CD2851">
            <v>0</v>
          </cell>
          <cell r="CE2851">
            <v>0</v>
          </cell>
        </row>
        <row r="2852">
          <cell r="BY2852">
            <v>0</v>
          </cell>
          <cell r="BZ2852">
            <v>0</v>
          </cell>
          <cell r="CA2852">
            <v>0</v>
          </cell>
          <cell r="CB2852">
            <v>0</v>
          </cell>
          <cell r="CC2852">
            <v>0</v>
          </cell>
          <cell r="CD2852">
            <v>0</v>
          </cell>
          <cell r="CE2852">
            <v>0</v>
          </cell>
        </row>
        <row r="2853">
          <cell r="BY2853">
            <v>0</v>
          </cell>
          <cell r="BZ2853">
            <v>0</v>
          </cell>
          <cell r="CA2853">
            <v>0</v>
          </cell>
          <cell r="CB2853">
            <v>0</v>
          </cell>
          <cell r="CC2853">
            <v>0</v>
          </cell>
          <cell r="CD2853">
            <v>0</v>
          </cell>
          <cell r="CE2853">
            <v>0</v>
          </cell>
        </row>
        <row r="2854">
          <cell r="BY2854">
            <v>0</v>
          </cell>
          <cell r="BZ2854">
            <v>0</v>
          </cell>
          <cell r="CA2854">
            <v>0</v>
          </cell>
          <cell r="CB2854">
            <v>0</v>
          </cell>
          <cell r="CC2854">
            <v>0</v>
          </cell>
          <cell r="CD2854">
            <v>0</v>
          </cell>
          <cell r="CE2854">
            <v>0</v>
          </cell>
        </row>
        <row r="2855">
          <cell r="BY2855">
            <v>0</v>
          </cell>
          <cell r="BZ2855">
            <v>0</v>
          </cell>
          <cell r="CA2855">
            <v>0</v>
          </cell>
          <cell r="CB2855">
            <v>0</v>
          </cell>
          <cell r="CC2855">
            <v>0</v>
          </cell>
          <cell r="CD2855">
            <v>0</v>
          </cell>
          <cell r="CE2855">
            <v>0</v>
          </cell>
        </row>
        <row r="2856">
          <cell r="BY2856">
            <v>0</v>
          </cell>
          <cell r="BZ2856">
            <v>0</v>
          </cell>
          <cell r="CA2856">
            <v>0</v>
          </cell>
          <cell r="CB2856">
            <v>0</v>
          </cell>
          <cell r="CC2856">
            <v>0</v>
          </cell>
          <cell r="CD2856">
            <v>0</v>
          </cell>
          <cell r="CE2856">
            <v>0</v>
          </cell>
        </row>
        <row r="2857">
          <cell r="BY2857">
            <v>0</v>
          </cell>
          <cell r="BZ2857">
            <v>0</v>
          </cell>
          <cell r="CA2857">
            <v>0</v>
          </cell>
          <cell r="CB2857">
            <v>0</v>
          </cell>
          <cell r="CC2857">
            <v>0</v>
          </cell>
          <cell r="CD2857">
            <v>0</v>
          </cell>
          <cell r="CE2857">
            <v>0</v>
          </cell>
        </row>
        <row r="2858">
          <cell r="BY2858">
            <v>0</v>
          </cell>
          <cell r="BZ2858">
            <v>0</v>
          </cell>
          <cell r="CA2858">
            <v>0</v>
          </cell>
          <cell r="CB2858">
            <v>0</v>
          </cell>
          <cell r="CC2858">
            <v>0</v>
          </cell>
          <cell r="CD2858">
            <v>0</v>
          </cell>
          <cell r="CE2858">
            <v>0</v>
          </cell>
        </row>
        <row r="2859">
          <cell r="BY2859">
            <v>0</v>
          </cell>
          <cell r="BZ2859">
            <v>0</v>
          </cell>
          <cell r="CA2859">
            <v>0</v>
          </cell>
          <cell r="CB2859">
            <v>0</v>
          </cell>
          <cell r="CC2859">
            <v>0</v>
          </cell>
          <cell r="CD2859">
            <v>0</v>
          </cell>
          <cell r="CE2859">
            <v>0</v>
          </cell>
        </row>
        <row r="2860">
          <cell r="BY2860">
            <v>0</v>
          </cell>
          <cell r="BZ2860">
            <v>0</v>
          </cell>
          <cell r="CA2860">
            <v>0</v>
          </cell>
          <cell r="CB2860">
            <v>0</v>
          </cell>
          <cell r="CC2860">
            <v>0</v>
          </cell>
          <cell r="CD2860">
            <v>0</v>
          </cell>
          <cell r="CE2860">
            <v>0</v>
          </cell>
        </row>
        <row r="2861">
          <cell r="BY2861">
            <v>0</v>
          </cell>
          <cell r="BZ2861">
            <v>0</v>
          </cell>
          <cell r="CA2861">
            <v>0</v>
          </cell>
          <cell r="CB2861">
            <v>0</v>
          </cell>
          <cell r="CC2861">
            <v>0</v>
          </cell>
          <cell r="CD2861">
            <v>0</v>
          </cell>
          <cell r="CE2861">
            <v>0</v>
          </cell>
        </row>
        <row r="2862">
          <cell r="BY2862">
            <v>0</v>
          </cell>
          <cell r="BZ2862">
            <v>0</v>
          </cell>
          <cell r="CA2862">
            <v>0</v>
          </cell>
          <cell r="CB2862">
            <v>0</v>
          </cell>
          <cell r="CC2862">
            <v>0</v>
          </cell>
          <cell r="CD2862">
            <v>0</v>
          </cell>
          <cell r="CE2862">
            <v>0</v>
          </cell>
        </row>
        <row r="2863">
          <cell r="BY2863">
            <v>0</v>
          </cell>
          <cell r="BZ2863">
            <v>0</v>
          </cell>
          <cell r="CA2863">
            <v>0</v>
          </cell>
          <cell r="CB2863">
            <v>0</v>
          </cell>
          <cell r="CC2863">
            <v>0</v>
          </cell>
          <cell r="CD2863">
            <v>0</v>
          </cell>
          <cell r="CE2863">
            <v>0</v>
          </cell>
        </row>
        <row r="2864">
          <cell r="BY2864">
            <v>0</v>
          </cell>
          <cell r="BZ2864">
            <v>0</v>
          </cell>
          <cell r="CA2864">
            <v>0</v>
          </cell>
          <cell r="CB2864">
            <v>0</v>
          </cell>
          <cell r="CC2864">
            <v>0</v>
          </cell>
          <cell r="CD2864">
            <v>0</v>
          </cell>
          <cell r="CE2864">
            <v>0</v>
          </cell>
        </row>
        <row r="2865">
          <cell r="BY2865">
            <v>0</v>
          </cell>
          <cell r="BZ2865">
            <v>0</v>
          </cell>
          <cell r="CA2865">
            <v>0</v>
          </cell>
          <cell r="CB2865">
            <v>0</v>
          </cell>
          <cell r="CC2865">
            <v>0</v>
          </cell>
          <cell r="CD2865">
            <v>0</v>
          </cell>
          <cell r="CE2865">
            <v>0</v>
          </cell>
        </row>
        <row r="2866">
          <cell r="BY2866">
            <v>0</v>
          </cell>
          <cell r="BZ2866">
            <v>0</v>
          </cell>
          <cell r="CA2866">
            <v>0</v>
          </cell>
          <cell r="CB2866">
            <v>0</v>
          </cell>
          <cell r="CC2866">
            <v>0</v>
          </cell>
          <cell r="CD2866">
            <v>0</v>
          </cell>
          <cell r="CE2866">
            <v>0</v>
          </cell>
        </row>
        <row r="2867">
          <cell r="BY2867">
            <v>0</v>
          </cell>
          <cell r="BZ2867">
            <v>0</v>
          </cell>
          <cell r="CA2867">
            <v>0</v>
          </cell>
          <cell r="CB2867">
            <v>0</v>
          </cell>
          <cell r="CC2867">
            <v>0</v>
          </cell>
          <cell r="CD2867">
            <v>0</v>
          </cell>
          <cell r="CE2867">
            <v>0</v>
          </cell>
        </row>
        <row r="2868">
          <cell r="BY2868">
            <v>0</v>
          </cell>
          <cell r="BZ2868">
            <v>0</v>
          </cell>
          <cell r="CA2868">
            <v>0</v>
          </cell>
          <cell r="CB2868">
            <v>0</v>
          </cell>
          <cell r="CC2868">
            <v>0</v>
          </cell>
          <cell r="CD2868">
            <v>0</v>
          </cell>
          <cell r="CE2868">
            <v>0</v>
          </cell>
        </row>
        <row r="2869">
          <cell r="BY2869">
            <v>0</v>
          </cell>
          <cell r="BZ2869">
            <v>0</v>
          </cell>
          <cell r="CA2869">
            <v>0</v>
          </cell>
          <cell r="CB2869">
            <v>0</v>
          </cell>
          <cell r="CC2869">
            <v>0</v>
          </cell>
          <cell r="CD2869">
            <v>0</v>
          </cell>
          <cell r="CE2869">
            <v>0</v>
          </cell>
        </row>
        <row r="2870">
          <cell r="BY2870">
            <v>0</v>
          </cell>
          <cell r="BZ2870">
            <v>0</v>
          </cell>
          <cell r="CA2870">
            <v>0</v>
          </cell>
          <cell r="CB2870">
            <v>0</v>
          </cell>
          <cell r="CC2870">
            <v>0</v>
          </cell>
          <cell r="CD2870">
            <v>0</v>
          </cell>
          <cell r="CE2870">
            <v>0</v>
          </cell>
        </row>
        <row r="2871">
          <cell r="BY2871">
            <v>0</v>
          </cell>
          <cell r="BZ2871">
            <v>0</v>
          </cell>
          <cell r="CA2871">
            <v>0</v>
          </cell>
          <cell r="CB2871">
            <v>0</v>
          </cell>
          <cell r="CC2871">
            <v>0</v>
          </cell>
          <cell r="CD2871">
            <v>0</v>
          </cell>
          <cell r="CE2871">
            <v>0</v>
          </cell>
        </row>
        <row r="2872">
          <cell r="BY2872">
            <v>0</v>
          </cell>
          <cell r="BZ2872">
            <v>0</v>
          </cell>
          <cell r="CA2872">
            <v>0</v>
          </cell>
          <cell r="CB2872">
            <v>0</v>
          </cell>
          <cell r="CC2872">
            <v>0</v>
          </cell>
          <cell r="CD2872">
            <v>0</v>
          </cell>
          <cell r="CE2872">
            <v>0</v>
          </cell>
        </row>
        <row r="2873">
          <cell r="BY2873">
            <v>0</v>
          </cell>
          <cell r="BZ2873">
            <v>0</v>
          </cell>
          <cell r="CA2873">
            <v>0</v>
          </cell>
          <cell r="CB2873">
            <v>0</v>
          </cell>
          <cell r="CC2873">
            <v>0</v>
          </cell>
          <cell r="CD2873">
            <v>0</v>
          </cell>
          <cell r="CE2873">
            <v>0</v>
          </cell>
        </row>
        <row r="2874">
          <cell r="BY2874">
            <v>0</v>
          </cell>
          <cell r="BZ2874">
            <v>0</v>
          </cell>
          <cell r="CA2874">
            <v>0</v>
          </cell>
          <cell r="CB2874">
            <v>0</v>
          </cell>
          <cell r="CC2874">
            <v>0</v>
          </cell>
          <cell r="CD2874">
            <v>0</v>
          </cell>
          <cell r="CE2874">
            <v>0</v>
          </cell>
        </row>
        <row r="2875">
          <cell r="BY2875">
            <v>0</v>
          </cell>
          <cell r="BZ2875">
            <v>0</v>
          </cell>
          <cell r="CA2875">
            <v>0</v>
          </cell>
          <cell r="CB2875">
            <v>0</v>
          </cell>
          <cell r="CC2875">
            <v>0</v>
          </cell>
          <cell r="CD2875">
            <v>0</v>
          </cell>
          <cell r="CE2875">
            <v>0</v>
          </cell>
        </row>
        <row r="2876">
          <cell r="BY2876">
            <v>0</v>
          </cell>
          <cell r="BZ2876">
            <v>0</v>
          </cell>
          <cell r="CA2876">
            <v>0</v>
          </cell>
          <cell r="CB2876">
            <v>0</v>
          </cell>
          <cell r="CC2876">
            <v>0</v>
          </cell>
          <cell r="CD2876">
            <v>0</v>
          </cell>
          <cell r="CE2876">
            <v>0</v>
          </cell>
        </row>
        <row r="2877">
          <cell r="BY2877">
            <v>0</v>
          </cell>
          <cell r="BZ2877">
            <v>0</v>
          </cell>
          <cell r="CA2877">
            <v>0</v>
          </cell>
          <cell r="CB2877">
            <v>0</v>
          </cell>
          <cell r="CC2877">
            <v>0</v>
          </cell>
          <cell r="CD2877">
            <v>0</v>
          </cell>
          <cell r="CE2877">
            <v>0</v>
          </cell>
        </row>
        <row r="2878">
          <cell r="BY2878">
            <v>0</v>
          </cell>
          <cell r="BZ2878">
            <v>0</v>
          </cell>
          <cell r="CA2878">
            <v>0</v>
          </cell>
          <cell r="CB2878">
            <v>0</v>
          </cell>
          <cell r="CC2878">
            <v>0</v>
          </cell>
          <cell r="CD2878">
            <v>0</v>
          </cell>
          <cell r="CE2878">
            <v>0</v>
          </cell>
        </row>
        <row r="2879">
          <cell r="BY2879">
            <v>0</v>
          </cell>
          <cell r="BZ2879">
            <v>0</v>
          </cell>
          <cell r="CA2879">
            <v>0</v>
          </cell>
          <cell r="CB2879">
            <v>0</v>
          </cell>
          <cell r="CC2879">
            <v>0</v>
          </cell>
          <cell r="CD2879">
            <v>0</v>
          </cell>
          <cell r="CE2879">
            <v>0</v>
          </cell>
        </row>
        <row r="2880">
          <cell r="BY2880">
            <v>0</v>
          </cell>
          <cell r="BZ2880">
            <v>0</v>
          </cell>
          <cell r="CA2880">
            <v>0</v>
          </cell>
          <cell r="CB2880">
            <v>0</v>
          </cell>
          <cell r="CC2880">
            <v>0</v>
          </cell>
          <cell r="CD2880">
            <v>0</v>
          </cell>
          <cell r="CE2880">
            <v>0</v>
          </cell>
        </row>
        <row r="2881">
          <cell r="BY2881">
            <v>0</v>
          </cell>
          <cell r="BZ2881">
            <v>0</v>
          </cell>
          <cell r="CA2881">
            <v>0</v>
          </cell>
          <cell r="CB2881">
            <v>0</v>
          </cell>
          <cell r="CC2881">
            <v>0</v>
          </cell>
          <cell r="CD2881">
            <v>0</v>
          </cell>
          <cell r="CE2881">
            <v>0</v>
          </cell>
        </row>
        <row r="2882">
          <cell r="BY2882">
            <v>0</v>
          </cell>
          <cell r="BZ2882">
            <v>0</v>
          </cell>
          <cell r="CA2882">
            <v>0</v>
          </cell>
          <cell r="CB2882">
            <v>0</v>
          </cell>
          <cell r="CC2882">
            <v>0</v>
          </cell>
          <cell r="CD2882">
            <v>0</v>
          </cell>
          <cell r="CE2882">
            <v>0</v>
          </cell>
        </row>
        <row r="2883">
          <cell r="BY2883">
            <v>0</v>
          </cell>
          <cell r="BZ2883">
            <v>0</v>
          </cell>
          <cell r="CA2883">
            <v>0</v>
          </cell>
          <cell r="CB2883">
            <v>0</v>
          </cell>
          <cell r="CC2883">
            <v>0</v>
          </cell>
          <cell r="CD2883">
            <v>0</v>
          </cell>
          <cell r="CE2883">
            <v>0</v>
          </cell>
        </row>
        <row r="2884">
          <cell r="BY2884">
            <v>0</v>
          </cell>
          <cell r="BZ2884">
            <v>0</v>
          </cell>
          <cell r="CA2884">
            <v>0</v>
          </cell>
          <cell r="CB2884">
            <v>0</v>
          </cell>
          <cell r="CC2884">
            <v>0</v>
          </cell>
          <cell r="CD2884">
            <v>0</v>
          </cell>
          <cell r="CE2884">
            <v>0</v>
          </cell>
        </row>
        <row r="2885">
          <cell r="BY2885">
            <v>0</v>
          </cell>
          <cell r="BZ2885">
            <v>0</v>
          </cell>
          <cell r="CA2885">
            <v>0</v>
          </cell>
          <cell r="CB2885">
            <v>0</v>
          </cell>
          <cell r="CC2885">
            <v>0</v>
          </cell>
          <cell r="CD2885">
            <v>0</v>
          </cell>
          <cell r="CE2885">
            <v>0</v>
          </cell>
        </row>
        <row r="2886">
          <cell r="BY2886">
            <v>0</v>
          </cell>
          <cell r="BZ2886">
            <v>0</v>
          </cell>
          <cell r="CA2886">
            <v>0</v>
          </cell>
          <cell r="CB2886">
            <v>0</v>
          </cell>
          <cell r="CC2886">
            <v>0</v>
          </cell>
          <cell r="CD2886">
            <v>0</v>
          </cell>
          <cell r="CE2886">
            <v>0</v>
          </cell>
        </row>
        <row r="2887">
          <cell r="BY2887">
            <v>0</v>
          </cell>
          <cell r="BZ2887">
            <v>0</v>
          </cell>
          <cell r="CA2887">
            <v>0</v>
          </cell>
          <cell r="CB2887">
            <v>0</v>
          </cell>
          <cell r="CC2887">
            <v>0</v>
          </cell>
          <cell r="CD2887">
            <v>0</v>
          </cell>
          <cell r="CE2887">
            <v>0</v>
          </cell>
        </row>
        <row r="2888">
          <cell r="BY2888">
            <v>0</v>
          </cell>
          <cell r="BZ2888">
            <v>0</v>
          </cell>
          <cell r="CA2888">
            <v>0</v>
          </cell>
          <cell r="CB2888">
            <v>0</v>
          </cell>
          <cell r="CC2888">
            <v>0</v>
          </cell>
          <cell r="CD2888">
            <v>0</v>
          </cell>
          <cell r="CE2888">
            <v>0</v>
          </cell>
        </row>
        <row r="2889">
          <cell r="BY2889">
            <v>0</v>
          </cell>
          <cell r="BZ2889">
            <v>0</v>
          </cell>
          <cell r="CA2889">
            <v>0</v>
          </cell>
          <cell r="CB2889">
            <v>0</v>
          </cell>
          <cell r="CC2889">
            <v>0</v>
          </cell>
          <cell r="CD2889">
            <v>0</v>
          </cell>
          <cell r="CE2889">
            <v>0</v>
          </cell>
        </row>
        <row r="2890">
          <cell r="BY2890">
            <v>0</v>
          </cell>
          <cell r="BZ2890">
            <v>0</v>
          </cell>
          <cell r="CA2890">
            <v>0</v>
          </cell>
          <cell r="CB2890">
            <v>0</v>
          </cell>
          <cell r="CC2890">
            <v>0</v>
          </cell>
          <cell r="CD2890">
            <v>0</v>
          </cell>
          <cell r="CE2890">
            <v>0</v>
          </cell>
        </row>
        <row r="2891">
          <cell r="BY2891">
            <v>0</v>
          </cell>
          <cell r="BZ2891">
            <v>0</v>
          </cell>
          <cell r="CA2891">
            <v>0</v>
          </cell>
          <cell r="CB2891">
            <v>0</v>
          </cell>
          <cell r="CC2891">
            <v>0</v>
          </cell>
          <cell r="CD2891">
            <v>0</v>
          </cell>
          <cell r="CE2891">
            <v>0</v>
          </cell>
        </row>
        <row r="2892">
          <cell r="BY2892">
            <v>0</v>
          </cell>
          <cell r="BZ2892">
            <v>0</v>
          </cell>
          <cell r="CA2892">
            <v>0</v>
          </cell>
          <cell r="CB2892">
            <v>0</v>
          </cell>
          <cell r="CC2892">
            <v>0</v>
          </cell>
          <cell r="CD2892">
            <v>0</v>
          </cell>
          <cell r="CE2892">
            <v>0</v>
          </cell>
        </row>
        <row r="2893">
          <cell r="BY2893">
            <v>0</v>
          </cell>
          <cell r="BZ2893">
            <v>0</v>
          </cell>
          <cell r="CA2893">
            <v>0</v>
          </cell>
          <cell r="CB2893">
            <v>0</v>
          </cell>
          <cell r="CC2893">
            <v>0</v>
          </cell>
          <cell r="CD2893">
            <v>0</v>
          </cell>
          <cell r="CE2893">
            <v>0</v>
          </cell>
        </row>
        <row r="2894">
          <cell r="BY2894">
            <v>0</v>
          </cell>
          <cell r="BZ2894">
            <v>0</v>
          </cell>
          <cell r="CA2894">
            <v>0</v>
          </cell>
          <cell r="CB2894">
            <v>0</v>
          </cell>
          <cell r="CC2894">
            <v>0</v>
          </cell>
          <cell r="CD2894">
            <v>0</v>
          </cell>
          <cell r="CE2894">
            <v>0</v>
          </cell>
        </row>
        <row r="2895">
          <cell r="BY2895">
            <v>0</v>
          </cell>
          <cell r="BZ2895">
            <v>0</v>
          </cell>
          <cell r="CA2895">
            <v>0</v>
          </cell>
          <cell r="CB2895">
            <v>0</v>
          </cell>
          <cell r="CC2895">
            <v>0</v>
          </cell>
          <cell r="CD2895">
            <v>0</v>
          </cell>
          <cell r="CE2895">
            <v>0</v>
          </cell>
        </row>
        <row r="2896">
          <cell r="BY2896">
            <v>0</v>
          </cell>
          <cell r="BZ2896">
            <v>0</v>
          </cell>
          <cell r="CA2896">
            <v>0</v>
          </cell>
          <cell r="CB2896">
            <v>0</v>
          </cell>
          <cell r="CC2896">
            <v>0</v>
          </cell>
          <cell r="CD2896">
            <v>0</v>
          </cell>
          <cell r="CE2896">
            <v>0</v>
          </cell>
        </row>
        <row r="2897">
          <cell r="BY2897">
            <v>0</v>
          </cell>
          <cell r="BZ2897">
            <v>0</v>
          </cell>
          <cell r="CA2897">
            <v>0</v>
          </cell>
          <cell r="CB2897">
            <v>0</v>
          </cell>
          <cell r="CC2897">
            <v>0</v>
          </cell>
          <cell r="CD2897">
            <v>0</v>
          </cell>
          <cell r="CE2897">
            <v>0</v>
          </cell>
        </row>
        <row r="2898">
          <cell r="BY2898">
            <v>0</v>
          </cell>
          <cell r="BZ2898">
            <v>0</v>
          </cell>
          <cell r="CA2898">
            <v>0</v>
          </cell>
          <cell r="CB2898">
            <v>0</v>
          </cell>
          <cell r="CC2898">
            <v>0</v>
          </cell>
          <cell r="CD2898">
            <v>0</v>
          </cell>
          <cell r="CE2898">
            <v>0</v>
          </cell>
        </row>
        <row r="2899">
          <cell r="BY2899">
            <v>0</v>
          </cell>
          <cell r="BZ2899">
            <v>0</v>
          </cell>
          <cell r="CA2899">
            <v>0</v>
          </cell>
          <cell r="CB2899">
            <v>0</v>
          </cell>
          <cell r="CC2899">
            <v>0</v>
          </cell>
          <cell r="CD2899">
            <v>0</v>
          </cell>
          <cell r="CE2899">
            <v>0</v>
          </cell>
        </row>
        <row r="2900">
          <cell r="BY2900">
            <v>0</v>
          </cell>
          <cell r="BZ2900">
            <v>0</v>
          </cell>
          <cell r="CA2900">
            <v>0</v>
          </cell>
          <cell r="CB2900">
            <v>0</v>
          </cell>
          <cell r="CC2900">
            <v>0</v>
          </cell>
          <cell r="CD2900">
            <v>0</v>
          </cell>
          <cell r="CE2900">
            <v>0</v>
          </cell>
        </row>
        <row r="2901">
          <cell r="BY2901">
            <v>0</v>
          </cell>
          <cell r="BZ2901">
            <v>0</v>
          </cell>
          <cell r="CA2901">
            <v>0</v>
          </cell>
          <cell r="CB2901">
            <v>0</v>
          </cell>
          <cell r="CC2901">
            <v>0</v>
          </cell>
          <cell r="CD2901">
            <v>0</v>
          </cell>
          <cell r="CE2901">
            <v>0</v>
          </cell>
        </row>
        <row r="2902">
          <cell r="BY2902">
            <v>0</v>
          </cell>
          <cell r="BZ2902">
            <v>0</v>
          </cell>
          <cell r="CA2902">
            <v>0</v>
          </cell>
          <cell r="CB2902">
            <v>0</v>
          </cell>
          <cell r="CC2902">
            <v>0</v>
          </cell>
          <cell r="CD2902">
            <v>0</v>
          </cell>
          <cell r="CE2902">
            <v>0</v>
          </cell>
        </row>
        <row r="2903">
          <cell r="BY2903">
            <v>0</v>
          </cell>
          <cell r="BZ2903">
            <v>0</v>
          </cell>
          <cell r="CA2903">
            <v>0</v>
          </cell>
          <cell r="CB2903">
            <v>0</v>
          </cell>
          <cell r="CC2903">
            <v>0</v>
          </cell>
          <cell r="CD2903">
            <v>0</v>
          </cell>
          <cell r="CE2903">
            <v>0</v>
          </cell>
        </row>
        <row r="2904">
          <cell r="BY2904">
            <v>0</v>
          </cell>
          <cell r="BZ2904">
            <v>0</v>
          </cell>
          <cell r="CA2904">
            <v>0</v>
          </cell>
          <cell r="CB2904">
            <v>0</v>
          </cell>
          <cell r="CC2904">
            <v>0</v>
          </cell>
          <cell r="CD2904">
            <v>0</v>
          </cell>
          <cell r="CE2904">
            <v>0</v>
          </cell>
        </row>
        <row r="2905">
          <cell r="BY2905">
            <v>0</v>
          </cell>
          <cell r="BZ2905">
            <v>0</v>
          </cell>
          <cell r="CA2905">
            <v>0</v>
          </cell>
          <cell r="CB2905">
            <v>0</v>
          </cell>
          <cell r="CC2905">
            <v>0</v>
          </cell>
          <cell r="CD2905">
            <v>0</v>
          </cell>
          <cell r="CE2905">
            <v>0</v>
          </cell>
        </row>
        <row r="2906">
          <cell r="BY2906">
            <v>0</v>
          </cell>
          <cell r="BZ2906">
            <v>0</v>
          </cell>
          <cell r="CA2906">
            <v>0</v>
          </cell>
          <cell r="CB2906">
            <v>0</v>
          </cell>
          <cell r="CC2906">
            <v>0</v>
          </cell>
          <cell r="CD2906">
            <v>0</v>
          </cell>
          <cell r="CE2906">
            <v>0</v>
          </cell>
        </row>
        <row r="2907">
          <cell r="BY2907">
            <v>0</v>
          </cell>
          <cell r="BZ2907">
            <v>0</v>
          </cell>
          <cell r="CA2907">
            <v>0</v>
          </cell>
          <cell r="CB2907">
            <v>0</v>
          </cell>
          <cell r="CC2907">
            <v>0</v>
          </cell>
          <cell r="CD2907">
            <v>0</v>
          </cell>
          <cell r="CE2907">
            <v>0</v>
          </cell>
        </row>
        <row r="2908">
          <cell r="BY2908">
            <v>0</v>
          </cell>
          <cell r="BZ2908">
            <v>0</v>
          </cell>
          <cell r="CA2908">
            <v>0</v>
          </cell>
          <cell r="CB2908">
            <v>0</v>
          </cell>
          <cell r="CC2908">
            <v>0</v>
          </cell>
          <cell r="CD2908">
            <v>0</v>
          </cell>
          <cell r="CE2908">
            <v>0</v>
          </cell>
        </row>
        <row r="2909">
          <cell r="BY2909">
            <v>0</v>
          </cell>
          <cell r="BZ2909">
            <v>0</v>
          </cell>
          <cell r="CA2909">
            <v>0</v>
          </cell>
          <cell r="CB2909">
            <v>0</v>
          </cell>
          <cell r="CC2909">
            <v>0</v>
          </cell>
          <cell r="CD2909">
            <v>0</v>
          </cell>
          <cell r="CE2909">
            <v>0</v>
          </cell>
        </row>
        <row r="2910">
          <cell r="BY2910">
            <v>0</v>
          </cell>
          <cell r="BZ2910">
            <v>0</v>
          </cell>
          <cell r="CA2910">
            <v>0</v>
          </cell>
          <cell r="CB2910">
            <v>0</v>
          </cell>
          <cell r="CC2910">
            <v>0</v>
          </cell>
          <cell r="CD2910">
            <v>0</v>
          </cell>
          <cell r="CE2910">
            <v>0</v>
          </cell>
        </row>
        <row r="2911">
          <cell r="BY2911">
            <v>0</v>
          </cell>
          <cell r="BZ2911">
            <v>0</v>
          </cell>
          <cell r="CA2911">
            <v>0</v>
          </cell>
          <cell r="CB2911">
            <v>0</v>
          </cell>
          <cell r="CC2911">
            <v>0</v>
          </cell>
          <cell r="CD2911">
            <v>0</v>
          </cell>
          <cell r="CE2911">
            <v>0</v>
          </cell>
        </row>
        <row r="2912">
          <cell r="BY2912">
            <v>0</v>
          </cell>
          <cell r="BZ2912">
            <v>0</v>
          </cell>
          <cell r="CA2912">
            <v>0</v>
          </cell>
          <cell r="CB2912">
            <v>0</v>
          </cell>
          <cell r="CC2912">
            <v>0</v>
          </cell>
          <cell r="CD2912">
            <v>0</v>
          </cell>
          <cell r="CE2912">
            <v>0</v>
          </cell>
        </row>
        <row r="2913">
          <cell r="BY2913">
            <v>0</v>
          </cell>
          <cell r="BZ2913">
            <v>0</v>
          </cell>
          <cell r="CA2913">
            <v>0</v>
          </cell>
          <cell r="CB2913">
            <v>0</v>
          </cell>
          <cell r="CC2913">
            <v>0</v>
          </cell>
          <cell r="CD2913">
            <v>0</v>
          </cell>
          <cell r="CE2913">
            <v>0</v>
          </cell>
        </row>
        <row r="2914">
          <cell r="BY2914">
            <v>0</v>
          </cell>
          <cell r="BZ2914">
            <v>0</v>
          </cell>
          <cell r="CA2914">
            <v>0</v>
          </cell>
          <cell r="CB2914">
            <v>0</v>
          </cell>
          <cell r="CC2914">
            <v>0</v>
          </cell>
          <cell r="CD2914">
            <v>0</v>
          </cell>
          <cell r="CE2914">
            <v>0</v>
          </cell>
        </row>
        <row r="2915">
          <cell r="BY2915">
            <v>0</v>
          </cell>
          <cell r="BZ2915">
            <v>0</v>
          </cell>
          <cell r="CA2915">
            <v>0</v>
          </cell>
          <cell r="CB2915">
            <v>0</v>
          </cell>
          <cell r="CC2915">
            <v>0</v>
          </cell>
          <cell r="CD2915">
            <v>0</v>
          </cell>
          <cell r="CE2915">
            <v>0</v>
          </cell>
        </row>
        <row r="2916">
          <cell r="BY2916">
            <v>0</v>
          </cell>
          <cell r="BZ2916">
            <v>0</v>
          </cell>
          <cell r="CA2916">
            <v>0</v>
          </cell>
          <cell r="CB2916">
            <v>0</v>
          </cell>
          <cell r="CC2916">
            <v>0</v>
          </cell>
          <cell r="CD2916">
            <v>0</v>
          </cell>
          <cell r="CE2916">
            <v>0</v>
          </cell>
        </row>
        <row r="2917">
          <cell r="BY2917">
            <v>0</v>
          </cell>
          <cell r="BZ2917">
            <v>0</v>
          </cell>
          <cell r="CA2917">
            <v>0</v>
          </cell>
          <cell r="CB2917">
            <v>0</v>
          </cell>
          <cell r="CC2917">
            <v>0</v>
          </cell>
          <cell r="CD2917">
            <v>0</v>
          </cell>
          <cell r="CE2917">
            <v>0</v>
          </cell>
        </row>
        <row r="2918">
          <cell r="BY2918">
            <v>0</v>
          </cell>
          <cell r="BZ2918">
            <v>0</v>
          </cell>
          <cell r="CA2918">
            <v>0</v>
          </cell>
          <cell r="CB2918">
            <v>0</v>
          </cell>
          <cell r="CC2918">
            <v>0</v>
          </cell>
          <cell r="CD2918">
            <v>0</v>
          </cell>
          <cell r="CE2918">
            <v>0</v>
          </cell>
        </row>
        <row r="2919">
          <cell r="BY2919">
            <v>0</v>
          </cell>
          <cell r="BZ2919">
            <v>0</v>
          </cell>
          <cell r="CA2919">
            <v>0</v>
          </cell>
          <cell r="CB2919">
            <v>0</v>
          </cell>
          <cell r="CC2919">
            <v>0</v>
          </cell>
          <cell r="CD2919">
            <v>0</v>
          </cell>
          <cell r="CE2919">
            <v>0</v>
          </cell>
        </row>
        <row r="2920">
          <cell r="BY2920">
            <v>0</v>
          </cell>
          <cell r="BZ2920">
            <v>0</v>
          </cell>
          <cell r="CA2920">
            <v>0</v>
          </cell>
          <cell r="CB2920">
            <v>0</v>
          </cell>
          <cell r="CC2920">
            <v>0</v>
          </cell>
          <cell r="CD2920">
            <v>0</v>
          </cell>
          <cell r="CE2920">
            <v>0</v>
          </cell>
        </row>
        <row r="2921">
          <cell r="BY2921">
            <v>0</v>
          </cell>
          <cell r="BZ2921">
            <v>0</v>
          </cell>
          <cell r="CA2921">
            <v>0</v>
          </cell>
          <cell r="CB2921">
            <v>0</v>
          </cell>
          <cell r="CC2921">
            <v>0</v>
          </cell>
          <cell r="CD2921">
            <v>0</v>
          </cell>
          <cell r="CE2921">
            <v>0</v>
          </cell>
        </row>
        <row r="2922">
          <cell r="BY2922">
            <v>0</v>
          </cell>
          <cell r="BZ2922">
            <v>0</v>
          </cell>
          <cell r="CA2922">
            <v>0</v>
          </cell>
          <cell r="CB2922">
            <v>0</v>
          </cell>
          <cell r="CC2922">
            <v>0</v>
          </cell>
          <cell r="CD2922">
            <v>0</v>
          </cell>
          <cell r="CE2922">
            <v>0</v>
          </cell>
        </row>
        <row r="2923">
          <cell r="BY2923">
            <v>0</v>
          </cell>
          <cell r="BZ2923">
            <v>0</v>
          </cell>
          <cell r="CA2923">
            <v>0</v>
          </cell>
          <cell r="CB2923">
            <v>0</v>
          </cell>
          <cell r="CC2923">
            <v>0</v>
          </cell>
          <cell r="CD2923">
            <v>0</v>
          </cell>
          <cell r="CE2923">
            <v>0</v>
          </cell>
        </row>
        <row r="2924">
          <cell r="BY2924">
            <v>0</v>
          </cell>
          <cell r="BZ2924">
            <v>0</v>
          </cell>
          <cell r="CA2924">
            <v>0</v>
          </cell>
          <cell r="CB2924">
            <v>0</v>
          </cell>
          <cell r="CC2924">
            <v>0</v>
          </cell>
          <cell r="CD2924">
            <v>0</v>
          </cell>
          <cell r="CE2924">
            <v>0</v>
          </cell>
        </row>
        <row r="2925">
          <cell r="BY2925">
            <v>0</v>
          </cell>
          <cell r="BZ2925">
            <v>0</v>
          </cell>
          <cell r="CA2925">
            <v>0</v>
          </cell>
          <cell r="CB2925">
            <v>0</v>
          </cell>
          <cell r="CC2925">
            <v>0</v>
          </cell>
          <cell r="CD2925">
            <v>0</v>
          </cell>
          <cell r="CE2925">
            <v>0</v>
          </cell>
        </row>
        <row r="2926">
          <cell r="BY2926">
            <v>0</v>
          </cell>
          <cell r="BZ2926">
            <v>0</v>
          </cell>
          <cell r="CA2926">
            <v>0</v>
          </cell>
          <cell r="CB2926">
            <v>0</v>
          </cell>
          <cell r="CC2926">
            <v>0</v>
          </cell>
          <cell r="CD2926">
            <v>0</v>
          </cell>
          <cell r="CE2926">
            <v>0</v>
          </cell>
        </row>
        <row r="2927">
          <cell r="BY2927">
            <v>0</v>
          </cell>
          <cell r="BZ2927">
            <v>0</v>
          </cell>
          <cell r="CA2927">
            <v>0</v>
          </cell>
          <cell r="CB2927">
            <v>0</v>
          </cell>
          <cell r="CC2927">
            <v>0</v>
          </cell>
          <cell r="CD2927">
            <v>0</v>
          </cell>
          <cell r="CE2927">
            <v>0</v>
          </cell>
        </row>
        <row r="2928">
          <cell r="BY2928">
            <v>0</v>
          </cell>
          <cell r="BZ2928">
            <v>0</v>
          </cell>
          <cell r="CA2928">
            <v>0</v>
          </cell>
          <cell r="CB2928">
            <v>0</v>
          </cell>
          <cell r="CC2928">
            <v>0</v>
          </cell>
          <cell r="CD2928">
            <v>0</v>
          </cell>
          <cell r="CE2928">
            <v>0</v>
          </cell>
        </row>
        <row r="2929">
          <cell r="BY2929">
            <v>0</v>
          </cell>
          <cell r="BZ2929">
            <v>0</v>
          </cell>
          <cell r="CA2929">
            <v>0</v>
          </cell>
          <cell r="CB2929">
            <v>0</v>
          </cell>
          <cell r="CC2929">
            <v>0</v>
          </cell>
          <cell r="CD2929">
            <v>0</v>
          </cell>
          <cell r="CE2929">
            <v>0</v>
          </cell>
        </row>
        <row r="2930">
          <cell r="BY2930">
            <v>0</v>
          </cell>
          <cell r="BZ2930">
            <v>0</v>
          </cell>
          <cell r="CA2930">
            <v>0</v>
          </cell>
          <cell r="CB2930">
            <v>0</v>
          </cell>
          <cell r="CC2930">
            <v>0</v>
          </cell>
          <cell r="CD2930">
            <v>0</v>
          </cell>
          <cell r="CE2930">
            <v>0</v>
          </cell>
        </row>
        <row r="2931">
          <cell r="BY2931">
            <v>0</v>
          </cell>
          <cell r="BZ2931">
            <v>0</v>
          </cell>
          <cell r="CA2931">
            <v>0</v>
          </cell>
          <cell r="CB2931">
            <v>0</v>
          </cell>
          <cell r="CC2931">
            <v>0</v>
          </cell>
          <cell r="CD2931">
            <v>0</v>
          </cell>
          <cell r="CE2931">
            <v>0</v>
          </cell>
        </row>
        <row r="2932">
          <cell r="BY2932">
            <v>0</v>
          </cell>
          <cell r="BZ2932">
            <v>0</v>
          </cell>
          <cell r="CA2932">
            <v>0</v>
          </cell>
          <cell r="CB2932">
            <v>0</v>
          </cell>
          <cell r="CC2932">
            <v>0</v>
          </cell>
          <cell r="CD2932">
            <v>0</v>
          </cell>
          <cell r="CE2932">
            <v>0</v>
          </cell>
        </row>
        <row r="2933">
          <cell r="BY2933">
            <v>0</v>
          </cell>
          <cell r="BZ2933">
            <v>0</v>
          </cell>
          <cell r="CA2933">
            <v>0</v>
          </cell>
          <cell r="CB2933">
            <v>0</v>
          </cell>
          <cell r="CC2933">
            <v>0</v>
          </cell>
          <cell r="CD2933">
            <v>0</v>
          </cell>
          <cell r="CE2933">
            <v>0</v>
          </cell>
        </row>
        <row r="2934">
          <cell r="BY2934">
            <v>0</v>
          </cell>
          <cell r="BZ2934">
            <v>0</v>
          </cell>
          <cell r="CA2934">
            <v>0</v>
          </cell>
          <cell r="CB2934">
            <v>0</v>
          </cell>
          <cell r="CC2934">
            <v>0</v>
          </cell>
          <cell r="CD2934">
            <v>0</v>
          </cell>
          <cell r="CE2934">
            <v>0</v>
          </cell>
        </row>
        <row r="2935">
          <cell r="BY2935">
            <v>0</v>
          </cell>
          <cell r="BZ2935">
            <v>0</v>
          </cell>
          <cell r="CA2935">
            <v>0</v>
          </cell>
          <cell r="CB2935">
            <v>0</v>
          </cell>
          <cell r="CC2935">
            <v>0</v>
          </cell>
          <cell r="CD2935">
            <v>0</v>
          </cell>
          <cell r="CE2935">
            <v>0</v>
          </cell>
        </row>
        <row r="2936">
          <cell r="BY2936">
            <v>0</v>
          </cell>
          <cell r="BZ2936">
            <v>0</v>
          </cell>
          <cell r="CA2936">
            <v>0</v>
          </cell>
          <cell r="CB2936">
            <v>0</v>
          </cell>
          <cell r="CC2936">
            <v>0</v>
          </cell>
          <cell r="CD2936">
            <v>0</v>
          </cell>
          <cell r="CE2936">
            <v>0</v>
          </cell>
        </row>
        <row r="2937">
          <cell r="BY2937">
            <v>0</v>
          </cell>
          <cell r="BZ2937">
            <v>0</v>
          </cell>
          <cell r="CA2937">
            <v>0</v>
          </cell>
          <cell r="CB2937">
            <v>0</v>
          </cell>
          <cell r="CC2937">
            <v>0</v>
          </cell>
          <cell r="CD2937">
            <v>0</v>
          </cell>
          <cell r="CE2937">
            <v>0</v>
          </cell>
        </row>
        <row r="2938">
          <cell r="BY2938">
            <v>0</v>
          </cell>
          <cell r="BZ2938">
            <v>0</v>
          </cell>
          <cell r="CA2938">
            <v>0</v>
          </cell>
          <cell r="CB2938">
            <v>0</v>
          </cell>
          <cell r="CC2938">
            <v>0</v>
          </cell>
          <cell r="CD2938">
            <v>0</v>
          </cell>
          <cell r="CE2938">
            <v>0</v>
          </cell>
        </row>
        <row r="2939">
          <cell r="BY2939">
            <v>0</v>
          </cell>
          <cell r="BZ2939">
            <v>0</v>
          </cell>
          <cell r="CA2939">
            <v>0</v>
          </cell>
          <cell r="CB2939">
            <v>0</v>
          </cell>
          <cell r="CC2939">
            <v>0</v>
          </cell>
          <cell r="CD2939">
            <v>0</v>
          </cell>
          <cell r="CE2939">
            <v>0</v>
          </cell>
        </row>
        <row r="2940">
          <cell r="BY2940">
            <v>0</v>
          </cell>
          <cell r="BZ2940">
            <v>0</v>
          </cell>
          <cell r="CA2940">
            <v>0</v>
          </cell>
          <cell r="CB2940">
            <v>0</v>
          </cell>
          <cell r="CC2940">
            <v>0</v>
          </cell>
          <cell r="CD2940">
            <v>0</v>
          </cell>
          <cell r="CE2940">
            <v>0</v>
          </cell>
        </row>
        <row r="2941">
          <cell r="BY2941">
            <v>0</v>
          </cell>
          <cell r="BZ2941">
            <v>0</v>
          </cell>
          <cell r="CA2941">
            <v>0</v>
          </cell>
          <cell r="CB2941">
            <v>0</v>
          </cell>
          <cell r="CC2941">
            <v>0</v>
          </cell>
          <cell r="CD2941">
            <v>0</v>
          </cell>
          <cell r="CE2941">
            <v>0</v>
          </cell>
        </row>
        <row r="2942">
          <cell r="BY2942">
            <v>0</v>
          </cell>
          <cell r="BZ2942">
            <v>0</v>
          </cell>
          <cell r="CA2942">
            <v>0</v>
          </cell>
          <cell r="CB2942">
            <v>0</v>
          </cell>
          <cell r="CC2942">
            <v>0</v>
          </cell>
          <cell r="CD2942">
            <v>0</v>
          </cell>
          <cell r="CE2942">
            <v>0</v>
          </cell>
        </row>
        <row r="2943">
          <cell r="BY2943">
            <v>0</v>
          </cell>
          <cell r="BZ2943">
            <v>0</v>
          </cell>
          <cell r="CA2943">
            <v>0</v>
          </cell>
          <cell r="CB2943">
            <v>0</v>
          </cell>
          <cell r="CC2943">
            <v>0</v>
          </cell>
          <cell r="CD2943">
            <v>0</v>
          </cell>
          <cell r="CE2943">
            <v>0</v>
          </cell>
        </row>
        <row r="2944">
          <cell r="BY2944">
            <v>0</v>
          </cell>
          <cell r="BZ2944">
            <v>0</v>
          </cell>
          <cell r="CA2944">
            <v>0</v>
          </cell>
          <cell r="CB2944">
            <v>0</v>
          </cell>
          <cell r="CC2944">
            <v>0</v>
          </cell>
          <cell r="CD2944">
            <v>0</v>
          </cell>
          <cell r="CE2944">
            <v>0</v>
          </cell>
        </row>
        <row r="2945">
          <cell r="BY2945">
            <v>0</v>
          </cell>
          <cell r="BZ2945">
            <v>0</v>
          </cell>
          <cell r="CA2945">
            <v>0</v>
          </cell>
          <cell r="CB2945">
            <v>0</v>
          </cell>
          <cell r="CC2945">
            <v>0</v>
          </cell>
          <cell r="CD2945">
            <v>0</v>
          </cell>
          <cell r="CE2945">
            <v>0</v>
          </cell>
        </row>
        <row r="2946">
          <cell r="BY2946">
            <v>0</v>
          </cell>
          <cell r="BZ2946">
            <v>0</v>
          </cell>
          <cell r="CA2946">
            <v>0</v>
          </cell>
          <cell r="CB2946">
            <v>0</v>
          </cell>
          <cell r="CC2946">
            <v>0</v>
          </cell>
          <cell r="CD2946">
            <v>0</v>
          </cell>
          <cell r="CE2946">
            <v>0</v>
          </cell>
        </row>
        <row r="2947">
          <cell r="BY2947">
            <v>0</v>
          </cell>
          <cell r="BZ2947">
            <v>0</v>
          </cell>
          <cell r="CA2947">
            <v>0</v>
          </cell>
          <cell r="CB2947">
            <v>0</v>
          </cell>
          <cell r="CC2947">
            <v>0</v>
          </cell>
          <cell r="CD2947">
            <v>0</v>
          </cell>
          <cell r="CE2947">
            <v>0</v>
          </cell>
        </row>
        <row r="2948">
          <cell r="BY2948">
            <v>0</v>
          </cell>
          <cell r="BZ2948">
            <v>0</v>
          </cell>
          <cell r="CA2948">
            <v>0</v>
          </cell>
          <cell r="CB2948">
            <v>0</v>
          </cell>
          <cell r="CC2948">
            <v>0</v>
          </cell>
          <cell r="CD2948">
            <v>0</v>
          </cell>
          <cell r="CE2948">
            <v>0</v>
          </cell>
        </row>
        <row r="2949">
          <cell r="BY2949">
            <v>0</v>
          </cell>
          <cell r="BZ2949">
            <v>0</v>
          </cell>
          <cell r="CA2949">
            <v>0</v>
          </cell>
          <cell r="CB2949">
            <v>0</v>
          </cell>
          <cell r="CC2949">
            <v>0</v>
          </cell>
          <cell r="CD2949">
            <v>0</v>
          </cell>
          <cell r="CE2949">
            <v>0</v>
          </cell>
        </row>
        <row r="2950">
          <cell r="BY2950">
            <v>0</v>
          </cell>
          <cell r="BZ2950">
            <v>0</v>
          </cell>
          <cell r="CA2950">
            <v>0</v>
          </cell>
          <cell r="CB2950">
            <v>0</v>
          </cell>
          <cell r="CC2950">
            <v>0</v>
          </cell>
          <cell r="CD2950">
            <v>0</v>
          </cell>
          <cell r="CE2950">
            <v>0</v>
          </cell>
        </row>
        <row r="2951">
          <cell r="BY2951">
            <v>0</v>
          </cell>
          <cell r="BZ2951">
            <v>0</v>
          </cell>
          <cell r="CA2951">
            <v>0</v>
          </cell>
          <cell r="CB2951">
            <v>0</v>
          </cell>
          <cell r="CC2951">
            <v>0</v>
          </cell>
          <cell r="CD2951">
            <v>0</v>
          </cell>
          <cell r="CE2951">
            <v>0</v>
          </cell>
        </row>
        <row r="2952">
          <cell r="BY2952">
            <v>0</v>
          </cell>
          <cell r="BZ2952">
            <v>0</v>
          </cell>
          <cell r="CA2952">
            <v>0</v>
          </cell>
          <cell r="CB2952">
            <v>0</v>
          </cell>
          <cell r="CC2952">
            <v>0</v>
          </cell>
          <cell r="CD2952">
            <v>0</v>
          </cell>
          <cell r="CE2952">
            <v>0</v>
          </cell>
        </row>
        <row r="2953">
          <cell r="BY2953">
            <v>0</v>
          </cell>
          <cell r="BZ2953">
            <v>0</v>
          </cell>
          <cell r="CA2953">
            <v>0</v>
          </cell>
          <cell r="CB2953">
            <v>0</v>
          </cell>
          <cell r="CC2953">
            <v>0</v>
          </cell>
          <cell r="CD2953">
            <v>0</v>
          </cell>
          <cell r="CE2953">
            <v>0</v>
          </cell>
        </row>
        <row r="2954">
          <cell r="BY2954">
            <v>0</v>
          </cell>
          <cell r="BZ2954">
            <v>0</v>
          </cell>
          <cell r="CA2954">
            <v>0</v>
          </cell>
          <cell r="CB2954">
            <v>0</v>
          </cell>
          <cell r="CC2954">
            <v>0</v>
          </cell>
          <cell r="CD2954">
            <v>0</v>
          </cell>
          <cell r="CE2954">
            <v>0</v>
          </cell>
        </row>
        <row r="2955">
          <cell r="BY2955">
            <v>0</v>
          </cell>
          <cell r="BZ2955">
            <v>0</v>
          </cell>
          <cell r="CA2955">
            <v>0</v>
          </cell>
          <cell r="CB2955">
            <v>0</v>
          </cell>
          <cell r="CC2955">
            <v>0</v>
          </cell>
          <cell r="CD2955">
            <v>0</v>
          </cell>
          <cell r="CE2955">
            <v>0</v>
          </cell>
        </row>
        <row r="2956">
          <cell r="BY2956">
            <v>0</v>
          </cell>
          <cell r="BZ2956">
            <v>0</v>
          </cell>
          <cell r="CA2956">
            <v>0</v>
          </cell>
          <cell r="CB2956">
            <v>0</v>
          </cell>
          <cell r="CC2956">
            <v>0</v>
          </cell>
          <cell r="CD2956">
            <v>0</v>
          </cell>
          <cell r="CE2956">
            <v>0</v>
          </cell>
        </row>
        <row r="2957">
          <cell r="BY2957">
            <v>0</v>
          </cell>
          <cell r="BZ2957">
            <v>0</v>
          </cell>
          <cell r="CA2957">
            <v>0</v>
          </cell>
          <cell r="CB2957">
            <v>0</v>
          </cell>
          <cell r="CC2957">
            <v>0</v>
          </cell>
          <cell r="CD2957">
            <v>0</v>
          </cell>
          <cell r="CE2957">
            <v>0</v>
          </cell>
        </row>
        <row r="2958">
          <cell r="BY2958">
            <v>0</v>
          </cell>
          <cell r="BZ2958">
            <v>0</v>
          </cell>
          <cell r="CA2958">
            <v>0</v>
          </cell>
          <cell r="CB2958">
            <v>0</v>
          </cell>
          <cell r="CC2958">
            <v>0</v>
          </cell>
          <cell r="CD2958">
            <v>0</v>
          </cell>
          <cell r="CE2958">
            <v>0</v>
          </cell>
        </row>
        <row r="2959">
          <cell r="BY2959">
            <v>0</v>
          </cell>
          <cell r="BZ2959">
            <v>0</v>
          </cell>
          <cell r="CA2959">
            <v>0</v>
          </cell>
          <cell r="CB2959">
            <v>0</v>
          </cell>
          <cell r="CC2959">
            <v>0</v>
          </cell>
          <cell r="CD2959">
            <v>0</v>
          </cell>
          <cell r="CE2959">
            <v>0</v>
          </cell>
        </row>
        <row r="2960">
          <cell r="BY2960">
            <v>0</v>
          </cell>
          <cell r="BZ2960">
            <v>0</v>
          </cell>
          <cell r="CA2960">
            <v>0</v>
          </cell>
          <cell r="CB2960">
            <v>0</v>
          </cell>
          <cell r="CC2960">
            <v>0</v>
          </cell>
          <cell r="CD2960">
            <v>0</v>
          </cell>
          <cell r="CE2960">
            <v>0</v>
          </cell>
        </row>
        <row r="2961">
          <cell r="BY2961">
            <v>0</v>
          </cell>
          <cell r="BZ2961">
            <v>0</v>
          </cell>
          <cell r="CA2961">
            <v>0</v>
          </cell>
          <cell r="CB2961">
            <v>0</v>
          </cell>
          <cell r="CC2961">
            <v>0</v>
          </cell>
          <cell r="CD2961">
            <v>0</v>
          </cell>
          <cell r="CE2961">
            <v>0</v>
          </cell>
        </row>
        <row r="2962">
          <cell r="BY2962">
            <v>0</v>
          </cell>
          <cell r="BZ2962">
            <v>0</v>
          </cell>
          <cell r="CA2962">
            <v>0</v>
          </cell>
          <cell r="CB2962">
            <v>0</v>
          </cell>
          <cell r="CC2962">
            <v>0</v>
          </cell>
          <cell r="CD2962">
            <v>0</v>
          </cell>
          <cell r="CE2962">
            <v>0</v>
          </cell>
        </row>
        <row r="2963">
          <cell r="BY2963">
            <v>0</v>
          </cell>
          <cell r="BZ2963">
            <v>0</v>
          </cell>
          <cell r="CA2963">
            <v>0</v>
          </cell>
          <cell r="CB2963">
            <v>0</v>
          </cell>
          <cell r="CC2963">
            <v>0</v>
          </cell>
          <cell r="CD2963">
            <v>0</v>
          </cell>
          <cell r="CE2963">
            <v>0</v>
          </cell>
        </row>
        <row r="2964">
          <cell r="BY2964">
            <v>0</v>
          </cell>
          <cell r="BZ2964">
            <v>0</v>
          </cell>
          <cell r="CA2964">
            <v>0</v>
          </cell>
          <cell r="CB2964">
            <v>0</v>
          </cell>
          <cell r="CC2964">
            <v>0</v>
          </cell>
          <cell r="CD2964">
            <v>0</v>
          </cell>
          <cell r="CE2964">
            <v>0</v>
          </cell>
        </row>
        <row r="2965">
          <cell r="BY2965">
            <v>0</v>
          </cell>
          <cell r="BZ2965">
            <v>0</v>
          </cell>
          <cell r="CA2965">
            <v>0</v>
          </cell>
          <cell r="CB2965">
            <v>0</v>
          </cell>
          <cell r="CC2965">
            <v>0</v>
          </cell>
          <cell r="CD2965">
            <v>0</v>
          </cell>
          <cell r="CE2965">
            <v>0</v>
          </cell>
        </row>
        <row r="2966">
          <cell r="BY2966">
            <v>0</v>
          </cell>
          <cell r="BZ2966">
            <v>0</v>
          </cell>
          <cell r="CA2966">
            <v>0</v>
          </cell>
          <cell r="CB2966">
            <v>0</v>
          </cell>
          <cell r="CC2966">
            <v>0</v>
          </cell>
          <cell r="CD2966">
            <v>0</v>
          </cell>
          <cell r="CE2966">
            <v>0</v>
          </cell>
        </row>
        <row r="2967">
          <cell r="BY2967">
            <v>0</v>
          </cell>
          <cell r="BZ2967">
            <v>0</v>
          </cell>
          <cell r="CA2967">
            <v>0</v>
          </cell>
          <cell r="CB2967">
            <v>0</v>
          </cell>
          <cell r="CC2967">
            <v>0</v>
          </cell>
          <cell r="CD2967">
            <v>0</v>
          </cell>
          <cell r="CE2967">
            <v>0</v>
          </cell>
        </row>
        <row r="2968">
          <cell r="BY2968">
            <v>0</v>
          </cell>
          <cell r="BZ2968">
            <v>0</v>
          </cell>
          <cell r="CA2968">
            <v>0</v>
          </cell>
          <cell r="CB2968">
            <v>0</v>
          </cell>
          <cell r="CC2968">
            <v>0</v>
          </cell>
          <cell r="CD2968">
            <v>0</v>
          </cell>
          <cell r="CE2968">
            <v>0</v>
          </cell>
        </row>
        <row r="2969">
          <cell r="BY2969">
            <v>0</v>
          </cell>
          <cell r="BZ2969">
            <v>0</v>
          </cell>
          <cell r="CA2969">
            <v>0</v>
          </cell>
          <cell r="CB2969">
            <v>0</v>
          </cell>
          <cell r="CC2969">
            <v>0</v>
          </cell>
          <cell r="CD2969">
            <v>0</v>
          </cell>
          <cell r="CE2969">
            <v>0</v>
          </cell>
        </row>
        <row r="2970">
          <cell r="BY2970">
            <v>0</v>
          </cell>
          <cell r="BZ2970">
            <v>0</v>
          </cell>
          <cell r="CA2970">
            <v>0</v>
          </cell>
          <cell r="CB2970">
            <v>0</v>
          </cell>
          <cell r="CC2970">
            <v>0</v>
          </cell>
          <cell r="CD2970">
            <v>0</v>
          </cell>
          <cell r="CE2970">
            <v>0</v>
          </cell>
        </row>
        <row r="2971">
          <cell r="BY2971">
            <v>0</v>
          </cell>
          <cell r="BZ2971">
            <v>0</v>
          </cell>
          <cell r="CA2971">
            <v>0</v>
          </cell>
          <cell r="CB2971">
            <v>0</v>
          </cell>
          <cell r="CC2971">
            <v>0</v>
          </cell>
          <cell r="CD2971">
            <v>0</v>
          </cell>
          <cell r="CE2971">
            <v>0</v>
          </cell>
        </row>
        <row r="2972">
          <cell r="BY2972">
            <v>0</v>
          </cell>
          <cell r="BZ2972">
            <v>0</v>
          </cell>
          <cell r="CA2972">
            <v>0</v>
          </cell>
          <cell r="CB2972">
            <v>0</v>
          </cell>
          <cell r="CC2972">
            <v>0</v>
          </cell>
          <cell r="CD2972">
            <v>0</v>
          </cell>
          <cell r="CE2972">
            <v>0</v>
          </cell>
        </row>
        <row r="2973">
          <cell r="BY2973">
            <v>0</v>
          </cell>
          <cell r="BZ2973">
            <v>0</v>
          </cell>
          <cell r="CA2973">
            <v>0</v>
          </cell>
          <cell r="CB2973">
            <v>0</v>
          </cell>
          <cell r="CC2973">
            <v>0</v>
          </cell>
          <cell r="CD2973">
            <v>0</v>
          </cell>
          <cell r="CE2973">
            <v>0</v>
          </cell>
        </row>
        <row r="2974">
          <cell r="BY2974">
            <v>0</v>
          </cell>
          <cell r="BZ2974">
            <v>0</v>
          </cell>
          <cell r="CA2974">
            <v>0</v>
          </cell>
          <cell r="CB2974">
            <v>0</v>
          </cell>
          <cell r="CC2974">
            <v>0</v>
          </cell>
          <cell r="CD2974">
            <v>0</v>
          </cell>
          <cell r="CE2974">
            <v>0</v>
          </cell>
        </row>
        <row r="2975">
          <cell r="BY2975">
            <v>0</v>
          </cell>
          <cell r="BZ2975">
            <v>0</v>
          </cell>
          <cell r="CA2975">
            <v>0</v>
          </cell>
          <cell r="CB2975">
            <v>0</v>
          </cell>
          <cell r="CC2975">
            <v>0</v>
          </cell>
          <cell r="CD2975">
            <v>0</v>
          </cell>
          <cell r="CE2975">
            <v>0</v>
          </cell>
        </row>
        <row r="2976">
          <cell r="BY2976">
            <v>0</v>
          </cell>
          <cell r="BZ2976">
            <v>0</v>
          </cell>
          <cell r="CA2976">
            <v>0</v>
          </cell>
          <cell r="CB2976">
            <v>0</v>
          </cell>
          <cell r="CC2976">
            <v>0</v>
          </cell>
          <cell r="CD2976">
            <v>0</v>
          </cell>
          <cell r="CE2976">
            <v>0</v>
          </cell>
        </row>
        <row r="2977">
          <cell r="BY2977">
            <v>0</v>
          </cell>
          <cell r="BZ2977">
            <v>0</v>
          </cell>
          <cell r="CA2977">
            <v>0</v>
          </cell>
          <cell r="CB2977">
            <v>0</v>
          </cell>
          <cell r="CC2977">
            <v>0</v>
          </cell>
          <cell r="CD2977">
            <v>0</v>
          </cell>
          <cell r="CE2977">
            <v>0</v>
          </cell>
        </row>
        <row r="2978">
          <cell r="BY2978">
            <v>0</v>
          </cell>
          <cell r="BZ2978">
            <v>0</v>
          </cell>
          <cell r="CA2978">
            <v>0</v>
          </cell>
          <cell r="CB2978">
            <v>0</v>
          </cell>
          <cell r="CC2978">
            <v>0</v>
          </cell>
          <cell r="CD2978">
            <v>0</v>
          </cell>
          <cell r="CE2978">
            <v>0</v>
          </cell>
        </row>
        <row r="2979">
          <cell r="BY2979">
            <v>0</v>
          </cell>
          <cell r="BZ2979">
            <v>0</v>
          </cell>
          <cell r="CA2979">
            <v>0</v>
          </cell>
          <cell r="CB2979">
            <v>0</v>
          </cell>
          <cell r="CC2979">
            <v>0</v>
          </cell>
          <cell r="CD2979">
            <v>0</v>
          </cell>
          <cell r="CE2979">
            <v>0</v>
          </cell>
        </row>
        <row r="2980">
          <cell r="BY2980">
            <v>0</v>
          </cell>
          <cell r="BZ2980">
            <v>0</v>
          </cell>
          <cell r="CA2980">
            <v>0</v>
          </cell>
          <cell r="CB2980">
            <v>0</v>
          </cell>
          <cell r="CC2980">
            <v>0</v>
          </cell>
          <cell r="CD2980">
            <v>0</v>
          </cell>
          <cell r="CE2980">
            <v>0</v>
          </cell>
        </row>
        <row r="2981">
          <cell r="BY2981">
            <v>0</v>
          </cell>
          <cell r="BZ2981">
            <v>0</v>
          </cell>
          <cell r="CA2981">
            <v>0</v>
          </cell>
          <cell r="CB2981">
            <v>0</v>
          </cell>
          <cell r="CC2981">
            <v>0</v>
          </cell>
          <cell r="CD2981">
            <v>0</v>
          </cell>
          <cell r="CE2981">
            <v>0</v>
          </cell>
        </row>
        <row r="2982">
          <cell r="BY2982">
            <v>0</v>
          </cell>
          <cell r="BZ2982">
            <v>0</v>
          </cell>
          <cell r="CA2982">
            <v>0</v>
          </cell>
          <cell r="CB2982">
            <v>0</v>
          </cell>
          <cell r="CC2982">
            <v>0</v>
          </cell>
          <cell r="CD2982">
            <v>0</v>
          </cell>
          <cell r="CE2982">
            <v>0</v>
          </cell>
        </row>
        <row r="2983">
          <cell r="BY2983">
            <v>0</v>
          </cell>
          <cell r="BZ2983">
            <v>0</v>
          </cell>
          <cell r="CA2983">
            <v>0</v>
          </cell>
          <cell r="CB2983">
            <v>0</v>
          </cell>
          <cell r="CC2983">
            <v>0</v>
          </cell>
          <cell r="CD2983">
            <v>0</v>
          </cell>
          <cell r="CE2983">
            <v>0</v>
          </cell>
        </row>
        <row r="2984">
          <cell r="BY2984">
            <v>0</v>
          </cell>
          <cell r="BZ2984">
            <v>0</v>
          </cell>
          <cell r="CA2984">
            <v>0</v>
          </cell>
          <cell r="CB2984">
            <v>0</v>
          </cell>
          <cell r="CC2984">
            <v>0</v>
          </cell>
          <cell r="CD2984">
            <v>0</v>
          </cell>
          <cell r="CE2984">
            <v>0</v>
          </cell>
        </row>
        <row r="2985">
          <cell r="BY2985">
            <v>0</v>
          </cell>
          <cell r="BZ2985">
            <v>0</v>
          </cell>
          <cell r="CA2985">
            <v>0</v>
          </cell>
          <cell r="CB2985">
            <v>0</v>
          </cell>
          <cell r="CC2985">
            <v>0</v>
          </cell>
          <cell r="CD2985">
            <v>0</v>
          </cell>
          <cell r="CE2985">
            <v>0</v>
          </cell>
        </row>
        <row r="2986">
          <cell r="BY2986">
            <v>0</v>
          </cell>
          <cell r="BZ2986">
            <v>0</v>
          </cell>
          <cell r="CA2986">
            <v>0</v>
          </cell>
          <cell r="CB2986">
            <v>0</v>
          </cell>
          <cell r="CC2986">
            <v>0</v>
          </cell>
          <cell r="CD2986">
            <v>0</v>
          </cell>
          <cell r="CE2986">
            <v>0</v>
          </cell>
        </row>
        <row r="2987">
          <cell r="BY2987">
            <v>0</v>
          </cell>
          <cell r="BZ2987">
            <v>0</v>
          </cell>
          <cell r="CA2987">
            <v>0</v>
          </cell>
          <cell r="CB2987">
            <v>0</v>
          </cell>
          <cell r="CC2987">
            <v>0</v>
          </cell>
          <cell r="CD2987">
            <v>0</v>
          </cell>
          <cell r="CE2987">
            <v>0</v>
          </cell>
        </row>
        <row r="2988">
          <cell r="BY2988">
            <v>0</v>
          </cell>
          <cell r="BZ2988">
            <v>0</v>
          </cell>
          <cell r="CA2988">
            <v>0</v>
          </cell>
          <cell r="CB2988">
            <v>0</v>
          </cell>
          <cell r="CC2988">
            <v>0</v>
          </cell>
          <cell r="CD2988">
            <v>0</v>
          </cell>
          <cell r="CE2988">
            <v>0</v>
          </cell>
        </row>
        <row r="2989">
          <cell r="BY2989">
            <v>0</v>
          </cell>
          <cell r="BZ2989">
            <v>0</v>
          </cell>
          <cell r="CA2989">
            <v>0</v>
          </cell>
          <cell r="CB2989">
            <v>0</v>
          </cell>
          <cell r="CC2989">
            <v>0</v>
          </cell>
          <cell r="CD2989">
            <v>0</v>
          </cell>
          <cell r="CE2989">
            <v>0</v>
          </cell>
        </row>
        <row r="2990">
          <cell r="BY2990">
            <v>0</v>
          </cell>
          <cell r="BZ2990">
            <v>0</v>
          </cell>
          <cell r="CA2990">
            <v>0</v>
          </cell>
          <cell r="CB2990">
            <v>0</v>
          </cell>
          <cell r="CC2990">
            <v>0</v>
          </cell>
          <cell r="CD2990">
            <v>0</v>
          </cell>
          <cell r="CE2990">
            <v>0</v>
          </cell>
        </row>
        <row r="2991">
          <cell r="BY2991">
            <v>0</v>
          </cell>
          <cell r="BZ2991">
            <v>0</v>
          </cell>
          <cell r="CA2991">
            <v>0</v>
          </cell>
          <cell r="CB2991">
            <v>0</v>
          </cell>
          <cell r="CC2991">
            <v>0</v>
          </cell>
          <cell r="CD2991">
            <v>0</v>
          </cell>
          <cell r="CE2991">
            <v>0</v>
          </cell>
        </row>
        <row r="2992">
          <cell r="BY2992">
            <v>0</v>
          </cell>
          <cell r="BZ2992">
            <v>0</v>
          </cell>
          <cell r="CA2992">
            <v>0</v>
          </cell>
          <cell r="CB2992">
            <v>0</v>
          </cell>
          <cell r="CC2992">
            <v>0</v>
          </cell>
          <cell r="CD2992">
            <v>0</v>
          </cell>
          <cell r="CE2992">
            <v>0</v>
          </cell>
        </row>
        <row r="2993">
          <cell r="BY2993">
            <v>0</v>
          </cell>
          <cell r="BZ2993">
            <v>0</v>
          </cell>
          <cell r="CA2993">
            <v>0</v>
          </cell>
          <cell r="CB2993">
            <v>0</v>
          </cell>
          <cell r="CC2993">
            <v>0</v>
          </cell>
          <cell r="CD2993">
            <v>0</v>
          </cell>
          <cell r="CE2993">
            <v>0</v>
          </cell>
        </row>
        <row r="2994">
          <cell r="BY2994">
            <v>0</v>
          </cell>
          <cell r="BZ2994">
            <v>0</v>
          </cell>
          <cell r="CA2994">
            <v>0</v>
          </cell>
          <cell r="CB2994">
            <v>0</v>
          </cell>
          <cell r="CC2994">
            <v>0</v>
          </cell>
          <cell r="CD2994">
            <v>0</v>
          </cell>
          <cell r="CE2994">
            <v>0</v>
          </cell>
        </row>
        <row r="2995">
          <cell r="BY2995">
            <v>0</v>
          </cell>
          <cell r="BZ2995">
            <v>0</v>
          </cell>
          <cell r="CA2995">
            <v>0</v>
          </cell>
          <cell r="CB2995">
            <v>0</v>
          </cell>
          <cell r="CC2995">
            <v>0</v>
          </cell>
          <cell r="CD2995">
            <v>0</v>
          </cell>
          <cell r="CE2995">
            <v>0</v>
          </cell>
        </row>
        <row r="2996">
          <cell r="BY2996">
            <v>0</v>
          </cell>
          <cell r="BZ2996">
            <v>0</v>
          </cell>
          <cell r="CA2996">
            <v>0</v>
          </cell>
          <cell r="CB2996">
            <v>0</v>
          </cell>
          <cell r="CC2996">
            <v>0</v>
          </cell>
          <cell r="CD2996">
            <v>0</v>
          </cell>
          <cell r="CE2996">
            <v>0</v>
          </cell>
        </row>
        <row r="2997">
          <cell r="BY2997">
            <v>0</v>
          </cell>
          <cell r="BZ2997">
            <v>0</v>
          </cell>
          <cell r="CA2997">
            <v>0</v>
          </cell>
          <cell r="CB2997">
            <v>0</v>
          </cell>
          <cell r="CC2997">
            <v>0</v>
          </cell>
          <cell r="CD2997">
            <v>0</v>
          </cell>
          <cell r="CE2997">
            <v>0</v>
          </cell>
        </row>
        <row r="2998">
          <cell r="BY2998">
            <v>0</v>
          </cell>
          <cell r="BZ2998">
            <v>0</v>
          </cell>
          <cell r="CA2998">
            <v>0</v>
          </cell>
          <cell r="CB2998">
            <v>0</v>
          </cell>
          <cell r="CC2998">
            <v>0</v>
          </cell>
          <cell r="CD2998">
            <v>0</v>
          </cell>
          <cell r="CE2998">
            <v>0</v>
          </cell>
        </row>
        <row r="2999">
          <cell r="BY2999">
            <v>0</v>
          </cell>
          <cell r="BZ2999">
            <v>0</v>
          </cell>
          <cell r="CA2999">
            <v>0</v>
          </cell>
          <cell r="CB2999">
            <v>0</v>
          </cell>
          <cell r="CC2999">
            <v>0</v>
          </cell>
          <cell r="CD2999">
            <v>0</v>
          </cell>
          <cell r="CE2999">
            <v>0</v>
          </cell>
        </row>
        <row r="3000">
          <cell r="BY3000">
            <v>0</v>
          </cell>
          <cell r="BZ3000">
            <v>0</v>
          </cell>
          <cell r="CA3000">
            <v>0</v>
          </cell>
          <cell r="CB3000">
            <v>0</v>
          </cell>
          <cell r="CC3000">
            <v>0</v>
          </cell>
          <cell r="CD3000">
            <v>0</v>
          </cell>
          <cell r="CE3000">
            <v>0</v>
          </cell>
        </row>
        <row r="3001">
          <cell r="BY3001">
            <v>0</v>
          </cell>
          <cell r="BZ3001">
            <v>0</v>
          </cell>
          <cell r="CA3001">
            <v>0</v>
          </cell>
          <cell r="CB3001">
            <v>0</v>
          </cell>
          <cell r="CC3001">
            <v>0</v>
          </cell>
          <cell r="CD3001">
            <v>0</v>
          </cell>
          <cell r="CE3001">
            <v>0</v>
          </cell>
        </row>
        <row r="3002">
          <cell r="BY3002">
            <v>0</v>
          </cell>
          <cell r="BZ3002">
            <v>0</v>
          </cell>
          <cell r="CA3002">
            <v>0</v>
          </cell>
          <cell r="CB3002">
            <v>0</v>
          </cell>
          <cell r="CC3002">
            <v>0</v>
          </cell>
          <cell r="CD3002">
            <v>0</v>
          </cell>
          <cell r="CE3002">
            <v>0</v>
          </cell>
        </row>
        <row r="3003">
          <cell r="BY3003">
            <v>0</v>
          </cell>
          <cell r="BZ3003">
            <v>0</v>
          </cell>
          <cell r="CA3003">
            <v>0</v>
          </cell>
          <cell r="CB3003">
            <v>0</v>
          </cell>
          <cell r="CC3003">
            <v>0</v>
          </cell>
          <cell r="CD3003">
            <v>0</v>
          </cell>
          <cell r="CE3003">
            <v>0</v>
          </cell>
        </row>
        <row r="3004">
          <cell r="BY3004">
            <v>0</v>
          </cell>
          <cell r="BZ3004">
            <v>0</v>
          </cell>
          <cell r="CA3004">
            <v>0</v>
          </cell>
          <cell r="CB3004">
            <v>0</v>
          </cell>
          <cell r="CC3004">
            <v>0</v>
          </cell>
          <cell r="CD3004">
            <v>0</v>
          </cell>
          <cell r="CE3004">
            <v>0</v>
          </cell>
        </row>
        <row r="3005">
          <cell r="BY3005">
            <v>0</v>
          </cell>
          <cell r="BZ3005">
            <v>0</v>
          </cell>
          <cell r="CA3005">
            <v>0</v>
          </cell>
          <cell r="CB3005">
            <v>0</v>
          </cell>
          <cell r="CC3005">
            <v>0</v>
          </cell>
          <cell r="CD3005">
            <v>0</v>
          </cell>
          <cell r="CE3005">
            <v>0</v>
          </cell>
        </row>
        <row r="3006">
          <cell r="BY3006">
            <v>0</v>
          </cell>
          <cell r="BZ3006">
            <v>0</v>
          </cell>
          <cell r="CA3006">
            <v>0</v>
          </cell>
          <cell r="CB3006">
            <v>0</v>
          </cell>
          <cell r="CC3006">
            <v>0</v>
          </cell>
          <cell r="CD3006">
            <v>0</v>
          </cell>
          <cell r="CE3006">
            <v>0</v>
          </cell>
        </row>
        <row r="3007">
          <cell r="BY3007">
            <v>0</v>
          </cell>
          <cell r="BZ3007">
            <v>0</v>
          </cell>
          <cell r="CA3007">
            <v>0</v>
          </cell>
          <cell r="CB3007">
            <v>0</v>
          </cell>
          <cell r="CC3007">
            <v>0</v>
          </cell>
          <cell r="CD3007">
            <v>0</v>
          </cell>
          <cell r="CE3007">
            <v>0</v>
          </cell>
        </row>
        <row r="3008">
          <cell r="BY3008">
            <v>0</v>
          </cell>
          <cell r="BZ3008">
            <v>0</v>
          </cell>
          <cell r="CA3008">
            <v>0</v>
          </cell>
          <cell r="CB3008">
            <v>0</v>
          </cell>
          <cell r="CC3008">
            <v>0</v>
          </cell>
          <cell r="CD3008">
            <v>0</v>
          </cell>
          <cell r="CE3008">
            <v>0</v>
          </cell>
        </row>
        <row r="3009">
          <cell r="BY3009">
            <v>0</v>
          </cell>
          <cell r="BZ3009">
            <v>0</v>
          </cell>
          <cell r="CA3009">
            <v>0</v>
          </cell>
          <cell r="CB3009">
            <v>0</v>
          </cell>
          <cell r="CC3009">
            <v>0</v>
          </cell>
          <cell r="CD3009">
            <v>0</v>
          </cell>
          <cell r="CE3009">
            <v>0</v>
          </cell>
        </row>
        <row r="3010">
          <cell r="BY3010">
            <v>0</v>
          </cell>
          <cell r="BZ3010">
            <v>0</v>
          </cell>
          <cell r="CA3010">
            <v>0</v>
          </cell>
          <cell r="CB3010">
            <v>0</v>
          </cell>
          <cell r="CC3010">
            <v>0</v>
          </cell>
          <cell r="CD3010">
            <v>0</v>
          </cell>
          <cell r="CE3010">
            <v>0</v>
          </cell>
        </row>
        <row r="3011">
          <cell r="BY3011">
            <v>0</v>
          </cell>
          <cell r="BZ3011">
            <v>0</v>
          </cell>
          <cell r="CA3011">
            <v>0</v>
          </cell>
          <cell r="CB3011">
            <v>0</v>
          </cell>
          <cell r="CC3011">
            <v>0</v>
          </cell>
          <cell r="CD3011">
            <v>0</v>
          </cell>
          <cell r="CE3011">
            <v>0</v>
          </cell>
        </row>
        <row r="3012">
          <cell r="BY3012">
            <v>0</v>
          </cell>
          <cell r="BZ3012">
            <v>0</v>
          </cell>
          <cell r="CA3012">
            <v>0</v>
          </cell>
          <cell r="CB3012">
            <v>0</v>
          </cell>
          <cell r="CC3012">
            <v>0</v>
          </cell>
          <cell r="CD3012">
            <v>0</v>
          </cell>
          <cell r="CE3012">
            <v>0</v>
          </cell>
        </row>
        <row r="3013">
          <cell r="BY3013">
            <v>0</v>
          </cell>
          <cell r="BZ3013">
            <v>0</v>
          </cell>
          <cell r="CA3013">
            <v>0</v>
          </cell>
          <cell r="CB3013">
            <v>0</v>
          </cell>
          <cell r="CC3013">
            <v>0</v>
          </cell>
          <cell r="CD3013">
            <v>0</v>
          </cell>
          <cell r="CE3013">
            <v>0</v>
          </cell>
        </row>
        <row r="3014">
          <cell r="BY3014">
            <v>0</v>
          </cell>
          <cell r="BZ3014">
            <v>0</v>
          </cell>
          <cell r="CA3014">
            <v>0</v>
          </cell>
          <cell r="CB3014">
            <v>0</v>
          </cell>
          <cell r="CC3014">
            <v>0</v>
          </cell>
          <cell r="CD3014">
            <v>0</v>
          </cell>
          <cell r="CE3014">
            <v>0</v>
          </cell>
        </row>
        <row r="3015">
          <cell r="BY3015">
            <v>0</v>
          </cell>
          <cell r="BZ3015">
            <v>0</v>
          </cell>
          <cell r="CA3015">
            <v>0</v>
          </cell>
          <cell r="CB3015">
            <v>0</v>
          </cell>
          <cell r="CC3015">
            <v>0</v>
          </cell>
          <cell r="CD3015">
            <v>0</v>
          </cell>
          <cell r="CE3015">
            <v>0</v>
          </cell>
        </row>
        <row r="3016">
          <cell r="BY3016">
            <v>0</v>
          </cell>
          <cell r="BZ3016">
            <v>0</v>
          </cell>
          <cell r="CA3016">
            <v>0</v>
          </cell>
          <cell r="CB3016">
            <v>0</v>
          </cell>
          <cell r="CC3016">
            <v>0</v>
          </cell>
          <cell r="CD3016">
            <v>0</v>
          </cell>
          <cell r="CE3016">
            <v>0</v>
          </cell>
        </row>
        <row r="3017">
          <cell r="BY3017">
            <v>0</v>
          </cell>
          <cell r="BZ3017">
            <v>0</v>
          </cell>
          <cell r="CA3017">
            <v>0</v>
          </cell>
          <cell r="CB3017">
            <v>0</v>
          </cell>
          <cell r="CC3017">
            <v>0</v>
          </cell>
          <cell r="CD3017">
            <v>0</v>
          </cell>
          <cell r="CE3017">
            <v>0</v>
          </cell>
        </row>
        <row r="3018">
          <cell r="BY3018">
            <v>0</v>
          </cell>
          <cell r="BZ3018">
            <v>0</v>
          </cell>
          <cell r="CA3018">
            <v>0</v>
          </cell>
          <cell r="CB3018">
            <v>0</v>
          </cell>
          <cell r="CC3018">
            <v>0</v>
          </cell>
          <cell r="CD3018">
            <v>0</v>
          </cell>
          <cell r="CE3018">
            <v>0</v>
          </cell>
        </row>
        <row r="3019">
          <cell r="BY3019">
            <v>0</v>
          </cell>
          <cell r="BZ3019">
            <v>0</v>
          </cell>
          <cell r="CA3019">
            <v>0</v>
          </cell>
          <cell r="CB3019">
            <v>0</v>
          </cell>
          <cell r="CC3019">
            <v>0</v>
          </cell>
          <cell r="CD3019">
            <v>0</v>
          </cell>
          <cell r="CE3019">
            <v>0</v>
          </cell>
        </row>
        <row r="3020">
          <cell r="BY3020">
            <v>0</v>
          </cell>
          <cell r="BZ3020">
            <v>0</v>
          </cell>
          <cell r="CA3020">
            <v>0</v>
          </cell>
          <cell r="CB3020">
            <v>0</v>
          </cell>
          <cell r="CC3020">
            <v>0</v>
          </cell>
          <cell r="CD3020">
            <v>0</v>
          </cell>
          <cell r="CE3020">
            <v>0</v>
          </cell>
        </row>
        <row r="3021">
          <cell r="BY3021">
            <v>0</v>
          </cell>
          <cell r="BZ3021">
            <v>0</v>
          </cell>
          <cell r="CA3021">
            <v>0</v>
          </cell>
          <cell r="CB3021">
            <v>0</v>
          </cell>
          <cell r="CC3021">
            <v>0</v>
          </cell>
          <cell r="CD3021">
            <v>0</v>
          </cell>
          <cell r="CE3021">
            <v>0</v>
          </cell>
        </row>
        <row r="3022">
          <cell r="BY3022">
            <v>0</v>
          </cell>
          <cell r="BZ3022">
            <v>0</v>
          </cell>
          <cell r="CA3022">
            <v>0</v>
          </cell>
          <cell r="CB3022">
            <v>0</v>
          </cell>
          <cell r="CC3022">
            <v>0</v>
          </cell>
          <cell r="CD3022">
            <v>0</v>
          </cell>
          <cell r="CE3022">
            <v>0</v>
          </cell>
        </row>
        <row r="3023">
          <cell r="BY3023">
            <v>0</v>
          </cell>
          <cell r="BZ3023">
            <v>0</v>
          </cell>
          <cell r="CA3023">
            <v>0</v>
          </cell>
          <cell r="CB3023">
            <v>0</v>
          </cell>
          <cell r="CC3023">
            <v>0</v>
          </cell>
          <cell r="CD3023">
            <v>0</v>
          </cell>
          <cell r="CE3023">
            <v>0</v>
          </cell>
        </row>
        <row r="3024">
          <cell r="BY3024">
            <v>0</v>
          </cell>
          <cell r="BZ3024">
            <v>0</v>
          </cell>
          <cell r="CA3024">
            <v>0</v>
          </cell>
          <cell r="CB3024">
            <v>0</v>
          </cell>
          <cell r="CC3024">
            <v>0</v>
          </cell>
          <cell r="CD3024">
            <v>0</v>
          </cell>
          <cell r="CE3024">
            <v>0</v>
          </cell>
        </row>
        <row r="3025">
          <cell r="BY3025">
            <v>0</v>
          </cell>
          <cell r="BZ3025">
            <v>0</v>
          </cell>
          <cell r="CA3025">
            <v>0</v>
          </cell>
          <cell r="CB3025">
            <v>0</v>
          </cell>
          <cell r="CC3025">
            <v>0</v>
          </cell>
          <cell r="CD3025">
            <v>0</v>
          </cell>
          <cell r="CE3025">
            <v>0</v>
          </cell>
        </row>
        <row r="3026">
          <cell r="BY3026">
            <v>0</v>
          </cell>
          <cell r="BZ3026">
            <v>0</v>
          </cell>
          <cell r="CA3026">
            <v>0</v>
          </cell>
          <cell r="CB3026">
            <v>0</v>
          </cell>
          <cell r="CC3026">
            <v>0</v>
          </cell>
          <cell r="CD3026">
            <v>0</v>
          </cell>
          <cell r="CE3026">
            <v>0</v>
          </cell>
        </row>
        <row r="3027">
          <cell r="BY3027">
            <v>0</v>
          </cell>
          <cell r="BZ3027">
            <v>0</v>
          </cell>
          <cell r="CA3027">
            <v>0</v>
          </cell>
          <cell r="CB3027">
            <v>0</v>
          </cell>
          <cell r="CC3027">
            <v>0</v>
          </cell>
          <cell r="CD3027">
            <v>0</v>
          </cell>
          <cell r="CE3027">
            <v>0</v>
          </cell>
        </row>
        <row r="3028">
          <cell r="BY3028">
            <v>0</v>
          </cell>
          <cell r="BZ3028">
            <v>0</v>
          </cell>
          <cell r="CA3028">
            <v>0</v>
          </cell>
          <cell r="CB3028">
            <v>0</v>
          </cell>
          <cell r="CC3028">
            <v>0</v>
          </cell>
          <cell r="CD3028">
            <v>0</v>
          </cell>
          <cell r="CE3028">
            <v>0</v>
          </cell>
        </row>
        <row r="3029">
          <cell r="BY3029">
            <v>0</v>
          </cell>
          <cell r="BZ3029">
            <v>0</v>
          </cell>
          <cell r="CA3029">
            <v>0</v>
          </cell>
          <cell r="CB3029">
            <v>0</v>
          </cell>
          <cell r="CC3029">
            <v>0</v>
          </cell>
          <cell r="CD3029">
            <v>0</v>
          </cell>
          <cell r="CE3029">
            <v>0</v>
          </cell>
        </row>
        <row r="3030">
          <cell r="BY3030">
            <v>0</v>
          </cell>
          <cell r="BZ3030">
            <v>0</v>
          </cell>
          <cell r="CA3030">
            <v>0</v>
          </cell>
          <cell r="CB3030">
            <v>0</v>
          </cell>
          <cell r="CC3030">
            <v>0</v>
          </cell>
          <cell r="CD3030">
            <v>0</v>
          </cell>
          <cell r="CE3030">
            <v>0</v>
          </cell>
        </row>
        <row r="3031">
          <cell r="BY3031">
            <v>0</v>
          </cell>
          <cell r="BZ3031">
            <v>0</v>
          </cell>
          <cell r="CA3031">
            <v>0</v>
          </cell>
          <cell r="CB3031">
            <v>0</v>
          </cell>
          <cell r="CC3031">
            <v>0</v>
          </cell>
          <cell r="CD3031">
            <v>0</v>
          </cell>
          <cell r="CE3031">
            <v>0</v>
          </cell>
        </row>
        <row r="3032">
          <cell r="BY3032">
            <v>0</v>
          </cell>
          <cell r="BZ3032">
            <v>0</v>
          </cell>
          <cell r="CA3032">
            <v>0</v>
          </cell>
          <cell r="CB3032">
            <v>0</v>
          </cell>
          <cell r="CC3032">
            <v>0</v>
          </cell>
          <cell r="CD3032">
            <v>0</v>
          </cell>
          <cell r="CE3032">
            <v>0</v>
          </cell>
        </row>
        <row r="3033">
          <cell r="BY3033">
            <v>0</v>
          </cell>
          <cell r="BZ3033">
            <v>0</v>
          </cell>
          <cell r="CA3033">
            <v>0</v>
          </cell>
          <cell r="CB3033">
            <v>0</v>
          </cell>
          <cell r="CC3033">
            <v>0</v>
          </cell>
          <cell r="CD3033">
            <v>0</v>
          </cell>
          <cell r="CE3033">
            <v>0</v>
          </cell>
        </row>
        <row r="3034">
          <cell r="BY3034">
            <v>0</v>
          </cell>
          <cell r="BZ3034">
            <v>0</v>
          </cell>
          <cell r="CA3034">
            <v>0</v>
          </cell>
          <cell r="CB3034">
            <v>0</v>
          </cell>
          <cell r="CC3034">
            <v>0</v>
          </cell>
          <cell r="CD3034">
            <v>0</v>
          </cell>
          <cell r="CE3034">
            <v>0</v>
          </cell>
        </row>
        <row r="3035">
          <cell r="BY3035">
            <v>0</v>
          </cell>
          <cell r="BZ3035">
            <v>0</v>
          </cell>
          <cell r="CA3035">
            <v>0</v>
          </cell>
          <cell r="CB3035">
            <v>0</v>
          </cell>
          <cell r="CC3035">
            <v>0</v>
          </cell>
          <cell r="CD3035">
            <v>0</v>
          </cell>
          <cell r="CE3035">
            <v>0</v>
          </cell>
        </row>
        <row r="3036">
          <cell r="BY3036">
            <v>0</v>
          </cell>
          <cell r="BZ3036">
            <v>0</v>
          </cell>
          <cell r="CA3036">
            <v>0</v>
          </cell>
          <cell r="CB3036">
            <v>0</v>
          </cell>
          <cell r="CC3036">
            <v>0</v>
          </cell>
          <cell r="CD3036">
            <v>0</v>
          </cell>
          <cell r="CE3036">
            <v>0</v>
          </cell>
        </row>
        <row r="3037">
          <cell r="BY3037">
            <v>0</v>
          </cell>
          <cell r="BZ3037">
            <v>0</v>
          </cell>
          <cell r="CA3037">
            <v>0</v>
          </cell>
          <cell r="CB3037">
            <v>0</v>
          </cell>
          <cell r="CC3037">
            <v>0</v>
          </cell>
          <cell r="CD3037">
            <v>0</v>
          </cell>
          <cell r="CE3037">
            <v>0</v>
          </cell>
        </row>
        <row r="3038">
          <cell r="BY3038">
            <v>0</v>
          </cell>
          <cell r="BZ3038">
            <v>0</v>
          </cell>
          <cell r="CA3038">
            <v>0</v>
          </cell>
          <cell r="CB3038">
            <v>0</v>
          </cell>
          <cell r="CC3038">
            <v>0</v>
          </cell>
          <cell r="CD3038">
            <v>0</v>
          </cell>
          <cell r="CE3038">
            <v>0</v>
          </cell>
        </row>
        <row r="3039">
          <cell r="BY3039">
            <v>0</v>
          </cell>
          <cell r="BZ3039">
            <v>0</v>
          </cell>
          <cell r="CA3039">
            <v>0</v>
          </cell>
          <cell r="CB3039">
            <v>0</v>
          </cell>
          <cell r="CC3039">
            <v>0</v>
          </cell>
          <cell r="CD3039">
            <v>0</v>
          </cell>
          <cell r="CE3039">
            <v>0</v>
          </cell>
        </row>
        <row r="3040">
          <cell r="BY3040">
            <v>0</v>
          </cell>
          <cell r="BZ3040">
            <v>0</v>
          </cell>
          <cell r="CA3040">
            <v>0</v>
          </cell>
          <cell r="CB3040">
            <v>0</v>
          </cell>
          <cell r="CC3040">
            <v>0</v>
          </cell>
          <cell r="CD3040">
            <v>0</v>
          </cell>
          <cell r="CE3040">
            <v>0</v>
          </cell>
        </row>
        <row r="3041">
          <cell r="BY3041">
            <v>0</v>
          </cell>
          <cell r="BZ3041">
            <v>0</v>
          </cell>
          <cell r="CA3041">
            <v>0</v>
          </cell>
          <cell r="CB3041">
            <v>0</v>
          </cell>
          <cell r="CC3041">
            <v>0</v>
          </cell>
          <cell r="CD3041">
            <v>0</v>
          </cell>
          <cell r="CE3041">
            <v>0</v>
          </cell>
        </row>
        <row r="3042">
          <cell r="BY3042">
            <v>0</v>
          </cell>
          <cell r="BZ3042">
            <v>0</v>
          </cell>
          <cell r="CA3042">
            <v>0</v>
          </cell>
          <cell r="CB3042">
            <v>0</v>
          </cell>
          <cell r="CC3042">
            <v>0</v>
          </cell>
          <cell r="CD3042">
            <v>0</v>
          </cell>
          <cell r="CE3042">
            <v>0</v>
          </cell>
        </row>
        <row r="3043">
          <cell r="BY3043">
            <v>0</v>
          </cell>
          <cell r="BZ3043">
            <v>0</v>
          </cell>
          <cell r="CA3043">
            <v>0</v>
          </cell>
          <cell r="CB3043">
            <v>0</v>
          </cell>
          <cell r="CC3043">
            <v>0</v>
          </cell>
          <cell r="CD3043">
            <v>0</v>
          </cell>
          <cell r="CE3043">
            <v>0</v>
          </cell>
        </row>
        <row r="3044">
          <cell r="BY3044">
            <v>0</v>
          </cell>
          <cell r="BZ3044">
            <v>0</v>
          </cell>
          <cell r="CA3044">
            <v>0</v>
          </cell>
          <cell r="CB3044">
            <v>0</v>
          </cell>
          <cell r="CC3044">
            <v>0</v>
          </cell>
          <cell r="CD3044">
            <v>0</v>
          </cell>
          <cell r="CE3044">
            <v>0</v>
          </cell>
        </row>
        <row r="3045">
          <cell r="BY3045">
            <v>0</v>
          </cell>
          <cell r="BZ3045">
            <v>0</v>
          </cell>
          <cell r="CA3045">
            <v>0</v>
          </cell>
          <cell r="CB3045">
            <v>0</v>
          </cell>
          <cell r="CC3045">
            <v>0</v>
          </cell>
          <cell r="CD3045">
            <v>0</v>
          </cell>
          <cell r="CE3045">
            <v>0</v>
          </cell>
        </row>
        <row r="3046">
          <cell r="BY3046">
            <v>0</v>
          </cell>
          <cell r="BZ3046">
            <v>0</v>
          </cell>
          <cell r="CA3046">
            <v>0</v>
          </cell>
          <cell r="CB3046">
            <v>0</v>
          </cell>
          <cell r="CC3046">
            <v>0</v>
          </cell>
          <cell r="CD3046">
            <v>0</v>
          </cell>
          <cell r="CE3046">
            <v>0</v>
          </cell>
        </row>
        <row r="3047">
          <cell r="BY3047">
            <v>0</v>
          </cell>
          <cell r="BZ3047">
            <v>0</v>
          </cell>
          <cell r="CA3047">
            <v>0</v>
          </cell>
          <cell r="CB3047">
            <v>0</v>
          </cell>
          <cell r="CC3047">
            <v>0</v>
          </cell>
          <cell r="CD3047">
            <v>0</v>
          </cell>
          <cell r="CE3047">
            <v>0</v>
          </cell>
        </row>
        <row r="3048">
          <cell r="BY3048">
            <v>0</v>
          </cell>
          <cell r="BZ3048">
            <v>0</v>
          </cell>
          <cell r="CA3048">
            <v>0</v>
          </cell>
          <cell r="CB3048">
            <v>0</v>
          </cell>
          <cell r="CC3048">
            <v>0</v>
          </cell>
          <cell r="CD3048">
            <v>0</v>
          </cell>
          <cell r="CE3048">
            <v>0</v>
          </cell>
        </row>
        <row r="3049">
          <cell r="BY3049">
            <v>0</v>
          </cell>
          <cell r="BZ3049">
            <v>0</v>
          </cell>
          <cell r="CA3049">
            <v>0</v>
          </cell>
          <cell r="CB3049">
            <v>0</v>
          </cell>
          <cell r="CC3049">
            <v>0</v>
          </cell>
          <cell r="CD3049">
            <v>0</v>
          </cell>
          <cell r="CE3049">
            <v>0</v>
          </cell>
        </row>
        <row r="3050">
          <cell r="BY3050">
            <v>0</v>
          </cell>
          <cell r="BZ3050">
            <v>0</v>
          </cell>
          <cell r="CA3050">
            <v>0</v>
          </cell>
          <cell r="CB3050">
            <v>0</v>
          </cell>
          <cell r="CC3050">
            <v>0</v>
          </cell>
          <cell r="CD3050">
            <v>0</v>
          </cell>
          <cell r="CE3050">
            <v>0</v>
          </cell>
        </row>
        <row r="3051">
          <cell r="BY3051">
            <v>0</v>
          </cell>
          <cell r="BZ3051">
            <v>0</v>
          </cell>
          <cell r="CA3051">
            <v>0</v>
          </cell>
          <cell r="CB3051">
            <v>0</v>
          </cell>
          <cell r="CC3051">
            <v>0</v>
          </cell>
          <cell r="CD3051">
            <v>0</v>
          </cell>
          <cell r="CE3051">
            <v>0</v>
          </cell>
        </row>
        <row r="3052">
          <cell r="BY3052">
            <v>0</v>
          </cell>
          <cell r="BZ3052">
            <v>0</v>
          </cell>
          <cell r="CA3052">
            <v>0</v>
          </cell>
          <cell r="CB3052">
            <v>0</v>
          </cell>
          <cell r="CC3052">
            <v>0</v>
          </cell>
          <cell r="CD3052">
            <v>0</v>
          </cell>
          <cell r="CE3052">
            <v>0</v>
          </cell>
        </row>
        <row r="3053">
          <cell r="BY3053">
            <v>0</v>
          </cell>
          <cell r="BZ3053">
            <v>0</v>
          </cell>
          <cell r="CA3053">
            <v>0</v>
          </cell>
          <cell r="CB3053">
            <v>0</v>
          </cell>
          <cell r="CC3053">
            <v>0</v>
          </cell>
          <cell r="CD3053">
            <v>0</v>
          </cell>
          <cell r="CE3053">
            <v>0</v>
          </cell>
        </row>
        <row r="3054">
          <cell r="BY3054">
            <v>0</v>
          </cell>
          <cell r="BZ3054">
            <v>0</v>
          </cell>
          <cell r="CA3054">
            <v>0</v>
          </cell>
          <cell r="CB3054">
            <v>0</v>
          </cell>
          <cell r="CC3054">
            <v>0</v>
          </cell>
          <cell r="CD3054">
            <v>0</v>
          </cell>
          <cell r="CE3054">
            <v>0</v>
          </cell>
        </row>
        <row r="3055">
          <cell r="BY3055">
            <v>0</v>
          </cell>
          <cell r="BZ3055">
            <v>0</v>
          </cell>
          <cell r="CA3055">
            <v>0</v>
          </cell>
          <cell r="CB3055">
            <v>0</v>
          </cell>
          <cell r="CC3055">
            <v>0</v>
          </cell>
          <cell r="CD3055">
            <v>0</v>
          </cell>
          <cell r="CE3055">
            <v>0</v>
          </cell>
        </row>
        <row r="3056">
          <cell r="BY3056">
            <v>0</v>
          </cell>
          <cell r="BZ3056">
            <v>0</v>
          </cell>
          <cell r="CA3056">
            <v>0</v>
          </cell>
          <cell r="CB3056">
            <v>0</v>
          </cell>
          <cell r="CC3056">
            <v>0</v>
          </cell>
          <cell r="CD3056">
            <v>0</v>
          </cell>
          <cell r="CE3056">
            <v>0</v>
          </cell>
        </row>
        <row r="3057">
          <cell r="BY3057">
            <v>0</v>
          </cell>
          <cell r="BZ3057">
            <v>0</v>
          </cell>
          <cell r="CA3057">
            <v>0</v>
          </cell>
          <cell r="CB3057">
            <v>0</v>
          </cell>
          <cell r="CC3057">
            <v>0</v>
          </cell>
          <cell r="CD3057">
            <v>0</v>
          </cell>
          <cell r="CE3057">
            <v>0</v>
          </cell>
        </row>
        <row r="3058">
          <cell r="BY3058">
            <v>0</v>
          </cell>
          <cell r="BZ3058">
            <v>0</v>
          </cell>
          <cell r="CA3058">
            <v>0</v>
          </cell>
          <cell r="CB3058">
            <v>0</v>
          </cell>
          <cell r="CC3058">
            <v>0</v>
          </cell>
          <cell r="CD3058">
            <v>0</v>
          </cell>
          <cell r="CE3058">
            <v>0</v>
          </cell>
        </row>
        <row r="3059">
          <cell r="BY3059">
            <v>0</v>
          </cell>
          <cell r="BZ3059">
            <v>0</v>
          </cell>
          <cell r="CA3059">
            <v>0</v>
          </cell>
          <cell r="CB3059">
            <v>0</v>
          </cell>
          <cell r="CC3059">
            <v>0</v>
          </cell>
          <cell r="CD3059">
            <v>0</v>
          </cell>
          <cell r="CE3059">
            <v>0</v>
          </cell>
        </row>
        <row r="3060">
          <cell r="BY3060">
            <v>0</v>
          </cell>
          <cell r="BZ3060">
            <v>0</v>
          </cell>
          <cell r="CA3060">
            <v>0</v>
          </cell>
          <cell r="CB3060">
            <v>0</v>
          </cell>
          <cell r="CC3060">
            <v>0</v>
          </cell>
          <cell r="CD3060">
            <v>0</v>
          </cell>
          <cell r="CE3060">
            <v>0</v>
          </cell>
        </row>
        <row r="3061">
          <cell r="BY3061">
            <v>0</v>
          </cell>
          <cell r="BZ3061">
            <v>0</v>
          </cell>
          <cell r="CA3061">
            <v>0</v>
          </cell>
          <cell r="CB3061">
            <v>0</v>
          </cell>
          <cell r="CC3061">
            <v>0</v>
          </cell>
          <cell r="CD3061">
            <v>0</v>
          </cell>
          <cell r="CE3061">
            <v>0</v>
          </cell>
        </row>
        <row r="3062">
          <cell r="BY3062">
            <v>0</v>
          </cell>
          <cell r="BZ3062">
            <v>0</v>
          </cell>
          <cell r="CA3062">
            <v>0</v>
          </cell>
          <cell r="CB3062">
            <v>0</v>
          </cell>
          <cell r="CC3062">
            <v>0</v>
          </cell>
          <cell r="CD3062">
            <v>0</v>
          </cell>
          <cell r="CE3062">
            <v>0</v>
          </cell>
        </row>
        <row r="3063">
          <cell r="BY3063">
            <v>0</v>
          </cell>
          <cell r="BZ3063">
            <v>0</v>
          </cell>
          <cell r="CA3063">
            <v>0</v>
          </cell>
          <cell r="CB3063">
            <v>0</v>
          </cell>
          <cell r="CC3063">
            <v>0</v>
          </cell>
          <cell r="CD3063">
            <v>0</v>
          </cell>
          <cell r="CE3063">
            <v>0</v>
          </cell>
        </row>
        <row r="3064">
          <cell r="BY3064">
            <v>0</v>
          </cell>
          <cell r="BZ3064">
            <v>0</v>
          </cell>
          <cell r="CA3064">
            <v>0</v>
          </cell>
          <cell r="CB3064">
            <v>0</v>
          </cell>
          <cell r="CC3064">
            <v>0</v>
          </cell>
          <cell r="CD3064">
            <v>0</v>
          </cell>
          <cell r="CE3064">
            <v>0</v>
          </cell>
        </row>
        <row r="3065">
          <cell r="BY3065">
            <v>0</v>
          </cell>
          <cell r="BZ3065">
            <v>0</v>
          </cell>
          <cell r="CA3065">
            <v>0</v>
          </cell>
          <cell r="CB3065">
            <v>0</v>
          </cell>
          <cell r="CC3065">
            <v>0</v>
          </cell>
          <cell r="CD3065">
            <v>0</v>
          </cell>
          <cell r="CE3065">
            <v>0</v>
          </cell>
        </row>
        <row r="3066">
          <cell r="BY3066">
            <v>0</v>
          </cell>
          <cell r="BZ3066">
            <v>0</v>
          </cell>
          <cell r="CA3066">
            <v>0</v>
          </cell>
          <cell r="CB3066">
            <v>0</v>
          </cell>
          <cell r="CC3066">
            <v>0</v>
          </cell>
          <cell r="CD3066">
            <v>0</v>
          </cell>
          <cell r="CE3066">
            <v>0</v>
          </cell>
        </row>
        <row r="3067">
          <cell r="BY3067">
            <v>0</v>
          </cell>
          <cell r="BZ3067">
            <v>0</v>
          </cell>
          <cell r="CA3067">
            <v>0</v>
          </cell>
          <cell r="CB3067">
            <v>0</v>
          </cell>
          <cell r="CC3067">
            <v>0</v>
          </cell>
          <cell r="CD3067">
            <v>0</v>
          </cell>
          <cell r="CE3067">
            <v>0</v>
          </cell>
        </row>
        <row r="3068">
          <cell r="BY3068">
            <v>0</v>
          </cell>
          <cell r="BZ3068">
            <v>0</v>
          </cell>
          <cell r="CA3068">
            <v>0</v>
          </cell>
          <cell r="CB3068">
            <v>0</v>
          </cell>
          <cell r="CC3068">
            <v>0</v>
          </cell>
          <cell r="CD3068">
            <v>0</v>
          </cell>
          <cell r="CE3068">
            <v>0</v>
          </cell>
        </row>
        <row r="3069">
          <cell r="BY3069">
            <v>0</v>
          </cell>
          <cell r="BZ3069">
            <v>0</v>
          </cell>
          <cell r="CA3069">
            <v>0</v>
          </cell>
          <cell r="CB3069">
            <v>0</v>
          </cell>
          <cell r="CC3069">
            <v>0</v>
          </cell>
          <cell r="CD3069">
            <v>0</v>
          </cell>
          <cell r="CE3069">
            <v>0</v>
          </cell>
        </row>
        <row r="3070">
          <cell r="BY3070">
            <v>0</v>
          </cell>
          <cell r="BZ3070">
            <v>0</v>
          </cell>
          <cell r="CA3070">
            <v>0</v>
          </cell>
          <cell r="CB3070">
            <v>0</v>
          </cell>
          <cell r="CC3070">
            <v>0</v>
          </cell>
          <cell r="CD3070">
            <v>0</v>
          </cell>
          <cell r="CE3070">
            <v>0</v>
          </cell>
        </row>
        <row r="3071">
          <cell r="BY3071">
            <v>0</v>
          </cell>
          <cell r="BZ3071">
            <v>0</v>
          </cell>
          <cell r="CA3071">
            <v>0</v>
          </cell>
          <cell r="CB3071">
            <v>0</v>
          </cell>
          <cell r="CC3071">
            <v>0</v>
          </cell>
          <cell r="CD3071">
            <v>0</v>
          </cell>
          <cell r="CE3071">
            <v>0</v>
          </cell>
        </row>
        <row r="3072">
          <cell r="BY3072">
            <v>0</v>
          </cell>
          <cell r="BZ3072">
            <v>0</v>
          </cell>
          <cell r="CA3072">
            <v>0</v>
          </cell>
          <cell r="CB3072">
            <v>0</v>
          </cell>
          <cell r="CC3072">
            <v>0</v>
          </cell>
          <cell r="CD3072">
            <v>0</v>
          </cell>
          <cell r="CE3072">
            <v>0</v>
          </cell>
        </row>
        <row r="3073">
          <cell r="BY3073">
            <v>0</v>
          </cell>
          <cell r="BZ3073">
            <v>0</v>
          </cell>
          <cell r="CA3073">
            <v>0</v>
          </cell>
          <cell r="CB3073">
            <v>0</v>
          </cell>
          <cell r="CC3073">
            <v>0</v>
          </cell>
          <cell r="CD3073">
            <v>0</v>
          </cell>
          <cell r="CE3073">
            <v>0</v>
          </cell>
        </row>
        <row r="3074">
          <cell r="BY3074">
            <v>0</v>
          </cell>
          <cell r="BZ3074">
            <v>0</v>
          </cell>
          <cell r="CA3074">
            <v>0</v>
          </cell>
          <cell r="CB3074">
            <v>0</v>
          </cell>
          <cell r="CC3074">
            <v>0</v>
          </cell>
          <cell r="CD3074">
            <v>0</v>
          </cell>
          <cell r="CE3074">
            <v>0</v>
          </cell>
        </row>
        <row r="3075">
          <cell r="BY3075">
            <v>0</v>
          </cell>
          <cell r="BZ3075">
            <v>0</v>
          </cell>
          <cell r="CA3075">
            <v>0</v>
          </cell>
          <cell r="CB3075">
            <v>0</v>
          </cell>
          <cell r="CC3075">
            <v>0</v>
          </cell>
          <cell r="CD3075">
            <v>0</v>
          </cell>
          <cell r="CE3075">
            <v>0</v>
          </cell>
        </row>
        <row r="3076">
          <cell r="BY3076">
            <v>0</v>
          </cell>
          <cell r="BZ3076">
            <v>0</v>
          </cell>
          <cell r="CA3076">
            <v>0</v>
          </cell>
          <cell r="CB3076">
            <v>0</v>
          </cell>
          <cell r="CC3076">
            <v>0</v>
          </cell>
          <cell r="CD3076">
            <v>0</v>
          </cell>
          <cell r="CE3076">
            <v>0</v>
          </cell>
        </row>
        <row r="3077">
          <cell r="BY3077">
            <v>0</v>
          </cell>
          <cell r="BZ3077">
            <v>0</v>
          </cell>
          <cell r="CA3077">
            <v>0</v>
          </cell>
          <cell r="CB3077">
            <v>0</v>
          </cell>
          <cell r="CC3077">
            <v>0</v>
          </cell>
          <cell r="CD3077">
            <v>0</v>
          </cell>
          <cell r="CE3077">
            <v>0</v>
          </cell>
        </row>
        <row r="3078">
          <cell r="BY3078">
            <v>0</v>
          </cell>
          <cell r="BZ3078">
            <v>0</v>
          </cell>
          <cell r="CA3078">
            <v>0</v>
          </cell>
          <cell r="CB3078">
            <v>0</v>
          </cell>
          <cell r="CC3078">
            <v>0</v>
          </cell>
          <cell r="CD3078">
            <v>0</v>
          </cell>
          <cell r="CE3078">
            <v>0</v>
          </cell>
        </row>
        <row r="3079">
          <cell r="BY3079">
            <v>0</v>
          </cell>
          <cell r="BZ3079">
            <v>0</v>
          </cell>
          <cell r="CA3079">
            <v>0</v>
          </cell>
          <cell r="CB3079">
            <v>0</v>
          </cell>
          <cell r="CC3079">
            <v>0</v>
          </cell>
          <cell r="CD3079">
            <v>0</v>
          </cell>
          <cell r="CE3079">
            <v>0</v>
          </cell>
        </row>
        <row r="3080">
          <cell r="BY3080">
            <v>0</v>
          </cell>
          <cell r="BZ3080">
            <v>0</v>
          </cell>
          <cell r="CA3080">
            <v>0</v>
          </cell>
          <cell r="CB3080">
            <v>0</v>
          </cell>
          <cell r="CC3080">
            <v>0</v>
          </cell>
          <cell r="CD3080">
            <v>0</v>
          </cell>
          <cell r="CE3080">
            <v>0</v>
          </cell>
        </row>
        <row r="3081">
          <cell r="BY3081">
            <v>0</v>
          </cell>
          <cell r="BZ3081">
            <v>0</v>
          </cell>
          <cell r="CA3081">
            <v>0</v>
          </cell>
          <cell r="CB3081">
            <v>0</v>
          </cell>
          <cell r="CC3081">
            <v>0</v>
          </cell>
          <cell r="CD3081">
            <v>0</v>
          </cell>
          <cell r="CE3081">
            <v>0</v>
          </cell>
        </row>
        <row r="3082">
          <cell r="BY3082">
            <v>0</v>
          </cell>
          <cell r="BZ3082">
            <v>0</v>
          </cell>
          <cell r="CA3082">
            <v>0</v>
          </cell>
          <cell r="CB3082">
            <v>0</v>
          </cell>
          <cell r="CC3082">
            <v>0</v>
          </cell>
          <cell r="CD3082">
            <v>0</v>
          </cell>
          <cell r="CE3082">
            <v>0</v>
          </cell>
        </row>
        <row r="3083">
          <cell r="BY3083">
            <v>0</v>
          </cell>
          <cell r="BZ3083">
            <v>0</v>
          </cell>
          <cell r="CA3083">
            <v>0</v>
          </cell>
          <cell r="CB3083">
            <v>0</v>
          </cell>
          <cell r="CC3083">
            <v>0</v>
          </cell>
          <cell r="CD3083">
            <v>0</v>
          </cell>
          <cell r="CE3083">
            <v>0</v>
          </cell>
        </row>
        <row r="3084">
          <cell r="BY3084">
            <v>0</v>
          </cell>
          <cell r="BZ3084">
            <v>0</v>
          </cell>
          <cell r="CA3084">
            <v>0</v>
          </cell>
          <cell r="CB3084">
            <v>0</v>
          </cell>
          <cell r="CC3084">
            <v>0</v>
          </cell>
          <cell r="CD3084">
            <v>0</v>
          </cell>
          <cell r="CE3084">
            <v>0</v>
          </cell>
        </row>
        <row r="3085">
          <cell r="BY3085">
            <v>0</v>
          </cell>
          <cell r="BZ3085">
            <v>0</v>
          </cell>
          <cell r="CA3085">
            <v>0</v>
          </cell>
          <cell r="CB3085">
            <v>0</v>
          </cell>
          <cell r="CC3085">
            <v>0</v>
          </cell>
          <cell r="CD3085">
            <v>0</v>
          </cell>
          <cell r="CE3085">
            <v>0</v>
          </cell>
        </row>
        <row r="3086">
          <cell r="BY3086">
            <v>0</v>
          </cell>
          <cell r="BZ3086">
            <v>0</v>
          </cell>
          <cell r="CA3086">
            <v>0</v>
          </cell>
          <cell r="CB3086">
            <v>0</v>
          </cell>
          <cell r="CC3086">
            <v>0</v>
          </cell>
          <cell r="CD3086">
            <v>0</v>
          </cell>
          <cell r="CE3086">
            <v>0</v>
          </cell>
        </row>
        <row r="3087">
          <cell r="BY3087">
            <v>0</v>
          </cell>
          <cell r="BZ3087">
            <v>0</v>
          </cell>
          <cell r="CA3087">
            <v>0</v>
          </cell>
          <cell r="CB3087">
            <v>0</v>
          </cell>
          <cell r="CC3087">
            <v>0</v>
          </cell>
          <cell r="CD3087">
            <v>0</v>
          </cell>
          <cell r="CE3087">
            <v>0</v>
          </cell>
        </row>
        <row r="3088">
          <cell r="BY3088">
            <v>0</v>
          </cell>
          <cell r="BZ3088">
            <v>0</v>
          </cell>
          <cell r="CA3088">
            <v>0</v>
          </cell>
          <cell r="CB3088">
            <v>0</v>
          </cell>
          <cell r="CC3088">
            <v>0</v>
          </cell>
          <cell r="CD3088">
            <v>0</v>
          </cell>
          <cell r="CE3088">
            <v>0</v>
          </cell>
        </row>
        <row r="3089">
          <cell r="BY3089">
            <v>0</v>
          </cell>
          <cell r="BZ3089">
            <v>0</v>
          </cell>
          <cell r="CA3089">
            <v>0</v>
          </cell>
          <cell r="CB3089">
            <v>0</v>
          </cell>
          <cell r="CC3089">
            <v>0</v>
          </cell>
          <cell r="CD3089">
            <v>0</v>
          </cell>
          <cell r="CE3089">
            <v>0</v>
          </cell>
        </row>
        <row r="3090">
          <cell r="BY3090">
            <v>0</v>
          </cell>
          <cell r="BZ3090">
            <v>0</v>
          </cell>
          <cell r="CA3090">
            <v>0</v>
          </cell>
          <cell r="CB3090">
            <v>0</v>
          </cell>
          <cell r="CC3090">
            <v>0</v>
          </cell>
          <cell r="CD3090">
            <v>0</v>
          </cell>
          <cell r="CE3090">
            <v>0</v>
          </cell>
        </row>
        <row r="3091">
          <cell r="BY3091">
            <v>0</v>
          </cell>
          <cell r="BZ3091">
            <v>0</v>
          </cell>
          <cell r="CA3091">
            <v>0</v>
          </cell>
          <cell r="CB3091">
            <v>0</v>
          </cell>
          <cell r="CC3091">
            <v>0</v>
          </cell>
          <cell r="CD3091">
            <v>0</v>
          </cell>
          <cell r="CE3091">
            <v>0</v>
          </cell>
        </row>
        <row r="3092">
          <cell r="BY3092">
            <v>0</v>
          </cell>
          <cell r="BZ3092">
            <v>0</v>
          </cell>
          <cell r="CA3092">
            <v>0</v>
          </cell>
          <cell r="CB3092">
            <v>0</v>
          </cell>
          <cell r="CC3092">
            <v>0</v>
          </cell>
          <cell r="CD3092">
            <v>0</v>
          </cell>
          <cell r="CE3092">
            <v>0</v>
          </cell>
        </row>
        <row r="3093">
          <cell r="BY3093">
            <v>0</v>
          </cell>
          <cell r="BZ3093">
            <v>0</v>
          </cell>
          <cell r="CA3093">
            <v>0</v>
          </cell>
          <cell r="CB3093">
            <v>0</v>
          </cell>
          <cell r="CC3093">
            <v>0</v>
          </cell>
          <cell r="CD3093">
            <v>0</v>
          </cell>
          <cell r="CE3093">
            <v>0</v>
          </cell>
        </row>
        <row r="3094">
          <cell r="BY3094">
            <v>0</v>
          </cell>
          <cell r="BZ3094">
            <v>0</v>
          </cell>
          <cell r="CA3094">
            <v>0</v>
          </cell>
          <cell r="CB3094">
            <v>0</v>
          </cell>
          <cell r="CC3094">
            <v>0</v>
          </cell>
          <cell r="CD3094">
            <v>0</v>
          </cell>
          <cell r="CE3094">
            <v>0</v>
          </cell>
        </row>
        <row r="3095">
          <cell r="BY3095">
            <v>0</v>
          </cell>
          <cell r="BZ3095">
            <v>0</v>
          </cell>
          <cell r="CA3095">
            <v>0</v>
          </cell>
          <cell r="CB3095">
            <v>0</v>
          </cell>
          <cell r="CC3095">
            <v>0</v>
          </cell>
          <cell r="CD3095">
            <v>0</v>
          </cell>
          <cell r="CE3095">
            <v>0</v>
          </cell>
        </row>
        <row r="3096">
          <cell r="BY3096">
            <v>0</v>
          </cell>
          <cell r="BZ3096">
            <v>0</v>
          </cell>
          <cell r="CA3096">
            <v>0</v>
          </cell>
          <cell r="CB3096">
            <v>0</v>
          </cell>
          <cell r="CC3096">
            <v>0</v>
          </cell>
          <cell r="CD3096">
            <v>0</v>
          </cell>
          <cell r="CE3096">
            <v>0</v>
          </cell>
        </row>
        <row r="3097">
          <cell r="BY3097">
            <v>0</v>
          </cell>
          <cell r="BZ3097">
            <v>0</v>
          </cell>
          <cell r="CA3097">
            <v>0</v>
          </cell>
          <cell r="CB3097">
            <v>0</v>
          </cell>
          <cell r="CC3097">
            <v>0</v>
          </cell>
          <cell r="CD3097">
            <v>0</v>
          </cell>
          <cell r="CE3097">
            <v>0</v>
          </cell>
        </row>
        <row r="3098">
          <cell r="BY3098">
            <v>0</v>
          </cell>
          <cell r="BZ3098">
            <v>0</v>
          </cell>
          <cell r="CA3098">
            <v>0</v>
          </cell>
          <cell r="CB3098">
            <v>0</v>
          </cell>
          <cell r="CC3098">
            <v>0</v>
          </cell>
          <cell r="CD3098">
            <v>0</v>
          </cell>
          <cell r="CE3098">
            <v>0</v>
          </cell>
        </row>
        <row r="3099">
          <cell r="BY3099">
            <v>0</v>
          </cell>
          <cell r="BZ3099">
            <v>0</v>
          </cell>
          <cell r="CA3099">
            <v>0</v>
          </cell>
          <cell r="CB3099">
            <v>0</v>
          </cell>
          <cell r="CC3099">
            <v>0</v>
          </cell>
          <cell r="CD3099">
            <v>0</v>
          </cell>
          <cell r="CE3099">
            <v>0</v>
          </cell>
        </row>
        <row r="3100">
          <cell r="BY3100">
            <v>0</v>
          </cell>
          <cell r="BZ3100">
            <v>0</v>
          </cell>
          <cell r="CA3100">
            <v>0</v>
          </cell>
          <cell r="CB3100">
            <v>0</v>
          </cell>
          <cell r="CC3100">
            <v>0</v>
          </cell>
          <cell r="CD3100">
            <v>0</v>
          </cell>
          <cell r="CE3100">
            <v>0</v>
          </cell>
        </row>
        <row r="3101">
          <cell r="BY3101">
            <v>0</v>
          </cell>
          <cell r="BZ3101">
            <v>0</v>
          </cell>
          <cell r="CA3101">
            <v>0</v>
          </cell>
          <cell r="CB3101">
            <v>0</v>
          </cell>
          <cell r="CC3101">
            <v>0</v>
          </cell>
          <cell r="CD3101">
            <v>0</v>
          </cell>
          <cell r="CE3101">
            <v>0</v>
          </cell>
        </row>
        <row r="3102">
          <cell r="BY3102">
            <v>0</v>
          </cell>
          <cell r="BZ3102">
            <v>0</v>
          </cell>
          <cell r="CA3102">
            <v>0</v>
          </cell>
          <cell r="CB3102">
            <v>0</v>
          </cell>
          <cell r="CC3102">
            <v>0</v>
          </cell>
          <cell r="CD3102">
            <v>0</v>
          </cell>
          <cell r="CE3102">
            <v>0</v>
          </cell>
        </row>
        <row r="3103">
          <cell r="BY3103">
            <v>0</v>
          </cell>
          <cell r="BZ3103">
            <v>0</v>
          </cell>
          <cell r="CA3103">
            <v>0</v>
          </cell>
          <cell r="CB3103">
            <v>0</v>
          </cell>
          <cell r="CC3103">
            <v>0</v>
          </cell>
          <cell r="CD3103">
            <v>0</v>
          </cell>
          <cell r="CE3103">
            <v>0</v>
          </cell>
        </row>
        <row r="3104">
          <cell r="BY3104">
            <v>0</v>
          </cell>
          <cell r="BZ3104">
            <v>0</v>
          </cell>
          <cell r="CA3104">
            <v>0</v>
          </cell>
          <cell r="CB3104">
            <v>0</v>
          </cell>
          <cell r="CC3104">
            <v>0</v>
          </cell>
          <cell r="CD3104">
            <v>0</v>
          </cell>
          <cell r="CE3104">
            <v>0</v>
          </cell>
        </row>
        <row r="3105">
          <cell r="BY3105">
            <v>0</v>
          </cell>
          <cell r="BZ3105">
            <v>0</v>
          </cell>
          <cell r="CA3105">
            <v>0</v>
          </cell>
          <cell r="CB3105">
            <v>0</v>
          </cell>
          <cell r="CC3105">
            <v>0</v>
          </cell>
          <cell r="CD3105">
            <v>0</v>
          </cell>
          <cell r="CE3105">
            <v>0</v>
          </cell>
        </row>
        <row r="3106">
          <cell r="BY3106">
            <v>0</v>
          </cell>
          <cell r="BZ3106">
            <v>0</v>
          </cell>
          <cell r="CA3106">
            <v>0</v>
          </cell>
          <cell r="CB3106">
            <v>0</v>
          </cell>
          <cell r="CC3106">
            <v>0</v>
          </cell>
          <cell r="CD3106">
            <v>0</v>
          </cell>
          <cell r="CE3106">
            <v>0</v>
          </cell>
        </row>
        <row r="3107">
          <cell r="BY3107">
            <v>0</v>
          </cell>
          <cell r="BZ3107">
            <v>0</v>
          </cell>
          <cell r="CA3107">
            <v>0</v>
          </cell>
          <cell r="CB3107">
            <v>0</v>
          </cell>
          <cell r="CC3107">
            <v>0</v>
          </cell>
          <cell r="CD3107">
            <v>0</v>
          </cell>
          <cell r="CE3107">
            <v>0</v>
          </cell>
        </row>
        <row r="3108">
          <cell r="BY3108">
            <v>0</v>
          </cell>
          <cell r="BZ3108">
            <v>0</v>
          </cell>
          <cell r="CA3108">
            <v>0</v>
          </cell>
          <cell r="CB3108">
            <v>0</v>
          </cell>
          <cell r="CC3108">
            <v>0</v>
          </cell>
          <cell r="CD3108">
            <v>0</v>
          </cell>
          <cell r="CE3108">
            <v>0</v>
          </cell>
        </row>
        <row r="3109">
          <cell r="BY3109">
            <v>0</v>
          </cell>
          <cell r="BZ3109">
            <v>0</v>
          </cell>
          <cell r="CA3109">
            <v>0</v>
          </cell>
          <cell r="CB3109">
            <v>0</v>
          </cell>
          <cell r="CC3109">
            <v>0</v>
          </cell>
          <cell r="CD3109">
            <v>0</v>
          </cell>
          <cell r="CE3109">
            <v>0</v>
          </cell>
        </row>
        <row r="3110">
          <cell r="BY3110">
            <v>0</v>
          </cell>
          <cell r="BZ3110">
            <v>0</v>
          </cell>
          <cell r="CA3110">
            <v>0</v>
          </cell>
          <cell r="CB3110">
            <v>0</v>
          </cell>
          <cell r="CC3110">
            <v>0</v>
          </cell>
          <cell r="CD3110">
            <v>0</v>
          </cell>
          <cell r="CE3110">
            <v>0</v>
          </cell>
        </row>
        <row r="3111">
          <cell r="BY3111">
            <v>0</v>
          </cell>
          <cell r="BZ3111">
            <v>0</v>
          </cell>
          <cell r="CA3111">
            <v>0</v>
          </cell>
          <cell r="CB3111">
            <v>0</v>
          </cell>
          <cell r="CC3111">
            <v>0</v>
          </cell>
          <cell r="CD3111">
            <v>0</v>
          </cell>
          <cell r="CE3111">
            <v>0</v>
          </cell>
        </row>
        <row r="3112">
          <cell r="BY3112">
            <v>0</v>
          </cell>
          <cell r="BZ3112">
            <v>0</v>
          </cell>
          <cell r="CA3112">
            <v>0</v>
          </cell>
          <cell r="CB3112">
            <v>0</v>
          </cell>
          <cell r="CC3112">
            <v>0</v>
          </cell>
          <cell r="CD3112">
            <v>0</v>
          </cell>
          <cell r="CE3112">
            <v>0</v>
          </cell>
        </row>
        <row r="3113">
          <cell r="BY3113">
            <v>0</v>
          </cell>
          <cell r="BZ3113">
            <v>0</v>
          </cell>
          <cell r="CA3113">
            <v>0</v>
          </cell>
          <cell r="CB3113">
            <v>0</v>
          </cell>
          <cell r="CC3113">
            <v>0</v>
          </cell>
          <cell r="CD3113">
            <v>0</v>
          </cell>
          <cell r="CE3113">
            <v>0</v>
          </cell>
        </row>
        <row r="3114">
          <cell r="BY3114">
            <v>0</v>
          </cell>
          <cell r="BZ3114">
            <v>0</v>
          </cell>
          <cell r="CA3114">
            <v>0</v>
          </cell>
          <cell r="CB3114">
            <v>0</v>
          </cell>
          <cell r="CC3114">
            <v>0</v>
          </cell>
          <cell r="CD3114">
            <v>0</v>
          </cell>
          <cell r="CE3114">
            <v>0</v>
          </cell>
        </row>
        <row r="3115">
          <cell r="BY3115">
            <v>0</v>
          </cell>
          <cell r="BZ3115">
            <v>0</v>
          </cell>
          <cell r="CA3115">
            <v>0</v>
          </cell>
          <cell r="CB3115">
            <v>0</v>
          </cell>
          <cell r="CC3115">
            <v>0</v>
          </cell>
          <cell r="CD3115">
            <v>0</v>
          </cell>
          <cell r="CE3115">
            <v>0</v>
          </cell>
        </row>
        <row r="3116">
          <cell r="BY3116">
            <v>0</v>
          </cell>
          <cell r="BZ3116">
            <v>0</v>
          </cell>
          <cell r="CA3116">
            <v>0</v>
          </cell>
          <cell r="CB3116">
            <v>0</v>
          </cell>
          <cell r="CC3116">
            <v>0</v>
          </cell>
          <cell r="CD3116">
            <v>0</v>
          </cell>
          <cell r="CE3116">
            <v>0</v>
          </cell>
        </row>
        <row r="3117">
          <cell r="BY3117">
            <v>0</v>
          </cell>
          <cell r="BZ3117">
            <v>0</v>
          </cell>
          <cell r="CA3117">
            <v>0</v>
          </cell>
          <cell r="CB3117">
            <v>0</v>
          </cell>
          <cell r="CC3117">
            <v>0</v>
          </cell>
          <cell r="CD3117">
            <v>0</v>
          </cell>
          <cell r="CE3117">
            <v>0</v>
          </cell>
        </row>
        <row r="3118">
          <cell r="BY3118">
            <v>0</v>
          </cell>
          <cell r="BZ3118">
            <v>0</v>
          </cell>
          <cell r="CA3118">
            <v>0</v>
          </cell>
          <cell r="CB3118">
            <v>0</v>
          </cell>
          <cell r="CC3118">
            <v>0</v>
          </cell>
          <cell r="CD3118">
            <v>0</v>
          </cell>
          <cell r="CE3118">
            <v>0</v>
          </cell>
        </row>
        <row r="3119">
          <cell r="BY3119">
            <v>0</v>
          </cell>
          <cell r="BZ3119">
            <v>0</v>
          </cell>
          <cell r="CA3119">
            <v>0</v>
          </cell>
          <cell r="CB3119">
            <v>0</v>
          </cell>
          <cell r="CC3119">
            <v>0</v>
          </cell>
          <cell r="CD3119">
            <v>0</v>
          </cell>
          <cell r="CE3119">
            <v>0</v>
          </cell>
        </row>
        <row r="3120">
          <cell r="BY3120">
            <v>0</v>
          </cell>
          <cell r="BZ3120">
            <v>0</v>
          </cell>
          <cell r="CA3120">
            <v>0</v>
          </cell>
          <cell r="CB3120">
            <v>0</v>
          </cell>
          <cell r="CC3120">
            <v>0</v>
          </cell>
          <cell r="CD3120">
            <v>0</v>
          </cell>
          <cell r="CE3120">
            <v>0</v>
          </cell>
        </row>
        <row r="3121">
          <cell r="BY3121">
            <v>0</v>
          </cell>
          <cell r="BZ3121">
            <v>0</v>
          </cell>
          <cell r="CA3121">
            <v>0</v>
          </cell>
          <cell r="CB3121">
            <v>0</v>
          </cell>
          <cell r="CC3121">
            <v>0</v>
          </cell>
          <cell r="CD3121">
            <v>0</v>
          </cell>
          <cell r="CE3121">
            <v>0</v>
          </cell>
        </row>
        <row r="3122">
          <cell r="BY3122">
            <v>0</v>
          </cell>
          <cell r="BZ3122">
            <v>0</v>
          </cell>
          <cell r="CA3122">
            <v>0</v>
          </cell>
          <cell r="CB3122">
            <v>0</v>
          </cell>
          <cell r="CC3122">
            <v>0</v>
          </cell>
          <cell r="CD3122">
            <v>0</v>
          </cell>
          <cell r="CE3122">
            <v>0</v>
          </cell>
        </row>
        <row r="3123">
          <cell r="BY3123">
            <v>0</v>
          </cell>
          <cell r="BZ3123">
            <v>0</v>
          </cell>
          <cell r="CA3123">
            <v>0</v>
          </cell>
          <cell r="CB3123">
            <v>0</v>
          </cell>
          <cell r="CC3123">
            <v>0</v>
          </cell>
          <cell r="CD3123">
            <v>0</v>
          </cell>
          <cell r="CE3123">
            <v>0</v>
          </cell>
        </row>
        <row r="3124">
          <cell r="BY3124">
            <v>0</v>
          </cell>
          <cell r="BZ3124">
            <v>0</v>
          </cell>
          <cell r="CA3124">
            <v>0</v>
          </cell>
          <cell r="CB3124">
            <v>0</v>
          </cell>
          <cell r="CC3124">
            <v>0</v>
          </cell>
          <cell r="CD3124">
            <v>0</v>
          </cell>
          <cell r="CE3124">
            <v>0</v>
          </cell>
        </row>
        <row r="3125">
          <cell r="BY3125">
            <v>0</v>
          </cell>
          <cell r="BZ3125">
            <v>0</v>
          </cell>
          <cell r="CA3125">
            <v>0</v>
          </cell>
          <cell r="CB3125">
            <v>0</v>
          </cell>
          <cell r="CC3125">
            <v>0</v>
          </cell>
          <cell r="CD3125">
            <v>0</v>
          </cell>
          <cell r="CE3125">
            <v>0</v>
          </cell>
        </row>
        <row r="3126">
          <cell r="BY3126">
            <v>0</v>
          </cell>
          <cell r="BZ3126">
            <v>0</v>
          </cell>
          <cell r="CA3126">
            <v>0</v>
          </cell>
          <cell r="CB3126">
            <v>0</v>
          </cell>
          <cell r="CC3126">
            <v>0</v>
          </cell>
          <cell r="CD3126">
            <v>0</v>
          </cell>
          <cell r="CE3126">
            <v>0</v>
          </cell>
        </row>
        <row r="3127">
          <cell r="BY3127">
            <v>0</v>
          </cell>
          <cell r="BZ3127">
            <v>0</v>
          </cell>
          <cell r="CA3127">
            <v>0</v>
          </cell>
          <cell r="CB3127">
            <v>0</v>
          </cell>
          <cell r="CC3127">
            <v>0</v>
          </cell>
          <cell r="CD3127">
            <v>0</v>
          </cell>
          <cell r="CE3127">
            <v>0</v>
          </cell>
        </row>
        <row r="3128">
          <cell r="BY3128">
            <v>0</v>
          </cell>
          <cell r="BZ3128">
            <v>0</v>
          </cell>
          <cell r="CA3128">
            <v>0</v>
          </cell>
          <cell r="CB3128">
            <v>0</v>
          </cell>
          <cell r="CC3128">
            <v>0</v>
          </cell>
          <cell r="CD3128">
            <v>0</v>
          </cell>
          <cell r="CE3128">
            <v>0</v>
          </cell>
        </row>
        <row r="3129">
          <cell r="BY3129">
            <v>0</v>
          </cell>
          <cell r="BZ3129">
            <v>0</v>
          </cell>
          <cell r="CA3129">
            <v>0</v>
          </cell>
          <cell r="CB3129">
            <v>0</v>
          </cell>
          <cell r="CC3129">
            <v>0</v>
          </cell>
          <cell r="CD3129">
            <v>0</v>
          </cell>
          <cell r="CE3129">
            <v>0</v>
          </cell>
        </row>
        <row r="3130">
          <cell r="BY3130">
            <v>0</v>
          </cell>
          <cell r="BZ3130">
            <v>0</v>
          </cell>
          <cell r="CA3130">
            <v>0</v>
          </cell>
          <cell r="CB3130">
            <v>0</v>
          </cell>
          <cell r="CC3130">
            <v>0</v>
          </cell>
          <cell r="CD3130">
            <v>0</v>
          </cell>
          <cell r="CE3130">
            <v>0</v>
          </cell>
        </row>
        <row r="3131">
          <cell r="BY3131">
            <v>0</v>
          </cell>
          <cell r="BZ3131">
            <v>0</v>
          </cell>
          <cell r="CA3131">
            <v>0</v>
          </cell>
          <cell r="CB3131">
            <v>0</v>
          </cell>
          <cell r="CC3131">
            <v>0</v>
          </cell>
          <cell r="CD3131">
            <v>0</v>
          </cell>
          <cell r="CE3131">
            <v>0</v>
          </cell>
        </row>
        <row r="3132">
          <cell r="BY3132">
            <v>0</v>
          </cell>
          <cell r="BZ3132">
            <v>0</v>
          </cell>
          <cell r="CA3132">
            <v>0</v>
          </cell>
          <cell r="CB3132">
            <v>0</v>
          </cell>
          <cell r="CC3132">
            <v>0</v>
          </cell>
          <cell r="CD3132">
            <v>0</v>
          </cell>
          <cell r="CE3132">
            <v>0</v>
          </cell>
        </row>
        <row r="3133">
          <cell r="BY3133">
            <v>0</v>
          </cell>
          <cell r="BZ3133">
            <v>0</v>
          </cell>
          <cell r="CA3133">
            <v>0</v>
          </cell>
          <cell r="CB3133">
            <v>0</v>
          </cell>
          <cell r="CC3133">
            <v>0</v>
          </cell>
          <cell r="CD3133">
            <v>0</v>
          </cell>
          <cell r="CE3133">
            <v>0</v>
          </cell>
        </row>
        <row r="3134">
          <cell r="BY3134">
            <v>0</v>
          </cell>
          <cell r="BZ3134">
            <v>0</v>
          </cell>
          <cell r="CA3134">
            <v>0</v>
          </cell>
          <cell r="CB3134">
            <v>0</v>
          </cell>
          <cell r="CC3134">
            <v>0</v>
          </cell>
          <cell r="CD3134">
            <v>0</v>
          </cell>
          <cell r="CE3134">
            <v>0</v>
          </cell>
        </row>
        <row r="3135">
          <cell r="BY3135">
            <v>0</v>
          </cell>
          <cell r="BZ3135">
            <v>0</v>
          </cell>
          <cell r="CA3135">
            <v>0</v>
          </cell>
          <cell r="CB3135">
            <v>0</v>
          </cell>
          <cell r="CC3135">
            <v>0</v>
          </cell>
          <cell r="CD3135">
            <v>0</v>
          </cell>
          <cell r="CE3135">
            <v>0</v>
          </cell>
        </row>
        <row r="3136">
          <cell r="BY3136">
            <v>0</v>
          </cell>
          <cell r="BZ3136">
            <v>0</v>
          </cell>
          <cell r="CA3136">
            <v>0</v>
          </cell>
          <cell r="CB3136">
            <v>0</v>
          </cell>
          <cell r="CC3136">
            <v>0</v>
          </cell>
          <cell r="CD3136">
            <v>0</v>
          </cell>
          <cell r="CE3136">
            <v>0</v>
          </cell>
        </row>
        <row r="3137">
          <cell r="BY3137">
            <v>0</v>
          </cell>
          <cell r="BZ3137">
            <v>0</v>
          </cell>
          <cell r="CA3137">
            <v>0</v>
          </cell>
          <cell r="CB3137">
            <v>0</v>
          </cell>
          <cell r="CC3137">
            <v>0</v>
          </cell>
          <cell r="CD3137">
            <v>0</v>
          </cell>
          <cell r="CE3137">
            <v>0</v>
          </cell>
        </row>
        <row r="3138">
          <cell r="BY3138">
            <v>0</v>
          </cell>
          <cell r="BZ3138">
            <v>0</v>
          </cell>
          <cell r="CA3138">
            <v>0</v>
          </cell>
          <cell r="CB3138">
            <v>0</v>
          </cell>
          <cell r="CC3138">
            <v>0</v>
          </cell>
          <cell r="CD3138">
            <v>0</v>
          </cell>
          <cell r="CE3138">
            <v>0</v>
          </cell>
        </row>
        <row r="3139">
          <cell r="BY3139">
            <v>0</v>
          </cell>
          <cell r="BZ3139">
            <v>0</v>
          </cell>
          <cell r="CA3139">
            <v>0</v>
          </cell>
          <cell r="CB3139">
            <v>0</v>
          </cell>
          <cell r="CC3139">
            <v>0</v>
          </cell>
          <cell r="CD3139">
            <v>0</v>
          </cell>
          <cell r="CE3139">
            <v>0</v>
          </cell>
        </row>
        <row r="3140">
          <cell r="BY3140">
            <v>0</v>
          </cell>
          <cell r="BZ3140">
            <v>0</v>
          </cell>
          <cell r="CA3140">
            <v>0</v>
          </cell>
          <cell r="CB3140">
            <v>0</v>
          </cell>
          <cell r="CC3140">
            <v>0</v>
          </cell>
          <cell r="CD3140">
            <v>0</v>
          </cell>
          <cell r="CE3140">
            <v>0</v>
          </cell>
        </row>
        <row r="3141">
          <cell r="BY3141">
            <v>0</v>
          </cell>
          <cell r="BZ3141">
            <v>0</v>
          </cell>
          <cell r="CA3141">
            <v>0</v>
          </cell>
          <cell r="CB3141">
            <v>0</v>
          </cell>
          <cell r="CC3141">
            <v>0</v>
          </cell>
          <cell r="CD3141">
            <v>0</v>
          </cell>
          <cell r="CE3141">
            <v>0</v>
          </cell>
        </row>
        <row r="3142">
          <cell r="BY3142">
            <v>0</v>
          </cell>
          <cell r="BZ3142">
            <v>0</v>
          </cell>
          <cell r="CA3142">
            <v>0</v>
          </cell>
          <cell r="CB3142">
            <v>0</v>
          </cell>
          <cell r="CC3142">
            <v>0</v>
          </cell>
          <cell r="CD3142">
            <v>0</v>
          </cell>
          <cell r="CE3142">
            <v>0</v>
          </cell>
        </row>
        <row r="3143">
          <cell r="BY3143">
            <v>0</v>
          </cell>
          <cell r="BZ3143">
            <v>0</v>
          </cell>
          <cell r="CA3143">
            <v>0</v>
          </cell>
          <cell r="CB3143">
            <v>0</v>
          </cell>
          <cell r="CC3143">
            <v>0</v>
          </cell>
          <cell r="CD3143">
            <v>0</v>
          </cell>
          <cell r="CE3143">
            <v>0</v>
          </cell>
        </row>
        <row r="3144">
          <cell r="BY3144">
            <v>0</v>
          </cell>
          <cell r="BZ3144">
            <v>0</v>
          </cell>
          <cell r="CA3144">
            <v>0</v>
          </cell>
          <cell r="CB3144">
            <v>0</v>
          </cell>
          <cell r="CC3144">
            <v>0</v>
          </cell>
          <cell r="CD3144">
            <v>0</v>
          </cell>
          <cell r="CE3144">
            <v>0</v>
          </cell>
        </row>
        <row r="3145">
          <cell r="BY3145">
            <v>0</v>
          </cell>
          <cell r="BZ3145">
            <v>0</v>
          </cell>
          <cell r="CA3145">
            <v>0</v>
          </cell>
          <cell r="CB3145">
            <v>0</v>
          </cell>
          <cell r="CC3145">
            <v>0</v>
          </cell>
          <cell r="CD3145">
            <v>0</v>
          </cell>
          <cell r="CE3145">
            <v>0</v>
          </cell>
        </row>
        <row r="3146">
          <cell r="BY3146">
            <v>0</v>
          </cell>
          <cell r="BZ3146">
            <v>0</v>
          </cell>
          <cell r="CA3146">
            <v>0</v>
          </cell>
          <cell r="CB3146">
            <v>0</v>
          </cell>
          <cell r="CC3146">
            <v>0</v>
          </cell>
          <cell r="CD3146">
            <v>0</v>
          </cell>
          <cell r="CE3146">
            <v>0</v>
          </cell>
        </row>
        <row r="3147">
          <cell r="BY3147">
            <v>0</v>
          </cell>
          <cell r="BZ3147">
            <v>0</v>
          </cell>
          <cell r="CA3147">
            <v>0</v>
          </cell>
          <cell r="CB3147">
            <v>0</v>
          </cell>
          <cell r="CC3147">
            <v>0</v>
          </cell>
          <cell r="CD3147">
            <v>0</v>
          </cell>
          <cell r="CE3147">
            <v>0</v>
          </cell>
        </row>
        <row r="3148">
          <cell r="BY3148">
            <v>0</v>
          </cell>
          <cell r="BZ3148">
            <v>0</v>
          </cell>
          <cell r="CA3148">
            <v>0</v>
          </cell>
          <cell r="CB3148">
            <v>0</v>
          </cell>
          <cell r="CC3148">
            <v>0</v>
          </cell>
          <cell r="CD3148">
            <v>0</v>
          </cell>
          <cell r="CE3148">
            <v>0</v>
          </cell>
        </row>
        <row r="3149">
          <cell r="BY3149">
            <v>0</v>
          </cell>
          <cell r="BZ3149">
            <v>0</v>
          </cell>
          <cell r="CA3149">
            <v>0</v>
          </cell>
          <cell r="CB3149">
            <v>0</v>
          </cell>
          <cell r="CC3149">
            <v>0</v>
          </cell>
          <cell r="CD3149">
            <v>0</v>
          </cell>
          <cell r="CE3149">
            <v>0</v>
          </cell>
        </row>
        <row r="3150">
          <cell r="BY3150">
            <v>0</v>
          </cell>
          <cell r="BZ3150">
            <v>0</v>
          </cell>
          <cell r="CA3150">
            <v>0</v>
          </cell>
          <cell r="CB3150">
            <v>0</v>
          </cell>
          <cell r="CC3150">
            <v>0</v>
          </cell>
          <cell r="CD3150">
            <v>0</v>
          </cell>
          <cell r="CE3150">
            <v>0</v>
          </cell>
        </row>
        <row r="3151">
          <cell r="BY3151">
            <v>0</v>
          </cell>
          <cell r="BZ3151">
            <v>0</v>
          </cell>
          <cell r="CA3151">
            <v>0</v>
          </cell>
          <cell r="CB3151">
            <v>0</v>
          </cell>
          <cell r="CC3151">
            <v>0</v>
          </cell>
          <cell r="CD3151">
            <v>0</v>
          </cell>
          <cell r="CE3151">
            <v>0</v>
          </cell>
        </row>
        <row r="3152">
          <cell r="BY3152">
            <v>0</v>
          </cell>
          <cell r="BZ3152">
            <v>0</v>
          </cell>
          <cell r="CA3152">
            <v>0</v>
          </cell>
          <cell r="CB3152">
            <v>0</v>
          </cell>
          <cell r="CC3152">
            <v>0</v>
          </cell>
          <cell r="CD3152">
            <v>0</v>
          </cell>
          <cell r="CE3152">
            <v>0</v>
          </cell>
        </row>
        <row r="3153">
          <cell r="BY3153">
            <v>0</v>
          </cell>
          <cell r="BZ3153">
            <v>0</v>
          </cell>
          <cell r="CA3153">
            <v>0</v>
          </cell>
          <cell r="CB3153">
            <v>0</v>
          </cell>
          <cell r="CC3153">
            <v>0</v>
          </cell>
          <cell r="CD3153">
            <v>0</v>
          </cell>
          <cell r="CE3153">
            <v>0</v>
          </cell>
        </row>
        <row r="3154">
          <cell r="BY3154">
            <v>0</v>
          </cell>
          <cell r="BZ3154">
            <v>0</v>
          </cell>
          <cell r="CA3154">
            <v>0</v>
          </cell>
          <cell r="CB3154">
            <v>0</v>
          </cell>
          <cell r="CC3154">
            <v>0</v>
          </cell>
          <cell r="CD3154">
            <v>0</v>
          </cell>
          <cell r="CE3154">
            <v>0</v>
          </cell>
        </row>
        <row r="3155">
          <cell r="BY3155">
            <v>0</v>
          </cell>
          <cell r="BZ3155">
            <v>0</v>
          </cell>
          <cell r="CA3155">
            <v>0</v>
          </cell>
          <cell r="CB3155">
            <v>0</v>
          </cell>
          <cell r="CC3155">
            <v>0</v>
          </cell>
          <cell r="CD3155">
            <v>0</v>
          </cell>
          <cell r="CE3155">
            <v>0</v>
          </cell>
        </row>
        <row r="3156">
          <cell r="BY3156">
            <v>0</v>
          </cell>
          <cell r="BZ3156">
            <v>0</v>
          </cell>
          <cell r="CA3156">
            <v>0</v>
          </cell>
          <cell r="CB3156">
            <v>0</v>
          </cell>
          <cell r="CC3156">
            <v>0</v>
          </cell>
          <cell r="CD3156">
            <v>0</v>
          </cell>
          <cell r="CE3156">
            <v>0</v>
          </cell>
        </row>
        <row r="3157">
          <cell r="BY3157">
            <v>0</v>
          </cell>
          <cell r="BZ3157">
            <v>0</v>
          </cell>
          <cell r="CA3157">
            <v>0</v>
          </cell>
          <cell r="CB3157">
            <v>0</v>
          </cell>
          <cell r="CC3157">
            <v>0</v>
          </cell>
          <cell r="CD3157">
            <v>0</v>
          </cell>
          <cell r="CE3157">
            <v>0</v>
          </cell>
        </row>
        <row r="3158">
          <cell r="BY3158">
            <v>0</v>
          </cell>
          <cell r="BZ3158">
            <v>0</v>
          </cell>
          <cell r="CA3158">
            <v>0</v>
          </cell>
          <cell r="CB3158">
            <v>0</v>
          </cell>
          <cell r="CC3158">
            <v>0</v>
          </cell>
          <cell r="CD3158">
            <v>0</v>
          </cell>
          <cell r="CE3158">
            <v>0</v>
          </cell>
        </row>
        <row r="3159">
          <cell r="BY3159">
            <v>0</v>
          </cell>
          <cell r="BZ3159">
            <v>0</v>
          </cell>
          <cell r="CA3159">
            <v>0</v>
          </cell>
          <cell r="CB3159">
            <v>0</v>
          </cell>
          <cell r="CC3159">
            <v>0</v>
          </cell>
          <cell r="CD3159">
            <v>0</v>
          </cell>
          <cell r="CE3159">
            <v>0</v>
          </cell>
        </row>
        <row r="3160">
          <cell r="BY3160">
            <v>0</v>
          </cell>
          <cell r="BZ3160">
            <v>0</v>
          </cell>
          <cell r="CA3160">
            <v>0</v>
          </cell>
          <cell r="CB3160">
            <v>0</v>
          </cell>
          <cell r="CC3160">
            <v>0</v>
          </cell>
          <cell r="CD3160">
            <v>0</v>
          </cell>
          <cell r="CE3160">
            <v>0</v>
          </cell>
        </row>
        <row r="3161">
          <cell r="BY3161">
            <v>0</v>
          </cell>
          <cell r="BZ3161">
            <v>0</v>
          </cell>
          <cell r="CA3161">
            <v>0</v>
          </cell>
          <cell r="CB3161">
            <v>0</v>
          </cell>
          <cell r="CC3161">
            <v>0</v>
          </cell>
          <cell r="CD3161">
            <v>0</v>
          </cell>
          <cell r="CE3161">
            <v>0</v>
          </cell>
        </row>
        <row r="3162">
          <cell r="BY3162">
            <v>0</v>
          </cell>
          <cell r="BZ3162">
            <v>0</v>
          </cell>
          <cell r="CA3162">
            <v>0</v>
          </cell>
          <cell r="CB3162">
            <v>0</v>
          </cell>
          <cell r="CC3162">
            <v>0</v>
          </cell>
          <cell r="CD3162">
            <v>0</v>
          </cell>
          <cell r="CE3162">
            <v>0</v>
          </cell>
        </row>
        <row r="3163">
          <cell r="BY3163">
            <v>0</v>
          </cell>
          <cell r="BZ3163">
            <v>0</v>
          </cell>
          <cell r="CA3163">
            <v>0</v>
          </cell>
          <cell r="CB3163">
            <v>0</v>
          </cell>
          <cell r="CC3163">
            <v>0</v>
          </cell>
          <cell r="CD3163">
            <v>0</v>
          </cell>
          <cell r="CE3163">
            <v>0</v>
          </cell>
        </row>
        <row r="3164">
          <cell r="BY3164">
            <v>0</v>
          </cell>
          <cell r="BZ3164">
            <v>0</v>
          </cell>
          <cell r="CA3164">
            <v>0</v>
          </cell>
          <cell r="CB3164">
            <v>0</v>
          </cell>
          <cell r="CC3164">
            <v>0</v>
          </cell>
          <cell r="CD3164">
            <v>0</v>
          </cell>
          <cell r="CE3164">
            <v>0</v>
          </cell>
        </row>
        <row r="3165">
          <cell r="BY3165">
            <v>0</v>
          </cell>
          <cell r="BZ3165">
            <v>0</v>
          </cell>
          <cell r="CA3165">
            <v>0</v>
          </cell>
          <cell r="CB3165">
            <v>0</v>
          </cell>
          <cell r="CC3165">
            <v>0</v>
          </cell>
          <cell r="CD3165">
            <v>0</v>
          </cell>
          <cell r="CE3165">
            <v>0</v>
          </cell>
        </row>
        <row r="3166">
          <cell r="BY3166">
            <v>0</v>
          </cell>
          <cell r="BZ3166">
            <v>0</v>
          </cell>
          <cell r="CA3166">
            <v>0</v>
          </cell>
          <cell r="CB3166">
            <v>0</v>
          </cell>
          <cell r="CC3166">
            <v>0</v>
          </cell>
          <cell r="CD3166">
            <v>0</v>
          </cell>
          <cell r="CE3166">
            <v>0</v>
          </cell>
        </row>
        <row r="3167">
          <cell r="BY3167">
            <v>0</v>
          </cell>
          <cell r="BZ3167">
            <v>0</v>
          </cell>
          <cell r="CA3167">
            <v>0</v>
          </cell>
          <cell r="CB3167">
            <v>0</v>
          </cell>
          <cell r="CC3167">
            <v>0</v>
          </cell>
          <cell r="CD3167">
            <v>0</v>
          </cell>
          <cell r="CE3167">
            <v>0</v>
          </cell>
        </row>
        <row r="3168">
          <cell r="BY3168">
            <v>0</v>
          </cell>
          <cell r="BZ3168">
            <v>0</v>
          </cell>
          <cell r="CA3168">
            <v>0</v>
          </cell>
          <cell r="CB3168">
            <v>0</v>
          </cell>
          <cell r="CC3168">
            <v>0</v>
          </cell>
          <cell r="CD3168">
            <v>0</v>
          </cell>
          <cell r="CE3168">
            <v>0</v>
          </cell>
        </row>
        <row r="3169">
          <cell r="BY3169">
            <v>0</v>
          </cell>
          <cell r="BZ3169">
            <v>0</v>
          </cell>
          <cell r="CA3169">
            <v>0</v>
          </cell>
          <cell r="CB3169">
            <v>0</v>
          </cell>
          <cell r="CC3169">
            <v>0</v>
          </cell>
          <cell r="CD3169">
            <v>0</v>
          </cell>
          <cell r="CE3169">
            <v>0</v>
          </cell>
        </row>
        <row r="3170">
          <cell r="BY3170">
            <v>0</v>
          </cell>
          <cell r="BZ3170">
            <v>0</v>
          </cell>
          <cell r="CA3170">
            <v>0</v>
          </cell>
          <cell r="CB3170">
            <v>0</v>
          </cell>
          <cell r="CC3170">
            <v>0</v>
          </cell>
          <cell r="CD3170">
            <v>0</v>
          </cell>
          <cell r="CE3170">
            <v>0</v>
          </cell>
        </row>
        <row r="3171">
          <cell r="BY3171">
            <v>0</v>
          </cell>
          <cell r="BZ3171">
            <v>0</v>
          </cell>
          <cell r="CA3171">
            <v>0</v>
          </cell>
          <cell r="CB3171">
            <v>0</v>
          </cell>
          <cell r="CC3171">
            <v>0</v>
          </cell>
          <cell r="CD3171">
            <v>0</v>
          </cell>
          <cell r="CE3171">
            <v>0</v>
          </cell>
        </row>
        <row r="3172">
          <cell r="BY3172">
            <v>0</v>
          </cell>
          <cell r="BZ3172">
            <v>0</v>
          </cell>
          <cell r="CA3172">
            <v>0</v>
          </cell>
          <cell r="CB3172">
            <v>0</v>
          </cell>
          <cell r="CC3172">
            <v>0</v>
          </cell>
          <cell r="CD3172">
            <v>0</v>
          </cell>
          <cell r="CE3172">
            <v>0</v>
          </cell>
        </row>
        <row r="3173">
          <cell r="BY3173">
            <v>0</v>
          </cell>
          <cell r="BZ3173">
            <v>0</v>
          </cell>
          <cell r="CA3173">
            <v>0</v>
          </cell>
          <cell r="CB3173">
            <v>0</v>
          </cell>
          <cell r="CC3173">
            <v>0</v>
          </cell>
          <cell r="CD3173">
            <v>0</v>
          </cell>
          <cell r="CE3173">
            <v>0</v>
          </cell>
        </row>
        <row r="3174">
          <cell r="BY3174">
            <v>0</v>
          </cell>
          <cell r="BZ3174">
            <v>0</v>
          </cell>
          <cell r="CA3174">
            <v>0</v>
          </cell>
          <cell r="CB3174">
            <v>0</v>
          </cell>
          <cell r="CC3174">
            <v>0</v>
          </cell>
          <cell r="CD3174">
            <v>0</v>
          </cell>
          <cell r="CE3174">
            <v>0</v>
          </cell>
        </row>
        <row r="3175">
          <cell r="BY3175">
            <v>0</v>
          </cell>
          <cell r="BZ3175">
            <v>0</v>
          </cell>
          <cell r="CA3175">
            <v>0</v>
          </cell>
          <cell r="CB3175">
            <v>0</v>
          </cell>
          <cell r="CC3175">
            <v>0</v>
          </cell>
          <cell r="CD3175">
            <v>0</v>
          </cell>
          <cell r="CE3175">
            <v>0</v>
          </cell>
        </row>
        <row r="3176">
          <cell r="BY3176">
            <v>0</v>
          </cell>
          <cell r="BZ3176">
            <v>0</v>
          </cell>
          <cell r="CA3176">
            <v>0</v>
          </cell>
          <cell r="CB3176">
            <v>0</v>
          </cell>
          <cell r="CC3176">
            <v>0</v>
          </cell>
          <cell r="CD3176">
            <v>0</v>
          </cell>
          <cell r="CE3176">
            <v>0</v>
          </cell>
        </row>
        <row r="3177">
          <cell r="BY3177">
            <v>0</v>
          </cell>
          <cell r="BZ3177">
            <v>0</v>
          </cell>
          <cell r="CA3177">
            <v>0</v>
          </cell>
          <cell r="CB3177">
            <v>0</v>
          </cell>
          <cell r="CC3177">
            <v>0</v>
          </cell>
          <cell r="CD3177">
            <v>0</v>
          </cell>
          <cell r="CE3177">
            <v>0</v>
          </cell>
        </row>
        <row r="3178">
          <cell r="BY3178">
            <v>0</v>
          </cell>
          <cell r="BZ3178">
            <v>0</v>
          </cell>
          <cell r="CA3178">
            <v>0</v>
          </cell>
          <cell r="CB3178">
            <v>0</v>
          </cell>
          <cell r="CC3178">
            <v>0</v>
          </cell>
          <cell r="CD3178">
            <v>0</v>
          </cell>
          <cell r="CE3178">
            <v>0</v>
          </cell>
        </row>
        <row r="3179">
          <cell r="BY3179">
            <v>0</v>
          </cell>
          <cell r="BZ3179">
            <v>0</v>
          </cell>
          <cell r="CA3179">
            <v>0</v>
          </cell>
          <cell r="CB3179">
            <v>0</v>
          </cell>
          <cell r="CC3179">
            <v>0</v>
          </cell>
          <cell r="CD3179">
            <v>0</v>
          </cell>
          <cell r="CE3179">
            <v>0</v>
          </cell>
        </row>
        <row r="3180">
          <cell r="BY3180">
            <v>0</v>
          </cell>
          <cell r="BZ3180">
            <v>0</v>
          </cell>
          <cell r="CA3180">
            <v>0</v>
          </cell>
          <cell r="CB3180">
            <v>0</v>
          </cell>
          <cell r="CC3180">
            <v>0</v>
          </cell>
          <cell r="CD3180">
            <v>0</v>
          </cell>
          <cell r="CE3180">
            <v>0</v>
          </cell>
        </row>
        <row r="3181">
          <cell r="BY3181">
            <v>0</v>
          </cell>
          <cell r="BZ3181">
            <v>0</v>
          </cell>
          <cell r="CA3181">
            <v>0</v>
          </cell>
          <cell r="CB3181">
            <v>0</v>
          </cell>
          <cell r="CC3181">
            <v>0</v>
          </cell>
          <cell r="CD3181">
            <v>0</v>
          </cell>
          <cell r="CE3181">
            <v>0</v>
          </cell>
        </row>
        <row r="3182">
          <cell r="BY3182">
            <v>0</v>
          </cell>
          <cell r="BZ3182">
            <v>0</v>
          </cell>
          <cell r="CA3182">
            <v>0</v>
          </cell>
          <cell r="CB3182">
            <v>0</v>
          </cell>
          <cell r="CC3182">
            <v>0</v>
          </cell>
          <cell r="CD3182">
            <v>0</v>
          </cell>
          <cell r="CE3182">
            <v>0</v>
          </cell>
        </row>
        <row r="3183">
          <cell r="BY3183">
            <v>0</v>
          </cell>
          <cell r="BZ3183">
            <v>0</v>
          </cell>
          <cell r="CA3183">
            <v>0</v>
          </cell>
          <cell r="CB3183">
            <v>0</v>
          </cell>
          <cell r="CC3183">
            <v>0</v>
          </cell>
          <cell r="CD3183">
            <v>0</v>
          </cell>
          <cell r="CE3183">
            <v>0</v>
          </cell>
        </row>
        <row r="3184">
          <cell r="BY3184">
            <v>0</v>
          </cell>
          <cell r="BZ3184">
            <v>0</v>
          </cell>
          <cell r="CA3184">
            <v>0</v>
          </cell>
          <cell r="CB3184">
            <v>0</v>
          </cell>
          <cell r="CC3184">
            <v>0</v>
          </cell>
          <cell r="CD3184">
            <v>0</v>
          </cell>
          <cell r="CE3184">
            <v>0</v>
          </cell>
        </row>
        <row r="3185">
          <cell r="BY3185">
            <v>0</v>
          </cell>
          <cell r="BZ3185">
            <v>0</v>
          </cell>
          <cell r="CA3185">
            <v>0</v>
          </cell>
          <cell r="CB3185">
            <v>0</v>
          </cell>
          <cell r="CC3185">
            <v>0</v>
          </cell>
          <cell r="CD3185">
            <v>0</v>
          </cell>
          <cell r="CE3185">
            <v>0</v>
          </cell>
        </row>
        <row r="3186">
          <cell r="BY3186">
            <v>0</v>
          </cell>
          <cell r="BZ3186">
            <v>0</v>
          </cell>
          <cell r="CA3186">
            <v>0</v>
          </cell>
          <cell r="CB3186">
            <v>0</v>
          </cell>
          <cell r="CC3186">
            <v>0</v>
          </cell>
          <cell r="CD3186">
            <v>0</v>
          </cell>
          <cell r="CE3186">
            <v>0</v>
          </cell>
        </row>
        <row r="3187">
          <cell r="BY3187">
            <v>0</v>
          </cell>
          <cell r="BZ3187">
            <v>0</v>
          </cell>
          <cell r="CA3187">
            <v>0</v>
          </cell>
          <cell r="CB3187">
            <v>0</v>
          </cell>
          <cell r="CC3187">
            <v>0</v>
          </cell>
          <cell r="CD3187">
            <v>0</v>
          </cell>
          <cell r="CE3187">
            <v>0</v>
          </cell>
        </row>
        <row r="3188">
          <cell r="BY3188">
            <v>0</v>
          </cell>
          <cell r="BZ3188">
            <v>0</v>
          </cell>
          <cell r="CA3188">
            <v>0</v>
          </cell>
          <cell r="CB3188">
            <v>0</v>
          </cell>
          <cell r="CC3188">
            <v>0</v>
          </cell>
          <cell r="CD3188">
            <v>0</v>
          </cell>
          <cell r="CE3188">
            <v>0</v>
          </cell>
        </row>
        <row r="3189">
          <cell r="BY3189">
            <v>0</v>
          </cell>
          <cell r="BZ3189">
            <v>0</v>
          </cell>
          <cell r="CA3189">
            <v>0</v>
          </cell>
          <cell r="CB3189">
            <v>0</v>
          </cell>
          <cell r="CC3189">
            <v>0</v>
          </cell>
          <cell r="CD3189">
            <v>0</v>
          </cell>
          <cell r="CE3189">
            <v>0</v>
          </cell>
        </row>
        <row r="3190">
          <cell r="BY3190">
            <v>0</v>
          </cell>
          <cell r="BZ3190">
            <v>0</v>
          </cell>
          <cell r="CA3190">
            <v>0</v>
          </cell>
          <cell r="CB3190">
            <v>0</v>
          </cell>
          <cell r="CC3190">
            <v>0</v>
          </cell>
          <cell r="CD3190">
            <v>0</v>
          </cell>
          <cell r="CE3190">
            <v>0</v>
          </cell>
        </row>
        <row r="3191">
          <cell r="BY3191">
            <v>0</v>
          </cell>
          <cell r="BZ3191">
            <v>0</v>
          </cell>
          <cell r="CA3191">
            <v>0</v>
          </cell>
          <cell r="CB3191">
            <v>0</v>
          </cell>
          <cell r="CC3191">
            <v>0</v>
          </cell>
          <cell r="CD3191">
            <v>0</v>
          </cell>
          <cell r="CE3191">
            <v>0</v>
          </cell>
        </row>
        <row r="3192">
          <cell r="BY3192">
            <v>0</v>
          </cell>
          <cell r="BZ3192">
            <v>0</v>
          </cell>
          <cell r="CA3192">
            <v>0</v>
          </cell>
          <cell r="CB3192">
            <v>0</v>
          </cell>
          <cell r="CC3192">
            <v>0</v>
          </cell>
          <cell r="CD3192">
            <v>0</v>
          </cell>
          <cell r="CE3192">
            <v>0</v>
          </cell>
        </row>
        <row r="3193">
          <cell r="BY3193">
            <v>0</v>
          </cell>
          <cell r="BZ3193">
            <v>0</v>
          </cell>
          <cell r="CA3193">
            <v>0</v>
          </cell>
          <cell r="CB3193">
            <v>0</v>
          </cell>
          <cell r="CC3193">
            <v>0</v>
          </cell>
          <cell r="CD3193">
            <v>0</v>
          </cell>
          <cell r="CE3193">
            <v>0</v>
          </cell>
        </row>
        <row r="3194">
          <cell r="BY3194">
            <v>0</v>
          </cell>
          <cell r="BZ3194">
            <v>0</v>
          </cell>
          <cell r="CA3194">
            <v>0</v>
          </cell>
          <cell r="CB3194">
            <v>0</v>
          </cell>
          <cell r="CC3194">
            <v>0</v>
          </cell>
          <cell r="CD3194">
            <v>0</v>
          </cell>
          <cell r="CE3194">
            <v>0</v>
          </cell>
        </row>
        <row r="3195">
          <cell r="BY3195">
            <v>0</v>
          </cell>
          <cell r="BZ3195">
            <v>0</v>
          </cell>
          <cell r="CA3195">
            <v>0</v>
          </cell>
          <cell r="CB3195">
            <v>0</v>
          </cell>
          <cell r="CC3195">
            <v>0</v>
          </cell>
          <cell r="CD3195">
            <v>0</v>
          </cell>
          <cell r="CE3195">
            <v>0</v>
          </cell>
        </row>
        <row r="3196">
          <cell r="BY3196">
            <v>0</v>
          </cell>
          <cell r="BZ3196">
            <v>0</v>
          </cell>
          <cell r="CA3196">
            <v>0</v>
          </cell>
          <cell r="CB3196">
            <v>0</v>
          </cell>
          <cell r="CC3196">
            <v>0</v>
          </cell>
          <cell r="CD3196">
            <v>0</v>
          </cell>
          <cell r="CE3196">
            <v>0</v>
          </cell>
        </row>
        <row r="3197">
          <cell r="BY3197">
            <v>0</v>
          </cell>
          <cell r="BZ3197">
            <v>0</v>
          </cell>
          <cell r="CA3197">
            <v>0</v>
          </cell>
          <cell r="CB3197">
            <v>0</v>
          </cell>
          <cell r="CC3197">
            <v>0</v>
          </cell>
          <cell r="CD3197">
            <v>0</v>
          </cell>
          <cell r="CE3197">
            <v>0</v>
          </cell>
        </row>
        <row r="3198">
          <cell r="BY3198">
            <v>0</v>
          </cell>
          <cell r="BZ3198">
            <v>0</v>
          </cell>
          <cell r="CA3198">
            <v>0</v>
          </cell>
          <cell r="CB3198">
            <v>0</v>
          </cell>
          <cell r="CC3198">
            <v>0</v>
          </cell>
          <cell r="CD3198">
            <v>0</v>
          </cell>
          <cell r="CE3198">
            <v>0</v>
          </cell>
        </row>
        <row r="3199">
          <cell r="BY3199">
            <v>0</v>
          </cell>
          <cell r="BZ3199">
            <v>0</v>
          </cell>
          <cell r="CA3199">
            <v>0</v>
          </cell>
          <cell r="CB3199">
            <v>0</v>
          </cell>
          <cell r="CC3199">
            <v>0</v>
          </cell>
          <cell r="CD3199">
            <v>0</v>
          </cell>
          <cell r="CE3199">
            <v>0</v>
          </cell>
        </row>
        <row r="3200">
          <cell r="BY3200">
            <v>0</v>
          </cell>
          <cell r="BZ3200">
            <v>0</v>
          </cell>
          <cell r="CA3200">
            <v>0</v>
          </cell>
          <cell r="CB3200">
            <v>0</v>
          </cell>
          <cell r="CC3200">
            <v>0</v>
          </cell>
          <cell r="CD3200">
            <v>0</v>
          </cell>
          <cell r="CE3200">
            <v>0</v>
          </cell>
        </row>
        <row r="3201">
          <cell r="BY3201">
            <v>0</v>
          </cell>
          <cell r="BZ3201">
            <v>0</v>
          </cell>
          <cell r="CA3201">
            <v>0</v>
          </cell>
          <cell r="CB3201">
            <v>0</v>
          </cell>
          <cell r="CC3201">
            <v>0</v>
          </cell>
          <cell r="CD3201">
            <v>0</v>
          </cell>
          <cell r="CE3201">
            <v>0</v>
          </cell>
        </row>
        <row r="3202">
          <cell r="BY3202">
            <v>0</v>
          </cell>
          <cell r="BZ3202">
            <v>0</v>
          </cell>
          <cell r="CA3202">
            <v>0</v>
          </cell>
          <cell r="CB3202">
            <v>0</v>
          </cell>
          <cell r="CC3202">
            <v>0</v>
          </cell>
          <cell r="CD3202">
            <v>0</v>
          </cell>
          <cell r="CE3202">
            <v>0</v>
          </cell>
        </row>
        <row r="3203">
          <cell r="BY3203">
            <v>0</v>
          </cell>
          <cell r="BZ3203">
            <v>0</v>
          </cell>
          <cell r="CA3203">
            <v>0</v>
          </cell>
          <cell r="CB3203">
            <v>0</v>
          </cell>
          <cell r="CC3203">
            <v>0</v>
          </cell>
          <cell r="CD3203">
            <v>0</v>
          </cell>
          <cell r="CE3203">
            <v>0</v>
          </cell>
        </row>
        <row r="3204">
          <cell r="BY3204">
            <v>0</v>
          </cell>
          <cell r="BZ3204">
            <v>0</v>
          </cell>
          <cell r="CA3204">
            <v>0</v>
          </cell>
          <cell r="CB3204">
            <v>0</v>
          </cell>
          <cell r="CC3204">
            <v>0</v>
          </cell>
          <cell r="CD3204">
            <v>0</v>
          </cell>
          <cell r="CE3204">
            <v>0</v>
          </cell>
        </row>
        <row r="3205">
          <cell r="BY3205">
            <v>0</v>
          </cell>
          <cell r="BZ3205">
            <v>0</v>
          </cell>
          <cell r="CA3205">
            <v>0</v>
          </cell>
          <cell r="CB3205">
            <v>0</v>
          </cell>
          <cell r="CC3205">
            <v>0</v>
          </cell>
          <cell r="CD3205">
            <v>0</v>
          </cell>
          <cell r="CE3205">
            <v>0</v>
          </cell>
        </row>
        <row r="3206">
          <cell r="BY3206">
            <v>0</v>
          </cell>
          <cell r="BZ3206">
            <v>0</v>
          </cell>
          <cell r="CA3206">
            <v>0</v>
          </cell>
          <cell r="CB3206">
            <v>0</v>
          </cell>
          <cell r="CC3206">
            <v>0</v>
          </cell>
          <cell r="CD3206">
            <v>0</v>
          </cell>
          <cell r="CE3206">
            <v>0</v>
          </cell>
        </row>
        <row r="3207">
          <cell r="BY3207">
            <v>0</v>
          </cell>
          <cell r="BZ3207">
            <v>0</v>
          </cell>
          <cell r="CA3207">
            <v>0</v>
          </cell>
          <cell r="CB3207">
            <v>0</v>
          </cell>
          <cell r="CC3207">
            <v>0</v>
          </cell>
          <cell r="CD3207">
            <v>0</v>
          </cell>
          <cell r="CE3207">
            <v>0</v>
          </cell>
        </row>
        <row r="3208">
          <cell r="BY3208">
            <v>0</v>
          </cell>
          <cell r="BZ3208">
            <v>0</v>
          </cell>
          <cell r="CA3208">
            <v>0</v>
          </cell>
          <cell r="CB3208">
            <v>0</v>
          </cell>
          <cell r="CC3208">
            <v>0</v>
          </cell>
          <cell r="CD3208">
            <v>0</v>
          </cell>
          <cell r="CE3208">
            <v>0</v>
          </cell>
        </row>
        <row r="3209">
          <cell r="BY3209">
            <v>0</v>
          </cell>
          <cell r="BZ3209">
            <v>0</v>
          </cell>
          <cell r="CA3209">
            <v>0</v>
          </cell>
          <cell r="CB3209">
            <v>0</v>
          </cell>
          <cell r="CC3209">
            <v>0</v>
          </cell>
          <cell r="CD3209">
            <v>0</v>
          </cell>
          <cell r="CE3209">
            <v>0</v>
          </cell>
        </row>
        <row r="3210">
          <cell r="BY3210">
            <v>0</v>
          </cell>
          <cell r="BZ3210">
            <v>0</v>
          </cell>
          <cell r="CA3210">
            <v>0</v>
          </cell>
          <cell r="CB3210">
            <v>0</v>
          </cell>
          <cell r="CC3210">
            <v>0</v>
          </cell>
          <cell r="CD3210">
            <v>0</v>
          </cell>
          <cell r="CE3210">
            <v>0</v>
          </cell>
        </row>
        <row r="3211">
          <cell r="BY3211">
            <v>0</v>
          </cell>
          <cell r="BZ3211">
            <v>0</v>
          </cell>
          <cell r="CA3211">
            <v>0</v>
          </cell>
          <cell r="CB3211">
            <v>0</v>
          </cell>
          <cell r="CC3211">
            <v>0</v>
          </cell>
          <cell r="CD3211">
            <v>0</v>
          </cell>
          <cell r="CE3211">
            <v>0</v>
          </cell>
        </row>
        <row r="3212">
          <cell r="BY3212">
            <v>0</v>
          </cell>
          <cell r="BZ3212">
            <v>0</v>
          </cell>
          <cell r="CA3212">
            <v>0</v>
          </cell>
          <cell r="CB3212">
            <v>0</v>
          </cell>
          <cell r="CC3212">
            <v>0</v>
          </cell>
          <cell r="CD3212">
            <v>0</v>
          </cell>
          <cell r="CE3212">
            <v>0</v>
          </cell>
        </row>
        <row r="3213">
          <cell r="BY3213">
            <v>0</v>
          </cell>
          <cell r="BZ3213">
            <v>0</v>
          </cell>
          <cell r="CA3213">
            <v>0</v>
          </cell>
          <cell r="CB3213">
            <v>0</v>
          </cell>
          <cell r="CC3213">
            <v>0</v>
          </cell>
          <cell r="CD3213">
            <v>0</v>
          </cell>
          <cell r="CE3213">
            <v>0</v>
          </cell>
        </row>
        <row r="3214">
          <cell r="BY3214">
            <v>0</v>
          </cell>
          <cell r="BZ3214">
            <v>0</v>
          </cell>
          <cell r="CA3214">
            <v>0</v>
          </cell>
          <cell r="CB3214">
            <v>0</v>
          </cell>
          <cell r="CC3214">
            <v>0</v>
          </cell>
          <cell r="CD3214">
            <v>0</v>
          </cell>
          <cell r="CE3214">
            <v>0</v>
          </cell>
        </row>
        <row r="3215">
          <cell r="BY3215">
            <v>0</v>
          </cell>
          <cell r="BZ3215">
            <v>0</v>
          </cell>
          <cell r="CA3215">
            <v>0</v>
          </cell>
          <cell r="CB3215">
            <v>0</v>
          </cell>
          <cell r="CC3215">
            <v>0</v>
          </cell>
          <cell r="CD3215">
            <v>0</v>
          </cell>
          <cell r="CE3215">
            <v>0</v>
          </cell>
        </row>
        <row r="3216">
          <cell r="BY3216">
            <v>0</v>
          </cell>
          <cell r="BZ3216">
            <v>0</v>
          </cell>
          <cell r="CA3216">
            <v>0</v>
          </cell>
          <cell r="CB3216">
            <v>0</v>
          </cell>
          <cell r="CC3216">
            <v>0</v>
          </cell>
          <cell r="CD3216">
            <v>0</v>
          </cell>
          <cell r="CE3216">
            <v>0</v>
          </cell>
        </row>
        <row r="3217">
          <cell r="BY3217">
            <v>0</v>
          </cell>
          <cell r="BZ3217">
            <v>0</v>
          </cell>
          <cell r="CA3217">
            <v>0</v>
          </cell>
          <cell r="CB3217">
            <v>0</v>
          </cell>
          <cell r="CC3217">
            <v>0</v>
          </cell>
          <cell r="CD3217">
            <v>0</v>
          </cell>
          <cell r="CE3217">
            <v>0</v>
          </cell>
        </row>
        <row r="3218">
          <cell r="BY3218">
            <v>0</v>
          </cell>
          <cell r="BZ3218">
            <v>0</v>
          </cell>
          <cell r="CA3218">
            <v>0</v>
          </cell>
          <cell r="CB3218">
            <v>0</v>
          </cell>
          <cell r="CC3218">
            <v>0</v>
          </cell>
          <cell r="CD3218">
            <v>0</v>
          </cell>
          <cell r="CE3218">
            <v>0</v>
          </cell>
        </row>
        <row r="3219">
          <cell r="BY3219">
            <v>0</v>
          </cell>
          <cell r="BZ3219">
            <v>0</v>
          </cell>
          <cell r="CA3219">
            <v>0</v>
          </cell>
          <cell r="CB3219">
            <v>0</v>
          </cell>
          <cell r="CC3219">
            <v>0</v>
          </cell>
          <cell r="CD3219">
            <v>0</v>
          </cell>
          <cell r="CE3219">
            <v>0</v>
          </cell>
        </row>
        <row r="3220">
          <cell r="BY3220">
            <v>0</v>
          </cell>
          <cell r="BZ3220">
            <v>0</v>
          </cell>
          <cell r="CA3220">
            <v>0</v>
          </cell>
          <cell r="CB3220">
            <v>0</v>
          </cell>
          <cell r="CC3220">
            <v>0</v>
          </cell>
          <cell r="CD3220">
            <v>0</v>
          </cell>
          <cell r="CE3220">
            <v>0</v>
          </cell>
        </row>
        <row r="3221">
          <cell r="BY3221">
            <v>0</v>
          </cell>
          <cell r="BZ3221">
            <v>0</v>
          </cell>
          <cell r="CA3221">
            <v>0</v>
          </cell>
          <cell r="CB3221">
            <v>0</v>
          </cell>
          <cell r="CC3221">
            <v>0</v>
          </cell>
          <cell r="CD3221">
            <v>0</v>
          </cell>
          <cell r="CE3221">
            <v>0</v>
          </cell>
        </row>
        <row r="3222">
          <cell r="BY3222">
            <v>0</v>
          </cell>
          <cell r="BZ3222">
            <v>0</v>
          </cell>
          <cell r="CA3222">
            <v>0</v>
          </cell>
          <cell r="CB3222">
            <v>0</v>
          </cell>
          <cell r="CC3222">
            <v>0</v>
          </cell>
          <cell r="CD3222">
            <v>0</v>
          </cell>
          <cell r="CE3222">
            <v>0</v>
          </cell>
        </row>
        <row r="3223">
          <cell r="BY3223">
            <v>0</v>
          </cell>
          <cell r="BZ3223">
            <v>0</v>
          </cell>
          <cell r="CA3223">
            <v>0</v>
          </cell>
          <cell r="CB3223">
            <v>0</v>
          </cell>
          <cell r="CC3223">
            <v>0</v>
          </cell>
          <cell r="CD3223">
            <v>0</v>
          </cell>
          <cell r="CE3223">
            <v>0</v>
          </cell>
        </row>
        <row r="3224">
          <cell r="BY3224">
            <v>0</v>
          </cell>
          <cell r="BZ3224">
            <v>0</v>
          </cell>
          <cell r="CA3224">
            <v>0</v>
          </cell>
          <cell r="CB3224">
            <v>0</v>
          </cell>
          <cell r="CC3224">
            <v>0</v>
          </cell>
          <cell r="CD3224">
            <v>0</v>
          </cell>
          <cell r="CE3224">
            <v>0</v>
          </cell>
        </row>
        <row r="3225">
          <cell r="BY3225">
            <v>0</v>
          </cell>
          <cell r="BZ3225">
            <v>0</v>
          </cell>
          <cell r="CA3225">
            <v>0</v>
          </cell>
          <cell r="CB3225">
            <v>0</v>
          </cell>
          <cell r="CC3225">
            <v>0</v>
          </cell>
          <cell r="CD3225">
            <v>0</v>
          </cell>
          <cell r="CE3225">
            <v>0</v>
          </cell>
        </row>
        <row r="3226">
          <cell r="BY3226">
            <v>0</v>
          </cell>
          <cell r="BZ3226">
            <v>0</v>
          </cell>
          <cell r="CA3226">
            <v>0</v>
          </cell>
          <cell r="CB3226">
            <v>0</v>
          </cell>
          <cell r="CC3226">
            <v>0</v>
          </cell>
          <cell r="CD3226">
            <v>0</v>
          </cell>
          <cell r="CE3226">
            <v>0</v>
          </cell>
        </row>
        <row r="3227">
          <cell r="BY3227">
            <v>0</v>
          </cell>
          <cell r="BZ3227">
            <v>0</v>
          </cell>
          <cell r="CA3227">
            <v>0</v>
          </cell>
          <cell r="CB3227">
            <v>0</v>
          </cell>
          <cell r="CC3227">
            <v>0</v>
          </cell>
          <cell r="CD3227">
            <v>0</v>
          </cell>
          <cell r="CE3227">
            <v>0</v>
          </cell>
        </row>
        <row r="3228">
          <cell r="BY3228">
            <v>0</v>
          </cell>
          <cell r="BZ3228">
            <v>0</v>
          </cell>
          <cell r="CA3228">
            <v>0</v>
          </cell>
          <cell r="CB3228">
            <v>0</v>
          </cell>
          <cell r="CC3228">
            <v>0</v>
          </cell>
          <cell r="CD3228">
            <v>0</v>
          </cell>
          <cell r="CE3228">
            <v>0</v>
          </cell>
        </row>
        <row r="3229">
          <cell r="BY3229">
            <v>0</v>
          </cell>
          <cell r="BZ3229">
            <v>0</v>
          </cell>
          <cell r="CA3229">
            <v>0</v>
          </cell>
          <cell r="CB3229">
            <v>0</v>
          </cell>
          <cell r="CC3229">
            <v>0</v>
          </cell>
          <cell r="CD3229">
            <v>0</v>
          </cell>
          <cell r="CE3229">
            <v>0</v>
          </cell>
        </row>
        <row r="3230">
          <cell r="BY3230">
            <v>0</v>
          </cell>
          <cell r="BZ3230">
            <v>0</v>
          </cell>
          <cell r="CA3230">
            <v>0</v>
          </cell>
          <cell r="CB3230">
            <v>0</v>
          </cell>
          <cell r="CC3230">
            <v>0</v>
          </cell>
          <cell r="CD3230">
            <v>0</v>
          </cell>
          <cell r="CE3230">
            <v>0</v>
          </cell>
        </row>
        <row r="3231">
          <cell r="BY3231">
            <v>0</v>
          </cell>
          <cell r="BZ3231">
            <v>0</v>
          </cell>
          <cell r="CA3231">
            <v>0</v>
          </cell>
          <cell r="CB3231">
            <v>0</v>
          </cell>
          <cell r="CC3231">
            <v>0</v>
          </cell>
          <cell r="CD3231">
            <v>0</v>
          </cell>
          <cell r="CE3231">
            <v>0</v>
          </cell>
        </row>
        <row r="3232">
          <cell r="BY3232">
            <v>0</v>
          </cell>
          <cell r="BZ3232">
            <v>0</v>
          </cell>
          <cell r="CA3232">
            <v>0</v>
          </cell>
          <cell r="CB3232">
            <v>0</v>
          </cell>
          <cell r="CC3232">
            <v>0</v>
          </cell>
          <cell r="CD3232">
            <v>0</v>
          </cell>
          <cell r="CE3232">
            <v>0</v>
          </cell>
        </row>
        <row r="3233">
          <cell r="BY3233">
            <v>0</v>
          </cell>
          <cell r="BZ3233">
            <v>0</v>
          </cell>
          <cell r="CA3233">
            <v>0</v>
          </cell>
          <cell r="CB3233">
            <v>0</v>
          </cell>
          <cell r="CC3233">
            <v>0</v>
          </cell>
          <cell r="CD3233">
            <v>0</v>
          </cell>
          <cell r="CE3233">
            <v>0</v>
          </cell>
        </row>
        <row r="3234">
          <cell r="BY3234">
            <v>0</v>
          </cell>
          <cell r="BZ3234">
            <v>0</v>
          </cell>
          <cell r="CA3234">
            <v>0</v>
          </cell>
          <cell r="CB3234">
            <v>0</v>
          </cell>
          <cell r="CC3234">
            <v>0</v>
          </cell>
          <cell r="CD3234">
            <v>0</v>
          </cell>
          <cell r="CE3234">
            <v>0</v>
          </cell>
        </row>
        <row r="3235">
          <cell r="BY3235">
            <v>0</v>
          </cell>
          <cell r="BZ3235">
            <v>0</v>
          </cell>
          <cell r="CA3235">
            <v>0</v>
          </cell>
          <cell r="CB3235">
            <v>0</v>
          </cell>
          <cell r="CC3235">
            <v>0</v>
          </cell>
          <cell r="CD3235">
            <v>0</v>
          </cell>
          <cell r="CE3235">
            <v>0</v>
          </cell>
        </row>
        <row r="3236">
          <cell r="BY3236">
            <v>0</v>
          </cell>
          <cell r="BZ3236">
            <v>0</v>
          </cell>
          <cell r="CA3236">
            <v>0</v>
          </cell>
          <cell r="CB3236">
            <v>0</v>
          </cell>
          <cell r="CC3236">
            <v>0</v>
          </cell>
          <cell r="CD3236">
            <v>0</v>
          </cell>
          <cell r="CE3236">
            <v>0</v>
          </cell>
        </row>
        <row r="3237">
          <cell r="BY3237">
            <v>0</v>
          </cell>
          <cell r="BZ3237">
            <v>0</v>
          </cell>
          <cell r="CA3237">
            <v>0</v>
          </cell>
          <cell r="CB3237">
            <v>0</v>
          </cell>
          <cell r="CC3237">
            <v>0</v>
          </cell>
          <cell r="CD3237">
            <v>0</v>
          </cell>
          <cell r="CE3237">
            <v>0</v>
          </cell>
        </row>
        <row r="3238">
          <cell r="BY3238">
            <v>0</v>
          </cell>
          <cell r="BZ3238">
            <v>0</v>
          </cell>
          <cell r="CA3238">
            <v>0</v>
          </cell>
          <cell r="CB3238">
            <v>0</v>
          </cell>
          <cell r="CC3238">
            <v>0</v>
          </cell>
          <cell r="CD3238">
            <v>0</v>
          </cell>
          <cell r="CE3238">
            <v>0</v>
          </cell>
        </row>
        <row r="3239">
          <cell r="BY3239">
            <v>0</v>
          </cell>
          <cell r="BZ3239">
            <v>0</v>
          </cell>
          <cell r="CA3239">
            <v>0</v>
          </cell>
          <cell r="CB3239">
            <v>0</v>
          </cell>
          <cell r="CC3239">
            <v>0</v>
          </cell>
          <cell r="CD3239">
            <v>0</v>
          </cell>
          <cell r="CE3239">
            <v>0</v>
          </cell>
        </row>
        <row r="3240">
          <cell r="BY3240">
            <v>0</v>
          </cell>
          <cell r="BZ3240">
            <v>0</v>
          </cell>
          <cell r="CA3240">
            <v>0</v>
          </cell>
          <cell r="CB3240">
            <v>0</v>
          </cell>
          <cell r="CC3240">
            <v>0</v>
          </cell>
          <cell r="CD3240">
            <v>0</v>
          </cell>
          <cell r="CE3240">
            <v>0</v>
          </cell>
        </row>
        <row r="3241">
          <cell r="BY3241">
            <v>0</v>
          </cell>
          <cell r="BZ3241">
            <v>0</v>
          </cell>
          <cell r="CA3241">
            <v>0</v>
          </cell>
          <cell r="CB3241">
            <v>0</v>
          </cell>
          <cell r="CC3241">
            <v>0</v>
          </cell>
          <cell r="CD3241">
            <v>0</v>
          </cell>
          <cell r="CE3241">
            <v>0</v>
          </cell>
        </row>
        <row r="3242">
          <cell r="BY3242">
            <v>0</v>
          </cell>
          <cell r="BZ3242">
            <v>0</v>
          </cell>
          <cell r="CA3242">
            <v>0</v>
          </cell>
          <cell r="CB3242">
            <v>0</v>
          </cell>
          <cell r="CC3242">
            <v>0</v>
          </cell>
          <cell r="CD3242">
            <v>0</v>
          </cell>
          <cell r="CE3242">
            <v>0</v>
          </cell>
        </row>
        <row r="3243">
          <cell r="BY3243">
            <v>0</v>
          </cell>
          <cell r="BZ3243">
            <v>0</v>
          </cell>
          <cell r="CA3243">
            <v>0</v>
          </cell>
          <cell r="CB3243">
            <v>0</v>
          </cell>
          <cell r="CC3243">
            <v>0</v>
          </cell>
          <cell r="CD3243">
            <v>0</v>
          </cell>
          <cell r="CE3243">
            <v>0</v>
          </cell>
        </row>
        <row r="3244">
          <cell r="BY3244">
            <v>0</v>
          </cell>
          <cell r="BZ3244">
            <v>0</v>
          </cell>
          <cell r="CA3244">
            <v>0</v>
          </cell>
          <cell r="CB3244">
            <v>0</v>
          </cell>
          <cell r="CC3244">
            <v>0</v>
          </cell>
          <cell r="CD3244">
            <v>0</v>
          </cell>
          <cell r="CE3244">
            <v>0</v>
          </cell>
        </row>
        <row r="3245">
          <cell r="BY3245">
            <v>0</v>
          </cell>
          <cell r="BZ3245">
            <v>0</v>
          </cell>
          <cell r="CA3245">
            <v>0</v>
          </cell>
          <cell r="CB3245">
            <v>0</v>
          </cell>
          <cell r="CC3245">
            <v>0</v>
          </cell>
          <cell r="CD3245">
            <v>0</v>
          </cell>
          <cell r="CE3245">
            <v>0</v>
          </cell>
        </row>
        <row r="3246">
          <cell r="BY3246">
            <v>0</v>
          </cell>
          <cell r="BZ3246">
            <v>0</v>
          </cell>
          <cell r="CA3246">
            <v>0</v>
          </cell>
          <cell r="CB3246">
            <v>0</v>
          </cell>
          <cell r="CC3246">
            <v>0</v>
          </cell>
          <cell r="CD3246">
            <v>0</v>
          </cell>
          <cell r="CE3246">
            <v>0</v>
          </cell>
        </row>
        <row r="3247">
          <cell r="BY3247">
            <v>0</v>
          </cell>
          <cell r="BZ3247">
            <v>0</v>
          </cell>
          <cell r="CA3247">
            <v>0</v>
          </cell>
          <cell r="CB3247">
            <v>0</v>
          </cell>
          <cell r="CC3247">
            <v>0</v>
          </cell>
          <cell r="CD3247">
            <v>0</v>
          </cell>
          <cell r="CE3247">
            <v>0</v>
          </cell>
        </row>
        <row r="3248">
          <cell r="BY3248">
            <v>0</v>
          </cell>
          <cell r="BZ3248">
            <v>0</v>
          </cell>
          <cell r="CA3248">
            <v>0</v>
          </cell>
          <cell r="CB3248">
            <v>0</v>
          </cell>
          <cell r="CC3248">
            <v>0</v>
          </cell>
          <cell r="CD3248">
            <v>0</v>
          </cell>
          <cell r="CE3248">
            <v>0</v>
          </cell>
        </row>
        <row r="3249">
          <cell r="BY3249">
            <v>0</v>
          </cell>
          <cell r="BZ3249">
            <v>0</v>
          </cell>
          <cell r="CA3249">
            <v>0</v>
          </cell>
          <cell r="CB3249">
            <v>0</v>
          </cell>
          <cell r="CC3249">
            <v>0</v>
          </cell>
          <cell r="CD3249">
            <v>0</v>
          </cell>
          <cell r="CE3249">
            <v>0</v>
          </cell>
        </row>
        <row r="3250">
          <cell r="BY3250">
            <v>0</v>
          </cell>
          <cell r="BZ3250">
            <v>0</v>
          </cell>
          <cell r="CA3250">
            <v>0</v>
          </cell>
          <cell r="CB3250">
            <v>0</v>
          </cell>
          <cell r="CC3250">
            <v>0</v>
          </cell>
          <cell r="CD3250">
            <v>0</v>
          </cell>
          <cell r="CE3250">
            <v>0</v>
          </cell>
        </row>
        <row r="3251">
          <cell r="BY3251">
            <v>0</v>
          </cell>
          <cell r="BZ3251">
            <v>0</v>
          </cell>
          <cell r="CA3251">
            <v>0</v>
          </cell>
          <cell r="CB3251">
            <v>0</v>
          </cell>
          <cell r="CC3251">
            <v>0</v>
          </cell>
          <cell r="CD3251">
            <v>0</v>
          </cell>
          <cell r="CE3251">
            <v>0</v>
          </cell>
        </row>
        <row r="3252">
          <cell r="BY3252">
            <v>0</v>
          </cell>
          <cell r="BZ3252">
            <v>0</v>
          </cell>
          <cell r="CA3252">
            <v>0</v>
          </cell>
          <cell r="CB3252">
            <v>0</v>
          </cell>
          <cell r="CC3252">
            <v>0</v>
          </cell>
          <cell r="CD3252">
            <v>0</v>
          </cell>
          <cell r="CE3252">
            <v>0</v>
          </cell>
        </row>
        <row r="3253">
          <cell r="BY3253">
            <v>0</v>
          </cell>
          <cell r="BZ3253">
            <v>0</v>
          </cell>
          <cell r="CA3253">
            <v>0</v>
          </cell>
          <cell r="CB3253">
            <v>0</v>
          </cell>
          <cell r="CC3253">
            <v>0</v>
          </cell>
          <cell r="CD3253">
            <v>0</v>
          </cell>
          <cell r="CE3253">
            <v>0</v>
          </cell>
        </row>
        <row r="3254">
          <cell r="BY3254">
            <v>0</v>
          </cell>
          <cell r="BZ3254">
            <v>0</v>
          </cell>
          <cell r="CA3254">
            <v>0</v>
          </cell>
          <cell r="CB3254">
            <v>0</v>
          </cell>
          <cell r="CC3254">
            <v>0</v>
          </cell>
          <cell r="CD3254">
            <v>0</v>
          </cell>
          <cell r="CE3254">
            <v>0</v>
          </cell>
        </row>
        <row r="3255">
          <cell r="BY3255">
            <v>0</v>
          </cell>
          <cell r="BZ3255">
            <v>0</v>
          </cell>
          <cell r="CA3255">
            <v>0</v>
          </cell>
          <cell r="CB3255">
            <v>0</v>
          </cell>
          <cell r="CC3255">
            <v>0</v>
          </cell>
          <cell r="CD3255">
            <v>0</v>
          </cell>
          <cell r="CE3255">
            <v>0</v>
          </cell>
        </row>
        <row r="3256">
          <cell r="BY3256">
            <v>0</v>
          </cell>
          <cell r="BZ3256">
            <v>0</v>
          </cell>
          <cell r="CA3256">
            <v>0</v>
          </cell>
          <cell r="CB3256">
            <v>0</v>
          </cell>
          <cell r="CC3256">
            <v>0</v>
          </cell>
          <cell r="CD3256">
            <v>0</v>
          </cell>
          <cell r="CE3256">
            <v>0</v>
          </cell>
        </row>
        <row r="3257">
          <cell r="BY3257">
            <v>0</v>
          </cell>
          <cell r="BZ3257">
            <v>0</v>
          </cell>
          <cell r="CA3257">
            <v>0</v>
          </cell>
          <cell r="CB3257">
            <v>0</v>
          </cell>
          <cell r="CC3257">
            <v>0</v>
          </cell>
          <cell r="CD3257">
            <v>0</v>
          </cell>
          <cell r="CE3257">
            <v>0</v>
          </cell>
        </row>
        <row r="3258">
          <cell r="BY3258">
            <v>0</v>
          </cell>
          <cell r="BZ3258">
            <v>0</v>
          </cell>
          <cell r="CA3258">
            <v>0</v>
          </cell>
          <cell r="CB3258">
            <v>0</v>
          </cell>
          <cell r="CC3258">
            <v>0</v>
          </cell>
          <cell r="CD3258">
            <v>0</v>
          </cell>
          <cell r="CE3258">
            <v>0</v>
          </cell>
        </row>
        <row r="3259">
          <cell r="BY3259">
            <v>0</v>
          </cell>
          <cell r="BZ3259">
            <v>0</v>
          </cell>
          <cell r="CA3259">
            <v>0</v>
          </cell>
          <cell r="CB3259">
            <v>0</v>
          </cell>
          <cell r="CC3259">
            <v>0</v>
          </cell>
          <cell r="CD3259">
            <v>0</v>
          </cell>
          <cell r="CE3259">
            <v>0</v>
          </cell>
        </row>
        <row r="3260">
          <cell r="BY3260">
            <v>0</v>
          </cell>
          <cell r="BZ3260">
            <v>0</v>
          </cell>
          <cell r="CA3260">
            <v>0</v>
          </cell>
          <cell r="CB3260">
            <v>0</v>
          </cell>
          <cell r="CC3260">
            <v>0</v>
          </cell>
          <cell r="CD3260">
            <v>0</v>
          </cell>
          <cell r="CE3260">
            <v>0</v>
          </cell>
        </row>
        <row r="3261">
          <cell r="BY3261">
            <v>0</v>
          </cell>
          <cell r="BZ3261">
            <v>0</v>
          </cell>
          <cell r="CA3261">
            <v>0</v>
          </cell>
          <cell r="CB3261">
            <v>0</v>
          </cell>
          <cell r="CC3261">
            <v>0</v>
          </cell>
          <cell r="CD3261">
            <v>0</v>
          </cell>
          <cell r="CE3261">
            <v>0</v>
          </cell>
        </row>
        <row r="3262">
          <cell r="BY3262">
            <v>0</v>
          </cell>
          <cell r="BZ3262">
            <v>0</v>
          </cell>
          <cell r="CA3262">
            <v>0</v>
          </cell>
          <cell r="CB3262">
            <v>0</v>
          </cell>
          <cell r="CC3262">
            <v>0</v>
          </cell>
          <cell r="CD3262">
            <v>0</v>
          </cell>
          <cell r="CE3262">
            <v>0</v>
          </cell>
        </row>
        <row r="3263">
          <cell r="BY3263">
            <v>0</v>
          </cell>
          <cell r="BZ3263">
            <v>0</v>
          </cell>
          <cell r="CA3263">
            <v>0</v>
          </cell>
          <cell r="CB3263">
            <v>0</v>
          </cell>
          <cell r="CC3263">
            <v>0</v>
          </cell>
          <cell r="CD3263">
            <v>0</v>
          </cell>
          <cell r="CE3263">
            <v>0</v>
          </cell>
        </row>
        <row r="3264">
          <cell r="BY3264">
            <v>0</v>
          </cell>
          <cell r="BZ3264">
            <v>0</v>
          </cell>
          <cell r="CA3264">
            <v>0</v>
          </cell>
          <cell r="CB3264">
            <v>0</v>
          </cell>
          <cell r="CC3264">
            <v>0</v>
          </cell>
          <cell r="CD3264">
            <v>0</v>
          </cell>
          <cell r="CE3264">
            <v>0</v>
          </cell>
        </row>
        <row r="3265">
          <cell r="BY3265">
            <v>0</v>
          </cell>
          <cell r="BZ3265">
            <v>0</v>
          </cell>
          <cell r="CA3265">
            <v>0</v>
          </cell>
          <cell r="CB3265">
            <v>0</v>
          </cell>
          <cell r="CC3265">
            <v>0</v>
          </cell>
          <cell r="CD3265">
            <v>0</v>
          </cell>
          <cell r="CE3265">
            <v>0</v>
          </cell>
        </row>
        <row r="3266">
          <cell r="BY3266">
            <v>0</v>
          </cell>
          <cell r="BZ3266">
            <v>0</v>
          </cell>
          <cell r="CA3266">
            <v>0</v>
          </cell>
          <cell r="CB3266">
            <v>0</v>
          </cell>
          <cell r="CC3266">
            <v>0</v>
          </cell>
          <cell r="CD3266">
            <v>0</v>
          </cell>
          <cell r="CE3266">
            <v>0</v>
          </cell>
        </row>
        <row r="3267">
          <cell r="BY3267">
            <v>0</v>
          </cell>
          <cell r="BZ3267">
            <v>0</v>
          </cell>
          <cell r="CA3267">
            <v>0</v>
          </cell>
          <cell r="CB3267">
            <v>0</v>
          </cell>
          <cell r="CC3267">
            <v>0</v>
          </cell>
          <cell r="CD3267">
            <v>0</v>
          </cell>
          <cell r="CE3267">
            <v>0</v>
          </cell>
        </row>
        <row r="3268">
          <cell r="BY3268">
            <v>0</v>
          </cell>
          <cell r="BZ3268">
            <v>0</v>
          </cell>
          <cell r="CA3268">
            <v>0</v>
          </cell>
          <cell r="CB3268">
            <v>0</v>
          </cell>
          <cell r="CC3268">
            <v>0</v>
          </cell>
          <cell r="CD3268">
            <v>0</v>
          </cell>
          <cell r="CE3268">
            <v>0</v>
          </cell>
        </row>
        <row r="3269">
          <cell r="BY3269">
            <v>0</v>
          </cell>
          <cell r="BZ3269">
            <v>0</v>
          </cell>
          <cell r="CA3269">
            <v>0</v>
          </cell>
          <cell r="CB3269">
            <v>0</v>
          </cell>
          <cell r="CC3269">
            <v>0</v>
          </cell>
          <cell r="CD3269">
            <v>0</v>
          </cell>
          <cell r="CE3269">
            <v>0</v>
          </cell>
        </row>
        <row r="3270">
          <cell r="BY3270">
            <v>0</v>
          </cell>
          <cell r="BZ3270">
            <v>0</v>
          </cell>
          <cell r="CA3270">
            <v>0</v>
          </cell>
          <cell r="CB3270">
            <v>0</v>
          </cell>
          <cell r="CC3270">
            <v>0</v>
          </cell>
          <cell r="CD3270">
            <v>0</v>
          </cell>
          <cell r="CE3270">
            <v>0</v>
          </cell>
        </row>
        <row r="3271">
          <cell r="BY3271">
            <v>0</v>
          </cell>
          <cell r="BZ3271">
            <v>0</v>
          </cell>
          <cell r="CA3271">
            <v>0</v>
          </cell>
          <cell r="CB3271">
            <v>0</v>
          </cell>
          <cell r="CC3271">
            <v>0</v>
          </cell>
          <cell r="CD3271">
            <v>0</v>
          </cell>
          <cell r="CE3271">
            <v>0</v>
          </cell>
        </row>
        <row r="3272">
          <cell r="BY3272">
            <v>0</v>
          </cell>
          <cell r="BZ3272">
            <v>0</v>
          </cell>
          <cell r="CA3272">
            <v>0</v>
          </cell>
          <cell r="CB3272">
            <v>0</v>
          </cell>
          <cell r="CC3272">
            <v>0</v>
          </cell>
          <cell r="CD3272">
            <v>0</v>
          </cell>
          <cell r="CE3272">
            <v>0</v>
          </cell>
        </row>
        <row r="3273">
          <cell r="BY3273">
            <v>0</v>
          </cell>
          <cell r="BZ3273">
            <v>0</v>
          </cell>
          <cell r="CA3273">
            <v>0</v>
          </cell>
          <cell r="CB3273">
            <v>0</v>
          </cell>
          <cell r="CC3273">
            <v>0</v>
          </cell>
          <cell r="CD3273">
            <v>0</v>
          </cell>
          <cell r="CE3273">
            <v>0</v>
          </cell>
        </row>
        <row r="3274">
          <cell r="BY3274">
            <v>0</v>
          </cell>
          <cell r="BZ3274">
            <v>0</v>
          </cell>
          <cell r="CA3274">
            <v>0</v>
          </cell>
          <cell r="CB3274">
            <v>0</v>
          </cell>
          <cell r="CC3274">
            <v>0</v>
          </cell>
          <cell r="CD3274">
            <v>0</v>
          </cell>
          <cell r="CE3274">
            <v>0</v>
          </cell>
        </row>
        <row r="3275">
          <cell r="BY3275">
            <v>0</v>
          </cell>
          <cell r="BZ3275">
            <v>0</v>
          </cell>
          <cell r="CA3275">
            <v>0</v>
          </cell>
          <cell r="CB3275">
            <v>0</v>
          </cell>
          <cell r="CC3275">
            <v>0</v>
          </cell>
          <cell r="CD3275">
            <v>0</v>
          </cell>
          <cell r="CE3275">
            <v>0</v>
          </cell>
        </row>
        <row r="3276">
          <cell r="BY3276">
            <v>0</v>
          </cell>
          <cell r="BZ3276">
            <v>0</v>
          </cell>
          <cell r="CA3276">
            <v>0</v>
          </cell>
          <cell r="CB3276">
            <v>0</v>
          </cell>
          <cell r="CC3276">
            <v>0</v>
          </cell>
          <cell r="CD3276">
            <v>0</v>
          </cell>
          <cell r="CE3276">
            <v>0</v>
          </cell>
        </row>
        <row r="3277">
          <cell r="BY3277">
            <v>0</v>
          </cell>
          <cell r="BZ3277">
            <v>0</v>
          </cell>
          <cell r="CA3277">
            <v>0</v>
          </cell>
          <cell r="CB3277">
            <v>0</v>
          </cell>
          <cell r="CC3277">
            <v>0</v>
          </cell>
          <cell r="CD3277">
            <v>0</v>
          </cell>
          <cell r="CE3277">
            <v>0</v>
          </cell>
        </row>
        <row r="3278">
          <cell r="BY3278">
            <v>0</v>
          </cell>
          <cell r="BZ3278">
            <v>0</v>
          </cell>
          <cell r="CA3278">
            <v>0</v>
          </cell>
          <cell r="CB3278">
            <v>0</v>
          </cell>
          <cell r="CC3278">
            <v>0</v>
          </cell>
          <cell r="CD3278">
            <v>0</v>
          </cell>
          <cell r="CE3278">
            <v>0</v>
          </cell>
        </row>
        <row r="3279">
          <cell r="BY3279">
            <v>0</v>
          </cell>
          <cell r="BZ3279">
            <v>0</v>
          </cell>
          <cell r="CA3279">
            <v>0</v>
          </cell>
          <cell r="CB3279">
            <v>0</v>
          </cell>
          <cell r="CC3279">
            <v>0</v>
          </cell>
          <cell r="CD3279">
            <v>0</v>
          </cell>
          <cell r="CE3279">
            <v>0</v>
          </cell>
        </row>
        <row r="3280">
          <cell r="BY3280">
            <v>0</v>
          </cell>
          <cell r="BZ3280">
            <v>0</v>
          </cell>
          <cell r="CA3280">
            <v>0</v>
          </cell>
          <cell r="CB3280">
            <v>0</v>
          </cell>
          <cell r="CC3280">
            <v>0</v>
          </cell>
          <cell r="CD3280">
            <v>0</v>
          </cell>
          <cell r="CE3280">
            <v>0</v>
          </cell>
        </row>
        <row r="3281">
          <cell r="BY3281">
            <v>0</v>
          </cell>
          <cell r="BZ3281">
            <v>0</v>
          </cell>
          <cell r="CA3281">
            <v>0</v>
          </cell>
          <cell r="CB3281">
            <v>0</v>
          </cell>
          <cell r="CC3281">
            <v>0</v>
          </cell>
          <cell r="CD3281">
            <v>0</v>
          </cell>
          <cell r="CE3281">
            <v>0</v>
          </cell>
        </row>
        <row r="3282">
          <cell r="BY3282">
            <v>0</v>
          </cell>
          <cell r="BZ3282">
            <v>0</v>
          </cell>
          <cell r="CA3282">
            <v>0</v>
          </cell>
          <cell r="CB3282">
            <v>0</v>
          </cell>
          <cell r="CC3282">
            <v>0</v>
          </cell>
          <cell r="CD3282">
            <v>0</v>
          </cell>
          <cell r="CE3282">
            <v>0</v>
          </cell>
        </row>
        <row r="3283">
          <cell r="BY3283">
            <v>0</v>
          </cell>
          <cell r="BZ3283">
            <v>0</v>
          </cell>
          <cell r="CA3283">
            <v>0</v>
          </cell>
          <cell r="CB3283">
            <v>0</v>
          </cell>
          <cell r="CC3283">
            <v>0</v>
          </cell>
          <cell r="CD3283">
            <v>0</v>
          </cell>
          <cell r="CE3283">
            <v>0</v>
          </cell>
        </row>
        <row r="3284">
          <cell r="BY3284">
            <v>0</v>
          </cell>
          <cell r="BZ3284">
            <v>0</v>
          </cell>
          <cell r="CA3284">
            <v>0</v>
          </cell>
          <cell r="CB3284">
            <v>0</v>
          </cell>
          <cell r="CC3284">
            <v>0</v>
          </cell>
          <cell r="CD3284">
            <v>0</v>
          </cell>
          <cell r="CE3284">
            <v>0</v>
          </cell>
        </row>
        <row r="3285">
          <cell r="BY3285">
            <v>0</v>
          </cell>
          <cell r="BZ3285">
            <v>0</v>
          </cell>
          <cell r="CA3285">
            <v>0</v>
          </cell>
          <cell r="CB3285">
            <v>0</v>
          </cell>
          <cell r="CC3285">
            <v>0</v>
          </cell>
          <cell r="CD3285">
            <v>0</v>
          </cell>
          <cell r="CE3285">
            <v>0</v>
          </cell>
        </row>
        <row r="3286">
          <cell r="BY3286">
            <v>0</v>
          </cell>
          <cell r="BZ3286">
            <v>0</v>
          </cell>
          <cell r="CA3286">
            <v>0</v>
          </cell>
          <cell r="CB3286">
            <v>0</v>
          </cell>
          <cell r="CC3286">
            <v>0</v>
          </cell>
          <cell r="CD3286">
            <v>0</v>
          </cell>
          <cell r="CE3286">
            <v>0</v>
          </cell>
        </row>
        <row r="3287">
          <cell r="BY3287">
            <v>0</v>
          </cell>
          <cell r="BZ3287">
            <v>0</v>
          </cell>
          <cell r="CA3287">
            <v>0</v>
          </cell>
          <cell r="CB3287">
            <v>0</v>
          </cell>
          <cell r="CC3287">
            <v>0</v>
          </cell>
          <cell r="CD3287">
            <v>0</v>
          </cell>
          <cell r="CE3287">
            <v>0</v>
          </cell>
        </row>
        <row r="3288">
          <cell r="BY3288">
            <v>0</v>
          </cell>
          <cell r="BZ3288">
            <v>0</v>
          </cell>
          <cell r="CA3288">
            <v>0</v>
          </cell>
          <cell r="CB3288">
            <v>0</v>
          </cell>
          <cell r="CC3288">
            <v>0</v>
          </cell>
          <cell r="CD3288">
            <v>0</v>
          </cell>
          <cell r="CE3288">
            <v>0</v>
          </cell>
        </row>
        <row r="3289">
          <cell r="BY3289">
            <v>0</v>
          </cell>
          <cell r="BZ3289">
            <v>0</v>
          </cell>
          <cell r="CA3289">
            <v>0</v>
          </cell>
          <cell r="CB3289">
            <v>0</v>
          </cell>
          <cell r="CC3289">
            <v>0</v>
          </cell>
          <cell r="CD3289">
            <v>0</v>
          </cell>
          <cell r="CE3289">
            <v>0</v>
          </cell>
        </row>
        <row r="3290">
          <cell r="BY3290">
            <v>0</v>
          </cell>
          <cell r="BZ3290">
            <v>0</v>
          </cell>
          <cell r="CA3290">
            <v>0</v>
          </cell>
          <cell r="CB3290">
            <v>0</v>
          </cell>
          <cell r="CC3290">
            <v>0</v>
          </cell>
          <cell r="CD3290">
            <v>0</v>
          </cell>
          <cell r="CE3290">
            <v>0</v>
          </cell>
        </row>
        <row r="3291">
          <cell r="BY3291">
            <v>0</v>
          </cell>
          <cell r="BZ3291">
            <v>0</v>
          </cell>
          <cell r="CA3291">
            <v>0</v>
          </cell>
          <cell r="CB3291">
            <v>0</v>
          </cell>
          <cell r="CC3291">
            <v>0</v>
          </cell>
          <cell r="CD3291">
            <v>0</v>
          </cell>
          <cell r="CE3291">
            <v>0</v>
          </cell>
        </row>
        <row r="3292">
          <cell r="BY3292">
            <v>0</v>
          </cell>
          <cell r="BZ3292">
            <v>0</v>
          </cell>
          <cell r="CA3292">
            <v>0</v>
          </cell>
          <cell r="CB3292">
            <v>0</v>
          </cell>
          <cell r="CC3292">
            <v>0</v>
          </cell>
          <cell r="CD3292">
            <v>0</v>
          </cell>
          <cell r="CE3292">
            <v>0</v>
          </cell>
        </row>
        <row r="3293">
          <cell r="BY3293">
            <v>0</v>
          </cell>
          <cell r="BZ3293">
            <v>0</v>
          </cell>
          <cell r="CA3293">
            <v>0</v>
          </cell>
          <cell r="CB3293">
            <v>0</v>
          </cell>
          <cell r="CC3293">
            <v>0</v>
          </cell>
          <cell r="CD3293">
            <v>0</v>
          </cell>
          <cell r="CE3293">
            <v>0</v>
          </cell>
        </row>
        <row r="3294">
          <cell r="BY3294">
            <v>0</v>
          </cell>
          <cell r="BZ3294">
            <v>0</v>
          </cell>
          <cell r="CA3294">
            <v>0</v>
          </cell>
          <cell r="CB3294">
            <v>0</v>
          </cell>
          <cell r="CC3294">
            <v>0</v>
          </cell>
          <cell r="CD3294">
            <v>0</v>
          </cell>
          <cell r="CE3294">
            <v>0</v>
          </cell>
        </row>
        <row r="3295">
          <cell r="BY3295">
            <v>0</v>
          </cell>
          <cell r="BZ3295">
            <v>0</v>
          </cell>
          <cell r="CA3295">
            <v>0</v>
          </cell>
          <cell r="CB3295">
            <v>0</v>
          </cell>
          <cell r="CC3295">
            <v>0</v>
          </cell>
          <cell r="CD3295">
            <v>0</v>
          </cell>
          <cell r="CE3295">
            <v>0</v>
          </cell>
        </row>
        <row r="3296">
          <cell r="BY3296">
            <v>0</v>
          </cell>
          <cell r="BZ3296">
            <v>0</v>
          </cell>
          <cell r="CA3296">
            <v>0</v>
          </cell>
          <cell r="CB3296">
            <v>0</v>
          </cell>
          <cell r="CC3296">
            <v>0</v>
          </cell>
          <cell r="CD3296">
            <v>0</v>
          </cell>
          <cell r="CE3296">
            <v>0</v>
          </cell>
        </row>
        <row r="3297">
          <cell r="BY3297">
            <v>0</v>
          </cell>
          <cell r="BZ3297">
            <v>0</v>
          </cell>
          <cell r="CA3297">
            <v>0</v>
          </cell>
          <cell r="CB3297">
            <v>0</v>
          </cell>
          <cell r="CC3297">
            <v>0</v>
          </cell>
          <cell r="CD3297">
            <v>0</v>
          </cell>
          <cell r="CE3297">
            <v>0</v>
          </cell>
        </row>
        <row r="3298">
          <cell r="BY3298">
            <v>0</v>
          </cell>
          <cell r="BZ3298">
            <v>0</v>
          </cell>
          <cell r="CA3298">
            <v>0</v>
          </cell>
          <cell r="CB3298">
            <v>0</v>
          </cell>
          <cell r="CC3298">
            <v>0</v>
          </cell>
          <cell r="CD3298">
            <v>0</v>
          </cell>
          <cell r="CE3298">
            <v>0</v>
          </cell>
        </row>
        <row r="3299">
          <cell r="BY3299">
            <v>0</v>
          </cell>
          <cell r="BZ3299">
            <v>0</v>
          </cell>
          <cell r="CA3299">
            <v>0</v>
          </cell>
          <cell r="CB3299">
            <v>0</v>
          </cell>
          <cell r="CC3299">
            <v>0</v>
          </cell>
          <cell r="CD3299">
            <v>0</v>
          </cell>
          <cell r="CE3299">
            <v>0</v>
          </cell>
        </row>
        <row r="3300">
          <cell r="BY3300">
            <v>0</v>
          </cell>
          <cell r="BZ3300">
            <v>0</v>
          </cell>
          <cell r="CA3300">
            <v>0</v>
          </cell>
          <cell r="CB3300">
            <v>0</v>
          </cell>
          <cell r="CC3300">
            <v>0</v>
          </cell>
          <cell r="CD3300">
            <v>0</v>
          </cell>
          <cell r="CE3300">
            <v>0</v>
          </cell>
        </row>
        <row r="3301">
          <cell r="BY3301">
            <v>0</v>
          </cell>
          <cell r="BZ3301">
            <v>0</v>
          </cell>
          <cell r="CA3301">
            <v>0</v>
          </cell>
          <cell r="CB3301">
            <v>0</v>
          </cell>
          <cell r="CC3301">
            <v>0</v>
          </cell>
          <cell r="CD3301">
            <v>0</v>
          </cell>
          <cell r="CE3301">
            <v>0</v>
          </cell>
        </row>
        <row r="3302">
          <cell r="BY3302">
            <v>0</v>
          </cell>
          <cell r="BZ3302">
            <v>0</v>
          </cell>
          <cell r="CA3302">
            <v>0</v>
          </cell>
          <cell r="CB3302">
            <v>0</v>
          </cell>
          <cell r="CC3302">
            <v>0</v>
          </cell>
          <cell r="CD3302">
            <v>0</v>
          </cell>
          <cell r="CE3302">
            <v>0</v>
          </cell>
        </row>
        <row r="3303">
          <cell r="BY3303">
            <v>0</v>
          </cell>
          <cell r="BZ3303">
            <v>0</v>
          </cell>
          <cell r="CA3303">
            <v>0</v>
          </cell>
          <cell r="CB3303">
            <v>0</v>
          </cell>
          <cell r="CC3303">
            <v>0</v>
          </cell>
          <cell r="CD3303">
            <v>0</v>
          </cell>
          <cell r="CE3303">
            <v>0</v>
          </cell>
        </row>
        <row r="3304">
          <cell r="BY3304">
            <v>0</v>
          </cell>
          <cell r="BZ3304">
            <v>0</v>
          </cell>
          <cell r="CA3304">
            <v>0</v>
          </cell>
          <cell r="CB3304">
            <v>0</v>
          </cell>
          <cell r="CC3304">
            <v>0</v>
          </cell>
          <cell r="CD3304">
            <v>0</v>
          </cell>
          <cell r="CE3304">
            <v>0</v>
          </cell>
        </row>
        <row r="3305">
          <cell r="BY3305">
            <v>0</v>
          </cell>
          <cell r="BZ3305">
            <v>0</v>
          </cell>
          <cell r="CA3305">
            <v>0</v>
          </cell>
          <cell r="CB3305">
            <v>0</v>
          </cell>
          <cell r="CC3305">
            <v>0</v>
          </cell>
          <cell r="CD3305">
            <v>0</v>
          </cell>
          <cell r="CE3305">
            <v>0</v>
          </cell>
        </row>
        <row r="3306">
          <cell r="BY3306">
            <v>0</v>
          </cell>
          <cell r="BZ3306">
            <v>0</v>
          </cell>
          <cell r="CA3306">
            <v>0</v>
          </cell>
          <cell r="CB3306">
            <v>0</v>
          </cell>
          <cell r="CC3306">
            <v>0</v>
          </cell>
          <cell r="CD3306">
            <v>0</v>
          </cell>
          <cell r="CE3306">
            <v>0</v>
          </cell>
        </row>
        <row r="3307">
          <cell r="BY3307">
            <v>0</v>
          </cell>
          <cell r="BZ3307">
            <v>0</v>
          </cell>
          <cell r="CA3307">
            <v>0</v>
          </cell>
          <cell r="CB3307">
            <v>0</v>
          </cell>
          <cell r="CC3307">
            <v>0</v>
          </cell>
          <cell r="CD3307">
            <v>0</v>
          </cell>
          <cell r="CE3307">
            <v>0</v>
          </cell>
        </row>
        <row r="3308">
          <cell r="BY3308">
            <v>0</v>
          </cell>
          <cell r="BZ3308">
            <v>0</v>
          </cell>
          <cell r="CA3308">
            <v>0</v>
          </cell>
          <cell r="CB3308">
            <v>0</v>
          </cell>
          <cell r="CC3308">
            <v>0</v>
          </cell>
          <cell r="CD3308">
            <v>0</v>
          </cell>
          <cell r="CE3308">
            <v>0</v>
          </cell>
        </row>
        <row r="3309">
          <cell r="BY3309">
            <v>0</v>
          </cell>
          <cell r="BZ3309">
            <v>0</v>
          </cell>
          <cell r="CA3309">
            <v>0</v>
          </cell>
          <cell r="CB3309">
            <v>0</v>
          </cell>
          <cell r="CC3309">
            <v>0</v>
          </cell>
          <cell r="CD3309">
            <v>0</v>
          </cell>
          <cell r="CE3309">
            <v>0</v>
          </cell>
        </row>
        <row r="3310">
          <cell r="BY3310">
            <v>0</v>
          </cell>
          <cell r="BZ3310">
            <v>0</v>
          </cell>
          <cell r="CA3310">
            <v>0</v>
          </cell>
          <cell r="CB3310">
            <v>0</v>
          </cell>
          <cell r="CC3310">
            <v>0</v>
          </cell>
          <cell r="CD3310">
            <v>0</v>
          </cell>
          <cell r="CE3310">
            <v>0</v>
          </cell>
        </row>
        <row r="3311">
          <cell r="BY3311">
            <v>0</v>
          </cell>
          <cell r="BZ3311">
            <v>0</v>
          </cell>
          <cell r="CA3311">
            <v>0</v>
          </cell>
          <cell r="CB3311">
            <v>0</v>
          </cell>
          <cell r="CC3311">
            <v>0</v>
          </cell>
          <cell r="CD3311">
            <v>0</v>
          </cell>
          <cell r="CE3311">
            <v>0</v>
          </cell>
        </row>
        <row r="3312">
          <cell r="BY3312">
            <v>0</v>
          </cell>
          <cell r="BZ3312">
            <v>0</v>
          </cell>
          <cell r="CA3312">
            <v>0</v>
          </cell>
          <cell r="CB3312">
            <v>0</v>
          </cell>
          <cell r="CC3312">
            <v>0</v>
          </cell>
          <cell r="CD3312">
            <v>0</v>
          </cell>
          <cell r="CE3312">
            <v>0</v>
          </cell>
        </row>
        <row r="3313">
          <cell r="BY3313">
            <v>0</v>
          </cell>
          <cell r="BZ3313">
            <v>0</v>
          </cell>
          <cell r="CA3313">
            <v>0</v>
          </cell>
          <cell r="CB3313">
            <v>0</v>
          </cell>
          <cell r="CC3313">
            <v>0</v>
          </cell>
          <cell r="CD3313">
            <v>0</v>
          </cell>
          <cell r="CE3313">
            <v>0</v>
          </cell>
        </row>
        <row r="3314">
          <cell r="BY3314">
            <v>0</v>
          </cell>
          <cell r="BZ3314">
            <v>0</v>
          </cell>
          <cell r="CA3314">
            <v>0</v>
          </cell>
          <cell r="CB3314">
            <v>0</v>
          </cell>
          <cell r="CC3314">
            <v>0</v>
          </cell>
          <cell r="CD3314">
            <v>0</v>
          </cell>
          <cell r="CE3314">
            <v>0</v>
          </cell>
        </row>
        <row r="3315">
          <cell r="BY3315">
            <v>0</v>
          </cell>
          <cell r="BZ3315">
            <v>0</v>
          </cell>
          <cell r="CA3315">
            <v>0</v>
          </cell>
          <cell r="CB3315">
            <v>0</v>
          </cell>
          <cell r="CC3315">
            <v>0</v>
          </cell>
          <cell r="CD3315">
            <v>0</v>
          </cell>
          <cell r="CE3315">
            <v>0</v>
          </cell>
        </row>
        <row r="3316">
          <cell r="BY3316">
            <v>0</v>
          </cell>
          <cell r="BZ3316">
            <v>0</v>
          </cell>
          <cell r="CA3316">
            <v>0</v>
          </cell>
          <cell r="CB3316">
            <v>0</v>
          </cell>
          <cell r="CC3316">
            <v>0</v>
          </cell>
          <cell r="CD3316">
            <v>0</v>
          </cell>
          <cell r="CE3316">
            <v>0</v>
          </cell>
        </row>
        <row r="3317">
          <cell r="BY3317">
            <v>0</v>
          </cell>
          <cell r="BZ3317">
            <v>0</v>
          </cell>
          <cell r="CA3317">
            <v>0</v>
          </cell>
          <cell r="CB3317">
            <v>0</v>
          </cell>
          <cell r="CC3317">
            <v>0</v>
          </cell>
          <cell r="CD3317">
            <v>0</v>
          </cell>
          <cell r="CE3317">
            <v>0</v>
          </cell>
        </row>
        <row r="3318">
          <cell r="BY3318">
            <v>0</v>
          </cell>
          <cell r="BZ3318">
            <v>0</v>
          </cell>
          <cell r="CA3318">
            <v>0</v>
          </cell>
          <cell r="CB3318">
            <v>0</v>
          </cell>
          <cell r="CC3318">
            <v>0</v>
          </cell>
          <cell r="CD3318">
            <v>0</v>
          </cell>
          <cell r="CE3318">
            <v>0</v>
          </cell>
        </row>
        <row r="3319">
          <cell r="BY3319">
            <v>0</v>
          </cell>
          <cell r="BZ3319">
            <v>0</v>
          </cell>
          <cell r="CA3319">
            <v>0</v>
          </cell>
          <cell r="CB3319">
            <v>0</v>
          </cell>
          <cell r="CC3319">
            <v>0</v>
          </cell>
          <cell r="CD3319">
            <v>0</v>
          </cell>
          <cell r="CE3319">
            <v>0</v>
          </cell>
        </row>
        <row r="3320">
          <cell r="BY3320">
            <v>0</v>
          </cell>
          <cell r="BZ3320">
            <v>0</v>
          </cell>
          <cell r="CA3320">
            <v>0</v>
          </cell>
          <cell r="CB3320">
            <v>0</v>
          </cell>
          <cell r="CC3320">
            <v>0</v>
          </cell>
          <cell r="CD3320">
            <v>0</v>
          </cell>
          <cell r="CE3320">
            <v>0</v>
          </cell>
        </row>
        <row r="3321">
          <cell r="BY3321">
            <v>0</v>
          </cell>
          <cell r="BZ3321">
            <v>0</v>
          </cell>
          <cell r="CA3321">
            <v>0</v>
          </cell>
          <cell r="CB3321">
            <v>0</v>
          </cell>
          <cell r="CC3321">
            <v>0</v>
          </cell>
          <cell r="CD3321">
            <v>0</v>
          </cell>
          <cell r="CE3321">
            <v>0</v>
          </cell>
        </row>
        <row r="3322">
          <cell r="BY3322">
            <v>0</v>
          </cell>
          <cell r="BZ3322">
            <v>0</v>
          </cell>
          <cell r="CA3322">
            <v>0</v>
          </cell>
          <cell r="CB3322">
            <v>0</v>
          </cell>
          <cell r="CC3322">
            <v>0</v>
          </cell>
          <cell r="CD3322">
            <v>0</v>
          </cell>
          <cell r="CE3322">
            <v>0</v>
          </cell>
        </row>
        <row r="3323">
          <cell r="BY3323">
            <v>0</v>
          </cell>
          <cell r="BZ3323">
            <v>0</v>
          </cell>
          <cell r="CA3323">
            <v>0</v>
          </cell>
          <cell r="CB3323">
            <v>0</v>
          </cell>
          <cell r="CC3323">
            <v>0</v>
          </cell>
          <cell r="CD3323">
            <v>0</v>
          </cell>
          <cell r="CE3323">
            <v>0</v>
          </cell>
        </row>
        <row r="3324">
          <cell r="BY3324">
            <v>0</v>
          </cell>
          <cell r="BZ3324">
            <v>0</v>
          </cell>
          <cell r="CA3324">
            <v>0</v>
          </cell>
          <cell r="CB3324">
            <v>0</v>
          </cell>
          <cell r="CC3324">
            <v>0</v>
          </cell>
          <cell r="CD3324">
            <v>0</v>
          </cell>
          <cell r="CE3324">
            <v>0</v>
          </cell>
        </row>
        <row r="3325">
          <cell r="BY3325">
            <v>0</v>
          </cell>
          <cell r="BZ3325">
            <v>0</v>
          </cell>
          <cell r="CA3325">
            <v>0</v>
          </cell>
          <cell r="CB3325">
            <v>0</v>
          </cell>
          <cell r="CC3325">
            <v>0</v>
          </cell>
          <cell r="CD3325">
            <v>0</v>
          </cell>
          <cell r="CE3325">
            <v>0</v>
          </cell>
        </row>
        <row r="3326">
          <cell r="BY3326">
            <v>0</v>
          </cell>
          <cell r="BZ3326">
            <v>0</v>
          </cell>
          <cell r="CA3326">
            <v>0</v>
          </cell>
          <cell r="CB3326">
            <v>0</v>
          </cell>
          <cell r="CC3326">
            <v>0</v>
          </cell>
          <cell r="CD3326">
            <v>0</v>
          </cell>
          <cell r="CE3326">
            <v>0</v>
          </cell>
        </row>
        <row r="3327">
          <cell r="BY3327">
            <v>0</v>
          </cell>
          <cell r="BZ3327">
            <v>0</v>
          </cell>
          <cell r="CA3327">
            <v>0</v>
          </cell>
          <cell r="CB3327">
            <v>0</v>
          </cell>
          <cell r="CC3327">
            <v>0</v>
          </cell>
          <cell r="CD3327">
            <v>0</v>
          </cell>
          <cell r="CE3327">
            <v>0</v>
          </cell>
        </row>
        <row r="3328">
          <cell r="BY3328">
            <v>0</v>
          </cell>
          <cell r="BZ3328">
            <v>0</v>
          </cell>
          <cell r="CA3328">
            <v>0</v>
          </cell>
          <cell r="CB3328">
            <v>0</v>
          </cell>
          <cell r="CC3328">
            <v>0</v>
          </cell>
          <cell r="CD3328">
            <v>0</v>
          </cell>
          <cell r="CE3328">
            <v>0</v>
          </cell>
        </row>
        <row r="3329">
          <cell r="BY3329">
            <v>0</v>
          </cell>
          <cell r="BZ3329">
            <v>0</v>
          </cell>
          <cell r="CA3329">
            <v>0</v>
          </cell>
          <cell r="CB3329">
            <v>0</v>
          </cell>
          <cell r="CC3329">
            <v>0</v>
          </cell>
          <cell r="CD3329">
            <v>0</v>
          </cell>
          <cell r="CE3329">
            <v>0</v>
          </cell>
        </row>
        <row r="3330">
          <cell r="BY3330">
            <v>0</v>
          </cell>
          <cell r="BZ3330">
            <v>0</v>
          </cell>
          <cell r="CA3330">
            <v>0</v>
          </cell>
          <cell r="CB3330">
            <v>0</v>
          </cell>
          <cell r="CC3330">
            <v>0</v>
          </cell>
          <cell r="CD3330">
            <v>0</v>
          </cell>
          <cell r="CE3330">
            <v>0</v>
          </cell>
        </row>
        <row r="3331">
          <cell r="BY3331">
            <v>0</v>
          </cell>
          <cell r="BZ3331">
            <v>0</v>
          </cell>
          <cell r="CA3331">
            <v>0</v>
          </cell>
          <cell r="CB3331">
            <v>0</v>
          </cell>
          <cell r="CC3331">
            <v>0</v>
          </cell>
          <cell r="CD3331">
            <v>0</v>
          </cell>
          <cell r="CE3331">
            <v>0</v>
          </cell>
        </row>
        <row r="3332">
          <cell r="BY3332">
            <v>0</v>
          </cell>
          <cell r="BZ3332">
            <v>0</v>
          </cell>
          <cell r="CA3332">
            <v>0</v>
          </cell>
          <cell r="CB3332">
            <v>0</v>
          </cell>
          <cell r="CC3332">
            <v>0</v>
          </cell>
          <cell r="CD3332">
            <v>0</v>
          </cell>
          <cell r="CE3332">
            <v>0</v>
          </cell>
        </row>
        <row r="3333">
          <cell r="BY3333">
            <v>0</v>
          </cell>
          <cell r="BZ3333">
            <v>0</v>
          </cell>
          <cell r="CA3333">
            <v>0</v>
          </cell>
          <cell r="CB3333">
            <v>0</v>
          </cell>
          <cell r="CC3333">
            <v>0</v>
          </cell>
          <cell r="CD3333">
            <v>0</v>
          </cell>
          <cell r="CE3333">
            <v>0</v>
          </cell>
        </row>
        <row r="3334">
          <cell r="BY3334">
            <v>0</v>
          </cell>
          <cell r="BZ3334">
            <v>0</v>
          </cell>
          <cell r="CA3334">
            <v>0</v>
          </cell>
          <cell r="CB3334">
            <v>0</v>
          </cell>
          <cell r="CC3334">
            <v>0</v>
          </cell>
          <cell r="CD3334">
            <v>0</v>
          </cell>
          <cell r="CE3334">
            <v>0</v>
          </cell>
        </row>
        <row r="3335">
          <cell r="BY3335">
            <v>0</v>
          </cell>
          <cell r="BZ3335">
            <v>0</v>
          </cell>
          <cell r="CA3335">
            <v>0</v>
          </cell>
          <cell r="CB3335">
            <v>0</v>
          </cell>
          <cell r="CC3335">
            <v>0</v>
          </cell>
          <cell r="CD3335">
            <v>0</v>
          </cell>
          <cell r="CE3335">
            <v>0</v>
          </cell>
        </row>
        <row r="3336">
          <cell r="BY3336">
            <v>0</v>
          </cell>
          <cell r="BZ3336">
            <v>0</v>
          </cell>
          <cell r="CA3336">
            <v>0</v>
          </cell>
          <cell r="CB3336">
            <v>0</v>
          </cell>
          <cell r="CC3336">
            <v>0</v>
          </cell>
          <cell r="CD3336">
            <v>0</v>
          </cell>
          <cell r="CE3336">
            <v>0</v>
          </cell>
        </row>
        <row r="3337">
          <cell r="BY3337">
            <v>0</v>
          </cell>
          <cell r="BZ3337">
            <v>0</v>
          </cell>
          <cell r="CA3337">
            <v>0</v>
          </cell>
          <cell r="CB3337">
            <v>0</v>
          </cell>
          <cell r="CC3337">
            <v>0</v>
          </cell>
          <cell r="CD3337">
            <v>0</v>
          </cell>
          <cell r="CE3337">
            <v>0</v>
          </cell>
        </row>
        <row r="3338">
          <cell r="BY3338">
            <v>0</v>
          </cell>
          <cell r="BZ3338">
            <v>0</v>
          </cell>
          <cell r="CA3338">
            <v>0</v>
          </cell>
          <cell r="CB3338">
            <v>0</v>
          </cell>
          <cell r="CC3338">
            <v>0</v>
          </cell>
          <cell r="CD3338">
            <v>0</v>
          </cell>
          <cell r="CE3338">
            <v>0</v>
          </cell>
        </row>
        <row r="3339">
          <cell r="BY3339">
            <v>0</v>
          </cell>
          <cell r="BZ3339">
            <v>0</v>
          </cell>
          <cell r="CA3339">
            <v>0</v>
          </cell>
          <cell r="CB3339">
            <v>0</v>
          </cell>
          <cell r="CC3339">
            <v>0</v>
          </cell>
          <cell r="CD3339">
            <v>0</v>
          </cell>
          <cell r="CE3339">
            <v>0</v>
          </cell>
        </row>
        <row r="3340">
          <cell r="BY3340">
            <v>0</v>
          </cell>
          <cell r="BZ3340">
            <v>0</v>
          </cell>
          <cell r="CA3340">
            <v>0</v>
          </cell>
          <cell r="CB3340">
            <v>0</v>
          </cell>
          <cell r="CC3340">
            <v>0</v>
          </cell>
          <cell r="CD3340">
            <v>0</v>
          </cell>
          <cell r="CE3340">
            <v>0</v>
          </cell>
        </row>
        <row r="3341">
          <cell r="BY3341">
            <v>0</v>
          </cell>
          <cell r="BZ3341">
            <v>0</v>
          </cell>
          <cell r="CA3341">
            <v>0</v>
          </cell>
          <cell r="CB3341">
            <v>0</v>
          </cell>
          <cell r="CC3341">
            <v>0</v>
          </cell>
          <cell r="CD3341">
            <v>0</v>
          </cell>
          <cell r="CE3341">
            <v>0</v>
          </cell>
        </row>
        <row r="3342">
          <cell r="BY3342">
            <v>0</v>
          </cell>
          <cell r="BZ3342">
            <v>0</v>
          </cell>
          <cell r="CA3342">
            <v>0</v>
          </cell>
          <cell r="CB3342">
            <v>0</v>
          </cell>
          <cell r="CC3342">
            <v>0</v>
          </cell>
          <cell r="CD3342">
            <v>0</v>
          </cell>
          <cell r="CE3342">
            <v>0</v>
          </cell>
        </row>
        <row r="3343">
          <cell r="BY3343">
            <v>0</v>
          </cell>
          <cell r="BZ3343">
            <v>0</v>
          </cell>
          <cell r="CA3343">
            <v>0</v>
          </cell>
          <cell r="CB3343">
            <v>0</v>
          </cell>
          <cell r="CC3343">
            <v>0</v>
          </cell>
          <cell r="CD3343">
            <v>0</v>
          </cell>
          <cell r="CE3343">
            <v>0</v>
          </cell>
        </row>
        <row r="3344">
          <cell r="BY3344">
            <v>0</v>
          </cell>
          <cell r="BZ3344">
            <v>0</v>
          </cell>
          <cell r="CA3344">
            <v>0</v>
          </cell>
          <cell r="CB3344">
            <v>0</v>
          </cell>
          <cell r="CC3344">
            <v>0</v>
          </cell>
          <cell r="CD3344">
            <v>0</v>
          </cell>
          <cell r="CE3344">
            <v>0</v>
          </cell>
        </row>
        <row r="3345">
          <cell r="BY3345">
            <v>0</v>
          </cell>
          <cell r="BZ3345">
            <v>0</v>
          </cell>
          <cell r="CA3345">
            <v>0</v>
          </cell>
          <cell r="CB3345">
            <v>0</v>
          </cell>
          <cell r="CC3345">
            <v>0</v>
          </cell>
          <cell r="CD3345">
            <v>0</v>
          </cell>
          <cell r="CE3345">
            <v>0</v>
          </cell>
        </row>
        <row r="3346">
          <cell r="BY3346">
            <v>0</v>
          </cell>
          <cell r="BZ3346">
            <v>0</v>
          </cell>
          <cell r="CA3346">
            <v>0</v>
          </cell>
          <cell r="CB3346">
            <v>0</v>
          </cell>
          <cell r="CC3346">
            <v>0</v>
          </cell>
          <cell r="CD3346">
            <v>0</v>
          </cell>
          <cell r="CE3346">
            <v>0</v>
          </cell>
        </row>
        <row r="3347">
          <cell r="BY3347">
            <v>0</v>
          </cell>
          <cell r="BZ3347">
            <v>0</v>
          </cell>
          <cell r="CA3347">
            <v>0</v>
          </cell>
          <cell r="CB3347">
            <v>0</v>
          </cell>
          <cell r="CC3347">
            <v>0</v>
          </cell>
          <cell r="CD3347">
            <v>0</v>
          </cell>
          <cell r="CE3347">
            <v>0</v>
          </cell>
        </row>
        <row r="3348">
          <cell r="BY3348">
            <v>0</v>
          </cell>
          <cell r="BZ3348">
            <v>0</v>
          </cell>
          <cell r="CA3348">
            <v>0</v>
          </cell>
          <cell r="CB3348">
            <v>0</v>
          </cell>
          <cell r="CC3348">
            <v>0</v>
          </cell>
          <cell r="CD3348">
            <v>0</v>
          </cell>
          <cell r="CE3348">
            <v>0</v>
          </cell>
        </row>
        <row r="3349">
          <cell r="BY3349">
            <v>0</v>
          </cell>
          <cell r="BZ3349">
            <v>0</v>
          </cell>
          <cell r="CA3349">
            <v>0</v>
          </cell>
          <cell r="CB3349">
            <v>0</v>
          </cell>
          <cell r="CC3349">
            <v>0</v>
          </cell>
          <cell r="CD3349">
            <v>0</v>
          </cell>
          <cell r="CE3349">
            <v>0</v>
          </cell>
        </row>
        <row r="3350">
          <cell r="BY3350">
            <v>0</v>
          </cell>
          <cell r="BZ3350">
            <v>0</v>
          </cell>
          <cell r="CA3350">
            <v>0</v>
          </cell>
          <cell r="CB3350">
            <v>0</v>
          </cell>
          <cell r="CC3350">
            <v>0</v>
          </cell>
          <cell r="CD3350">
            <v>0</v>
          </cell>
          <cell r="CE3350">
            <v>0</v>
          </cell>
        </row>
        <row r="3351">
          <cell r="BY3351">
            <v>0</v>
          </cell>
          <cell r="BZ3351">
            <v>0</v>
          </cell>
          <cell r="CA3351">
            <v>0</v>
          </cell>
          <cell r="CB3351">
            <v>0</v>
          </cell>
          <cell r="CC3351">
            <v>0</v>
          </cell>
          <cell r="CD3351">
            <v>0</v>
          </cell>
          <cell r="CE3351">
            <v>0</v>
          </cell>
        </row>
        <row r="3352">
          <cell r="BY3352">
            <v>0</v>
          </cell>
          <cell r="BZ3352">
            <v>0</v>
          </cell>
          <cell r="CA3352">
            <v>0</v>
          </cell>
          <cell r="CB3352">
            <v>0</v>
          </cell>
          <cell r="CC3352">
            <v>0</v>
          </cell>
          <cell r="CD3352">
            <v>0</v>
          </cell>
          <cell r="CE3352">
            <v>0</v>
          </cell>
        </row>
        <row r="3353">
          <cell r="BY3353">
            <v>0</v>
          </cell>
          <cell r="BZ3353">
            <v>0</v>
          </cell>
          <cell r="CA3353">
            <v>0</v>
          </cell>
          <cell r="CB3353">
            <v>0</v>
          </cell>
          <cell r="CC3353">
            <v>0</v>
          </cell>
          <cell r="CD3353">
            <v>0</v>
          </cell>
          <cell r="CE3353">
            <v>0</v>
          </cell>
        </row>
        <row r="3354">
          <cell r="BY3354">
            <v>0</v>
          </cell>
          <cell r="BZ3354">
            <v>0</v>
          </cell>
          <cell r="CA3354">
            <v>0</v>
          </cell>
          <cell r="CB3354">
            <v>0</v>
          </cell>
          <cell r="CC3354">
            <v>0</v>
          </cell>
          <cell r="CD3354">
            <v>0</v>
          </cell>
          <cell r="CE3354">
            <v>0</v>
          </cell>
        </row>
        <row r="3355">
          <cell r="BY3355">
            <v>0</v>
          </cell>
          <cell r="BZ3355">
            <v>0</v>
          </cell>
          <cell r="CA3355">
            <v>0</v>
          </cell>
          <cell r="CB3355">
            <v>0</v>
          </cell>
          <cell r="CC3355">
            <v>0</v>
          </cell>
          <cell r="CD3355">
            <v>0</v>
          </cell>
          <cell r="CE3355">
            <v>0</v>
          </cell>
        </row>
        <row r="3356">
          <cell r="BY3356">
            <v>0</v>
          </cell>
          <cell r="BZ3356">
            <v>0</v>
          </cell>
          <cell r="CA3356">
            <v>0</v>
          </cell>
          <cell r="CB3356">
            <v>0</v>
          </cell>
          <cell r="CC3356">
            <v>0</v>
          </cell>
          <cell r="CD3356">
            <v>0</v>
          </cell>
          <cell r="CE3356">
            <v>0</v>
          </cell>
        </row>
        <row r="3357">
          <cell r="BY3357">
            <v>0</v>
          </cell>
          <cell r="BZ3357">
            <v>0</v>
          </cell>
          <cell r="CA3357">
            <v>0</v>
          </cell>
          <cell r="CB3357">
            <v>0</v>
          </cell>
          <cell r="CC3357">
            <v>0</v>
          </cell>
          <cell r="CD3357">
            <v>0</v>
          </cell>
          <cell r="CE3357">
            <v>0</v>
          </cell>
        </row>
        <row r="3358">
          <cell r="BY3358">
            <v>0</v>
          </cell>
          <cell r="BZ3358">
            <v>0</v>
          </cell>
          <cell r="CA3358">
            <v>0</v>
          </cell>
          <cell r="CB3358">
            <v>0</v>
          </cell>
          <cell r="CC3358">
            <v>0</v>
          </cell>
          <cell r="CD3358">
            <v>0</v>
          </cell>
          <cell r="CE3358">
            <v>0</v>
          </cell>
        </row>
        <row r="3359">
          <cell r="BY3359">
            <v>0</v>
          </cell>
          <cell r="BZ3359">
            <v>0</v>
          </cell>
          <cell r="CA3359">
            <v>0</v>
          </cell>
          <cell r="CB3359">
            <v>0</v>
          </cell>
          <cell r="CC3359">
            <v>0</v>
          </cell>
          <cell r="CD3359">
            <v>0</v>
          </cell>
          <cell r="CE3359">
            <v>0</v>
          </cell>
        </row>
        <row r="3360">
          <cell r="BY3360">
            <v>0</v>
          </cell>
          <cell r="BZ3360">
            <v>0</v>
          </cell>
          <cell r="CA3360">
            <v>0</v>
          </cell>
          <cell r="CB3360">
            <v>0</v>
          </cell>
          <cell r="CC3360">
            <v>0</v>
          </cell>
          <cell r="CD3360">
            <v>0</v>
          </cell>
          <cell r="CE3360">
            <v>0</v>
          </cell>
        </row>
        <row r="3361">
          <cell r="BY3361">
            <v>0</v>
          </cell>
          <cell r="BZ3361">
            <v>0</v>
          </cell>
          <cell r="CA3361">
            <v>0</v>
          </cell>
          <cell r="CB3361">
            <v>0</v>
          </cell>
          <cell r="CC3361">
            <v>0</v>
          </cell>
          <cell r="CD3361">
            <v>0</v>
          </cell>
          <cell r="CE3361">
            <v>0</v>
          </cell>
        </row>
        <row r="3362">
          <cell r="BY3362">
            <v>0</v>
          </cell>
          <cell r="BZ3362">
            <v>0</v>
          </cell>
          <cell r="CA3362">
            <v>0</v>
          </cell>
          <cell r="CB3362">
            <v>0</v>
          </cell>
          <cell r="CC3362">
            <v>0</v>
          </cell>
          <cell r="CD3362">
            <v>0</v>
          </cell>
          <cell r="CE3362">
            <v>0</v>
          </cell>
        </row>
        <row r="3363">
          <cell r="BY3363">
            <v>0</v>
          </cell>
          <cell r="BZ3363">
            <v>0</v>
          </cell>
          <cell r="CA3363">
            <v>0</v>
          </cell>
          <cell r="CB3363">
            <v>0</v>
          </cell>
          <cell r="CC3363">
            <v>0</v>
          </cell>
          <cell r="CD3363">
            <v>0</v>
          </cell>
          <cell r="CE3363">
            <v>0</v>
          </cell>
        </row>
        <row r="3364">
          <cell r="BY3364">
            <v>0</v>
          </cell>
          <cell r="BZ3364">
            <v>0</v>
          </cell>
          <cell r="CA3364">
            <v>0</v>
          </cell>
          <cell r="CB3364">
            <v>0</v>
          </cell>
          <cell r="CC3364">
            <v>0</v>
          </cell>
          <cell r="CD3364">
            <v>0</v>
          </cell>
          <cell r="CE3364">
            <v>0</v>
          </cell>
        </row>
        <row r="3365">
          <cell r="BY3365">
            <v>0</v>
          </cell>
          <cell r="BZ3365">
            <v>0</v>
          </cell>
          <cell r="CA3365">
            <v>0</v>
          </cell>
          <cell r="CB3365">
            <v>0</v>
          </cell>
          <cell r="CC3365">
            <v>0</v>
          </cell>
          <cell r="CD3365">
            <v>0</v>
          </cell>
          <cell r="CE3365">
            <v>0</v>
          </cell>
        </row>
        <row r="3366">
          <cell r="BY3366">
            <v>0</v>
          </cell>
          <cell r="BZ3366">
            <v>0</v>
          </cell>
          <cell r="CA3366">
            <v>0</v>
          </cell>
          <cell r="CB3366">
            <v>0</v>
          </cell>
          <cell r="CC3366">
            <v>0</v>
          </cell>
          <cell r="CD3366">
            <v>0</v>
          </cell>
          <cell r="CE3366">
            <v>0</v>
          </cell>
        </row>
        <row r="3367">
          <cell r="BY3367">
            <v>0</v>
          </cell>
          <cell r="BZ3367">
            <v>0</v>
          </cell>
          <cell r="CA3367">
            <v>0</v>
          </cell>
          <cell r="CB3367">
            <v>0</v>
          </cell>
          <cell r="CC3367">
            <v>0</v>
          </cell>
          <cell r="CD3367">
            <v>0</v>
          </cell>
          <cell r="CE3367">
            <v>0</v>
          </cell>
        </row>
        <row r="3368">
          <cell r="BY3368">
            <v>0</v>
          </cell>
          <cell r="BZ3368">
            <v>0</v>
          </cell>
          <cell r="CA3368">
            <v>0</v>
          </cell>
          <cell r="CB3368">
            <v>0</v>
          </cell>
          <cell r="CC3368">
            <v>0</v>
          </cell>
          <cell r="CD3368">
            <v>0</v>
          </cell>
          <cell r="CE3368">
            <v>0</v>
          </cell>
        </row>
        <row r="3369">
          <cell r="BY3369">
            <v>0</v>
          </cell>
          <cell r="BZ3369">
            <v>0</v>
          </cell>
          <cell r="CA3369">
            <v>0</v>
          </cell>
          <cell r="CB3369">
            <v>0</v>
          </cell>
          <cell r="CC3369">
            <v>0</v>
          </cell>
          <cell r="CD3369">
            <v>0</v>
          </cell>
          <cell r="CE3369">
            <v>0</v>
          </cell>
        </row>
        <row r="3370">
          <cell r="BY3370">
            <v>0</v>
          </cell>
          <cell r="BZ3370">
            <v>0</v>
          </cell>
          <cell r="CA3370">
            <v>0</v>
          </cell>
          <cell r="CB3370">
            <v>0</v>
          </cell>
          <cell r="CC3370">
            <v>0</v>
          </cell>
          <cell r="CD3370">
            <v>0</v>
          </cell>
          <cell r="CE3370">
            <v>0</v>
          </cell>
        </row>
        <row r="3371">
          <cell r="BY3371">
            <v>0</v>
          </cell>
          <cell r="BZ3371">
            <v>0</v>
          </cell>
          <cell r="CA3371">
            <v>0</v>
          </cell>
          <cell r="CB3371">
            <v>0</v>
          </cell>
          <cell r="CC3371">
            <v>0</v>
          </cell>
          <cell r="CD3371">
            <v>0</v>
          </cell>
          <cell r="CE3371">
            <v>0</v>
          </cell>
        </row>
        <row r="3372">
          <cell r="BY3372">
            <v>0</v>
          </cell>
          <cell r="BZ3372">
            <v>0</v>
          </cell>
          <cell r="CA3372">
            <v>0</v>
          </cell>
          <cell r="CB3372">
            <v>0</v>
          </cell>
          <cell r="CC3372">
            <v>0</v>
          </cell>
          <cell r="CD3372">
            <v>0</v>
          </cell>
          <cell r="CE3372">
            <v>0</v>
          </cell>
        </row>
        <row r="3373">
          <cell r="BY3373">
            <v>0</v>
          </cell>
          <cell r="BZ3373">
            <v>0</v>
          </cell>
          <cell r="CA3373">
            <v>0</v>
          </cell>
          <cell r="CB3373">
            <v>0</v>
          </cell>
          <cell r="CC3373">
            <v>0</v>
          </cell>
          <cell r="CD3373">
            <v>0</v>
          </cell>
          <cell r="CE3373">
            <v>0</v>
          </cell>
        </row>
        <row r="3374">
          <cell r="BY3374">
            <v>0</v>
          </cell>
          <cell r="BZ3374">
            <v>0</v>
          </cell>
          <cell r="CA3374">
            <v>0</v>
          </cell>
          <cell r="CB3374">
            <v>0</v>
          </cell>
          <cell r="CC3374">
            <v>0</v>
          </cell>
          <cell r="CD3374">
            <v>0</v>
          </cell>
          <cell r="CE3374">
            <v>0</v>
          </cell>
        </row>
        <row r="3375">
          <cell r="BY3375">
            <v>0</v>
          </cell>
          <cell r="BZ3375">
            <v>0</v>
          </cell>
          <cell r="CA3375">
            <v>0</v>
          </cell>
          <cell r="CB3375">
            <v>0</v>
          </cell>
          <cell r="CC3375">
            <v>0</v>
          </cell>
          <cell r="CD3375">
            <v>0</v>
          </cell>
          <cell r="CE3375">
            <v>0</v>
          </cell>
        </row>
        <row r="3376">
          <cell r="BY3376">
            <v>0</v>
          </cell>
          <cell r="BZ3376">
            <v>0</v>
          </cell>
          <cell r="CA3376">
            <v>0</v>
          </cell>
          <cell r="CB3376">
            <v>0</v>
          </cell>
          <cell r="CC3376">
            <v>0</v>
          </cell>
          <cell r="CD3376">
            <v>0</v>
          </cell>
          <cell r="CE3376">
            <v>0</v>
          </cell>
        </row>
        <row r="3377">
          <cell r="BY3377">
            <v>0</v>
          </cell>
          <cell r="BZ3377">
            <v>0</v>
          </cell>
          <cell r="CA3377">
            <v>0</v>
          </cell>
          <cell r="CB3377">
            <v>0</v>
          </cell>
          <cell r="CC3377">
            <v>0</v>
          </cell>
          <cell r="CD3377">
            <v>0</v>
          </cell>
          <cell r="CE3377">
            <v>0</v>
          </cell>
        </row>
        <row r="3378">
          <cell r="BY3378">
            <v>0</v>
          </cell>
          <cell r="BZ3378">
            <v>0</v>
          </cell>
          <cell r="CA3378">
            <v>0</v>
          </cell>
          <cell r="CB3378">
            <v>0</v>
          </cell>
          <cell r="CC3378">
            <v>0</v>
          </cell>
          <cell r="CD3378">
            <v>0</v>
          </cell>
          <cell r="CE3378">
            <v>0</v>
          </cell>
        </row>
        <row r="3379">
          <cell r="BY3379">
            <v>0</v>
          </cell>
          <cell r="BZ3379">
            <v>0</v>
          </cell>
          <cell r="CA3379">
            <v>0</v>
          </cell>
          <cell r="CB3379">
            <v>0</v>
          </cell>
          <cell r="CC3379">
            <v>0</v>
          </cell>
          <cell r="CD3379">
            <v>0</v>
          </cell>
          <cell r="CE3379">
            <v>0</v>
          </cell>
        </row>
        <row r="3380">
          <cell r="BY3380">
            <v>0</v>
          </cell>
          <cell r="BZ3380">
            <v>0</v>
          </cell>
          <cell r="CA3380">
            <v>0</v>
          </cell>
          <cell r="CB3380">
            <v>0</v>
          </cell>
          <cell r="CC3380">
            <v>0</v>
          </cell>
          <cell r="CD3380">
            <v>0</v>
          </cell>
          <cell r="CE3380">
            <v>0</v>
          </cell>
        </row>
        <row r="3381">
          <cell r="BY3381">
            <v>0</v>
          </cell>
          <cell r="BZ3381">
            <v>0</v>
          </cell>
          <cell r="CA3381">
            <v>0</v>
          </cell>
          <cell r="CB3381">
            <v>0</v>
          </cell>
          <cell r="CC3381">
            <v>0</v>
          </cell>
          <cell r="CD3381">
            <v>0</v>
          </cell>
          <cell r="CE3381">
            <v>0</v>
          </cell>
        </row>
        <row r="3382">
          <cell r="BY3382">
            <v>0</v>
          </cell>
          <cell r="BZ3382">
            <v>0</v>
          </cell>
          <cell r="CA3382">
            <v>0</v>
          </cell>
          <cell r="CB3382">
            <v>0</v>
          </cell>
          <cell r="CC3382">
            <v>0</v>
          </cell>
          <cell r="CD3382">
            <v>0</v>
          </cell>
          <cell r="CE3382">
            <v>0</v>
          </cell>
        </row>
        <row r="3383">
          <cell r="BY3383">
            <v>0</v>
          </cell>
          <cell r="BZ3383">
            <v>0</v>
          </cell>
          <cell r="CA3383">
            <v>0</v>
          </cell>
          <cell r="CB3383">
            <v>0</v>
          </cell>
          <cell r="CC3383">
            <v>0</v>
          </cell>
          <cell r="CD3383">
            <v>0</v>
          </cell>
          <cell r="CE3383">
            <v>0</v>
          </cell>
        </row>
        <row r="3384">
          <cell r="BY3384">
            <v>0</v>
          </cell>
          <cell r="BZ3384">
            <v>0</v>
          </cell>
          <cell r="CA3384">
            <v>0</v>
          </cell>
          <cell r="CB3384">
            <v>0</v>
          </cell>
          <cell r="CC3384">
            <v>0</v>
          </cell>
          <cell r="CD3384">
            <v>0</v>
          </cell>
          <cell r="CE3384">
            <v>0</v>
          </cell>
        </row>
        <row r="3385">
          <cell r="BY3385">
            <v>0</v>
          </cell>
          <cell r="BZ3385">
            <v>0</v>
          </cell>
          <cell r="CA3385">
            <v>0</v>
          </cell>
          <cell r="CB3385">
            <v>0</v>
          </cell>
          <cell r="CC3385">
            <v>0</v>
          </cell>
          <cell r="CD3385">
            <v>0</v>
          </cell>
          <cell r="CE3385">
            <v>0</v>
          </cell>
        </row>
        <row r="3386">
          <cell r="BY3386">
            <v>0</v>
          </cell>
          <cell r="BZ3386">
            <v>0</v>
          </cell>
          <cell r="CA3386">
            <v>0</v>
          </cell>
          <cell r="CB3386">
            <v>0</v>
          </cell>
          <cell r="CC3386">
            <v>0</v>
          </cell>
          <cell r="CD3386">
            <v>0</v>
          </cell>
          <cell r="CE3386">
            <v>0</v>
          </cell>
        </row>
        <row r="3387">
          <cell r="BY3387">
            <v>0</v>
          </cell>
          <cell r="BZ3387">
            <v>0</v>
          </cell>
          <cell r="CA3387">
            <v>0</v>
          </cell>
          <cell r="CB3387">
            <v>0</v>
          </cell>
          <cell r="CC3387">
            <v>0</v>
          </cell>
          <cell r="CD3387">
            <v>0</v>
          </cell>
          <cell r="CE3387">
            <v>0</v>
          </cell>
        </row>
        <row r="3388">
          <cell r="BY3388">
            <v>0</v>
          </cell>
          <cell r="BZ3388">
            <v>0</v>
          </cell>
          <cell r="CA3388">
            <v>0</v>
          </cell>
          <cell r="CB3388">
            <v>0</v>
          </cell>
          <cell r="CC3388">
            <v>0</v>
          </cell>
          <cell r="CD3388">
            <v>0</v>
          </cell>
          <cell r="CE3388">
            <v>0</v>
          </cell>
        </row>
        <row r="3389">
          <cell r="BY3389">
            <v>0</v>
          </cell>
          <cell r="BZ3389">
            <v>0</v>
          </cell>
          <cell r="CA3389">
            <v>0</v>
          </cell>
          <cell r="CB3389">
            <v>0</v>
          </cell>
          <cell r="CC3389">
            <v>0</v>
          </cell>
          <cell r="CD3389">
            <v>0</v>
          </cell>
          <cell r="CE3389">
            <v>0</v>
          </cell>
        </row>
        <row r="3390">
          <cell r="BY3390">
            <v>0</v>
          </cell>
          <cell r="BZ3390">
            <v>0</v>
          </cell>
          <cell r="CA3390">
            <v>0</v>
          </cell>
          <cell r="CB3390">
            <v>0</v>
          </cell>
          <cell r="CC3390">
            <v>0</v>
          </cell>
          <cell r="CD3390">
            <v>0</v>
          </cell>
          <cell r="CE3390">
            <v>0</v>
          </cell>
        </row>
        <row r="3391">
          <cell r="BY3391">
            <v>0</v>
          </cell>
          <cell r="BZ3391">
            <v>0</v>
          </cell>
          <cell r="CA3391">
            <v>0</v>
          </cell>
          <cell r="CB3391">
            <v>0</v>
          </cell>
          <cell r="CC3391">
            <v>0</v>
          </cell>
          <cell r="CD3391">
            <v>0</v>
          </cell>
          <cell r="CE3391">
            <v>0</v>
          </cell>
        </row>
        <row r="3392">
          <cell r="BY3392">
            <v>0</v>
          </cell>
          <cell r="BZ3392">
            <v>0</v>
          </cell>
          <cell r="CA3392">
            <v>0</v>
          </cell>
          <cell r="CB3392">
            <v>0</v>
          </cell>
          <cell r="CC3392">
            <v>0</v>
          </cell>
          <cell r="CD3392">
            <v>0</v>
          </cell>
          <cell r="CE3392">
            <v>0</v>
          </cell>
        </row>
        <row r="3393">
          <cell r="BY3393">
            <v>0</v>
          </cell>
          <cell r="BZ3393">
            <v>0</v>
          </cell>
          <cell r="CA3393">
            <v>0</v>
          </cell>
          <cell r="CB3393">
            <v>0</v>
          </cell>
          <cell r="CC3393">
            <v>0</v>
          </cell>
          <cell r="CD3393">
            <v>0</v>
          </cell>
          <cell r="CE3393">
            <v>0</v>
          </cell>
        </row>
        <row r="3394">
          <cell r="BY3394">
            <v>0</v>
          </cell>
          <cell r="BZ3394">
            <v>0</v>
          </cell>
          <cell r="CA3394">
            <v>0</v>
          </cell>
          <cell r="CB3394">
            <v>0</v>
          </cell>
          <cell r="CC3394">
            <v>0</v>
          </cell>
          <cell r="CD3394">
            <v>0</v>
          </cell>
          <cell r="CE3394">
            <v>0</v>
          </cell>
        </row>
        <row r="3395">
          <cell r="BY3395">
            <v>0</v>
          </cell>
          <cell r="BZ3395">
            <v>0</v>
          </cell>
          <cell r="CA3395">
            <v>0</v>
          </cell>
          <cell r="CB3395">
            <v>0</v>
          </cell>
          <cell r="CC3395">
            <v>0</v>
          </cell>
          <cell r="CD3395">
            <v>0</v>
          </cell>
          <cell r="CE3395">
            <v>0</v>
          </cell>
        </row>
        <row r="3396">
          <cell r="BY3396">
            <v>0</v>
          </cell>
          <cell r="BZ3396">
            <v>0</v>
          </cell>
          <cell r="CA3396">
            <v>0</v>
          </cell>
          <cell r="CB3396">
            <v>0</v>
          </cell>
          <cell r="CC3396">
            <v>0</v>
          </cell>
          <cell r="CD3396">
            <v>0</v>
          </cell>
          <cell r="CE3396">
            <v>0</v>
          </cell>
        </row>
        <row r="3397">
          <cell r="BY3397">
            <v>0</v>
          </cell>
          <cell r="BZ3397">
            <v>0</v>
          </cell>
          <cell r="CA3397">
            <v>0</v>
          </cell>
          <cell r="CB3397">
            <v>0</v>
          </cell>
          <cell r="CC3397">
            <v>0</v>
          </cell>
          <cell r="CD3397">
            <v>0</v>
          </cell>
          <cell r="CE3397">
            <v>0</v>
          </cell>
        </row>
        <row r="3398">
          <cell r="BY3398">
            <v>0</v>
          </cell>
          <cell r="BZ3398">
            <v>0</v>
          </cell>
          <cell r="CA3398">
            <v>0</v>
          </cell>
          <cell r="CB3398">
            <v>0</v>
          </cell>
          <cell r="CC3398">
            <v>0</v>
          </cell>
          <cell r="CD3398">
            <v>0</v>
          </cell>
          <cell r="CE3398">
            <v>0</v>
          </cell>
        </row>
        <row r="3399">
          <cell r="BY3399">
            <v>0</v>
          </cell>
          <cell r="BZ3399">
            <v>0</v>
          </cell>
          <cell r="CA3399">
            <v>0</v>
          </cell>
          <cell r="CB3399">
            <v>0</v>
          </cell>
          <cell r="CC3399">
            <v>0</v>
          </cell>
          <cell r="CD3399">
            <v>0</v>
          </cell>
          <cell r="CE3399">
            <v>0</v>
          </cell>
        </row>
        <row r="3400">
          <cell r="BY3400">
            <v>0</v>
          </cell>
          <cell r="BZ3400">
            <v>0</v>
          </cell>
          <cell r="CA3400">
            <v>0</v>
          </cell>
          <cell r="CB3400">
            <v>0</v>
          </cell>
          <cell r="CC3400">
            <v>0</v>
          </cell>
          <cell r="CD3400">
            <v>0</v>
          </cell>
          <cell r="CE3400">
            <v>0</v>
          </cell>
        </row>
        <row r="3401">
          <cell r="BY3401">
            <v>0</v>
          </cell>
          <cell r="BZ3401">
            <v>0</v>
          </cell>
          <cell r="CA3401">
            <v>0</v>
          </cell>
          <cell r="CB3401">
            <v>0</v>
          </cell>
          <cell r="CC3401">
            <v>0</v>
          </cell>
          <cell r="CD3401">
            <v>0</v>
          </cell>
          <cell r="CE3401">
            <v>0</v>
          </cell>
        </row>
        <row r="3402">
          <cell r="BY3402">
            <v>0</v>
          </cell>
          <cell r="BZ3402">
            <v>0</v>
          </cell>
          <cell r="CA3402">
            <v>0</v>
          </cell>
          <cell r="CB3402">
            <v>0</v>
          </cell>
          <cell r="CC3402">
            <v>0</v>
          </cell>
          <cell r="CD3402">
            <v>0</v>
          </cell>
          <cell r="CE3402">
            <v>0</v>
          </cell>
        </row>
        <row r="3403">
          <cell r="BY3403">
            <v>0</v>
          </cell>
          <cell r="BZ3403">
            <v>0</v>
          </cell>
          <cell r="CA3403">
            <v>0</v>
          </cell>
          <cell r="CB3403">
            <v>0</v>
          </cell>
          <cell r="CC3403">
            <v>0</v>
          </cell>
          <cell r="CD3403">
            <v>0</v>
          </cell>
          <cell r="CE3403">
            <v>0</v>
          </cell>
        </row>
        <row r="3404">
          <cell r="BY3404">
            <v>0</v>
          </cell>
          <cell r="BZ3404">
            <v>0</v>
          </cell>
          <cell r="CA3404">
            <v>0</v>
          </cell>
          <cell r="CB3404">
            <v>0</v>
          </cell>
          <cell r="CC3404">
            <v>0</v>
          </cell>
          <cell r="CD3404">
            <v>0</v>
          </cell>
          <cell r="CE3404">
            <v>0</v>
          </cell>
        </row>
        <row r="3405">
          <cell r="BY3405">
            <v>0</v>
          </cell>
          <cell r="BZ3405">
            <v>0</v>
          </cell>
          <cell r="CA3405">
            <v>0</v>
          </cell>
          <cell r="CB3405">
            <v>0</v>
          </cell>
          <cell r="CC3405">
            <v>0</v>
          </cell>
          <cell r="CD3405">
            <v>0</v>
          </cell>
          <cell r="CE3405">
            <v>0</v>
          </cell>
        </row>
        <row r="3406">
          <cell r="BY3406">
            <v>0</v>
          </cell>
          <cell r="BZ3406">
            <v>0</v>
          </cell>
          <cell r="CA3406">
            <v>0</v>
          </cell>
          <cell r="CB3406">
            <v>0</v>
          </cell>
          <cell r="CC3406">
            <v>0</v>
          </cell>
          <cell r="CD3406">
            <v>0</v>
          </cell>
          <cell r="CE3406">
            <v>0</v>
          </cell>
        </row>
        <row r="3407">
          <cell r="BY3407">
            <v>0</v>
          </cell>
          <cell r="BZ3407">
            <v>0</v>
          </cell>
          <cell r="CA3407">
            <v>0</v>
          </cell>
          <cell r="CB3407">
            <v>0</v>
          </cell>
          <cell r="CC3407">
            <v>0</v>
          </cell>
          <cell r="CD3407">
            <v>0</v>
          </cell>
          <cell r="CE3407">
            <v>0</v>
          </cell>
        </row>
        <row r="3408">
          <cell r="BY3408">
            <v>0</v>
          </cell>
          <cell r="BZ3408">
            <v>0</v>
          </cell>
          <cell r="CA3408">
            <v>0</v>
          </cell>
          <cell r="CB3408">
            <v>0</v>
          </cell>
          <cell r="CC3408">
            <v>0</v>
          </cell>
          <cell r="CD3408">
            <v>0</v>
          </cell>
          <cell r="CE3408">
            <v>0</v>
          </cell>
        </row>
        <row r="3409">
          <cell r="BY3409">
            <v>0</v>
          </cell>
          <cell r="BZ3409">
            <v>0</v>
          </cell>
          <cell r="CA3409">
            <v>0</v>
          </cell>
          <cell r="CB3409">
            <v>0</v>
          </cell>
          <cell r="CC3409">
            <v>0</v>
          </cell>
          <cell r="CD3409">
            <v>0</v>
          </cell>
          <cell r="CE3409">
            <v>0</v>
          </cell>
        </row>
        <row r="3410">
          <cell r="BY3410">
            <v>0</v>
          </cell>
          <cell r="BZ3410">
            <v>0</v>
          </cell>
          <cell r="CA3410">
            <v>0</v>
          </cell>
          <cell r="CB3410">
            <v>0</v>
          </cell>
          <cell r="CC3410">
            <v>0</v>
          </cell>
          <cell r="CD3410">
            <v>0</v>
          </cell>
          <cell r="CE3410">
            <v>0</v>
          </cell>
        </row>
        <row r="3411">
          <cell r="BY3411">
            <v>0</v>
          </cell>
          <cell r="BZ3411">
            <v>0</v>
          </cell>
          <cell r="CA3411">
            <v>0</v>
          </cell>
          <cell r="CB3411">
            <v>0</v>
          </cell>
          <cell r="CC3411">
            <v>0</v>
          </cell>
          <cell r="CD3411">
            <v>0</v>
          </cell>
          <cell r="CE3411">
            <v>0</v>
          </cell>
        </row>
        <row r="3412">
          <cell r="BY3412">
            <v>0</v>
          </cell>
          <cell r="BZ3412">
            <v>0</v>
          </cell>
          <cell r="CA3412">
            <v>0</v>
          </cell>
          <cell r="CB3412">
            <v>0</v>
          </cell>
          <cell r="CC3412">
            <v>0</v>
          </cell>
          <cell r="CD3412">
            <v>0</v>
          </cell>
          <cell r="CE3412">
            <v>0</v>
          </cell>
        </row>
        <row r="3413">
          <cell r="BY3413">
            <v>0</v>
          </cell>
          <cell r="BZ3413">
            <v>0</v>
          </cell>
          <cell r="CA3413">
            <v>0</v>
          </cell>
          <cell r="CB3413">
            <v>0</v>
          </cell>
          <cell r="CC3413">
            <v>0</v>
          </cell>
          <cell r="CD3413">
            <v>0</v>
          </cell>
          <cell r="CE3413">
            <v>0</v>
          </cell>
        </row>
        <row r="3414">
          <cell r="BY3414">
            <v>0</v>
          </cell>
          <cell r="BZ3414">
            <v>0</v>
          </cell>
          <cell r="CA3414">
            <v>0</v>
          </cell>
          <cell r="CB3414">
            <v>0</v>
          </cell>
          <cell r="CC3414">
            <v>0</v>
          </cell>
          <cell r="CD3414">
            <v>0</v>
          </cell>
          <cell r="CE3414">
            <v>0</v>
          </cell>
        </row>
        <row r="3415">
          <cell r="BY3415">
            <v>0</v>
          </cell>
          <cell r="BZ3415">
            <v>0</v>
          </cell>
          <cell r="CA3415">
            <v>0</v>
          </cell>
          <cell r="CB3415">
            <v>0</v>
          </cell>
          <cell r="CC3415">
            <v>0</v>
          </cell>
          <cell r="CD3415">
            <v>0</v>
          </cell>
          <cell r="CE3415">
            <v>0</v>
          </cell>
        </row>
        <row r="3416">
          <cell r="BY3416">
            <v>0</v>
          </cell>
          <cell r="BZ3416">
            <v>0</v>
          </cell>
          <cell r="CA3416">
            <v>0</v>
          </cell>
          <cell r="CB3416">
            <v>0</v>
          </cell>
          <cell r="CC3416">
            <v>0</v>
          </cell>
          <cell r="CD3416">
            <v>0</v>
          </cell>
          <cell r="CE3416">
            <v>0</v>
          </cell>
        </row>
        <row r="3417">
          <cell r="BY3417">
            <v>0</v>
          </cell>
          <cell r="BZ3417">
            <v>0</v>
          </cell>
          <cell r="CA3417">
            <v>0</v>
          </cell>
          <cell r="CB3417">
            <v>0</v>
          </cell>
          <cell r="CC3417">
            <v>0</v>
          </cell>
          <cell r="CD3417">
            <v>0</v>
          </cell>
          <cell r="CE3417">
            <v>0</v>
          </cell>
        </row>
        <row r="3418">
          <cell r="BY3418">
            <v>0</v>
          </cell>
          <cell r="BZ3418">
            <v>0</v>
          </cell>
          <cell r="CA3418">
            <v>0</v>
          </cell>
          <cell r="CB3418">
            <v>0</v>
          </cell>
          <cell r="CC3418">
            <v>0</v>
          </cell>
          <cell r="CD3418">
            <v>0</v>
          </cell>
          <cell r="CE3418">
            <v>0</v>
          </cell>
        </row>
        <row r="3419">
          <cell r="BY3419">
            <v>0</v>
          </cell>
          <cell r="BZ3419">
            <v>0</v>
          </cell>
          <cell r="CA3419">
            <v>0</v>
          </cell>
          <cell r="CB3419">
            <v>0</v>
          </cell>
          <cell r="CC3419">
            <v>0</v>
          </cell>
          <cell r="CD3419">
            <v>0</v>
          </cell>
          <cell r="CE3419">
            <v>0</v>
          </cell>
        </row>
        <row r="3420">
          <cell r="BY3420">
            <v>0</v>
          </cell>
          <cell r="BZ3420">
            <v>0</v>
          </cell>
          <cell r="CA3420">
            <v>0</v>
          </cell>
          <cell r="CB3420">
            <v>0</v>
          </cell>
          <cell r="CC3420">
            <v>0</v>
          </cell>
          <cell r="CD3420">
            <v>0</v>
          </cell>
          <cell r="CE3420">
            <v>0</v>
          </cell>
        </row>
        <row r="3421">
          <cell r="BY3421">
            <v>0</v>
          </cell>
          <cell r="BZ3421">
            <v>0</v>
          </cell>
          <cell r="CA3421">
            <v>0</v>
          </cell>
          <cell r="CB3421">
            <v>0</v>
          </cell>
          <cell r="CC3421">
            <v>0</v>
          </cell>
          <cell r="CD3421">
            <v>0</v>
          </cell>
          <cell r="CE3421">
            <v>0</v>
          </cell>
        </row>
        <row r="3422">
          <cell r="BY3422">
            <v>0</v>
          </cell>
          <cell r="BZ3422">
            <v>0</v>
          </cell>
          <cell r="CA3422">
            <v>0</v>
          </cell>
          <cell r="CB3422">
            <v>0</v>
          </cell>
          <cell r="CC3422">
            <v>0</v>
          </cell>
          <cell r="CD3422">
            <v>0</v>
          </cell>
          <cell r="CE3422">
            <v>0</v>
          </cell>
        </row>
        <row r="3423">
          <cell r="BY3423">
            <v>0</v>
          </cell>
          <cell r="BZ3423">
            <v>0</v>
          </cell>
          <cell r="CA3423">
            <v>0</v>
          </cell>
          <cell r="CB3423">
            <v>0</v>
          </cell>
          <cell r="CC3423">
            <v>0</v>
          </cell>
          <cell r="CD3423">
            <v>0</v>
          </cell>
          <cell r="CE3423">
            <v>0</v>
          </cell>
        </row>
        <row r="3424">
          <cell r="BY3424">
            <v>0</v>
          </cell>
          <cell r="BZ3424">
            <v>0</v>
          </cell>
          <cell r="CA3424">
            <v>0</v>
          </cell>
          <cell r="CB3424">
            <v>0</v>
          </cell>
          <cell r="CC3424">
            <v>0</v>
          </cell>
          <cell r="CD3424">
            <v>0</v>
          </cell>
          <cell r="CE3424">
            <v>0</v>
          </cell>
        </row>
        <row r="3425">
          <cell r="BY3425">
            <v>0</v>
          </cell>
          <cell r="BZ3425">
            <v>0</v>
          </cell>
          <cell r="CA3425">
            <v>0</v>
          </cell>
          <cell r="CB3425">
            <v>0</v>
          </cell>
          <cell r="CC3425">
            <v>0</v>
          </cell>
          <cell r="CD3425">
            <v>0</v>
          </cell>
          <cell r="CE3425">
            <v>0</v>
          </cell>
        </row>
        <row r="3426">
          <cell r="BY3426">
            <v>0</v>
          </cell>
          <cell r="BZ3426">
            <v>0</v>
          </cell>
          <cell r="CA3426">
            <v>0</v>
          </cell>
          <cell r="CB3426">
            <v>0</v>
          </cell>
          <cell r="CC3426">
            <v>0</v>
          </cell>
          <cell r="CD3426">
            <v>0</v>
          </cell>
          <cell r="CE3426">
            <v>0</v>
          </cell>
        </row>
        <row r="3427">
          <cell r="BY3427">
            <v>0</v>
          </cell>
          <cell r="BZ3427">
            <v>0</v>
          </cell>
          <cell r="CA3427">
            <v>0</v>
          </cell>
          <cell r="CB3427">
            <v>0</v>
          </cell>
          <cell r="CC3427">
            <v>0</v>
          </cell>
          <cell r="CD3427">
            <v>0</v>
          </cell>
          <cell r="CE3427">
            <v>0</v>
          </cell>
        </row>
        <row r="3428">
          <cell r="BY3428">
            <v>0</v>
          </cell>
          <cell r="BZ3428">
            <v>0</v>
          </cell>
          <cell r="CA3428">
            <v>0</v>
          </cell>
          <cell r="CB3428">
            <v>0</v>
          </cell>
          <cell r="CC3428">
            <v>0</v>
          </cell>
          <cell r="CD3428">
            <v>0</v>
          </cell>
          <cell r="CE3428">
            <v>0</v>
          </cell>
        </row>
        <row r="3429">
          <cell r="BY3429">
            <v>0</v>
          </cell>
          <cell r="BZ3429">
            <v>0</v>
          </cell>
          <cell r="CA3429">
            <v>0</v>
          </cell>
          <cell r="CB3429">
            <v>0</v>
          </cell>
          <cell r="CC3429">
            <v>0</v>
          </cell>
          <cell r="CD3429">
            <v>0</v>
          </cell>
          <cell r="CE3429">
            <v>0</v>
          </cell>
        </row>
        <row r="3430">
          <cell r="BY3430">
            <v>0</v>
          </cell>
          <cell r="BZ3430">
            <v>0</v>
          </cell>
          <cell r="CA3430">
            <v>0</v>
          </cell>
          <cell r="CB3430">
            <v>0</v>
          </cell>
          <cell r="CC3430">
            <v>0</v>
          </cell>
          <cell r="CD3430">
            <v>0</v>
          </cell>
          <cell r="CE3430">
            <v>0</v>
          </cell>
        </row>
        <row r="3431">
          <cell r="BY3431">
            <v>0</v>
          </cell>
          <cell r="BZ3431">
            <v>0</v>
          </cell>
          <cell r="CA3431">
            <v>0</v>
          </cell>
          <cell r="CB3431">
            <v>0</v>
          </cell>
          <cell r="CC3431">
            <v>0</v>
          </cell>
          <cell r="CD3431">
            <v>0</v>
          </cell>
          <cell r="CE3431">
            <v>0</v>
          </cell>
        </row>
        <row r="3432">
          <cell r="BY3432">
            <v>0</v>
          </cell>
          <cell r="BZ3432">
            <v>0</v>
          </cell>
          <cell r="CA3432">
            <v>0</v>
          </cell>
          <cell r="CB3432">
            <v>0</v>
          </cell>
          <cell r="CC3432">
            <v>0</v>
          </cell>
          <cell r="CD3432">
            <v>0</v>
          </cell>
          <cell r="CE3432">
            <v>0</v>
          </cell>
        </row>
        <row r="3433">
          <cell r="BY3433">
            <v>0</v>
          </cell>
          <cell r="BZ3433">
            <v>0</v>
          </cell>
          <cell r="CA3433">
            <v>0</v>
          </cell>
          <cell r="CB3433">
            <v>0</v>
          </cell>
          <cell r="CC3433">
            <v>0</v>
          </cell>
          <cell r="CD3433">
            <v>0</v>
          </cell>
          <cell r="CE3433">
            <v>0</v>
          </cell>
        </row>
        <row r="3434">
          <cell r="BY3434">
            <v>0</v>
          </cell>
          <cell r="BZ3434">
            <v>0</v>
          </cell>
          <cell r="CA3434">
            <v>0</v>
          </cell>
          <cell r="CB3434">
            <v>0</v>
          </cell>
          <cell r="CC3434">
            <v>0</v>
          </cell>
          <cell r="CD3434">
            <v>0</v>
          </cell>
          <cell r="CE3434">
            <v>0</v>
          </cell>
        </row>
        <row r="3435">
          <cell r="BY3435">
            <v>0</v>
          </cell>
          <cell r="BZ3435">
            <v>0</v>
          </cell>
          <cell r="CA3435">
            <v>0</v>
          </cell>
          <cell r="CB3435">
            <v>0</v>
          </cell>
          <cell r="CC3435">
            <v>0</v>
          </cell>
          <cell r="CD3435">
            <v>0</v>
          </cell>
          <cell r="CE3435">
            <v>0</v>
          </cell>
        </row>
        <row r="3436">
          <cell r="BY3436">
            <v>0</v>
          </cell>
          <cell r="BZ3436">
            <v>0</v>
          </cell>
          <cell r="CA3436">
            <v>0</v>
          </cell>
          <cell r="CB3436">
            <v>0</v>
          </cell>
          <cell r="CC3436">
            <v>0</v>
          </cell>
          <cell r="CD3436">
            <v>0</v>
          </cell>
          <cell r="CE3436">
            <v>0</v>
          </cell>
        </row>
        <row r="3437">
          <cell r="BY3437">
            <v>0</v>
          </cell>
          <cell r="BZ3437">
            <v>0</v>
          </cell>
          <cell r="CA3437">
            <v>0</v>
          </cell>
          <cell r="CB3437">
            <v>0</v>
          </cell>
          <cell r="CC3437">
            <v>0</v>
          </cell>
          <cell r="CD3437">
            <v>0</v>
          </cell>
          <cell r="CE3437">
            <v>0</v>
          </cell>
        </row>
        <row r="3438">
          <cell r="BY3438">
            <v>0</v>
          </cell>
          <cell r="BZ3438">
            <v>0</v>
          </cell>
          <cell r="CA3438">
            <v>0</v>
          </cell>
          <cell r="CB3438">
            <v>0</v>
          </cell>
          <cell r="CC3438">
            <v>0</v>
          </cell>
          <cell r="CD3438">
            <v>0</v>
          </cell>
          <cell r="CE3438">
            <v>0</v>
          </cell>
        </row>
        <row r="3439">
          <cell r="BY3439">
            <v>0</v>
          </cell>
          <cell r="BZ3439">
            <v>0</v>
          </cell>
          <cell r="CA3439">
            <v>0</v>
          </cell>
          <cell r="CB3439">
            <v>0</v>
          </cell>
          <cell r="CC3439">
            <v>0</v>
          </cell>
          <cell r="CD3439">
            <v>0</v>
          </cell>
          <cell r="CE3439">
            <v>0</v>
          </cell>
        </row>
        <row r="3440">
          <cell r="BY3440">
            <v>0</v>
          </cell>
          <cell r="BZ3440">
            <v>0</v>
          </cell>
          <cell r="CA3440">
            <v>0</v>
          </cell>
          <cell r="CB3440">
            <v>0</v>
          </cell>
          <cell r="CC3440">
            <v>0</v>
          </cell>
          <cell r="CD3440">
            <v>0</v>
          </cell>
          <cell r="CE3440">
            <v>0</v>
          </cell>
        </row>
        <row r="3441">
          <cell r="BY3441">
            <v>0</v>
          </cell>
          <cell r="BZ3441">
            <v>0</v>
          </cell>
          <cell r="CA3441">
            <v>0</v>
          </cell>
          <cell r="CB3441">
            <v>0</v>
          </cell>
          <cell r="CC3441">
            <v>0</v>
          </cell>
          <cell r="CD3441">
            <v>0</v>
          </cell>
          <cell r="CE3441">
            <v>0</v>
          </cell>
        </row>
        <row r="3442">
          <cell r="BY3442">
            <v>0</v>
          </cell>
          <cell r="BZ3442">
            <v>0</v>
          </cell>
          <cell r="CA3442">
            <v>0</v>
          </cell>
          <cell r="CB3442">
            <v>0</v>
          </cell>
          <cell r="CC3442">
            <v>0</v>
          </cell>
          <cell r="CD3442">
            <v>0</v>
          </cell>
          <cell r="CE3442">
            <v>0</v>
          </cell>
        </row>
        <row r="3443">
          <cell r="BY3443">
            <v>0</v>
          </cell>
          <cell r="BZ3443">
            <v>0</v>
          </cell>
          <cell r="CA3443">
            <v>0</v>
          </cell>
          <cell r="CB3443">
            <v>0</v>
          </cell>
          <cell r="CC3443">
            <v>0</v>
          </cell>
          <cell r="CD3443">
            <v>0</v>
          </cell>
          <cell r="CE3443">
            <v>0</v>
          </cell>
        </row>
        <row r="3444">
          <cell r="BY3444">
            <v>0</v>
          </cell>
          <cell r="BZ3444">
            <v>0</v>
          </cell>
          <cell r="CA3444">
            <v>0</v>
          </cell>
          <cell r="CB3444">
            <v>0</v>
          </cell>
          <cell r="CC3444">
            <v>0</v>
          </cell>
          <cell r="CD3444">
            <v>0</v>
          </cell>
          <cell r="CE3444">
            <v>0</v>
          </cell>
        </row>
        <row r="3445">
          <cell r="BY3445">
            <v>0</v>
          </cell>
          <cell r="BZ3445">
            <v>0</v>
          </cell>
          <cell r="CA3445">
            <v>0</v>
          </cell>
          <cell r="CB3445">
            <v>0</v>
          </cell>
          <cell r="CC3445">
            <v>0</v>
          </cell>
          <cell r="CD3445">
            <v>0</v>
          </cell>
          <cell r="CE3445">
            <v>0</v>
          </cell>
        </row>
        <row r="3446">
          <cell r="BY3446">
            <v>0</v>
          </cell>
          <cell r="BZ3446">
            <v>0</v>
          </cell>
          <cell r="CA3446">
            <v>0</v>
          </cell>
          <cell r="CB3446">
            <v>0</v>
          </cell>
          <cell r="CC3446">
            <v>0</v>
          </cell>
          <cell r="CD3446">
            <v>0</v>
          </cell>
          <cell r="CE3446">
            <v>0</v>
          </cell>
        </row>
        <row r="3447">
          <cell r="BY3447">
            <v>0</v>
          </cell>
          <cell r="BZ3447">
            <v>0</v>
          </cell>
          <cell r="CA3447">
            <v>0</v>
          </cell>
          <cell r="CB3447">
            <v>0</v>
          </cell>
          <cell r="CC3447">
            <v>0</v>
          </cell>
          <cell r="CD3447">
            <v>0</v>
          </cell>
          <cell r="CE3447">
            <v>0</v>
          </cell>
        </row>
        <row r="3448">
          <cell r="BY3448">
            <v>0</v>
          </cell>
          <cell r="BZ3448">
            <v>0</v>
          </cell>
          <cell r="CA3448">
            <v>0</v>
          </cell>
          <cell r="CB3448">
            <v>0</v>
          </cell>
          <cell r="CC3448">
            <v>0</v>
          </cell>
          <cell r="CD3448">
            <v>0</v>
          </cell>
          <cell r="CE3448">
            <v>0</v>
          </cell>
        </row>
        <row r="3449">
          <cell r="BY3449">
            <v>0</v>
          </cell>
          <cell r="BZ3449">
            <v>0</v>
          </cell>
          <cell r="CA3449">
            <v>0</v>
          </cell>
          <cell r="CB3449">
            <v>0</v>
          </cell>
          <cell r="CC3449">
            <v>0</v>
          </cell>
          <cell r="CD3449">
            <v>0</v>
          </cell>
          <cell r="CE3449">
            <v>0</v>
          </cell>
        </row>
        <row r="3450">
          <cell r="BY3450">
            <v>0</v>
          </cell>
          <cell r="BZ3450">
            <v>0</v>
          </cell>
          <cell r="CA3450">
            <v>0</v>
          </cell>
          <cell r="CB3450">
            <v>0</v>
          </cell>
          <cell r="CC3450">
            <v>0</v>
          </cell>
          <cell r="CD3450">
            <v>0</v>
          </cell>
          <cell r="CE3450">
            <v>0</v>
          </cell>
        </row>
        <row r="3451">
          <cell r="BY3451">
            <v>0</v>
          </cell>
          <cell r="BZ3451">
            <v>0</v>
          </cell>
          <cell r="CA3451">
            <v>0</v>
          </cell>
          <cell r="CB3451">
            <v>0</v>
          </cell>
          <cell r="CC3451">
            <v>0</v>
          </cell>
          <cell r="CD3451">
            <v>0</v>
          </cell>
          <cell r="CE3451">
            <v>0</v>
          </cell>
        </row>
        <row r="3452">
          <cell r="BY3452">
            <v>0</v>
          </cell>
          <cell r="BZ3452">
            <v>0</v>
          </cell>
          <cell r="CA3452">
            <v>0</v>
          </cell>
          <cell r="CB3452">
            <v>0</v>
          </cell>
          <cell r="CC3452">
            <v>0</v>
          </cell>
          <cell r="CD3452">
            <v>0</v>
          </cell>
          <cell r="CE3452">
            <v>0</v>
          </cell>
        </row>
        <row r="3453">
          <cell r="BY3453">
            <v>0</v>
          </cell>
          <cell r="BZ3453">
            <v>0</v>
          </cell>
          <cell r="CA3453">
            <v>0</v>
          </cell>
          <cell r="CB3453">
            <v>0</v>
          </cell>
          <cell r="CC3453">
            <v>0</v>
          </cell>
          <cell r="CD3453">
            <v>0</v>
          </cell>
          <cell r="CE3453">
            <v>0</v>
          </cell>
        </row>
        <row r="3454">
          <cell r="BY3454">
            <v>0</v>
          </cell>
          <cell r="BZ3454">
            <v>0</v>
          </cell>
          <cell r="CA3454">
            <v>0</v>
          </cell>
          <cell r="CB3454">
            <v>0</v>
          </cell>
          <cell r="CC3454">
            <v>0</v>
          </cell>
          <cell r="CD3454">
            <v>0</v>
          </cell>
          <cell r="CE3454">
            <v>0</v>
          </cell>
        </row>
        <row r="3455">
          <cell r="BY3455">
            <v>0</v>
          </cell>
          <cell r="BZ3455">
            <v>0</v>
          </cell>
          <cell r="CA3455">
            <v>0</v>
          </cell>
          <cell r="CB3455">
            <v>0</v>
          </cell>
          <cell r="CC3455">
            <v>0</v>
          </cell>
          <cell r="CD3455">
            <v>0</v>
          </cell>
          <cell r="CE3455">
            <v>0</v>
          </cell>
        </row>
        <row r="3456">
          <cell r="BY3456">
            <v>0</v>
          </cell>
          <cell r="BZ3456">
            <v>0</v>
          </cell>
          <cell r="CA3456">
            <v>0</v>
          </cell>
          <cell r="CB3456">
            <v>0</v>
          </cell>
          <cell r="CC3456">
            <v>0</v>
          </cell>
          <cell r="CD3456">
            <v>0</v>
          </cell>
          <cell r="CE3456">
            <v>0</v>
          </cell>
        </row>
        <row r="3457">
          <cell r="BY3457">
            <v>0</v>
          </cell>
          <cell r="BZ3457">
            <v>0</v>
          </cell>
          <cell r="CA3457">
            <v>0</v>
          </cell>
          <cell r="CB3457">
            <v>0</v>
          </cell>
          <cell r="CC3457">
            <v>0</v>
          </cell>
          <cell r="CD3457">
            <v>0</v>
          </cell>
          <cell r="CE3457">
            <v>0</v>
          </cell>
        </row>
        <row r="3458">
          <cell r="BY3458">
            <v>0</v>
          </cell>
          <cell r="BZ3458">
            <v>0</v>
          </cell>
          <cell r="CA3458">
            <v>0</v>
          </cell>
          <cell r="CB3458">
            <v>0</v>
          </cell>
          <cell r="CC3458">
            <v>0</v>
          </cell>
          <cell r="CD3458">
            <v>0</v>
          </cell>
          <cell r="CE3458">
            <v>0</v>
          </cell>
        </row>
        <row r="3459">
          <cell r="BY3459">
            <v>0</v>
          </cell>
          <cell r="BZ3459">
            <v>0</v>
          </cell>
          <cell r="CA3459">
            <v>0</v>
          </cell>
          <cell r="CB3459">
            <v>0</v>
          </cell>
          <cell r="CC3459">
            <v>0</v>
          </cell>
          <cell r="CD3459">
            <v>0</v>
          </cell>
          <cell r="CE3459">
            <v>0</v>
          </cell>
        </row>
        <row r="3460">
          <cell r="BY3460">
            <v>0</v>
          </cell>
          <cell r="BZ3460">
            <v>0</v>
          </cell>
          <cell r="CA3460">
            <v>0</v>
          </cell>
          <cell r="CB3460">
            <v>0</v>
          </cell>
          <cell r="CC3460">
            <v>0</v>
          </cell>
          <cell r="CD3460">
            <v>0</v>
          </cell>
          <cell r="CE3460">
            <v>0</v>
          </cell>
        </row>
        <row r="3461">
          <cell r="BY3461">
            <v>0</v>
          </cell>
          <cell r="BZ3461">
            <v>0</v>
          </cell>
          <cell r="CA3461">
            <v>0</v>
          </cell>
          <cell r="CB3461">
            <v>0</v>
          </cell>
          <cell r="CC3461">
            <v>0</v>
          </cell>
          <cell r="CD3461">
            <v>0</v>
          </cell>
          <cell r="CE3461">
            <v>0</v>
          </cell>
        </row>
        <row r="3462">
          <cell r="BY3462">
            <v>0</v>
          </cell>
          <cell r="BZ3462">
            <v>0</v>
          </cell>
          <cell r="CA3462">
            <v>0</v>
          </cell>
          <cell r="CB3462">
            <v>0</v>
          </cell>
          <cell r="CC3462">
            <v>0</v>
          </cell>
          <cell r="CD3462">
            <v>0</v>
          </cell>
          <cell r="CE3462">
            <v>0</v>
          </cell>
        </row>
        <row r="3463">
          <cell r="BY3463">
            <v>0</v>
          </cell>
          <cell r="BZ3463">
            <v>0</v>
          </cell>
          <cell r="CA3463">
            <v>0</v>
          </cell>
          <cell r="CB3463">
            <v>0</v>
          </cell>
          <cell r="CC3463">
            <v>0</v>
          </cell>
          <cell r="CD3463">
            <v>0</v>
          </cell>
          <cell r="CE3463">
            <v>0</v>
          </cell>
        </row>
        <row r="3464">
          <cell r="BY3464">
            <v>0</v>
          </cell>
          <cell r="BZ3464">
            <v>0</v>
          </cell>
          <cell r="CA3464">
            <v>0</v>
          </cell>
          <cell r="CB3464">
            <v>0</v>
          </cell>
          <cell r="CC3464">
            <v>0</v>
          </cell>
          <cell r="CD3464">
            <v>0</v>
          </cell>
          <cell r="CE3464">
            <v>0</v>
          </cell>
        </row>
        <row r="3465">
          <cell r="BY3465">
            <v>0</v>
          </cell>
          <cell r="BZ3465">
            <v>0</v>
          </cell>
          <cell r="CA3465">
            <v>0</v>
          </cell>
          <cell r="CB3465">
            <v>0</v>
          </cell>
          <cell r="CC3465">
            <v>0</v>
          </cell>
          <cell r="CD3465">
            <v>0</v>
          </cell>
          <cell r="CE3465">
            <v>0</v>
          </cell>
        </row>
        <row r="3466">
          <cell r="BY3466">
            <v>0</v>
          </cell>
          <cell r="BZ3466">
            <v>0</v>
          </cell>
          <cell r="CA3466">
            <v>0</v>
          </cell>
          <cell r="CB3466">
            <v>0</v>
          </cell>
          <cell r="CC3466">
            <v>0</v>
          </cell>
          <cell r="CD3466">
            <v>0</v>
          </cell>
          <cell r="CE3466">
            <v>0</v>
          </cell>
        </row>
        <row r="3467">
          <cell r="BY3467">
            <v>0</v>
          </cell>
          <cell r="BZ3467">
            <v>0</v>
          </cell>
          <cell r="CA3467">
            <v>0</v>
          </cell>
          <cell r="CB3467">
            <v>0</v>
          </cell>
          <cell r="CC3467">
            <v>0</v>
          </cell>
          <cell r="CD3467">
            <v>0</v>
          </cell>
          <cell r="CE3467">
            <v>0</v>
          </cell>
        </row>
        <row r="3468">
          <cell r="BY3468">
            <v>0</v>
          </cell>
          <cell r="BZ3468">
            <v>0</v>
          </cell>
          <cell r="CA3468">
            <v>0</v>
          </cell>
          <cell r="CB3468">
            <v>0</v>
          </cell>
          <cell r="CC3468">
            <v>0</v>
          </cell>
          <cell r="CD3468">
            <v>0</v>
          </cell>
          <cell r="CE3468">
            <v>0</v>
          </cell>
        </row>
        <row r="3469">
          <cell r="BY3469">
            <v>0</v>
          </cell>
          <cell r="BZ3469">
            <v>0</v>
          </cell>
          <cell r="CA3469">
            <v>0</v>
          </cell>
          <cell r="CB3469">
            <v>0</v>
          </cell>
          <cell r="CC3469">
            <v>0</v>
          </cell>
          <cell r="CD3469">
            <v>0</v>
          </cell>
          <cell r="CE3469">
            <v>0</v>
          </cell>
        </row>
        <row r="3470">
          <cell r="BY3470">
            <v>0</v>
          </cell>
          <cell r="BZ3470">
            <v>0</v>
          </cell>
          <cell r="CA3470">
            <v>0</v>
          </cell>
          <cell r="CB3470">
            <v>0</v>
          </cell>
          <cell r="CC3470">
            <v>0</v>
          </cell>
          <cell r="CD3470">
            <v>0</v>
          </cell>
          <cell r="CE3470">
            <v>0</v>
          </cell>
        </row>
        <row r="3471">
          <cell r="BY3471">
            <v>0</v>
          </cell>
          <cell r="BZ3471">
            <v>0</v>
          </cell>
          <cell r="CA3471">
            <v>0</v>
          </cell>
          <cell r="CB3471">
            <v>0</v>
          </cell>
          <cell r="CC3471">
            <v>0</v>
          </cell>
          <cell r="CD3471">
            <v>0</v>
          </cell>
          <cell r="CE3471">
            <v>0</v>
          </cell>
        </row>
        <row r="3472">
          <cell r="BY3472">
            <v>0</v>
          </cell>
          <cell r="BZ3472">
            <v>0</v>
          </cell>
          <cell r="CA3472">
            <v>0</v>
          </cell>
          <cell r="CB3472">
            <v>0</v>
          </cell>
          <cell r="CC3472">
            <v>0</v>
          </cell>
          <cell r="CD3472">
            <v>0</v>
          </cell>
          <cell r="CE3472">
            <v>0</v>
          </cell>
        </row>
        <row r="3473">
          <cell r="BY3473">
            <v>0</v>
          </cell>
          <cell r="BZ3473">
            <v>0</v>
          </cell>
          <cell r="CA3473">
            <v>0</v>
          </cell>
          <cell r="CB3473">
            <v>0</v>
          </cell>
          <cell r="CC3473">
            <v>0</v>
          </cell>
          <cell r="CD3473">
            <v>0</v>
          </cell>
          <cell r="CE3473">
            <v>0</v>
          </cell>
        </row>
        <row r="3474">
          <cell r="BY3474">
            <v>0</v>
          </cell>
          <cell r="BZ3474">
            <v>0</v>
          </cell>
          <cell r="CA3474">
            <v>0</v>
          </cell>
          <cell r="CB3474">
            <v>0</v>
          </cell>
          <cell r="CC3474">
            <v>0</v>
          </cell>
          <cell r="CD3474">
            <v>0</v>
          </cell>
          <cell r="CE3474">
            <v>0</v>
          </cell>
        </row>
        <row r="3475">
          <cell r="BY3475">
            <v>0</v>
          </cell>
          <cell r="BZ3475">
            <v>0</v>
          </cell>
          <cell r="CA3475">
            <v>0</v>
          </cell>
          <cell r="CB3475">
            <v>0</v>
          </cell>
          <cell r="CC3475">
            <v>0</v>
          </cell>
          <cell r="CD3475">
            <v>0</v>
          </cell>
          <cell r="CE3475">
            <v>0</v>
          </cell>
        </row>
        <row r="3476">
          <cell r="BY3476">
            <v>0</v>
          </cell>
          <cell r="BZ3476">
            <v>0</v>
          </cell>
          <cell r="CA3476">
            <v>0</v>
          </cell>
          <cell r="CB3476">
            <v>0</v>
          </cell>
          <cell r="CC3476">
            <v>0</v>
          </cell>
          <cell r="CD3476">
            <v>0</v>
          </cell>
          <cell r="CE3476">
            <v>0</v>
          </cell>
        </row>
        <row r="3477">
          <cell r="BY3477">
            <v>0</v>
          </cell>
          <cell r="BZ3477">
            <v>0</v>
          </cell>
          <cell r="CA3477">
            <v>0</v>
          </cell>
          <cell r="CB3477">
            <v>0</v>
          </cell>
          <cell r="CC3477">
            <v>0</v>
          </cell>
          <cell r="CD3477">
            <v>0</v>
          </cell>
          <cell r="CE3477">
            <v>0</v>
          </cell>
        </row>
        <row r="3478">
          <cell r="BY3478">
            <v>0</v>
          </cell>
          <cell r="BZ3478">
            <v>0</v>
          </cell>
          <cell r="CA3478">
            <v>0</v>
          </cell>
          <cell r="CB3478">
            <v>0</v>
          </cell>
          <cell r="CC3478">
            <v>0</v>
          </cell>
          <cell r="CD3478">
            <v>0</v>
          </cell>
          <cell r="CE3478">
            <v>0</v>
          </cell>
        </row>
        <row r="3479">
          <cell r="BY3479">
            <v>0</v>
          </cell>
          <cell r="BZ3479">
            <v>0</v>
          </cell>
          <cell r="CA3479">
            <v>0</v>
          </cell>
          <cell r="CB3479">
            <v>0</v>
          </cell>
          <cell r="CC3479">
            <v>0</v>
          </cell>
          <cell r="CD3479">
            <v>0</v>
          </cell>
          <cell r="CE3479">
            <v>0</v>
          </cell>
        </row>
        <row r="3480">
          <cell r="BY3480">
            <v>0</v>
          </cell>
          <cell r="BZ3480">
            <v>0</v>
          </cell>
          <cell r="CA3480">
            <v>0</v>
          </cell>
          <cell r="CB3480">
            <v>0</v>
          </cell>
          <cell r="CC3480">
            <v>0</v>
          </cell>
          <cell r="CD3480">
            <v>0</v>
          </cell>
          <cell r="CE3480">
            <v>0</v>
          </cell>
        </row>
        <row r="3481">
          <cell r="BY3481">
            <v>0</v>
          </cell>
          <cell r="BZ3481">
            <v>0</v>
          </cell>
          <cell r="CA3481">
            <v>0</v>
          </cell>
          <cell r="CB3481">
            <v>0</v>
          </cell>
          <cell r="CC3481">
            <v>0</v>
          </cell>
          <cell r="CD3481">
            <v>0</v>
          </cell>
          <cell r="CE3481">
            <v>0</v>
          </cell>
        </row>
        <row r="3482">
          <cell r="BY3482">
            <v>0</v>
          </cell>
          <cell r="BZ3482">
            <v>0</v>
          </cell>
          <cell r="CA3482">
            <v>0</v>
          </cell>
          <cell r="CB3482">
            <v>0</v>
          </cell>
          <cell r="CC3482">
            <v>0</v>
          </cell>
          <cell r="CD3482">
            <v>0</v>
          </cell>
          <cell r="CE3482">
            <v>0</v>
          </cell>
        </row>
        <row r="3483">
          <cell r="BY3483">
            <v>0</v>
          </cell>
          <cell r="BZ3483">
            <v>0</v>
          </cell>
          <cell r="CA3483">
            <v>0</v>
          </cell>
          <cell r="CB3483">
            <v>0</v>
          </cell>
          <cell r="CC3483">
            <v>0</v>
          </cell>
          <cell r="CD3483">
            <v>0</v>
          </cell>
          <cell r="CE3483">
            <v>0</v>
          </cell>
        </row>
        <row r="3484">
          <cell r="BY3484">
            <v>0</v>
          </cell>
          <cell r="BZ3484">
            <v>0</v>
          </cell>
          <cell r="CA3484">
            <v>0</v>
          </cell>
          <cell r="CB3484">
            <v>0</v>
          </cell>
          <cell r="CC3484">
            <v>0</v>
          </cell>
          <cell r="CD3484">
            <v>0</v>
          </cell>
          <cell r="CE3484">
            <v>0</v>
          </cell>
        </row>
        <row r="3485">
          <cell r="BY3485">
            <v>0</v>
          </cell>
          <cell r="BZ3485">
            <v>0</v>
          </cell>
          <cell r="CA3485">
            <v>0</v>
          </cell>
          <cell r="CB3485">
            <v>0</v>
          </cell>
          <cell r="CC3485">
            <v>0</v>
          </cell>
          <cell r="CD3485">
            <v>0</v>
          </cell>
          <cell r="CE3485">
            <v>0</v>
          </cell>
        </row>
        <row r="3486">
          <cell r="BY3486">
            <v>0</v>
          </cell>
          <cell r="BZ3486">
            <v>0</v>
          </cell>
          <cell r="CA3486">
            <v>0</v>
          </cell>
          <cell r="CB3486">
            <v>0</v>
          </cell>
          <cell r="CC3486">
            <v>0</v>
          </cell>
          <cell r="CD3486">
            <v>0</v>
          </cell>
          <cell r="CE3486">
            <v>0</v>
          </cell>
        </row>
        <row r="3487">
          <cell r="BY3487">
            <v>0</v>
          </cell>
          <cell r="BZ3487">
            <v>0</v>
          </cell>
          <cell r="CA3487">
            <v>0</v>
          </cell>
          <cell r="CB3487">
            <v>0</v>
          </cell>
          <cell r="CC3487">
            <v>0</v>
          </cell>
          <cell r="CD3487">
            <v>0</v>
          </cell>
          <cell r="CE3487">
            <v>0</v>
          </cell>
        </row>
        <row r="3488">
          <cell r="BY3488">
            <v>0</v>
          </cell>
          <cell r="BZ3488">
            <v>0</v>
          </cell>
          <cell r="CA3488">
            <v>0</v>
          </cell>
          <cell r="CB3488">
            <v>0</v>
          </cell>
          <cell r="CC3488">
            <v>0</v>
          </cell>
          <cell r="CD3488">
            <v>0</v>
          </cell>
          <cell r="CE3488">
            <v>0</v>
          </cell>
        </row>
        <row r="3489">
          <cell r="BY3489">
            <v>0</v>
          </cell>
          <cell r="BZ3489">
            <v>0</v>
          </cell>
          <cell r="CA3489">
            <v>0</v>
          </cell>
          <cell r="CB3489">
            <v>0</v>
          </cell>
          <cell r="CC3489">
            <v>0</v>
          </cell>
          <cell r="CD3489">
            <v>0</v>
          </cell>
          <cell r="CE3489">
            <v>0</v>
          </cell>
        </row>
        <row r="3490">
          <cell r="BY3490">
            <v>0</v>
          </cell>
          <cell r="BZ3490">
            <v>0</v>
          </cell>
          <cell r="CA3490">
            <v>0</v>
          </cell>
          <cell r="CB3490">
            <v>0</v>
          </cell>
          <cell r="CC3490">
            <v>0</v>
          </cell>
          <cell r="CD3490">
            <v>0</v>
          </cell>
          <cell r="CE3490">
            <v>0</v>
          </cell>
        </row>
        <row r="3491">
          <cell r="BY3491">
            <v>0</v>
          </cell>
          <cell r="BZ3491">
            <v>0</v>
          </cell>
          <cell r="CA3491">
            <v>0</v>
          </cell>
          <cell r="CB3491">
            <v>0</v>
          </cell>
          <cell r="CC3491">
            <v>0</v>
          </cell>
          <cell r="CD3491">
            <v>0</v>
          </cell>
          <cell r="CE3491">
            <v>0</v>
          </cell>
        </row>
        <row r="3492">
          <cell r="BY3492">
            <v>0</v>
          </cell>
          <cell r="BZ3492">
            <v>0</v>
          </cell>
          <cell r="CA3492">
            <v>0</v>
          </cell>
          <cell r="CB3492">
            <v>0</v>
          </cell>
          <cell r="CC3492">
            <v>0</v>
          </cell>
          <cell r="CD3492">
            <v>0</v>
          </cell>
          <cell r="CE3492">
            <v>0</v>
          </cell>
        </row>
        <row r="3493">
          <cell r="BY3493">
            <v>0</v>
          </cell>
          <cell r="BZ3493">
            <v>0</v>
          </cell>
          <cell r="CA3493">
            <v>0</v>
          </cell>
          <cell r="CB3493">
            <v>0</v>
          </cell>
          <cell r="CC3493">
            <v>0</v>
          </cell>
          <cell r="CD3493">
            <v>0</v>
          </cell>
          <cell r="CE3493">
            <v>0</v>
          </cell>
        </row>
        <row r="3494">
          <cell r="BY3494">
            <v>0</v>
          </cell>
          <cell r="BZ3494">
            <v>0</v>
          </cell>
          <cell r="CA3494">
            <v>0</v>
          </cell>
          <cell r="CB3494">
            <v>0</v>
          </cell>
          <cell r="CC3494">
            <v>0</v>
          </cell>
          <cell r="CD3494">
            <v>0</v>
          </cell>
          <cell r="CE3494">
            <v>0</v>
          </cell>
        </row>
        <row r="3495">
          <cell r="BY3495">
            <v>0</v>
          </cell>
          <cell r="BZ3495">
            <v>0</v>
          </cell>
          <cell r="CA3495">
            <v>0</v>
          </cell>
          <cell r="CB3495">
            <v>0</v>
          </cell>
          <cell r="CC3495">
            <v>0</v>
          </cell>
          <cell r="CD3495">
            <v>0</v>
          </cell>
          <cell r="CE3495">
            <v>0</v>
          </cell>
        </row>
        <row r="3496">
          <cell r="BY3496">
            <v>0</v>
          </cell>
          <cell r="BZ3496">
            <v>0</v>
          </cell>
          <cell r="CA3496">
            <v>0</v>
          </cell>
          <cell r="CB3496">
            <v>0</v>
          </cell>
          <cell r="CC3496">
            <v>0</v>
          </cell>
          <cell r="CD3496">
            <v>0</v>
          </cell>
          <cell r="CE3496">
            <v>0</v>
          </cell>
        </row>
        <row r="3497">
          <cell r="BY3497">
            <v>0</v>
          </cell>
          <cell r="BZ3497">
            <v>0</v>
          </cell>
          <cell r="CA3497">
            <v>0</v>
          </cell>
          <cell r="CB3497">
            <v>0</v>
          </cell>
          <cell r="CC3497">
            <v>0</v>
          </cell>
          <cell r="CD3497">
            <v>0</v>
          </cell>
          <cell r="CE3497">
            <v>0</v>
          </cell>
        </row>
        <row r="3498">
          <cell r="BY3498">
            <v>0</v>
          </cell>
          <cell r="BZ3498">
            <v>0</v>
          </cell>
          <cell r="CA3498">
            <v>0</v>
          </cell>
          <cell r="CB3498">
            <v>0</v>
          </cell>
          <cell r="CC3498">
            <v>0</v>
          </cell>
          <cell r="CD3498">
            <v>0</v>
          </cell>
          <cell r="CE3498">
            <v>0</v>
          </cell>
        </row>
        <row r="3499">
          <cell r="BY3499">
            <v>0</v>
          </cell>
          <cell r="BZ3499">
            <v>0</v>
          </cell>
          <cell r="CA3499">
            <v>0</v>
          </cell>
          <cell r="CB3499">
            <v>0</v>
          </cell>
          <cell r="CC3499">
            <v>0</v>
          </cell>
          <cell r="CD3499">
            <v>0</v>
          </cell>
          <cell r="CE3499">
            <v>0</v>
          </cell>
        </row>
        <row r="3500">
          <cell r="BY3500">
            <v>0</v>
          </cell>
          <cell r="BZ3500">
            <v>0</v>
          </cell>
          <cell r="CA3500">
            <v>0</v>
          </cell>
          <cell r="CB3500">
            <v>0</v>
          </cell>
          <cell r="CC3500">
            <v>0</v>
          </cell>
          <cell r="CD3500">
            <v>0</v>
          </cell>
          <cell r="CE3500">
            <v>0</v>
          </cell>
        </row>
        <row r="3501">
          <cell r="BY3501">
            <v>0</v>
          </cell>
          <cell r="BZ3501">
            <v>0</v>
          </cell>
          <cell r="CA3501">
            <v>0</v>
          </cell>
          <cell r="CB3501">
            <v>0</v>
          </cell>
          <cell r="CC3501">
            <v>0</v>
          </cell>
          <cell r="CD3501">
            <v>0</v>
          </cell>
          <cell r="CE3501">
            <v>0</v>
          </cell>
        </row>
        <row r="3502">
          <cell r="BY3502">
            <v>0</v>
          </cell>
          <cell r="BZ3502">
            <v>0</v>
          </cell>
          <cell r="CA3502">
            <v>0</v>
          </cell>
          <cell r="CB3502">
            <v>0</v>
          </cell>
          <cell r="CC3502">
            <v>0</v>
          </cell>
          <cell r="CD3502">
            <v>0</v>
          </cell>
          <cell r="CE3502">
            <v>0</v>
          </cell>
        </row>
        <row r="3503">
          <cell r="BY3503">
            <v>0</v>
          </cell>
          <cell r="BZ3503">
            <v>0</v>
          </cell>
          <cell r="CA3503">
            <v>0</v>
          </cell>
          <cell r="CB3503">
            <v>0</v>
          </cell>
          <cell r="CC3503">
            <v>0</v>
          </cell>
          <cell r="CD3503">
            <v>0</v>
          </cell>
          <cell r="CE3503">
            <v>0</v>
          </cell>
        </row>
        <row r="3504">
          <cell r="BY3504">
            <v>0</v>
          </cell>
          <cell r="BZ3504">
            <v>0</v>
          </cell>
          <cell r="CA3504">
            <v>0</v>
          </cell>
          <cell r="CB3504">
            <v>0</v>
          </cell>
          <cell r="CC3504">
            <v>0</v>
          </cell>
          <cell r="CD3504">
            <v>0</v>
          </cell>
          <cell r="CE3504">
            <v>0</v>
          </cell>
        </row>
        <row r="3505">
          <cell r="BY3505">
            <v>0</v>
          </cell>
          <cell r="BZ3505">
            <v>0</v>
          </cell>
          <cell r="CA3505">
            <v>0</v>
          </cell>
          <cell r="CB3505">
            <v>0</v>
          </cell>
          <cell r="CC3505">
            <v>0</v>
          </cell>
          <cell r="CD3505">
            <v>0</v>
          </cell>
          <cell r="CE3505">
            <v>0</v>
          </cell>
        </row>
        <row r="3506">
          <cell r="BY3506">
            <v>0</v>
          </cell>
          <cell r="BZ3506">
            <v>0</v>
          </cell>
          <cell r="CA3506">
            <v>0</v>
          </cell>
          <cell r="CB3506">
            <v>0</v>
          </cell>
          <cell r="CC3506">
            <v>0</v>
          </cell>
          <cell r="CD3506">
            <v>0</v>
          </cell>
          <cell r="CE3506">
            <v>0</v>
          </cell>
        </row>
        <row r="3507">
          <cell r="BY3507">
            <v>0</v>
          </cell>
          <cell r="BZ3507">
            <v>0</v>
          </cell>
          <cell r="CA3507">
            <v>0</v>
          </cell>
          <cell r="CB3507">
            <v>0</v>
          </cell>
          <cell r="CC3507">
            <v>0</v>
          </cell>
          <cell r="CD3507">
            <v>0</v>
          </cell>
          <cell r="CE3507">
            <v>0</v>
          </cell>
        </row>
        <row r="3508">
          <cell r="BY3508">
            <v>0</v>
          </cell>
          <cell r="BZ3508">
            <v>0</v>
          </cell>
          <cell r="CA3508">
            <v>0</v>
          </cell>
          <cell r="CB3508">
            <v>0</v>
          </cell>
          <cell r="CC3508">
            <v>0</v>
          </cell>
          <cell r="CD3508">
            <v>0</v>
          </cell>
          <cell r="CE3508">
            <v>0</v>
          </cell>
        </row>
        <row r="3509">
          <cell r="BY3509">
            <v>0</v>
          </cell>
          <cell r="BZ3509">
            <v>0</v>
          </cell>
          <cell r="CA3509">
            <v>0</v>
          </cell>
          <cell r="CB3509">
            <v>0</v>
          </cell>
          <cell r="CC3509">
            <v>0</v>
          </cell>
          <cell r="CD3509">
            <v>0</v>
          </cell>
          <cell r="CE3509">
            <v>0</v>
          </cell>
        </row>
        <row r="3510">
          <cell r="BY3510">
            <v>0</v>
          </cell>
          <cell r="BZ3510">
            <v>0</v>
          </cell>
          <cell r="CA3510">
            <v>0</v>
          </cell>
          <cell r="CB3510">
            <v>0</v>
          </cell>
          <cell r="CC3510">
            <v>0</v>
          </cell>
          <cell r="CD3510">
            <v>0</v>
          </cell>
          <cell r="CE3510">
            <v>0</v>
          </cell>
        </row>
        <row r="3511">
          <cell r="BY3511">
            <v>0</v>
          </cell>
          <cell r="BZ3511">
            <v>0</v>
          </cell>
          <cell r="CA3511">
            <v>0</v>
          </cell>
          <cell r="CB3511">
            <v>0</v>
          </cell>
          <cell r="CC3511">
            <v>0</v>
          </cell>
          <cell r="CD3511">
            <v>0</v>
          </cell>
          <cell r="CE3511">
            <v>0</v>
          </cell>
        </row>
        <row r="3512">
          <cell r="BY3512">
            <v>0</v>
          </cell>
          <cell r="BZ3512">
            <v>0</v>
          </cell>
          <cell r="CA3512">
            <v>0</v>
          </cell>
          <cell r="CB3512">
            <v>0</v>
          </cell>
          <cell r="CC3512">
            <v>0</v>
          </cell>
          <cell r="CD3512">
            <v>0</v>
          </cell>
          <cell r="CE3512">
            <v>0</v>
          </cell>
        </row>
        <row r="3513">
          <cell r="BY3513">
            <v>0</v>
          </cell>
          <cell r="BZ3513">
            <v>0</v>
          </cell>
          <cell r="CA3513">
            <v>0</v>
          </cell>
          <cell r="CB3513">
            <v>0</v>
          </cell>
          <cell r="CC3513">
            <v>0</v>
          </cell>
          <cell r="CD3513">
            <v>0</v>
          </cell>
          <cell r="CE3513">
            <v>0</v>
          </cell>
        </row>
        <row r="3514">
          <cell r="BY3514">
            <v>0</v>
          </cell>
          <cell r="BZ3514">
            <v>0</v>
          </cell>
          <cell r="CA3514">
            <v>0</v>
          </cell>
          <cell r="CB3514">
            <v>0</v>
          </cell>
          <cell r="CC3514">
            <v>0</v>
          </cell>
          <cell r="CD3514">
            <v>0</v>
          </cell>
          <cell r="CE3514">
            <v>0</v>
          </cell>
        </row>
        <row r="3515">
          <cell r="BY3515">
            <v>0</v>
          </cell>
          <cell r="BZ3515">
            <v>0</v>
          </cell>
          <cell r="CA3515">
            <v>0</v>
          </cell>
          <cell r="CB3515">
            <v>0</v>
          </cell>
          <cell r="CC3515">
            <v>0</v>
          </cell>
          <cell r="CD3515">
            <v>0</v>
          </cell>
          <cell r="CE3515">
            <v>0</v>
          </cell>
        </row>
        <row r="3516">
          <cell r="BY3516">
            <v>0</v>
          </cell>
          <cell r="BZ3516">
            <v>0</v>
          </cell>
          <cell r="CA3516">
            <v>0</v>
          </cell>
          <cell r="CB3516">
            <v>0</v>
          </cell>
          <cell r="CC3516">
            <v>0</v>
          </cell>
          <cell r="CD3516">
            <v>0</v>
          </cell>
          <cell r="CE3516">
            <v>0</v>
          </cell>
        </row>
        <row r="3517">
          <cell r="BY3517">
            <v>0</v>
          </cell>
          <cell r="BZ3517">
            <v>0</v>
          </cell>
          <cell r="CA3517">
            <v>0</v>
          </cell>
          <cell r="CB3517">
            <v>0</v>
          </cell>
          <cell r="CC3517">
            <v>0</v>
          </cell>
          <cell r="CD3517">
            <v>0</v>
          </cell>
          <cell r="CE3517">
            <v>0</v>
          </cell>
        </row>
        <row r="3518">
          <cell r="BY3518">
            <v>0</v>
          </cell>
          <cell r="BZ3518">
            <v>0</v>
          </cell>
          <cell r="CA3518">
            <v>0</v>
          </cell>
          <cell r="CB3518">
            <v>0</v>
          </cell>
          <cell r="CC3518">
            <v>0</v>
          </cell>
          <cell r="CD3518">
            <v>0</v>
          </cell>
          <cell r="CE3518">
            <v>0</v>
          </cell>
        </row>
        <row r="3519">
          <cell r="BY3519">
            <v>0</v>
          </cell>
          <cell r="BZ3519">
            <v>0</v>
          </cell>
          <cell r="CA3519">
            <v>0</v>
          </cell>
          <cell r="CB3519">
            <v>0</v>
          </cell>
          <cell r="CC3519">
            <v>0</v>
          </cell>
          <cell r="CD3519">
            <v>0</v>
          </cell>
          <cell r="CE3519">
            <v>0</v>
          </cell>
        </row>
        <row r="3520">
          <cell r="BY3520">
            <v>0</v>
          </cell>
          <cell r="BZ3520">
            <v>0</v>
          </cell>
          <cell r="CA3520">
            <v>0</v>
          </cell>
          <cell r="CB3520">
            <v>0</v>
          </cell>
          <cell r="CC3520">
            <v>0</v>
          </cell>
          <cell r="CD3520">
            <v>0</v>
          </cell>
          <cell r="CE3520">
            <v>0</v>
          </cell>
        </row>
        <row r="3521">
          <cell r="BY3521">
            <v>0</v>
          </cell>
          <cell r="BZ3521">
            <v>0</v>
          </cell>
          <cell r="CA3521">
            <v>0</v>
          </cell>
          <cell r="CB3521">
            <v>0</v>
          </cell>
          <cell r="CC3521">
            <v>0</v>
          </cell>
          <cell r="CD3521">
            <v>0</v>
          </cell>
          <cell r="CE3521">
            <v>0</v>
          </cell>
        </row>
        <row r="3522">
          <cell r="BY3522">
            <v>0</v>
          </cell>
          <cell r="BZ3522">
            <v>0</v>
          </cell>
          <cell r="CA3522">
            <v>0</v>
          </cell>
          <cell r="CB3522">
            <v>0</v>
          </cell>
          <cell r="CC3522">
            <v>0</v>
          </cell>
          <cell r="CD3522">
            <v>0</v>
          </cell>
          <cell r="CE3522">
            <v>0</v>
          </cell>
        </row>
        <row r="3523">
          <cell r="BY3523">
            <v>0</v>
          </cell>
          <cell r="BZ3523">
            <v>0</v>
          </cell>
          <cell r="CA3523">
            <v>0</v>
          </cell>
          <cell r="CB3523">
            <v>0</v>
          </cell>
          <cell r="CC3523">
            <v>0</v>
          </cell>
          <cell r="CD3523">
            <v>0</v>
          </cell>
          <cell r="CE3523">
            <v>0</v>
          </cell>
        </row>
        <row r="3524">
          <cell r="BY3524">
            <v>0</v>
          </cell>
          <cell r="BZ3524">
            <v>0</v>
          </cell>
          <cell r="CA3524">
            <v>0</v>
          </cell>
          <cell r="CB3524">
            <v>0</v>
          </cell>
          <cell r="CC3524">
            <v>0</v>
          </cell>
          <cell r="CD3524">
            <v>0</v>
          </cell>
          <cell r="CE3524">
            <v>0</v>
          </cell>
        </row>
        <row r="3525">
          <cell r="BY3525">
            <v>0</v>
          </cell>
          <cell r="BZ3525">
            <v>0</v>
          </cell>
          <cell r="CA3525">
            <v>0</v>
          </cell>
          <cell r="CB3525">
            <v>0</v>
          </cell>
          <cell r="CC3525">
            <v>0</v>
          </cell>
          <cell r="CD3525">
            <v>0</v>
          </cell>
          <cell r="CE3525">
            <v>0</v>
          </cell>
        </row>
        <row r="3526">
          <cell r="BY3526">
            <v>0</v>
          </cell>
          <cell r="BZ3526">
            <v>0</v>
          </cell>
          <cell r="CA3526">
            <v>0</v>
          </cell>
          <cell r="CB3526">
            <v>0</v>
          </cell>
          <cell r="CC3526">
            <v>0</v>
          </cell>
          <cell r="CD3526">
            <v>0</v>
          </cell>
          <cell r="CE3526">
            <v>0</v>
          </cell>
        </row>
        <row r="3527">
          <cell r="BY3527">
            <v>0</v>
          </cell>
          <cell r="BZ3527">
            <v>0</v>
          </cell>
          <cell r="CA3527">
            <v>0</v>
          </cell>
          <cell r="CB3527">
            <v>0</v>
          </cell>
          <cell r="CC3527">
            <v>0</v>
          </cell>
          <cell r="CD3527">
            <v>0</v>
          </cell>
          <cell r="CE3527">
            <v>0</v>
          </cell>
        </row>
        <row r="3528">
          <cell r="BY3528">
            <v>0</v>
          </cell>
          <cell r="BZ3528">
            <v>0</v>
          </cell>
          <cell r="CA3528">
            <v>0</v>
          </cell>
          <cell r="CB3528">
            <v>0</v>
          </cell>
          <cell r="CC3528">
            <v>0</v>
          </cell>
          <cell r="CD3528">
            <v>0</v>
          </cell>
          <cell r="CE3528">
            <v>0</v>
          </cell>
        </row>
        <row r="3529">
          <cell r="BY3529">
            <v>0</v>
          </cell>
          <cell r="BZ3529">
            <v>0</v>
          </cell>
          <cell r="CA3529">
            <v>0</v>
          </cell>
          <cell r="CB3529">
            <v>0</v>
          </cell>
          <cell r="CC3529">
            <v>0</v>
          </cell>
          <cell r="CD3529">
            <v>0</v>
          </cell>
          <cell r="CE3529">
            <v>0</v>
          </cell>
        </row>
        <row r="3530">
          <cell r="BY3530">
            <v>0</v>
          </cell>
          <cell r="BZ3530">
            <v>0</v>
          </cell>
          <cell r="CA3530">
            <v>0</v>
          </cell>
          <cell r="CB3530">
            <v>0</v>
          </cell>
          <cell r="CC3530">
            <v>0</v>
          </cell>
          <cell r="CD3530">
            <v>0</v>
          </cell>
          <cell r="CE3530">
            <v>0</v>
          </cell>
        </row>
        <row r="3531">
          <cell r="BY3531">
            <v>0</v>
          </cell>
          <cell r="BZ3531">
            <v>0</v>
          </cell>
          <cell r="CA3531">
            <v>0</v>
          </cell>
          <cell r="CB3531">
            <v>0</v>
          </cell>
          <cell r="CC3531">
            <v>0</v>
          </cell>
          <cell r="CD3531">
            <v>0</v>
          </cell>
          <cell r="CE3531">
            <v>0</v>
          </cell>
        </row>
        <row r="3532">
          <cell r="BY3532">
            <v>0</v>
          </cell>
          <cell r="BZ3532">
            <v>0</v>
          </cell>
          <cell r="CA3532">
            <v>0</v>
          </cell>
          <cell r="CB3532">
            <v>0</v>
          </cell>
          <cell r="CC3532">
            <v>0</v>
          </cell>
          <cell r="CD3532">
            <v>0</v>
          </cell>
          <cell r="CE3532">
            <v>0</v>
          </cell>
        </row>
        <row r="3533">
          <cell r="BY3533">
            <v>0</v>
          </cell>
          <cell r="BZ3533">
            <v>0</v>
          </cell>
          <cell r="CA3533">
            <v>0</v>
          </cell>
          <cell r="CB3533">
            <v>0</v>
          </cell>
          <cell r="CC3533">
            <v>0</v>
          </cell>
          <cell r="CD3533">
            <v>0</v>
          </cell>
          <cell r="CE3533">
            <v>0</v>
          </cell>
        </row>
        <row r="3534">
          <cell r="BY3534">
            <v>0</v>
          </cell>
          <cell r="BZ3534">
            <v>0</v>
          </cell>
          <cell r="CA3534">
            <v>0</v>
          </cell>
          <cell r="CB3534">
            <v>0</v>
          </cell>
          <cell r="CC3534">
            <v>0</v>
          </cell>
          <cell r="CD3534">
            <v>0</v>
          </cell>
          <cell r="CE3534">
            <v>0</v>
          </cell>
        </row>
        <row r="3535">
          <cell r="BY3535">
            <v>0</v>
          </cell>
          <cell r="BZ3535">
            <v>0</v>
          </cell>
          <cell r="CA3535">
            <v>0</v>
          </cell>
          <cell r="CB3535">
            <v>0</v>
          </cell>
          <cell r="CC3535">
            <v>0</v>
          </cell>
          <cell r="CD3535">
            <v>0</v>
          </cell>
          <cell r="CE3535">
            <v>0</v>
          </cell>
        </row>
        <row r="3536">
          <cell r="BY3536">
            <v>0</v>
          </cell>
          <cell r="BZ3536">
            <v>0</v>
          </cell>
          <cell r="CA3536">
            <v>0</v>
          </cell>
          <cell r="CB3536">
            <v>0</v>
          </cell>
          <cell r="CC3536">
            <v>0</v>
          </cell>
          <cell r="CD3536">
            <v>0</v>
          </cell>
          <cell r="CE3536">
            <v>0</v>
          </cell>
        </row>
        <row r="3537">
          <cell r="BY3537">
            <v>0</v>
          </cell>
          <cell r="BZ3537">
            <v>0</v>
          </cell>
          <cell r="CA3537">
            <v>0</v>
          </cell>
          <cell r="CB3537">
            <v>0</v>
          </cell>
          <cell r="CC3537">
            <v>0</v>
          </cell>
          <cell r="CD3537">
            <v>0</v>
          </cell>
          <cell r="CE3537">
            <v>0</v>
          </cell>
        </row>
        <row r="3538">
          <cell r="BY3538">
            <v>0</v>
          </cell>
          <cell r="BZ3538">
            <v>0</v>
          </cell>
          <cell r="CA3538">
            <v>0</v>
          </cell>
          <cell r="CB3538">
            <v>0</v>
          </cell>
          <cell r="CC3538">
            <v>0</v>
          </cell>
          <cell r="CD3538">
            <v>0</v>
          </cell>
          <cell r="CE3538">
            <v>0</v>
          </cell>
        </row>
        <row r="3539">
          <cell r="BY3539">
            <v>0</v>
          </cell>
          <cell r="BZ3539">
            <v>0</v>
          </cell>
          <cell r="CA3539">
            <v>0</v>
          </cell>
          <cell r="CB3539">
            <v>0</v>
          </cell>
          <cell r="CC3539">
            <v>0</v>
          </cell>
          <cell r="CD3539">
            <v>0</v>
          </cell>
          <cell r="CE3539">
            <v>0</v>
          </cell>
        </row>
        <row r="3540">
          <cell r="BY3540">
            <v>0</v>
          </cell>
          <cell r="BZ3540">
            <v>0</v>
          </cell>
          <cell r="CA3540">
            <v>0</v>
          </cell>
          <cell r="CB3540">
            <v>0</v>
          </cell>
          <cell r="CC3540">
            <v>0</v>
          </cell>
          <cell r="CD3540">
            <v>0</v>
          </cell>
          <cell r="CE3540">
            <v>0</v>
          </cell>
        </row>
        <row r="3541">
          <cell r="BY3541">
            <v>0</v>
          </cell>
          <cell r="BZ3541">
            <v>0</v>
          </cell>
          <cell r="CA3541">
            <v>0</v>
          </cell>
          <cell r="CB3541">
            <v>0</v>
          </cell>
          <cell r="CC3541">
            <v>0</v>
          </cell>
          <cell r="CD3541">
            <v>0</v>
          </cell>
          <cell r="CE3541">
            <v>0</v>
          </cell>
        </row>
        <row r="3542">
          <cell r="BY3542">
            <v>0</v>
          </cell>
          <cell r="BZ3542">
            <v>0</v>
          </cell>
          <cell r="CA3542">
            <v>0</v>
          </cell>
          <cell r="CB3542">
            <v>0</v>
          </cell>
          <cell r="CC3542">
            <v>0</v>
          </cell>
          <cell r="CD3542">
            <v>0</v>
          </cell>
          <cell r="CE3542">
            <v>0</v>
          </cell>
        </row>
        <row r="3543">
          <cell r="BY3543">
            <v>0</v>
          </cell>
          <cell r="BZ3543">
            <v>0</v>
          </cell>
          <cell r="CA3543">
            <v>0</v>
          </cell>
          <cell r="CB3543">
            <v>0</v>
          </cell>
          <cell r="CC3543">
            <v>0</v>
          </cell>
          <cell r="CD3543">
            <v>0</v>
          </cell>
          <cell r="CE3543">
            <v>0</v>
          </cell>
        </row>
        <row r="3544">
          <cell r="BY3544">
            <v>0</v>
          </cell>
          <cell r="BZ3544">
            <v>0</v>
          </cell>
          <cell r="CA3544">
            <v>0</v>
          </cell>
          <cell r="CB3544">
            <v>0</v>
          </cell>
          <cell r="CC3544">
            <v>0</v>
          </cell>
          <cell r="CD3544">
            <v>0</v>
          </cell>
          <cell r="CE3544">
            <v>0</v>
          </cell>
        </row>
        <row r="3545">
          <cell r="BY3545">
            <v>0</v>
          </cell>
          <cell r="BZ3545">
            <v>0</v>
          </cell>
          <cell r="CA3545">
            <v>0</v>
          </cell>
          <cell r="CB3545">
            <v>0</v>
          </cell>
          <cell r="CC3545">
            <v>0</v>
          </cell>
          <cell r="CD3545">
            <v>0</v>
          </cell>
          <cell r="CE3545">
            <v>0</v>
          </cell>
        </row>
        <row r="3546">
          <cell r="BY3546">
            <v>0</v>
          </cell>
          <cell r="BZ3546">
            <v>0</v>
          </cell>
          <cell r="CA3546">
            <v>0</v>
          </cell>
          <cell r="CB3546">
            <v>0</v>
          </cell>
          <cell r="CC3546">
            <v>0</v>
          </cell>
          <cell r="CD3546">
            <v>0</v>
          </cell>
          <cell r="CE3546">
            <v>0</v>
          </cell>
        </row>
        <row r="3547">
          <cell r="BY3547">
            <v>0</v>
          </cell>
          <cell r="BZ3547">
            <v>0</v>
          </cell>
          <cell r="CA3547">
            <v>0</v>
          </cell>
          <cell r="CB3547">
            <v>0</v>
          </cell>
          <cell r="CC3547">
            <v>0</v>
          </cell>
          <cell r="CD3547">
            <v>0</v>
          </cell>
          <cell r="CE3547">
            <v>0</v>
          </cell>
        </row>
        <row r="3548">
          <cell r="BY3548">
            <v>0</v>
          </cell>
          <cell r="BZ3548">
            <v>0</v>
          </cell>
        </row>
        <row r="3549">
          <cell r="BY3549">
            <v>0</v>
          </cell>
          <cell r="BZ3549">
            <v>0</v>
          </cell>
        </row>
        <row r="3550">
          <cell r="BY3550">
            <v>0</v>
          </cell>
          <cell r="BZ3550">
            <v>0</v>
          </cell>
        </row>
        <row r="3551">
          <cell r="BY3551">
            <v>0</v>
          </cell>
          <cell r="BZ3551">
            <v>0</v>
          </cell>
        </row>
        <row r="3552">
          <cell r="BY3552">
            <v>0</v>
          </cell>
          <cell r="BZ3552">
            <v>0</v>
          </cell>
        </row>
        <row r="3553">
          <cell r="BY3553">
            <v>0</v>
          </cell>
          <cell r="BZ3553">
            <v>0</v>
          </cell>
        </row>
        <row r="3554">
          <cell r="BY3554">
            <v>0</v>
          </cell>
          <cell r="BZ3554">
            <v>0</v>
          </cell>
        </row>
        <row r="3555">
          <cell r="BY3555">
            <v>0</v>
          </cell>
          <cell r="BZ3555">
            <v>0</v>
          </cell>
        </row>
        <row r="3556">
          <cell r="BY3556">
            <v>0</v>
          </cell>
          <cell r="BZ3556">
            <v>0</v>
          </cell>
        </row>
        <row r="3557">
          <cell r="BY3557">
            <v>0</v>
          </cell>
          <cell r="BZ3557">
            <v>0</v>
          </cell>
        </row>
        <row r="3558">
          <cell r="BY3558">
            <v>0</v>
          </cell>
          <cell r="BZ3558">
            <v>0</v>
          </cell>
        </row>
        <row r="3559">
          <cell r="BY3559">
            <v>0</v>
          </cell>
          <cell r="BZ3559">
            <v>0</v>
          </cell>
        </row>
        <row r="3560">
          <cell r="BY3560">
            <v>0</v>
          </cell>
          <cell r="BZ3560">
            <v>0</v>
          </cell>
        </row>
        <row r="3561">
          <cell r="BY3561">
            <v>0</v>
          </cell>
          <cell r="BZ3561">
            <v>0</v>
          </cell>
        </row>
        <row r="3562">
          <cell r="BY3562">
            <v>0</v>
          </cell>
          <cell r="BZ3562">
            <v>0</v>
          </cell>
        </row>
        <row r="3563">
          <cell r="BY3563">
            <v>0</v>
          </cell>
          <cell r="BZ3563">
            <v>0</v>
          </cell>
        </row>
        <row r="3564">
          <cell r="BY3564">
            <v>0</v>
          </cell>
          <cell r="BZ3564">
            <v>0</v>
          </cell>
        </row>
        <row r="3565">
          <cell r="BY3565">
            <v>0</v>
          </cell>
          <cell r="BZ3565">
            <v>0</v>
          </cell>
        </row>
        <row r="3566">
          <cell r="BY3566">
            <v>0</v>
          </cell>
          <cell r="BZ3566">
            <v>0</v>
          </cell>
        </row>
        <row r="3567">
          <cell r="BY3567">
            <v>0</v>
          </cell>
          <cell r="BZ3567">
            <v>0</v>
          </cell>
        </row>
        <row r="3568">
          <cell r="BY3568">
            <v>0</v>
          </cell>
          <cell r="BZ3568">
            <v>0</v>
          </cell>
        </row>
        <row r="3569">
          <cell r="BY3569">
            <v>0</v>
          </cell>
          <cell r="BZ3569">
            <v>0</v>
          </cell>
        </row>
        <row r="3570">
          <cell r="BY3570">
            <v>0</v>
          </cell>
          <cell r="BZ3570">
            <v>0</v>
          </cell>
        </row>
        <row r="3571">
          <cell r="BY3571">
            <v>0</v>
          </cell>
          <cell r="BZ3571">
            <v>0</v>
          </cell>
        </row>
        <row r="3572">
          <cell r="BY3572">
            <v>0</v>
          </cell>
          <cell r="BZ3572">
            <v>0</v>
          </cell>
        </row>
        <row r="3573">
          <cell r="BY3573">
            <v>0</v>
          </cell>
          <cell r="BZ3573">
            <v>0</v>
          </cell>
        </row>
        <row r="3574">
          <cell r="BY3574">
            <v>0</v>
          </cell>
          <cell r="BZ3574">
            <v>0</v>
          </cell>
        </row>
        <row r="3575">
          <cell r="BY3575">
            <v>0</v>
          </cell>
          <cell r="BZ3575">
            <v>0</v>
          </cell>
        </row>
        <row r="3576">
          <cell r="BY3576">
            <v>0</v>
          </cell>
          <cell r="BZ3576">
            <v>0</v>
          </cell>
        </row>
        <row r="3577">
          <cell r="BY3577">
            <v>0</v>
          </cell>
          <cell r="BZ3577">
            <v>0</v>
          </cell>
        </row>
        <row r="3578">
          <cell r="BY3578">
            <v>0</v>
          </cell>
          <cell r="BZ3578">
            <v>0</v>
          </cell>
        </row>
        <row r="3579">
          <cell r="BY3579">
            <v>0</v>
          </cell>
          <cell r="BZ3579">
            <v>0</v>
          </cell>
        </row>
        <row r="3580">
          <cell r="BY3580">
            <v>0</v>
          </cell>
          <cell r="BZ3580">
            <v>0</v>
          </cell>
        </row>
        <row r="3581">
          <cell r="BY3581">
            <v>0</v>
          </cell>
          <cell r="BZ3581">
            <v>0</v>
          </cell>
        </row>
        <row r="3582">
          <cell r="BY3582">
            <v>0</v>
          </cell>
          <cell r="BZ3582">
            <v>0</v>
          </cell>
        </row>
        <row r="3583">
          <cell r="BY3583">
            <v>0</v>
          </cell>
          <cell r="BZ3583">
            <v>0</v>
          </cell>
        </row>
        <row r="3584">
          <cell r="BY3584">
            <v>0</v>
          </cell>
          <cell r="BZ3584">
            <v>0</v>
          </cell>
        </row>
        <row r="3585">
          <cell r="BY3585">
            <v>0</v>
          </cell>
          <cell r="BZ3585">
            <v>0</v>
          </cell>
        </row>
        <row r="3586">
          <cell r="BY3586">
            <v>0</v>
          </cell>
          <cell r="BZ3586">
            <v>0</v>
          </cell>
        </row>
        <row r="3587">
          <cell r="BY3587">
            <v>0</v>
          </cell>
          <cell r="BZ3587">
            <v>0</v>
          </cell>
        </row>
        <row r="3588">
          <cell r="BY3588">
            <v>0</v>
          </cell>
          <cell r="BZ3588">
            <v>0</v>
          </cell>
        </row>
        <row r="3589">
          <cell r="BY3589">
            <v>0</v>
          </cell>
          <cell r="BZ3589">
            <v>0</v>
          </cell>
        </row>
        <row r="3590">
          <cell r="BY3590">
            <v>0</v>
          </cell>
          <cell r="BZ3590">
            <v>0</v>
          </cell>
        </row>
        <row r="3591">
          <cell r="BY3591">
            <v>0</v>
          </cell>
          <cell r="BZ3591">
            <v>0</v>
          </cell>
        </row>
        <row r="3592">
          <cell r="BY3592">
            <v>0</v>
          </cell>
          <cell r="BZ3592">
            <v>0</v>
          </cell>
        </row>
        <row r="3593">
          <cell r="BY3593">
            <v>0</v>
          </cell>
          <cell r="BZ3593">
            <v>0</v>
          </cell>
        </row>
        <row r="3594">
          <cell r="BY3594">
            <v>0</v>
          </cell>
          <cell r="BZ3594">
            <v>0</v>
          </cell>
        </row>
        <row r="3595">
          <cell r="BY3595">
            <v>0</v>
          </cell>
          <cell r="BZ3595">
            <v>0</v>
          </cell>
        </row>
        <row r="3596">
          <cell r="BY3596">
            <v>0</v>
          </cell>
          <cell r="BZ3596">
            <v>0</v>
          </cell>
        </row>
        <row r="3597">
          <cell r="BY3597">
            <v>0</v>
          </cell>
          <cell r="BZ3597">
            <v>0</v>
          </cell>
        </row>
        <row r="3598">
          <cell r="BY3598">
            <v>0</v>
          </cell>
          <cell r="BZ3598">
            <v>0</v>
          </cell>
        </row>
        <row r="3599">
          <cell r="BY3599">
            <v>0</v>
          </cell>
          <cell r="BZ3599">
            <v>0</v>
          </cell>
        </row>
        <row r="3600">
          <cell r="BY3600">
            <v>0</v>
          </cell>
          <cell r="BZ3600">
            <v>0</v>
          </cell>
        </row>
        <row r="3601">
          <cell r="BY3601">
            <v>0</v>
          </cell>
          <cell r="BZ3601">
            <v>0</v>
          </cell>
        </row>
        <row r="3602">
          <cell r="BY3602">
            <v>0</v>
          </cell>
          <cell r="BZ3602">
            <v>0</v>
          </cell>
        </row>
        <row r="3603">
          <cell r="BY3603">
            <v>0</v>
          </cell>
          <cell r="BZ3603">
            <v>0</v>
          </cell>
        </row>
        <row r="3604">
          <cell r="BY3604">
            <v>0</v>
          </cell>
          <cell r="BZ3604">
            <v>0</v>
          </cell>
        </row>
        <row r="3605">
          <cell r="BY3605">
            <v>0</v>
          </cell>
          <cell r="BZ3605">
            <v>0</v>
          </cell>
        </row>
        <row r="3606">
          <cell r="BY3606">
            <v>0</v>
          </cell>
          <cell r="BZ3606">
            <v>0</v>
          </cell>
        </row>
        <row r="3607">
          <cell r="BY3607">
            <v>0</v>
          </cell>
          <cell r="BZ3607">
            <v>0</v>
          </cell>
        </row>
        <row r="3608">
          <cell r="BY3608">
            <v>0</v>
          </cell>
          <cell r="BZ3608">
            <v>0</v>
          </cell>
        </row>
        <row r="3609">
          <cell r="BY3609">
            <v>0</v>
          </cell>
          <cell r="BZ3609">
            <v>0</v>
          </cell>
        </row>
        <row r="3610">
          <cell r="BY3610">
            <v>0</v>
          </cell>
          <cell r="BZ3610">
            <v>0</v>
          </cell>
        </row>
        <row r="3611">
          <cell r="BY3611">
            <v>0</v>
          </cell>
          <cell r="BZ3611">
            <v>0</v>
          </cell>
        </row>
        <row r="3612">
          <cell r="BY3612">
            <v>0</v>
          </cell>
          <cell r="BZ3612">
            <v>0</v>
          </cell>
        </row>
        <row r="3613">
          <cell r="BY3613">
            <v>0</v>
          </cell>
          <cell r="BZ3613">
            <v>0</v>
          </cell>
        </row>
        <row r="3614">
          <cell r="BY3614">
            <v>0</v>
          </cell>
          <cell r="BZ3614">
            <v>0</v>
          </cell>
        </row>
        <row r="3615">
          <cell r="BY3615">
            <v>0</v>
          </cell>
          <cell r="BZ3615">
            <v>0</v>
          </cell>
        </row>
        <row r="3616">
          <cell r="BY3616">
            <v>0</v>
          </cell>
          <cell r="BZ3616">
            <v>0</v>
          </cell>
        </row>
        <row r="3617">
          <cell r="BY3617">
            <v>0</v>
          </cell>
          <cell r="BZ3617">
            <v>0</v>
          </cell>
        </row>
        <row r="3618">
          <cell r="BY3618">
            <v>0</v>
          </cell>
          <cell r="BZ3618">
            <v>0</v>
          </cell>
        </row>
        <row r="3619">
          <cell r="BY3619">
            <v>0</v>
          </cell>
          <cell r="BZ3619">
            <v>0</v>
          </cell>
        </row>
        <row r="3620">
          <cell r="BY3620">
            <v>0</v>
          </cell>
          <cell r="BZ3620">
            <v>0</v>
          </cell>
        </row>
        <row r="3621">
          <cell r="BY3621">
            <v>0</v>
          </cell>
          <cell r="BZ3621">
            <v>0</v>
          </cell>
        </row>
        <row r="3622">
          <cell r="BY3622">
            <v>0</v>
          </cell>
          <cell r="BZ3622">
            <v>0</v>
          </cell>
        </row>
        <row r="3623">
          <cell r="BY3623">
            <v>0</v>
          </cell>
          <cell r="BZ3623">
            <v>0</v>
          </cell>
        </row>
        <row r="3624">
          <cell r="BY3624">
            <v>0</v>
          </cell>
          <cell r="BZ3624">
            <v>0</v>
          </cell>
        </row>
        <row r="3625">
          <cell r="BY3625">
            <v>0</v>
          </cell>
          <cell r="BZ3625">
            <v>0</v>
          </cell>
        </row>
        <row r="3626">
          <cell r="BY3626">
            <v>0</v>
          </cell>
          <cell r="BZ3626">
            <v>0</v>
          </cell>
        </row>
        <row r="3627">
          <cell r="BY3627">
            <v>0</v>
          </cell>
          <cell r="BZ3627">
            <v>0</v>
          </cell>
        </row>
        <row r="3628">
          <cell r="BY3628">
            <v>0</v>
          </cell>
          <cell r="BZ3628">
            <v>0</v>
          </cell>
        </row>
        <row r="3629">
          <cell r="BY3629">
            <v>0</v>
          </cell>
          <cell r="BZ3629">
            <v>0</v>
          </cell>
        </row>
        <row r="3630">
          <cell r="BY3630">
            <v>0</v>
          </cell>
          <cell r="BZ3630">
            <v>0</v>
          </cell>
        </row>
        <row r="3631">
          <cell r="BY3631">
            <v>0</v>
          </cell>
          <cell r="BZ3631">
            <v>0</v>
          </cell>
        </row>
        <row r="3632">
          <cell r="BY3632">
            <v>0</v>
          </cell>
          <cell r="BZ3632">
            <v>0</v>
          </cell>
        </row>
        <row r="3633">
          <cell r="BY3633">
            <v>0</v>
          </cell>
          <cell r="BZ3633">
            <v>0</v>
          </cell>
        </row>
        <row r="3634">
          <cell r="BY3634">
            <v>0</v>
          </cell>
          <cell r="BZ3634">
            <v>0</v>
          </cell>
        </row>
        <row r="3635">
          <cell r="BY3635">
            <v>0</v>
          </cell>
          <cell r="BZ3635">
            <v>0</v>
          </cell>
        </row>
        <row r="3636">
          <cell r="BY3636">
            <v>0</v>
          </cell>
          <cell r="BZ3636">
            <v>0</v>
          </cell>
        </row>
        <row r="3637">
          <cell r="BY3637">
            <v>0</v>
          </cell>
          <cell r="BZ3637">
            <v>0</v>
          </cell>
        </row>
        <row r="3638">
          <cell r="BY3638">
            <v>0</v>
          </cell>
          <cell r="BZ3638">
            <v>0</v>
          </cell>
        </row>
        <row r="3639">
          <cell r="BY3639">
            <v>0</v>
          </cell>
          <cell r="BZ3639">
            <v>0</v>
          </cell>
        </row>
        <row r="3640">
          <cell r="BY3640">
            <v>0</v>
          </cell>
          <cell r="BZ3640">
            <v>0</v>
          </cell>
        </row>
        <row r="3641">
          <cell r="BY3641">
            <v>0</v>
          </cell>
          <cell r="BZ3641">
            <v>0</v>
          </cell>
        </row>
        <row r="3642">
          <cell r="BY3642">
            <v>0</v>
          </cell>
          <cell r="BZ3642">
            <v>0</v>
          </cell>
        </row>
        <row r="3643">
          <cell r="BY3643">
            <v>0</v>
          </cell>
          <cell r="BZ3643">
            <v>0</v>
          </cell>
        </row>
        <row r="3644">
          <cell r="BY3644">
            <v>0</v>
          </cell>
          <cell r="BZ3644">
            <v>0</v>
          </cell>
        </row>
        <row r="3645">
          <cell r="BY3645">
            <v>0</v>
          </cell>
          <cell r="BZ3645">
            <v>0</v>
          </cell>
        </row>
        <row r="3646">
          <cell r="BY3646">
            <v>0</v>
          </cell>
          <cell r="BZ3646">
            <v>0</v>
          </cell>
        </row>
        <row r="3647">
          <cell r="BY3647">
            <v>0</v>
          </cell>
          <cell r="BZ3647">
            <v>0</v>
          </cell>
        </row>
        <row r="3648">
          <cell r="BY3648">
            <v>0</v>
          </cell>
          <cell r="BZ3648">
            <v>0</v>
          </cell>
        </row>
        <row r="3649">
          <cell r="BY3649">
            <v>0</v>
          </cell>
          <cell r="BZ3649">
            <v>0</v>
          </cell>
        </row>
        <row r="3650">
          <cell r="BY3650">
            <v>0</v>
          </cell>
          <cell r="BZ3650">
            <v>0</v>
          </cell>
        </row>
        <row r="3651">
          <cell r="BY3651">
            <v>0</v>
          </cell>
          <cell r="BZ3651">
            <v>0</v>
          </cell>
        </row>
        <row r="3652">
          <cell r="BY3652">
            <v>0</v>
          </cell>
          <cell r="BZ3652">
            <v>0</v>
          </cell>
        </row>
        <row r="3653">
          <cell r="BY3653">
            <v>0</v>
          </cell>
          <cell r="BZ3653">
            <v>0</v>
          </cell>
        </row>
        <row r="3654">
          <cell r="BY3654">
            <v>0</v>
          </cell>
          <cell r="BZ3654">
            <v>0</v>
          </cell>
        </row>
        <row r="3655">
          <cell r="BY3655">
            <v>0</v>
          </cell>
          <cell r="BZ3655">
            <v>0</v>
          </cell>
        </row>
        <row r="3656">
          <cell r="BY3656">
            <v>0</v>
          </cell>
          <cell r="BZ3656">
            <v>0</v>
          </cell>
        </row>
        <row r="3657">
          <cell r="BY3657">
            <v>0</v>
          </cell>
          <cell r="BZ3657">
            <v>0</v>
          </cell>
        </row>
        <row r="3658">
          <cell r="BY3658">
            <v>0</v>
          </cell>
          <cell r="BZ3658">
            <v>0</v>
          </cell>
        </row>
        <row r="3659">
          <cell r="BY3659">
            <v>0</v>
          </cell>
          <cell r="BZ3659">
            <v>0</v>
          </cell>
        </row>
        <row r="3660">
          <cell r="BY3660">
            <v>0</v>
          </cell>
          <cell r="BZ3660">
            <v>0</v>
          </cell>
        </row>
        <row r="3661">
          <cell r="BY3661">
            <v>0</v>
          </cell>
          <cell r="BZ3661">
            <v>0</v>
          </cell>
        </row>
        <row r="3662">
          <cell r="BY3662">
            <v>0</v>
          </cell>
          <cell r="BZ3662">
            <v>0</v>
          </cell>
        </row>
        <row r="3663">
          <cell r="BY3663">
            <v>0</v>
          </cell>
          <cell r="BZ3663">
            <v>0</v>
          </cell>
        </row>
        <row r="3664">
          <cell r="BY3664">
            <v>0</v>
          </cell>
          <cell r="BZ3664">
            <v>0</v>
          </cell>
        </row>
        <row r="3665">
          <cell r="BY3665">
            <v>0</v>
          </cell>
          <cell r="BZ3665">
            <v>0</v>
          </cell>
        </row>
        <row r="3666">
          <cell r="BY3666">
            <v>0</v>
          </cell>
          <cell r="BZ3666">
            <v>0</v>
          </cell>
        </row>
        <row r="3667">
          <cell r="BY3667">
            <v>0</v>
          </cell>
          <cell r="BZ3667">
            <v>0</v>
          </cell>
        </row>
        <row r="3668">
          <cell r="BY3668">
            <v>0</v>
          </cell>
          <cell r="BZ3668">
            <v>0</v>
          </cell>
        </row>
        <row r="3669">
          <cell r="BY3669">
            <v>0</v>
          </cell>
          <cell r="BZ3669">
            <v>0</v>
          </cell>
        </row>
        <row r="3670">
          <cell r="BY3670">
            <v>0</v>
          </cell>
          <cell r="BZ3670">
            <v>0</v>
          </cell>
        </row>
        <row r="3671">
          <cell r="BY3671">
            <v>0</v>
          </cell>
          <cell r="BZ3671">
            <v>0</v>
          </cell>
        </row>
        <row r="3672">
          <cell r="BY3672">
            <v>0</v>
          </cell>
          <cell r="BZ3672">
            <v>0</v>
          </cell>
        </row>
        <row r="3673">
          <cell r="BY3673">
            <v>0</v>
          </cell>
          <cell r="BZ3673">
            <v>0</v>
          </cell>
        </row>
        <row r="3674">
          <cell r="BY3674">
            <v>0</v>
          </cell>
          <cell r="BZ3674">
            <v>0</v>
          </cell>
        </row>
        <row r="3675">
          <cell r="BY3675">
            <v>0</v>
          </cell>
          <cell r="BZ3675">
            <v>0</v>
          </cell>
        </row>
        <row r="3676">
          <cell r="BY3676">
            <v>0</v>
          </cell>
          <cell r="BZ3676">
            <v>0</v>
          </cell>
        </row>
        <row r="3677">
          <cell r="BY3677">
            <v>0</v>
          </cell>
          <cell r="BZ3677">
            <v>0</v>
          </cell>
        </row>
        <row r="3678">
          <cell r="BY3678">
            <v>0</v>
          </cell>
          <cell r="BZ3678">
            <v>0</v>
          </cell>
        </row>
        <row r="3679">
          <cell r="BY3679">
            <v>0</v>
          </cell>
          <cell r="BZ3679">
            <v>0</v>
          </cell>
        </row>
        <row r="3680">
          <cell r="BY3680">
            <v>0</v>
          </cell>
          <cell r="BZ3680">
            <v>0</v>
          </cell>
        </row>
        <row r="3681">
          <cell r="BY3681">
            <v>0</v>
          </cell>
          <cell r="BZ3681">
            <v>0</v>
          </cell>
        </row>
        <row r="3682">
          <cell r="BY3682">
            <v>0</v>
          </cell>
          <cell r="BZ3682">
            <v>0</v>
          </cell>
        </row>
        <row r="3683">
          <cell r="BY3683">
            <v>0</v>
          </cell>
          <cell r="BZ3683">
            <v>0</v>
          </cell>
        </row>
        <row r="3684">
          <cell r="BY3684">
            <v>0</v>
          </cell>
          <cell r="BZ3684">
            <v>0</v>
          </cell>
        </row>
        <row r="3685">
          <cell r="BY3685">
            <v>0</v>
          </cell>
          <cell r="BZ3685">
            <v>0</v>
          </cell>
        </row>
        <row r="3686">
          <cell r="BY3686">
            <v>0</v>
          </cell>
          <cell r="BZ3686">
            <v>0</v>
          </cell>
        </row>
        <row r="3687">
          <cell r="BY3687">
            <v>0</v>
          </cell>
          <cell r="BZ3687">
            <v>0</v>
          </cell>
        </row>
        <row r="3688">
          <cell r="BY3688">
            <v>0</v>
          </cell>
          <cell r="BZ3688">
            <v>0</v>
          </cell>
        </row>
        <row r="3689">
          <cell r="BY3689">
            <v>0</v>
          </cell>
          <cell r="BZ3689">
            <v>0</v>
          </cell>
        </row>
        <row r="3690">
          <cell r="BY3690">
            <v>0</v>
          </cell>
          <cell r="BZ3690">
            <v>0</v>
          </cell>
        </row>
        <row r="3691">
          <cell r="BY3691">
            <v>0</v>
          </cell>
          <cell r="BZ3691">
            <v>0</v>
          </cell>
        </row>
        <row r="3692">
          <cell r="BY3692">
            <v>0</v>
          </cell>
          <cell r="BZ3692">
            <v>0</v>
          </cell>
        </row>
        <row r="3693">
          <cell r="BY3693">
            <v>0</v>
          </cell>
          <cell r="BZ3693">
            <v>0</v>
          </cell>
        </row>
        <row r="3694">
          <cell r="BY3694">
            <v>0</v>
          </cell>
          <cell r="BZ3694">
            <v>0</v>
          </cell>
        </row>
        <row r="3695">
          <cell r="BY3695">
            <v>0</v>
          </cell>
          <cell r="BZ3695">
            <v>0</v>
          </cell>
        </row>
        <row r="3696">
          <cell r="BY3696">
            <v>0</v>
          </cell>
          <cell r="BZ3696">
            <v>0</v>
          </cell>
        </row>
        <row r="3697">
          <cell r="BY3697">
            <v>0</v>
          </cell>
          <cell r="BZ3697">
            <v>0</v>
          </cell>
        </row>
        <row r="3698">
          <cell r="BY3698">
            <v>0</v>
          </cell>
          <cell r="BZ3698">
            <v>0</v>
          </cell>
        </row>
        <row r="3699">
          <cell r="BY3699">
            <v>0</v>
          </cell>
          <cell r="BZ3699">
            <v>0</v>
          </cell>
        </row>
        <row r="3700">
          <cell r="BY3700">
            <v>0</v>
          </cell>
          <cell r="BZ3700">
            <v>0</v>
          </cell>
        </row>
        <row r="3701">
          <cell r="BY3701">
            <v>0</v>
          </cell>
          <cell r="BZ3701">
            <v>0</v>
          </cell>
        </row>
        <row r="3702">
          <cell r="BY3702">
            <v>0</v>
          </cell>
          <cell r="BZ3702">
            <v>0</v>
          </cell>
        </row>
        <row r="3703">
          <cell r="BY3703">
            <v>0</v>
          </cell>
          <cell r="BZ3703">
            <v>0</v>
          </cell>
        </row>
        <row r="3704">
          <cell r="BY3704">
            <v>0</v>
          </cell>
          <cell r="BZ3704">
            <v>0</v>
          </cell>
        </row>
        <row r="3705">
          <cell r="BY3705">
            <v>0</v>
          </cell>
          <cell r="BZ3705">
            <v>0</v>
          </cell>
        </row>
        <row r="3706">
          <cell r="BY3706">
            <v>0</v>
          </cell>
          <cell r="BZ3706">
            <v>0</v>
          </cell>
        </row>
        <row r="3707">
          <cell r="BY3707">
            <v>0</v>
          </cell>
          <cell r="BZ3707">
            <v>0</v>
          </cell>
        </row>
        <row r="3708">
          <cell r="BY3708">
            <v>0</v>
          </cell>
          <cell r="BZ3708">
            <v>0</v>
          </cell>
        </row>
        <row r="3709">
          <cell r="BY3709">
            <v>0</v>
          </cell>
          <cell r="BZ3709">
            <v>0</v>
          </cell>
        </row>
        <row r="3710">
          <cell r="BY3710">
            <v>0</v>
          </cell>
          <cell r="BZ3710">
            <v>0</v>
          </cell>
        </row>
        <row r="3711">
          <cell r="BY3711">
            <v>0</v>
          </cell>
          <cell r="BZ3711">
            <v>0</v>
          </cell>
        </row>
        <row r="3712">
          <cell r="BY3712">
            <v>0</v>
          </cell>
          <cell r="BZ3712">
            <v>0</v>
          </cell>
        </row>
        <row r="3713">
          <cell r="BY3713">
            <v>0</v>
          </cell>
          <cell r="BZ3713">
            <v>0</v>
          </cell>
        </row>
        <row r="3714">
          <cell r="BY3714">
            <v>0</v>
          </cell>
          <cell r="BZ3714">
            <v>0</v>
          </cell>
        </row>
        <row r="3715">
          <cell r="BY3715">
            <v>0</v>
          </cell>
          <cell r="BZ3715">
            <v>0</v>
          </cell>
        </row>
        <row r="3716">
          <cell r="BY3716">
            <v>0</v>
          </cell>
          <cell r="BZ3716">
            <v>0</v>
          </cell>
        </row>
        <row r="3717">
          <cell r="BY3717">
            <v>0</v>
          </cell>
          <cell r="BZ3717">
            <v>0</v>
          </cell>
        </row>
        <row r="3718">
          <cell r="BY3718">
            <v>0</v>
          </cell>
          <cell r="BZ3718">
            <v>0</v>
          </cell>
        </row>
        <row r="3719">
          <cell r="BY3719">
            <v>0</v>
          </cell>
          <cell r="BZ3719">
            <v>0</v>
          </cell>
        </row>
        <row r="3720">
          <cell r="BY3720">
            <v>0</v>
          </cell>
          <cell r="BZ3720">
            <v>0</v>
          </cell>
        </row>
        <row r="3721">
          <cell r="BY3721">
            <v>0</v>
          </cell>
          <cell r="BZ3721">
            <v>0</v>
          </cell>
        </row>
        <row r="3722">
          <cell r="BY3722">
            <v>0</v>
          </cell>
          <cell r="BZ3722">
            <v>0</v>
          </cell>
        </row>
        <row r="3723">
          <cell r="BY3723">
            <v>0</v>
          </cell>
          <cell r="BZ3723">
            <v>0</v>
          </cell>
        </row>
        <row r="3724">
          <cell r="BY3724">
            <v>0</v>
          </cell>
          <cell r="BZ3724">
            <v>0</v>
          </cell>
        </row>
        <row r="3725">
          <cell r="BY3725">
            <v>0</v>
          </cell>
          <cell r="BZ3725">
            <v>0</v>
          </cell>
        </row>
        <row r="3726">
          <cell r="BY3726">
            <v>0</v>
          </cell>
          <cell r="BZ3726">
            <v>0</v>
          </cell>
        </row>
        <row r="3727">
          <cell r="BY3727">
            <v>0</v>
          </cell>
          <cell r="BZ3727">
            <v>0</v>
          </cell>
        </row>
        <row r="3728">
          <cell r="BY3728">
            <v>0</v>
          </cell>
          <cell r="BZ3728">
            <v>0</v>
          </cell>
        </row>
        <row r="3729">
          <cell r="BY3729">
            <v>0</v>
          </cell>
          <cell r="BZ3729">
            <v>0</v>
          </cell>
        </row>
        <row r="3730">
          <cell r="BY3730">
            <v>0</v>
          </cell>
          <cell r="BZ3730">
            <v>0</v>
          </cell>
        </row>
        <row r="3731">
          <cell r="BY3731">
            <v>0</v>
          </cell>
          <cell r="BZ3731">
            <v>0</v>
          </cell>
        </row>
        <row r="3732">
          <cell r="BY3732">
            <v>0</v>
          </cell>
          <cell r="BZ3732">
            <v>0</v>
          </cell>
        </row>
        <row r="3733">
          <cell r="BY3733">
            <v>0</v>
          </cell>
          <cell r="BZ3733">
            <v>0</v>
          </cell>
        </row>
        <row r="3734">
          <cell r="BY3734">
            <v>0</v>
          </cell>
          <cell r="BZ3734">
            <v>0</v>
          </cell>
        </row>
        <row r="3735">
          <cell r="BY3735">
            <v>0</v>
          </cell>
          <cell r="BZ3735">
            <v>0</v>
          </cell>
        </row>
        <row r="3736">
          <cell r="BY3736">
            <v>0</v>
          </cell>
          <cell r="BZ3736">
            <v>0</v>
          </cell>
        </row>
        <row r="3737">
          <cell r="BY3737">
            <v>0</v>
          </cell>
          <cell r="BZ3737">
            <v>0</v>
          </cell>
        </row>
        <row r="3738">
          <cell r="BY3738">
            <v>0</v>
          </cell>
          <cell r="BZ3738">
            <v>0</v>
          </cell>
        </row>
        <row r="3739">
          <cell r="BY3739">
            <v>0</v>
          </cell>
          <cell r="BZ3739">
            <v>0</v>
          </cell>
        </row>
        <row r="3740">
          <cell r="BY3740">
            <v>0</v>
          </cell>
          <cell r="BZ3740">
            <v>0</v>
          </cell>
        </row>
        <row r="3741">
          <cell r="BY3741">
            <v>0</v>
          </cell>
          <cell r="BZ3741">
            <v>0</v>
          </cell>
        </row>
        <row r="3742">
          <cell r="BY3742">
            <v>0</v>
          </cell>
          <cell r="BZ3742">
            <v>0</v>
          </cell>
        </row>
        <row r="3743">
          <cell r="BY3743">
            <v>0</v>
          </cell>
          <cell r="BZ3743">
            <v>0</v>
          </cell>
        </row>
        <row r="3744">
          <cell r="BY3744">
            <v>0</v>
          </cell>
          <cell r="BZ3744">
            <v>0</v>
          </cell>
        </row>
        <row r="3745">
          <cell r="BY3745">
            <v>0</v>
          </cell>
          <cell r="BZ3745">
            <v>0</v>
          </cell>
        </row>
        <row r="3746">
          <cell r="BY3746">
            <v>0</v>
          </cell>
          <cell r="BZ3746">
            <v>0</v>
          </cell>
        </row>
        <row r="3747">
          <cell r="BY3747">
            <v>0</v>
          </cell>
          <cell r="BZ3747">
            <v>0</v>
          </cell>
        </row>
        <row r="3748">
          <cell r="BY3748">
            <v>0</v>
          </cell>
          <cell r="BZ3748">
            <v>0</v>
          </cell>
        </row>
        <row r="3749">
          <cell r="BY3749">
            <v>0</v>
          </cell>
          <cell r="BZ3749">
            <v>0</v>
          </cell>
        </row>
        <row r="3750">
          <cell r="BY3750">
            <v>0</v>
          </cell>
          <cell r="BZ3750">
            <v>0</v>
          </cell>
        </row>
        <row r="3751">
          <cell r="BY3751">
            <v>0</v>
          </cell>
          <cell r="BZ3751">
            <v>0</v>
          </cell>
        </row>
        <row r="3752">
          <cell r="BY3752">
            <v>0</v>
          </cell>
          <cell r="BZ3752">
            <v>0</v>
          </cell>
        </row>
        <row r="3753">
          <cell r="BY3753">
            <v>0</v>
          </cell>
          <cell r="BZ3753">
            <v>0</v>
          </cell>
        </row>
        <row r="3754">
          <cell r="BY3754">
            <v>0</v>
          </cell>
          <cell r="BZ3754">
            <v>0</v>
          </cell>
        </row>
        <row r="3755">
          <cell r="BY3755">
            <v>0</v>
          </cell>
          <cell r="BZ3755">
            <v>0</v>
          </cell>
        </row>
        <row r="3756">
          <cell r="BY3756">
            <v>0</v>
          </cell>
          <cell r="BZ3756">
            <v>0</v>
          </cell>
        </row>
        <row r="3757">
          <cell r="BY3757">
            <v>0</v>
          </cell>
          <cell r="BZ3757">
            <v>0</v>
          </cell>
        </row>
        <row r="3758">
          <cell r="BY3758">
            <v>0</v>
          </cell>
          <cell r="BZ3758">
            <v>0</v>
          </cell>
        </row>
        <row r="3759">
          <cell r="BY3759">
            <v>0</v>
          </cell>
          <cell r="BZ3759">
            <v>0</v>
          </cell>
        </row>
        <row r="3760">
          <cell r="BY3760">
            <v>0</v>
          </cell>
          <cell r="BZ3760">
            <v>0</v>
          </cell>
        </row>
        <row r="3761">
          <cell r="BY3761">
            <v>0</v>
          </cell>
          <cell r="BZ3761">
            <v>0</v>
          </cell>
        </row>
        <row r="3762">
          <cell r="BY3762">
            <v>0</v>
          </cell>
          <cell r="BZ3762">
            <v>0</v>
          </cell>
        </row>
        <row r="3763">
          <cell r="BY3763">
            <v>0</v>
          </cell>
          <cell r="BZ3763">
            <v>0</v>
          </cell>
        </row>
        <row r="3764">
          <cell r="BY3764">
            <v>0</v>
          </cell>
          <cell r="BZ3764">
            <v>0</v>
          </cell>
        </row>
        <row r="3765">
          <cell r="BY3765">
            <v>0</v>
          </cell>
          <cell r="BZ3765">
            <v>0</v>
          </cell>
        </row>
        <row r="3766">
          <cell r="BY3766">
            <v>0</v>
          </cell>
          <cell r="BZ3766">
            <v>0</v>
          </cell>
        </row>
        <row r="3767">
          <cell r="BY3767">
            <v>0</v>
          </cell>
          <cell r="BZ3767">
            <v>0</v>
          </cell>
        </row>
        <row r="3768">
          <cell r="BY3768">
            <v>0</v>
          </cell>
          <cell r="BZ3768">
            <v>0</v>
          </cell>
        </row>
        <row r="3769">
          <cell r="BY3769">
            <v>0</v>
          </cell>
          <cell r="BZ3769">
            <v>0</v>
          </cell>
        </row>
        <row r="3770">
          <cell r="BY3770">
            <v>0</v>
          </cell>
          <cell r="BZ3770">
            <v>0</v>
          </cell>
        </row>
        <row r="3771">
          <cell r="BY3771">
            <v>0</v>
          </cell>
          <cell r="BZ3771">
            <v>0</v>
          </cell>
        </row>
        <row r="3772">
          <cell r="BY3772">
            <v>0</v>
          </cell>
          <cell r="BZ3772">
            <v>0</v>
          </cell>
        </row>
        <row r="3773">
          <cell r="BY3773">
            <v>0</v>
          </cell>
          <cell r="BZ3773">
            <v>0</v>
          </cell>
        </row>
        <row r="3774">
          <cell r="BY3774">
            <v>0</v>
          </cell>
          <cell r="BZ3774">
            <v>0</v>
          </cell>
        </row>
        <row r="3775">
          <cell r="BY3775">
            <v>0</v>
          </cell>
          <cell r="BZ3775">
            <v>0</v>
          </cell>
        </row>
        <row r="3776">
          <cell r="BY3776">
            <v>0</v>
          </cell>
          <cell r="BZ3776">
            <v>0</v>
          </cell>
        </row>
        <row r="3777">
          <cell r="BY3777">
            <v>0</v>
          </cell>
          <cell r="BZ3777">
            <v>0</v>
          </cell>
        </row>
        <row r="3778">
          <cell r="BY3778">
            <v>0</v>
          </cell>
          <cell r="BZ3778">
            <v>0</v>
          </cell>
        </row>
        <row r="3779">
          <cell r="BY3779">
            <v>0</v>
          </cell>
          <cell r="BZ3779">
            <v>0</v>
          </cell>
        </row>
        <row r="3780">
          <cell r="BY3780">
            <v>0</v>
          </cell>
          <cell r="BZ3780">
            <v>0</v>
          </cell>
        </row>
        <row r="3781">
          <cell r="BY3781">
            <v>0</v>
          </cell>
          <cell r="BZ3781">
            <v>0</v>
          </cell>
        </row>
        <row r="3782">
          <cell r="BY3782">
            <v>0</v>
          </cell>
          <cell r="BZ3782">
            <v>0</v>
          </cell>
        </row>
        <row r="3783">
          <cell r="BY3783">
            <v>0</v>
          </cell>
          <cell r="BZ3783">
            <v>0</v>
          </cell>
        </row>
        <row r="3784">
          <cell r="BY3784">
            <v>0</v>
          </cell>
          <cell r="BZ3784">
            <v>0</v>
          </cell>
        </row>
        <row r="3785">
          <cell r="BY3785">
            <v>0</v>
          </cell>
          <cell r="BZ3785">
            <v>0</v>
          </cell>
        </row>
        <row r="3786">
          <cell r="BY3786">
            <v>0</v>
          </cell>
          <cell r="BZ3786">
            <v>0</v>
          </cell>
        </row>
        <row r="3787">
          <cell r="BY3787">
            <v>0</v>
          </cell>
          <cell r="BZ3787">
            <v>0</v>
          </cell>
        </row>
        <row r="3788">
          <cell r="BY3788">
            <v>0</v>
          </cell>
          <cell r="BZ3788">
            <v>0</v>
          </cell>
        </row>
        <row r="3789">
          <cell r="BY3789">
            <v>0</v>
          </cell>
          <cell r="BZ3789">
            <v>0</v>
          </cell>
        </row>
        <row r="3790">
          <cell r="BY3790">
            <v>0</v>
          </cell>
          <cell r="BZ3790">
            <v>0</v>
          </cell>
        </row>
        <row r="3791">
          <cell r="BY3791">
            <v>0</v>
          </cell>
          <cell r="BZ3791">
            <v>0</v>
          </cell>
        </row>
        <row r="3792">
          <cell r="BY3792">
            <v>0</v>
          </cell>
          <cell r="BZ3792">
            <v>0</v>
          </cell>
        </row>
        <row r="3793">
          <cell r="BY3793">
            <v>0</v>
          </cell>
          <cell r="BZ3793">
            <v>0</v>
          </cell>
        </row>
        <row r="3794">
          <cell r="BY3794">
            <v>0</v>
          </cell>
          <cell r="BZ3794">
            <v>0</v>
          </cell>
        </row>
        <row r="3795">
          <cell r="BY3795">
            <v>0</v>
          </cell>
          <cell r="BZ3795">
            <v>0</v>
          </cell>
        </row>
        <row r="3796">
          <cell r="BY3796">
            <v>0</v>
          </cell>
          <cell r="BZ3796">
            <v>0</v>
          </cell>
        </row>
        <row r="3797">
          <cell r="BY3797">
            <v>0</v>
          </cell>
          <cell r="BZ3797">
            <v>0</v>
          </cell>
        </row>
        <row r="3798">
          <cell r="BY3798">
            <v>0</v>
          </cell>
          <cell r="BZ3798">
            <v>0</v>
          </cell>
        </row>
        <row r="3799">
          <cell r="BY3799">
            <v>0</v>
          </cell>
          <cell r="BZ3799">
            <v>0</v>
          </cell>
        </row>
        <row r="3800">
          <cell r="BY3800">
            <v>0</v>
          </cell>
          <cell r="BZ3800">
            <v>0</v>
          </cell>
        </row>
        <row r="3801">
          <cell r="BY3801">
            <v>0</v>
          </cell>
          <cell r="BZ3801">
            <v>0</v>
          </cell>
        </row>
        <row r="3802">
          <cell r="BY3802">
            <v>0</v>
          </cell>
          <cell r="BZ3802">
            <v>0</v>
          </cell>
        </row>
        <row r="3803">
          <cell r="BY3803">
            <v>0</v>
          </cell>
          <cell r="BZ3803">
            <v>0</v>
          </cell>
        </row>
        <row r="3804">
          <cell r="BY3804">
            <v>0</v>
          </cell>
          <cell r="BZ3804">
            <v>0</v>
          </cell>
        </row>
        <row r="3805">
          <cell r="BY3805">
            <v>0</v>
          </cell>
          <cell r="BZ3805">
            <v>0</v>
          </cell>
        </row>
        <row r="3806">
          <cell r="BY3806">
            <v>0</v>
          </cell>
          <cell r="BZ3806">
            <v>0</v>
          </cell>
        </row>
        <row r="3807">
          <cell r="BY3807">
            <v>0</v>
          </cell>
          <cell r="BZ3807">
            <v>0</v>
          </cell>
        </row>
        <row r="3808">
          <cell r="BY3808">
            <v>0</v>
          </cell>
          <cell r="BZ3808">
            <v>0</v>
          </cell>
        </row>
        <row r="3809">
          <cell r="BY3809">
            <v>0</v>
          </cell>
          <cell r="BZ3809">
            <v>0</v>
          </cell>
        </row>
        <row r="3810">
          <cell r="BY3810">
            <v>0</v>
          </cell>
          <cell r="BZ3810">
            <v>0</v>
          </cell>
        </row>
        <row r="3811">
          <cell r="BY3811">
            <v>0</v>
          </cell>
          <cell r="BZ3811">
            <v>0</v>
          </cell>
        </row>
        <row r="3812">
          <cell r="BY3812">
            <v>0</v>
          </cell>
          <cell r="BZ3812">
            <v>0</v>
          </cell>
        </row>
        <row r="3813">
          <cell r="BY3813">
            <v>0</v>
          </cell>
          <cell r="BZ3813">
            <v>0</v>
          </cell>
        </row>
        <row r="3814">
          <cell r="BY3814">
            <v>0</v>
          </cell>
          <cell r="BZ3814">
            <v>0</v>
          </cell>
        </row>
        <row r="3815">
          <cell r="BY3815">
            <v>0</v>
          </cell>
          <cell r="BZ3815">
            <v>0</v>
          </cell>
        </row>
        <row r="3816">
          <cell r="BY3816">
            <v>0</v>
          </cell>
          <cell r="BZ3816">
            <v>0</v>
          </cell>
        </row>
        <row r="3817">
          <cell r="BY3817">
            <v>0</v>
          </cell>
          <cell r="BZ3817">
            <v>0</v>
          </cell>
        </row>
        <row r="3818">
          <cell r="BY3818">
            <v>0</v>
          </cell>
          <cell r="BZ3818">
            <v>0</v>
          </cell>
        </row>
        <row r="3819">
          <cell r="BY3819">
            <v>0</v>
          </cell>
          <cell r="BZ3819">
            <v>0</v>
          </cell>
        </row>
        <row r="3820">
          <cell r="BY3820">
            <v>0</v>
          </cell>
          <cell r="BZ3820">
            <v>0</v>
          </cell>
        </row>
        <row r="3821">
          <cell r="BY3821">
            <v>0</v>
          </cell>
          <cell r="BZ3821">
            <v>0</v>
          </cell>
        </row>
        <row r="3822">
          <cell r="BY3822">
            <v>0</v>
          </cell>
          <cell r="BZ3822">
            <v>0</v>
          </cell>
        </row>
        <row r="3823">
          <cell r="BY3823">
            <v>0</v>
          </cell>
          <cell r="BZ3823">
            <v>0</v>
          </cell>
        </row>
        <row r="3824">
          <cell r="BY3824">
            <v>0</v>
          </cell>
          <cell r="BZ3824">
            <v>0</v>
          </cell>
        </row>
        <row r="3825">
          <cell r="BY3825">
            <v>0</v>
          </cell>
          <cell r="BZ3825">
            <v>0</v>
          </cell>
        </row>
        <row r="3826">
          <cell r="BY3826">
            <v>0</v>
          </cell>
          <cell r="BZ3826">
            <v>0</v>
          </cell>
        </row>
        <row r="3827">
          <cell r="BY3827">
            <v>0</v>
          </cell>
          <cell r="BZ3827">
            <v>0</v>
          </cell>
        </row>
        <row r="3828">
          <cell r="BY3828">
            <v>0</v>
          </cell>
          <cell r="BZ3828">
            <v>0</v>
          </cell>
        </row>
        <row r="3829">
          <cell r="BY3829">
            <v>0</v>
          </cell>
          <cell r="BZ3829">
            <v>0</v>
          </cell>
        </row>
        <row r="3830">
          <cell r="BY3830">
            <v>0</v>
          </cell>
          <cell r="BZ3830">
            <v>0</v>
          </cell>
        </row>
        <row r="3831">
          <cell r="BY3831">
            <v>0</v>
          </cell>
          <cell r="BZ3831">
            <v>0</v>
          </cell>
        </row>
        <row r="3832">
          <cell r="BY3832">
            <v>0</v>
          </cell>
          <cell r="BZ3832">
            <v>0</v>
          </cell>
        </row>
        <row r="3833">
          <cell r="BY3833">
            <v>0</v>
          </cell>
          <cell r="BZ3833">
            <v>0</v>
          </cell>
        </row>
        <row r="3834">
          <cell r="BY3834">
            <v>0</v>
          </cell>
          <cell r="BZ3834">
            <v>0</v>
          </cell>
        </row>
        <row r="3835">
          <cell r="BY3835">
            <v>0</v>
          </cell>
          <cell r="BZ3835">
            <v>0</v>
          </cell>
        </row>
        <row r="3836">
          <cell r="BY3836">
            <v>0</v>
          </cell>
          <cell r="BZ3836">
            <v>0</v>
          </cell>
        </row>
        <row r="3837">
          <cell r="BY3837">
            <v>0</v>
          </cell>
          <cell r="BZ3837">
            <v>0</v>
          </cell>
        </row>
        <row r="3838">
          <cell r="BY3838">
            <v>0</v>
          </cell>
          <cell r="BZ3838">
            <v>0</v>
          </cell>
        </row>
        <row r="3839">
          <cell r="BY3839">
            <v>0</v>
          </cell>
          <cell r="BZ3839">
            <v>0</v>
          </cell>
        </row>
        <row r="3840">
          <cell r="BY3840">
            <v>0</v>
          </cell>
          <cell r="BZ3840">
            <v>0</v>
          </cell>
        </row>
        <row r="3841">
          <cell r="BY3841">
            <v>0</v>
          </cell>
          <cell r="BZ3841">
            <v>0</v>
          </cell>
        </row>
        <row r="3842">
          <cell r="BY3842">
            <v>0</v>
          </cell>
          <cell r="BZ3842">
            <v>0</v>
          </cell>
        </row>
        <row r="3843">
          <cell r="BY3843">
            <v>0</v>
          </cell>
          <cell r="BZ3843">
            <v>0</v>
          </cell>
        </row>
        <row r="3844">
          <cell r="BY3844">
            <v>0</v>
          </cell>
          <cell r="BZ3844">
            <v>0</v>
          </cell>
        </row>
        <row r="3845">
          <cell r="BY3845">
            <v>0</v>
          </cell>
          <cell r="BZ3845">
            <v>0</v>
          </cell>
        </row>
        <row r="3846">
          <cell r="BY3846">
            <v>0</v>
          </cell>
          <cell r="BZ3846">
            <v>0</v>
          </cell>
        </row>
        <row r="3847">
          <cell r="BY3847">
            <v>0</v>
          </cell>
          <cell r="BZ3847">
            <v>0</v>
          </cell>
        </row>
        <row r="3848">
          <cell r="BY3848">
            <v>0</v>
          </cell>
          <cell r="BZ3848">
            <v>0</v>
          </cell>
        </row>
        <row r="3849">
          <cell r="BY3849">
            <v>0</v>
          </cell>
          <cell r="BZ3849">
            <v>0</v>
          </cell>
        </row>
        <row r="3850">
          <cell r="BY3850">
            <v>0</v>
          </cell>
          <cell r="BZ3850">
            <v>0</v>
          </cell>
        </row>
        <row r="3851">
          <cell r="BY3851">
            <v>0</v>
          </cell>
          <cell r="BZ3851">
            <v>0</v>
          </cell>
        </row>
        <row r="3852">
          <cell r="BY3852">
            <v>0</v>
          </cell>
          <cell r="BZ3852">
            <v>0</v>
          </cell>
        </row>
        <row r="3853">
          <cell r="BY3853">
            <v>0</v>
          </cell>
          <cell r="BZ3853">
            <v>0</v>
          </cell>
        </row>
        <row r="3854">
          <cell r="BY3854">
            <v>0</v>
          </cell>
          <cell r="BZ3854">
            <v>0</v>
          </cell>
        </row>
        <row r="3855">
          <cell r="BY3855">
            <v>0</v>
          </cell>
          <cell r="BZ3855">
            <v>0</v>
          </cell>
        </row>
        <row r="3856">
          <cell r="BY3856">
            <v>0</v>
          </cell>
          <cell r="BZ3856">
            <v>0</v>
          </cell>
        </row>
        <row r="3857">
          <cell r="BY3857">
            <v>0</v>
          </cell>
          <cell r="BZ3857">
            <v>0</v>
          </cell>
        </row>
        <row r="3858">
          <cell r="BY3858">
            <v>0</v>
          </cell>
          <cell r="BZ3858">
            <v>0</v>
          </cell>
        </row>
        <row r="3859">
          <cell r="BY3859">
            <v>0</v>
          </cell>
          <cell r="BZ3859">
            <v>0</v>
          </cell>
        </row>
        <row r="3860">
          <cell r="BY3860">
            <v>0</v>
          </cell>
          <cell r="BZ3860">
            <v>0</v>
          </cell>
        </row>
        <row r="3861">
          <cell r="BY3861">
            <v>0</v>
          </cell>
          <cell r="BZ3861">
            <v>0</v>
          </cell>
        </row>
        <row r="3862">
          <cell r="BY3862">
            <v>0</v>
          </cell>
          <cell r="BZ3862">
            <v>0</v>
          </cell>
        </row>
        <row r="3863">
          <cell r="BY3863">
            <v>0</v>
          </cell>
          <cell r="BZ3863">
            <v>0</v>
          </cell>
        </row>
        <row r="3864">
          <cell r="BY3864">
            <v>0</v>
          </cell>
          <cell r="BZ3864">
            <v>0</v>
          </cell>
        </row>
        <row r="3865">
          <cell r="BY3865">
            <v>0</v>
          </cell>
          <cell r="BZ3865">
            <v>0</v>
          </cell>
        </row>
        <row r="3866">
          <cell r="BY3866">
            <v>0</v>
          </cell>
          <cell r="BZ3866">
            <v>0</v>
          </cell>
        </row>
        <row r="3867">
          <cell r="BY3867">
            <v>0</v>
          </cell>
          <cell r="BZ3867">
            <v>0</v>
          </cell>
        </row>
        <row r="3868">
          <cell r="BY3868">
            <v>0</v>
          </cell>
          <cell r="BZ3868">
            <v>0</v>
          </cell>
        </row>
        <row r="3869">
          <cell r="BY3869">
            <v>0</v>
          </cell>
          <cell r="BZ3869">
            <v>0</v>
          </cell>
        </row>
        <row r="3870">
          <cell r="BY3870">
            <v>0</v>
          </cell>
          <cell r="BZ3870">
            <v>0</v>
          </cell>
        </row>
        <row r="3871">
          <cell r="BY3871">
            <v>0</v>
          </cell>
          <cell r="BZ3871">
            <v>0</v>
          </cell>
        </row>
        <row r="3872">
          <cell r="BY3872">
            <v>0</v>
          </cell>
          <cell r="BZ3872">
            <v>0</v>
          </cell>
        </row>
        <row r="3873">
          <cell r="BY3873">
            <v>0</v>
          </cell>
          <cell r="BZ3873">
            <v>0</v>
          </cell>
        </row>
        <row r="3874">
          <cell r="BY3874">
            <v>0</v>
          </cell>
          <cell r="BZ3874">
            <v>0</v>
          </cell>
        </row>
        <row r="3875">
          <cell r="BY3875">
            <v>0</v>
          </cell>
          <cell r="BZ3875">
            <v>0</v>
          </cell>
        </row>
        <row r="3876">
          <cell r="BY3876">
            <v>0</v>
          </cell>
          <cell r="BZ3876">
            <v>0</v>
          </cell>
        </row>
        <row r="3877">
          <cell r="BY3877">
            <v>0</v>
          </cell>
          <cell r="BZ3877">
            <v>0</v>
          </cell>
        </row>
        <row r="3878">
          <cell r="BY3878">
            <v>0</v>
          </cell>
          <cell r="BZ3878">
            <v>0</v>
          </cell>
        </row>
        <row r="3879">
          <cell r="BY3879">
            <v>0</v>
          </cell>
          <cell r="BZ3879">
            <v>0</v>
          </cell>
        </row>
        <row r="3880">
          <cell r="BY3880">
            <v>0</v>
          </cell>
          <cell r="BZ3880">
            <v>0</v>
          </cell>
        </row>
        <row r="3881">
          <cell r="BY3881">
            <v>0</v>
          </cell>
          <cell r="BZ3881">
            <v>0</v>
          </cell>
        </row>
        <row r="3882">
          <cell r="BY3882">
            <v>0</v>
          </cell>
          <cell r="BZ3882">
            <v>0</v>
          </cell>
        </row>
        <row r="3883">
          <cell r="BY3883">
            <v>0</v>
          </cell>
          <cell r="BZ3883">
            <v>0</v>
          </cell>
        </row>
        <row r="3884">
          <cell r="BY3884">
            <v>0</v>
          </cell>
          <cell r="BZ3884">
            <v>0</v>
          </cell>
        </row>
        <row r="3885">
          <cell r="BY3885">
            <v>0</v>
          </cell>
          <cell r="BZ3885">
            <v>0</v>
          </cell>
        </row>
        <row r="3886">
          <cell r="BY3886">
            <v>0</v>
          </cell>
          <cell r="BZ3886">
            <v>0</v>
          </cell>
        </row>
        <row r="3887">
          <cell r="BY3887">
            <v>0</v>
          </cell>
          <cell r="BZ3887">
            <v>0</v>
          </cell>
        </row>
        <row r="3888">
          <cell r="BY3888">
            <v>0</v>
          </cell>
          <cell r="BZ3888">
            <v>0</v>
          </cell>
        </row>
        <row r="3889">
          <cell r="BY3889">
            <v>0</v>
          </cell>
          <cell r="BZ3889">
            <v>0</v>
          </cell>
        </row>
        <row r="3890">
          <cell r="BY3890">
            <v>0</v>
          </cell>
          <cell r="BZ3890">
            <v>0</v>
          </cell>
        </row>
        <row r="3891">
          <cell r="BY3891">
            <v>0</v>
          </cell>
          <cell r="BZ3891">
            <v>0</v>
          </cell>
        </row>
        <row r="3892">
          <cell r="BY3892">
            <v>0</v>
          </cell>
          <cell r="BZ3892">
            <v>0</v>
          </cell>
        </row>
        <row r="3893">
          <cell r="BY3893">
            <v>0</v>
          </cell>
          <cell r="BZ3893">
            <v>0</v>
          </cell>
        </row>
        <row r="3894">
          <cell r="BY3894">
            <v>0</v>
          </cell>
          <cell r="BZ3894">
            <v>0</v>
          </cell>
        </row>
        <row r="3895">
          <cell r="BY3895">
            <v>0</v>
          </cell>
          <cell r="BZ3895">
            <v>0</v>
          </cell>
        </row>
        <row r="3896">
          <cell r="BY3896">
            <v>0</v>
          </cell>
          <cell r="BZ3896">
            <v>0</v>
          </cell>
        </row>
        <row r="3897">
          <cell r="BY3897">
            <v>0</v>
          </cell>
          <cell r="BZ3897">
            <v>0</v>
          </cell>
        </row>
        <row r="3898">
          <cell r="BY3898">
            <v>0</v>
          </cell>
          <cell r="BZ3898">
            <v>0</v>
          </cell>
        </row>
        <row r="3899">
          <cell r="BY3899">
            <v>0</v>
          </cell>
          <cell r="BZ3899">
            <v>0</v>
          </cell>
        </row>
        <row r="3900">
          <cell r="BY3900">
            <v>0</v>
          </cell>
          <cell r="BZ3900">
            <v>0</v>
          </cell>
        </row>
        <row r="3901">
          <cell r="BY3901">
            <v>0</v>
          </cell>
          <cell r="BZ3901">
            <v>0</v>
          </cell>
        </row>
        <row r="3902">
          <cell r="BY3902">
            <v>0</v>
          </cell>
          <cell r="BZ3902">
            <v>0</v>
          </cell>
        </row>
        <row r="3903">
          <cell r="BY3903">
            <v>0</v>
          </cell>
          <cell r="BZ3903">
            <v>0</v>
          </cell>
        </row>
        <row r="3904">
          <cell r="BY3904">
            <v>0</v>
          </cell>
          <cell r="BZ3904">
            <v>0</v>
          </cell>
        </row>
        <row r="3905">
          <cell r="BY3905">
            <v>0</v>
          </cell>
          <cell r="BZ3905">
            <v>0</v>
          </cell>
        </row>
        <row r="3906">
          <cell r="BY3906">
            <v>0</v>
          </cell>
          <cell r="BZ3906">
            <v>0</v>
          </cell>
        </row>
        <row r="3907">
          <cell r="BY3907">
            <v>0</v>
          </cell>
          <cell r="BZ3907">
            <v>0</v>
          </cell>
        </row>
        <row r="3908">
          <cell r="BY3908">
            <v>0</v>
          </cell>
          <cell r="BZ3908">
            <v>0</v>
          </cell>
        </row>
        <row r="3909">
          <cell r="BY3909">
            <v>0</v>
          </cell>
          <cell r="BZ3909">
            <v>0</v>
          </cell>
        </row>
        <row r="3910">
          <cell r="BY3910">
            <v>0</v>
          </cell>
          <cell r="BZ3910">
            <v>0</v>
          </cell>
        </row>
        <row r="3911">
          <cell r="BY3911">
            <v>0</v>
          </cell>
          <cell r="BZ3911">
            <v>0</v>
          </cell>
        </row>
        <row r="3912">
          <cell r="BY3912">
            <v>0</v>
          </cell>
          <cell r="BZ3912">
            <v>0</v>
          </cell>
        </row>
        <row r="3913">
          <cell r="BY3913">
            <v>0</v>
          </cell>
          <cell r="BZ3913">
            <v>0</v>
          </cell>
        </row>
        <row r="3914">
          <cell r="BY3914">
            <v>0</v>
          </cell>
          <cell r="BZ3914">
            <v>0</v>
          </cell>
        </row>
        <row r="3915">
          <cell r="BY3915">
            <v>0</v>
          </cell>
          <cell r="BZ3915">
            <v>0</v>
          </cell>
        </row>
        <row r="3916">
          <cell r="BY3916">
            <v>0</v>
          </cell>
          <cell r="BZ3916">
            <v>0</v>
          </cell>
        </row>
        <row r="3917">
          <cell r="BY3917">
            <v>0</v>
          </cell>
          <cell r="BZ3917">
            <v>0</v>
          </cell>
        </row>
        <row r="3918">
          <cell r="BY3918">
            <v>0</v>
          </cell>
          <cell r="BZ3918">
            <v>0</v>
          </cell>
        </row>
        <row r="3919">
          <cell r="BY3919">
            <v>0</v>
          </cell>
          <cell r="BZ3919">
            <v>0</v>
          </cell>
        </row>
        <row r="3920">
          <cell r="BY3920">
            <v>0</v>
          </cell>
          <cell r="BZ3920">
            <v>0</v>
          </cell>
        </row>
        <row r="3921">
          <cell r="BY3921">
            <v>0</v>
          </cell>
          <cell r="BZ3921">
            <v>0</v>
          </cell>
        </row>
        <row r="3922">
          <cell r="BY3922">
            <v>0</v>
          </cell>
          <cell r="BZ3922">
            <v>0</v>
          </cell>
        </row>
        <row r="3923">
          <cell r="BY3923">
            <v>0</v>
          </cell>
          <cell r="BZ3923">
            <v>0</v>
          </cell>
        </row>
        <row r="3924">
          <cell r="BY3924">
            <v>0</v>
          </cell>
          <cell r="BZ3924">
            <v>0</v>
          </cell>
        </row>
        <row r="3925">
          <cell r="BY3925">
            <v>0</v>
          </cell>
          <cell r="BZ3925">
            <v>0</v>
          </cell>
        </row>
        <row r="3926">
          <cell r="BY3926">
            <v>0</v>
          </cell>
          <cell r="BZ3926">
            <v>0</v>
          </cell>
        </row>
        <row r="3927">
          <cell r="BY3927">
            <v>0</v>
          </cell>
          <cell r="BZ3927">
            <v>0</v>
          </cell>
        </row>
        <row r="3928">
          <cell r="BY3928">
            <v>0</v>
          </cell>
          <cell r="BZ3928">
            <v>0</v>
          </cell>
        </row>
        <row r="3929">
          <cell r="BY3929">
            <v>0</v>
          </cell>
          <cell r="BZ3929">
            <v>0</v>
          </cell>
        </row>
        <row r="3930">
          <cell r="BY3930">
            <v>0</v>
          </cell>
          <cell r="BZ3930">
            <v>0</v>
          </cell>
        </row>
        <row r="3931">
          <cell r="BY3931">
            <v>0</v>
          </cell>
          <cell r="BZ3931">
            <v>0</v>
          </cell>
        </row>
        <row r="3932">
          <cell r="BY3932">
            <v>0</v>
          </cell>
          <cell r="BZ3932">
            <v>0</v>
          </cell>
        </row>
        <row r="3933">
          <cell r="BY3933">
            <v>0</v>
          </cell>
          <cell r="BZ3933">
            <v>0</v>
          </cell>
        </row>
        <row r="3934">
          <cell r="BY3934">
            <v>0</v>
          </cell>
          <cell r="BZ3934">
            <v>0</v>
          </cell>
        </row>
        <row r="3935">
          <cell r="BY3935">
            <v>0</v>
          </cell>
          <cell r="BZ3935">
            <v>0</v>
          </cell>
        </row>
        <row r="3936">
          <cell r="BY3936">
            <v>0</v>
          </cell>
          <cell r="BZ3936">
            <v>0</v>
          </cell>
        </row>
        <row r="3937">
          <cell r="BY3937">
            <v>0</v>
          </cell>
          <cell r="BZ3937">
            <v>0</v>
          </cell>
        </row>
        <row r="3938">
          <cell r="BY3938">
            <v>0</v>
          </cell>
          <cell r="BZ3938">
            <v>0</v>
          </cell>
        </row>
        <row r="3939">
          <cell r="BY3939">
            <v>0</v>
          </cell>
          <cell r="BZ3939">
            <v>0</v>
          </cell>
        </row>
        <row r="3940">
          <cell r="BY3940">
            <v>0</v>
          </cell>
          <cell r="BZ3940">
            <v>0</v>
          </cell>
        </row>
        <row r="3941">
          <cell r="BY3941">
            <v>0</v>
          </cell>
          <cell r="BZ3941">
            <v>0</v>
          </cell>
        </row>
        <row r="3942">
          <cell r="BY3942">
            <v>0</v>
          </cell>
          <cell r="BZ3942">
            <v>0</v>
          </cell>
        </row>
        <row r="3943">
          <cell r="BY3943">
            <v>0</v>
          </cell>
          <cell r="BZ3943">
            <v>0</v>
          </cell>
        </row>
        <row r="3944">
          <cell r="BY3944">
            <v>0</v>
          </cell>
          <cell r="BZ3944">
            <v>0</v>
          </cell>
        </row>
        <row r="3945">
          <cell r="BY3945">
            <v>0</v>
          </cell>
          <cell r="BZ3945">
            <v>0</v>
          </cell>
        </row>
        <row r="3946">
          <cell r="BY3946">
            <v>0</v>
          </cell>
          <cell r="BZ3946">
            <v>0</v>
          </cell>
        </row>
        <row r="3947">
          <cell r="BY3947">
            <v>0</v>
          </cell>
          <cell r="BZ3947">
            <v>0</v>
          </cell>
        </row>
        <row r="3948">
          <cell r="BY3948">
            <v>0</v>
          </cell>
          <cell r="BZ3948">
            <v>0</v>
          </cell>
        </row>
        <row r="3949">
          <cell r="BY3949">
            <v>0</v>
          </cell>
          <cell r="BZ3949">
            <v>0</v>
          </cell>
        </row>
        <row r="3950">
          <cell r="BY3950">
            <v>0</v>
          </cell>
          <cell r="BZ3950">
            <v>0</v>
          </cell>
        </row>
        <row r="3951">
          <cell r="BY3951">
            <v>0</v>
          </cell>
          <cell r="BZ3951">
            <v>0</v>
          </cell>
        </row>
        <row r="3952">
          <cell r="BY3952">
            <v>0</v>
          </cell>
          <cell r="BZ3952">
            <v>0</v>
          </cell>
        </row>
        <row r="3953">
          <cell r="BY3953">
            <v>0</v>
          </cell>
          <cell r="BZ3953">
            <v>0</v>
          </cell>
        </row>
        <row r="3954">
          <cell r="BY3954">
            <v>0</v>
          </cell>
          <cell r="BZ3954">
            <v>0</v>
          </cell>
        </row>
        <row r="3955">
          <cell r="BY3955">
            <v>0</v>
          </cell>
          <cell r="BZ3955">
            <v>0</v>
          </cell>
        </row>
        <row r="3956">
          <cell r="BY3956">
            <v>0</v>
          </cell>
          <cell r="BZ3956">
            <v>0</v>
          </cell>
        </row>
        <row r="3957">
          <cell r="BY3957">
            <v>0</v>
          </cell>
          <cell r="BZ3957">
            <v>0</v>
          </cell>
        </row>
        <row r="3958">
          <cell r="BY3958">
            <v>0</v>
          </cell>
          <cell r="BZ3958">
            <v>0</v>
          </cell>
        </row>
        <row r="3959">
          <cell r="BY3959">
            <v>0</v>
          </cell>
          <cell r="BZ3959">
            <v>0</v>
          </cell>
        </row>
        <row r="3960">
          <cell r="BY3960">
            <v>0</v>
          </cell>
          <cell r="BZ3960">
            <v>0</v>
          </cell>
        </row>
        <row r="3961">
          <cell r="BY3961">
            <v>0</v>
          </cell>
          <cell r="BZ3961">
            <v>0</v>
          </cell>
        </row>
        <row r="3962">
          <cell r="BY3962">
            <v>0</v>
          </cell>
          <cell r="BZ3962">
            <v>0</v>
          </cell>
        </row>
        <row r="3963">
          <cell r="BY3963">
            <v>0</v>
          </cell>
          <cell r="BZ3963">
            <v>0</v>
          </cell>
        </row>
        <row r="3964">
          <cell r="BY3964">
            <v>0</v>
          </cell>
          <cell r="BZ3964">
            <v>0</v>
          </cell>
        </row>
        <row r="3965">
          <cell r="BY3965">
            <v>0</v>
          </cell>
          <cell r="BZ3965">
            <v>0</v>
          </cell>
        </row>
        <row r="3966">
          <cell r="BY3966">
            <v>0</v>
          </cell>
          <cell r="BZ3966">
            <v>0</v>
          </cell>
        </row>
        <row r="3967">
          <cell r="BY3967">
            <v>0</v>
          </cell>
          <cell r="BZ3967">
            <v>0</v>
          </cell>
        </row>
        <row r="3968">
          <cell r="BY3968">
            <v>0</v>
          </cell>
          <cell r="BZ3968">
            <v>0</v>
          </cell>
        </row>
        <row r="3969">
          <cell r="BY3969">
            <v>0</v>
          </cell>
          <cell r="BZ3969">
            <v>0</v>
          </cell>
        </row>
        <row r="3970">
          <cell r="BY3970">
            <v>0</v>
          </cell>
          <cell r="BZ3970">
            <v>0</v>
          </cell>
        </row>
        <row r="3971">
          <cell r="BY3971">
            <v>0</v>
          </cell>
          <cell r="BZ3971">
            <v>0</v>
          </cell>
        </row>
        <row r="3972">
          <cell r="BY3972">
            <v>0</v>
          </cell>
          <cell r="BZ3972">
            <v>0</v>
          </cell>
        </row>
        <row r="3973">
          <cell r="BY3973">
            <v>0</v>
          </cell>
          <cell r="BZ3973">
            <v>0</v>
          </cell>
        </row>
        <row r="3974">
          <cell r="BY3974">
            <v>0</v>
          </cell>
          <cell r="BZ3974">
            <v>0</v>
          </cell>
        </row>
        <row r="3975">
          <cell r="BY3975">
            <v>0</v>
          </cell>
          <cell r="BZ3975">
            <v>0</v>
          </cell>
        </row>
        <row r="3976">
          <cell r="BY3976">
            <v>0</v>
          </cell>
          <cell r="BZ3976">
            <v>0</v>
          </cell>
        </row>
        <row r="3977">
          <cell r="BY3977">
            <v>0</v>
          </cell>
          <cell r="BZ3977">
            <v>0</v>
          </cell>
        </row>
        <row r="3978">
          <cell r="BY3978">
            <v>0</v>
          </cell>
          <cell r="BZ3978">
            <v>0</v>
          </cell>
        </row>
        <row r="3979">
          <cell r="BY3979">
            <v>0</v>
          </cell>
          <cell r="BZ3979">
            <v>0</v>
          </cell>
        </row>
        <row r="3980">
          <cell r="BY3980">
            <v>0</v>
          </cell>
          <cell r="BZ3980">
            <v>0</v>
          </cell>
        </row>
        <row r="3981">
          <cell r="BY3981">
            <v>0</v>
          </cell>
          <cell r="BZ3981">
            <v>0</v>
          </cell>
        </row>
        <row r="3982">
          <cell r="BY3982">
            <v>0</v>
          </cell>
          <cell r="BZ3982">
            <v>0</v>
          </cell>
        </row>
        <row r="3983">
          <cell r="BY3983">
            <v>0</v>
          </cell>
          <cell r="BZ3983">
            <v>0</v>
          </cell>
        </row>
        <row r="3984">
          <cell r="BY3984">
            <v>0</v>
          </cell>
          <cell r="BZ3984">
            <v>0</v>
          </cell>
        </row>
        <row r="3985">
          <cell r="BY3985">
            <v>0</v>
          </cell>
          <cell r="BZ3985">
            <v>0</v>
          </cell>
        </row>
        <row r="3986">
          <cell r="BY3986">
            <v>0</v>
          </cell>
          <cell r="BZ3986">
            <v>0</v>
          </cell>
        </row>
        <row r="3987">
          <cell r="BY3987">
            <v>0</v>
          </cell>
          <cell r="BZ3987">
            <v>0</v>
          </cell>
        </row>
        <row r="3988">
          <cell r="BY3988">
            <v>0</v>
          </cell>
          <cell r="BZ3988">
            <v>0</v>
          </cell>
        </row>
        <row r="3989">
          <cell r="BY3989">
            <v>0</v>
          </cell>
          <cell r="BZ3989">
            <v>0</v>
          </cell>
        </row>
        <row r="3990">
          <cell r="BY3990">
            <v>0</v>
          </cell>
          <cell r="BZ3990">
            <v>0</v>
          </cell>
        </row>
        <row r="3991">
          <cell r="BY3991">
            <v>0</v>
          </cell>
          <cell r="BZ3991">
            <v>0</v>
          </cell>
        </row>
        <row r="3992">
          <cell r="BY3992">
            <v>0</v>
          </cell>
          <cell r="BZ3992">
            <v>0</v>
          </cell>
        </row>
        <row r="3993">
          <cell r="BY3993">
            <v>0</v>
          </cell>
          <cell r="BZ3993">
            <v>0</v>
          </cell>
        </row>
        <row r="3994">
          <cell r="BY3994">
            <v>0</v>
          </cell>
          <cell r="BZ3994">
            <v>0</v>
          </cell>
        </row>
        <row r="3995">
          <cell r="BY3995">
            <v>0</v>
          </cell>
          <cell r="BZ3995">
            <v>0</v>
          </cell>
        </row>
        <row r="3996">
          <cell r="BY3996">
            <v>0</v>
          </cell>
          <cell r="BZ3996">
            <v>0</v>
          </cell>
        </row>
        <row r="3997">
          <cell r="BY3997">
            <v>0</v>
          </cell>
          <cell r="BZ3997">
            <v>0</v>
          </cell>
        </row>
        <row r="3998">
          <cell r="BY3998">
            <v>0</v>
          </cell>
          <cell r="BZ3998">
            <v>0</v>
          </cell>
        </row>
        <row r="3999">
          <cell r="BY3999">
            <v>0</v>
          </cell>
          <cell r="BZ3999">
            <v>0</v>
          </cell>
        </row>
        <row r="4000">
          <cell r="BY4000">
            <v>0</v>
          </cell>
          <cell r="BZ4000">
            <v>0</v>
          </cell>
        </row>
        <row r="4001">
          <cell r="BY4001">
            <v>0</v>
          </cell>
          <cell r="BZ4001">
            <v>0</v>
          </cell>
        </row>
        <row r="4002">
          <cell r="BY4002">
            <v>0</v>
          </cell>
          <cell r="BZ4002">
            <v>0</v>
          </cell>
        </row>
        <row r="4003">
          <cell r="BY4003">
            <v>0</v>
          </cell>
          <cell r="BZ4003">
            <v>0</v>
          </cell>
        </row>
        <row r="4004">
          <cell r="BY4004">
            <v>0</v>
          </cell>
          <cell r="BZ4004">
            <v>0</v>
          </cell>
        </row>
        <row r="4005">
          <cell r="BY4005">
            <v>0</v>
          </cell>
          <cell r="BZ4005">
            <v>0</v>
          </cell>
        </row>
        <row r="4006">
          <cell r="BY4006">
            <v>0</v>
          </cell>
          <cell r="BZ4006">
            <v>0</v>
          </cell>
        </row>
        <row r="4007">
          <cell r="BY4007">
            <v>0</v>
          </cell>
          <cell r="BZ4007">
            <v>0</v>
          </cell>
        </row>
        <row r="4008">
          <cell r="BY4008">
            <v>0</v>
          </cell>
          <cell r="BZ4008">
            <v>0</v>
          </cell>
        </row>
        <row r="4009">
          <cell r="BY4009">
            <v>0</v>
          </cell>
          <cell r="BZ4009">
            <v>0</v>
          </cell>
        </row>
        <row r="4010">
          <cell r="BY4010">
            <v>0</v>
          </cell>
          <cell r="BZ4010">
            <v>0</v>
          </cell>
        </row>
        <row r="4011">
          <cell r="BY4011">
            <v>0</v>
          </cell>
          <cell r="BZ4011">
            <v>0</v>
          </cell>
        </row>
        <row r="4012">
          <cell r="BY4012">
            <v>0</v>
          </cell>
          <cell r="BZ4012">
            <v>0</v>
          </cell>
        </row>
        <row r="4013">
          <cell r="BY4013">
            <v>0</v>
          </cell>
          <cell r="BZ4013">
            <v>0</v>
          </cell>
        </row>
        <row r="4014">
          <cell r="BY4014">
            <v>0</v>
          </cell>
          <cell r="BZ4014">
            <v>0</v>
          </cell>
        </row>
        <row r="4015">
          <cell r="BY4015">
            <v>0</v>
          </cell>
          <cell r="BZ4015">
            <v>0</v>
          </cell>
        </row>
        <row r="4016">
          <cell r="BY4016">
            <v>0</v>
          </cell>
          <cell r="BZ4016">
            <v>0</v>
          </cell>
        </row>
        <row r="4017">
          <cell r="BY4017">
            <v>0</v>
          </cell>
          <cell r="BZ4017">
            <v>0</v>
          </cell>
        </row>
        <row r="4018">
          <cell r="BY4018">
            <v>0</v>
          </cell>
          <cell r="BZ4018">
            <v>0</v>
          </cell>
        </row>
        <row r="4019">
          <cell r="BY4019">
            <v>0</v>
          </cell>
          <cell r="BZ4019">
            <v>0</v>
          </cell>
        </row>
        <row r="4020">
          <cell r="BY4020">
            <v>0</v>
          </cell>
          <cell r="BZ4020">
            <v>0</v>
          </cell>
        </row>
        <row r="4021">
          <cell r="BY4021">
            <v>0</v>
          </cell>
          <cell r="BZ4021">
            <v>0</v>
          </cell>
        </row>
        <row r="4022">
          <cell r="BY4022">
            <v>0</v>
          </cell>
          <cell r="BZ4022">
            <v>0</v>
          </cell>
        </row>
        <row r="4023">
          <cell r="BY4023">
            <v>0</v>
          </cell>
          <cell r="BZ4023">
            <v>0</v>
          </cell>
        </row>
        <row r="4024">
          <cell r="BY4024">
            <v>0</v>
          </cell>
          <cell r="BZ4024">
            <v>0</v>
          </cell>
        </row>
        <row r="4025">
          <cell r="BY4025">
            <v>0</v>
          </cell>
          <cell r="BZ4025">
            <v>0</v>
          </cell>
        </row>
        <row r="4026">
          <cell r="BY4026">
            <v>0</v>
          </cell>
          <cell r="BZ4026">
            <v>0</v>
          </cell>
        </row>
        <row r="4027">
          <cell r="BY4027">
            <v>0</v>
          </cell>
          <cell r="BZ4027">
            <v>0</v>
          </cell>
        </row>
        <row r="4028">
          <cell r="BY4028">
            <v>0</v>
          </cell>
          <cell r="BZ4028">
            <v>0</v>
          </cell>
        </row>
        <row r="4029">
          <cell r="BY4029">
            <v>0</v>
          </cell>
          <cell r="BZ4029">
            <v>0</v>
          </cell>
        </row>
        <row r="4030">
          <cell r="BY4030">
            <v>0</v>
          </cell>
          <cell r="BZ4030">
            <v>0</v>
          </cell>
        </row>
        <row r="4031">
          <cell r="BY4031">
            <v>0</v>
          </cell>
          <cell r="BZ4031">
            <v>0</v>
          </cell>
        </row>
        <row r="4032">
          <cell r="BY4032">
            <v>0</v>
          </cell>
          <cell r="BZ4032">
            <v>0</v>
          </cell>
        </row>
        <row r="4033">
          <cell r="BY4033">
            <v>0</v>
          </cell>
          <cell r="BZ4033">
            <v>0</v>
          </cell>
        </row>
        <row r="4034">
          <cell r="BY4034">
            <v>0</v>
          </cell>
          <cell r="BZ4034">
            <v>0</v>
          </cell>
        </row>
        <row r="4035">
          <cell r="BY4035">
            <v>0</v>
          </cell>
          <cell r="BZ4035">
            <v>0</v>
          </cell>
        </row>
        <row r="4036">
          <cell r="BY4036">
            <v>0</v>
          </cell>
          <cell r="BZ4036">
            <v>0</v>
          </cell>
        </row>
        <row r="4037">
          <cell r="BY4037">
            <v>0</v>
          </cell>
          <cell r="BZ4037">
            <v>0</v>
          </cell>
        </row>
        <row r="4038">
          <cell r="BY4038">
            <v>0</v>
          </cell>
          <cell r="BZ4038">
            <v>0</v>
          </cell>
        </row>
        <row r="4039">
          <cell r="BY4039">
            <v>0</v>
          </cell>
          <cell r="BZ4039">
            <v>0</v>
          </cell>
        </row>
        <row r="4040">
          <cell r="BY4040">
            <v>0</v>
          </cell>
          <cell r="BZ4040">
            <v>0</v>
          </cell>
        </row>
        <row r="4041">
          <cell r="BY4041">
            <v>0</v>
          </cell>
          <cell r="BZ4041">
            <v>0</v>
          </cell>
        </row>
        <row r="4042">
          <cell r="BY4042">
            <v>0</v>
          </cell>
          <cell r="BZ4042">
            <v>0</v>
          </cell>
        </row>
        <row r="4043">
          <cell r="BY4043">
            <v>0</v>
          </cell>
          <cell r="BZ4043">
            <v>0</v>
          </cell>
        </row>
        <row r="4044">
          <cell r="BY4044">
            <v>0</v>
          </cell>
          <cell r="BZ4044">
            <v>0</v>
          </cell>
        </row>
        <row r="4045">
          <cell r="BY4045">
            <v>0</v>
          </cell>
          <cell r="BZ4045">
            <v>0</v>
          </cell>
        </row>
        <row r="4046">
          <cell r="BY4046">
            <v>0</v>
          </cell>
          <cell r="BZ4046">
            <v>0</v>
          </cell>
        </row>
        <row r="4047">
          <cell r="BY4047">
            <v>0</v>
          </cell>
          <cell r="BZ4047">
            <v>0</v>
          </cell>
        </row>
        <row r="4048">
          <cell r="BY4048">
            <v>0</v>
          </cell>
          <cell r="BZ4048">
            <v>0</v>
          </cell>
        </row>
        <row r="4049">
          <cell r="BY4049">
            <v>0</v>
          </cell>
          <cell r="BZ4049">
            <v>0</v>
          </cell>
        </row>
        <row r="4050">
          <cell r="BY4050">
            <v>0</v>
          </cell>
          <cell r="BZ4050">
            <v>0</v>
          </cell>
        </row>
        <row r="4051">
          <cell r="BY4051">
            <v>0</v>
          </cell>
          <cell r="BZ4051">
            <v>0</v>
          </cell>
        </row>
        <row r="4052">
          <cell r="BY4052">
            <v>0</v>
          </cell>
          <cell r="BZ4052">
            <v>0</v>
          </cell>
        </row>
        <row r="4053">
          <cell r="BY4053">
            <v>0</v>
          </cell>
          <cell r="BZ4053">
            <v>0</v>
          </cell>
        </row>
        <row r="4054">
          <cell r="BY4054">
            <v>0</v>
          </cell>
          <cell r="BZ4054">
            <v>0</v>
          </cell>
        </row>
        <row r="4055">
          <cell r="BY4055">
            <v>0</v>
          </cell>
          <cell r="BZ4055">
            <v>0</v>
          </cell>
        </row>
        <row r="4056">
          <cell r="BY4056">
            <v>0</v>
          </cell>
          <cell r="BZ4056">
            <v>0</v>
          </cell>
        </row>
        <row r="4057">
          <cell r="BY4057">
            <v>0</v>
          </cell>
          <cell r="BZ4057">
            <v>0</v>
          </cell>
        </row>
        <row r="4058">
          <cell r="BY4058">
            <v>0</v>
          </cell>
          <cell r="BZ4058">
            <v>0</v>
          </cell>
        </row>
        <row r="4059">
          <cell r="BY4059">
            <v>0</v>
          </cell>
          <cell r="BZ4059">
            <v>0</v>
          </cell>
        </row>
        <row r="4060">
          <cell r="BY4060">
            <v>0</v>
          </cell>
          <cell r="BZ4060">
            <v>0</v>
          </cell>
        </row>
        <row r="4061">
          <cell r="BY4061">
            <v>0</v>
          </cell>
          <cell r="BZ4061">
            <v>0</v>
          </cell>
        </row>
        <row r="4062">
          <cell r="BY4062">
            <v>0</v>
          </cell>
          <cell r="BZ4062">
            <v>0</v>
          </cell>
        </row>
        <row r="4063">
          <cell r="BY4063">
            <v>0</v>
          </cell>
          <cell r="BZ4063">
            <v>0</v>
          </cell>
        </row>
        <row r="4064">
          <cell r="BY4064">
            <v>0</v>
          </cell>
          <cell r="BZ4064">
            <v>0</v>
          </cell>
        </row>
        <row r="4065">
          <cell r="BY4065">
            <v>0</v>
          </cell>
          <cell r="BZ4065">
            <v>0</v>
          </cell>
        </row>
        <row r="4066">
          <cell r="BY4066">
            <v>0</v>
          </cell>
          <cell r="BZ4066">
            <v>0</v>
          </cell>
        </row>
        <row r="4067">
          <cell r="BY4067">
            <v>0</v>
          </cell>
          <cell r="BZ4067">
            <v>0</v>
          </cell>
        </row>
        <row r="4068">
          <cell r="BY4068">
            <v>0</v>
          </cell>
          <cell r="BZ4068">
            <v>0</v>
          </cell>
        </row>
        <row r="4069">
          <cell r="BY4069">
            <v>0</v>
          </cell>
          <cell r="BZ4069">
            <v>0</v>
          </cell>
        </row>
        <row r="4070">
          <cell r="BY4070">
            <v>0</v>
          </cell>
          <cell r="BZ4070">
            <v>0</v>
          </cell>
        </row>
        <row r="4071">
          <cell r="BY4071">
            <v>0</v>
          </cell>
          <cell r="BZ4071">
            <v>0</v>
          </cell>
        </row>
        <row r="4072">
          <cell r="BY4072">
            <v>0</v>
          </cell>
          <cell r="BZ4072">
            <v>0</v>
          </cell>
        </row>
        <row r="4073">
          <cell r="BY4073">
            <v>0</v>
          </cell>
          <cell r="BZ4073">
            <v>0</v>
          </cell>
        </row>
        <row r="4074">
          <cell r="BY4074">
            <v>0</v>
          </cell>
          <cell r="BZ4074">
            <v>0</v>
          </cell>
        </row>
        <row r="4075">
          <cell r="BY4075">
            <v>0</v>
          </cell>
          <cell r="BZ4075">
            <v>0</v>
          </cell>
        </row>
        <row r="4076">
          <cell r="BY4076">
            <v>0</v>
          </cell>
          <cell r="BZ4076">
            <v>0</v>
          </cell>
        </row>
        <row r="4077">
          <cell r="BY4077">
            <v>0</v>
          </cell>
          <cell r="BZ4077">
            <v>0</v>
          </cell>
        </row>
        <row r="4078">
          <cell r="BY4078">
            <v>0</v>
          </cell>
          <cell r="BZ4078">
            <v>0</v>
          </cell>
        </row>
        <row r="4079">
          <cell r="BY4079">
            <v>0</v>
          </cell>
          <cell r="BZ4079">
            <v>0</v>
          </cell>
        </row>
        <row r="4080">
          <cell r="BY4080">
            <v>0</v>
          </cell>
          <cell r="BZ4080">
            <v>0</v>
          </cell>
        </row>
        <row r="4081">
          <cell r="BY4081">
            <v>0</v>
          </cell>
          <cell r="BZ4081">
            <v>0</v>
          </cell>
        </row>
        <row r="4082">
          <cell r="BY4082">
            <v>0</v>
          </cell>
          <cell r="BZ4082">
            <v>0</v>
          </cell>
        </row>
        <row r="4083">
          <cell r="BY4083">
            <v>0</v>
          </cell>
          <cell r="BZ4083">
            <v>0</v>
          </cell>
        </row>
        <row r="4084">
          <cell r="BY4084">
            <v>0</v>
          </cell>
          <cell r="BZ4084">
            <v>0</v>
          </cell>
        </row>
        <row r="4085">
          <cell r="BY4085">
            <v>0</v>
          </cell>
          <cell r="BZ4085">
            <v>0</v>
          </cell>
        </row>
        <row r="4086">
          <cell r="BY4086">
            <v>0</v>
          </cell>
          <cell r="BZ4086">
            <v>0</v>
          </cell>
        </row>
        <row r="4087">
          <cell r="BY4087">
            <v>0</v>
          </cell>
          <cell r="BZ4087">
            <v>0</v>
          </cell>
        </row>
        <row r="4088">
          <cell r="BY4088">
            <v>0</v>
          </cell>
          <cell r="BZ4088">
            <v>0</v>
          </cell>
        </row>
        <row r="4089">
          <cell r="BY4089">
            <v>0</v>
          </cell>
          <cell r="BZ4089">
            <v>0</v>
          </cell>
        </row>
        <row r="4090">
          <cell r="BY4090">
            <v>0</v>
          </cell>
          <cell r="BZ4090">
            <v>0</v>
          </cell>
        </row>
        <row r="4091">
          <cell r="BY4091">
            <v>0</v>
          </cell>
          <cell r="BZ4091">
            <v>0</v>
          </cell>
        </row>
        <row r="4092">
          <cell r="BY4092">
            <v>0</v>
          </cell>
          <cell r="BZ4092">
            <v>0</v>
          </cell>
        </row>
        <row r="4093">
          <cell r="BY4093">
            <v>0</v>
          </cell>
          <cell r="BZ4093">
            <v>0</v>
          </cell>
        </row>
        <row r="4094">
          <cell r="BY4094">
            <v>0</v>
          </cell>
          <cell r="BZ4094">
            <v>0</v>
          </cell>
        </row>
        <row r="4095">
          <cell r="BY4095">
            <v>0</v>
          </cell>
          <cell r="BZ4095">
            <v>0</v>
          </cell>
        </row>
        <row r="4096">
          <cell r="BY4096">
            <v>0</v>
          </cell>
          <cell r="BZ4096">
            <v>0</v>
          </cell>
        </row>
        <row r="4097">
          <cell r="BY4097">
            <v>0</v>
          </cell>
          <cell r="BZ4097">
            <v>0</v>
          </cell>
        </row>
        <row r="4098">
          <cell r="BY4098">
            <v>0</v>
          </cell>
          <cell r="BZ4098">
            <v>0</v>
          </cell>
        </row>
        <row r="4099">
          <cell r="BY4099">
            <v>0</v>
          </cell>
          <cell r="BZ4099">
            <v>0</v>
          </cell>
        </row>
        <row r="4100">
          <cell r="BY4100">
            <v>0</v>
          </cell>
          <cell r="BZ4100">
            <v>0</v>
          </cell>
        </row>
        <row r="4101">
          <cell r="BY4101">
            <v>0</v>
          </cell>
          <cell r="BZ4101">
            <v>0</v>
          </cell>
        </row>
        <row r="4102">
          <cell r="BY4102">
            <v>0</v>
          </cell>
          <cell r="BZ4102">
            <v>0</v>
          </cell>
        </row>
        <row r="4103">
          <cell r="BY4103">
            <v>0</v>
          </cell>
          <cell r="BZ4103">
            <v>0</v>
          </cell>
        </row>
        <row r="4104">
          <cell r="BY4104">
            <v>0</v>
          </cell>
          <cell r="BZ4104">
            <v>0</v>
          </cell>
        </row>
        <row r="4105">
          <cell r="BY4105">
            <v>0</v>
          </cell>
          <cell r="BZ4105">
            <v>0</v>
          </cell>
        </row>
        <row r="4106">
          <cell r="BY4106">
            <v>0</v>
          </cell>
          <cell r="BZ4106">
            <v>0</v>
          </cell>
        </row>
        <row r="4107">
          <cell r="BY4107">
            <v>0</v>
          </cell>
          <cell r="BZ4107">
            <v>0</v>
          </cell>
        </row>
        <row r="4108">
          <cell r="BY4108">
            <v>0</v>
          </cell>
          <cell r="BZ4108">
            <v>0</v>
          </cell>
        </row>
        <row r="4109">
          <cell r="BY4109">
            <v>0</v>
          </cell>
          <cell r="BZ4109">
            <v>0</v>
          </cell>
        </row>
        <row r="4110">
          <cell r="BY4110">
            <v>0</v>
          </cell>
          <cell r="BZ4110">
            <v>0</v>
          </cell>
        </row>
        <row r="4111">
          <cell r="BY4111">
            <v>0</v>
          </cell>
          <cell r="BZ4111">
            <v>0</v>
          </cell>
        </row>
        <row r="4112">
          <cell r="BY4112">
            <v>0</v>
          </cell>
          <cell r="BZ4112">
            <v>0</v>
          </cell>
        </row>
        <row r="4113">
          <cell r="BY4113">
            <v>0</v>
          </cell>
          <cell r="BZ4113">
            <v>0</v>
          </cell>
        </row>
        <row r="4114">
          <cell r="BY4114">
            <v>0</v>
          </cell>
          <cell r="BZ4114">
            <v>0</v>
          </cell>
        </row>
        <row r="4115">
          <cell r="BY4115">
            <v>0</v>
          </cell>
          <cell r="BZ4115">
            <v>0</v>
          </cell>
        </row>
        <row r="4116">
          <cell r="BY4116">
            <v>0</v>
          </cell>
          <cell r="BZ4116">
            <v>0</v>
          </cell>
        </row>
        <row r="4117">
          <cell r="BY4117">
            <v>0</v>
          </cell>
          <cell r="BZ4117">
            <v>0</v>
          </cell>
        </row>
        <row r="4118">
          <cell r="BY4118">
            <v>0</v>
          </cell>
          <cell r="BZ4118">
            <v>0</v>
          </cell>
        </row>
        <row r="4119">
          <cell r="BY4119">
            <v>0</v>
          </cell>
          <cell r="BZ4119">
            <v>0</v>
          </cell>
        </row>
        <row r="4120">
          <cell r="BY4120">
            <v>0</v>
          </cell>
          <cell r="BZ4120">
            <v>0</v>
          </cell>
        </row>
        <row r="4121">
          <cell r="BY4121">
            <v>0</v>
          </cell>
          <cell r="BZ4121">
            <v>0</v>
          </cell>
        </row>
        <row r="4122">
          <cell r="BY4122">
            <v>0</v>
          </cell>
          <cell r="BZ4122">
            <v>0</v>
          </cell>
        </row>
        <row r="4123">
          <cell r="BY4123">
            <v>0</v>
          </cell>
          <cell r="BZ4123">
            <v>0</v>
          </cell>
        </row>
        <row r="4124">
          <cell r="BY4124">
            <v>0</v>
          </cell>
          <cell r="BZ4124">
            <v>0</v>
          </cell>
        </row>
        <row r="4125">
          <cell r="BY4125">
            <v>0</v>
          </cell>
          <cell r="BZ4125">
            <v>0</v>
          </cell>
        </row>
        <row r="4126">
          <cell r="BY4126">
            <v>0</v>
          </cell>
          <cell r="BZ4126">
            <v>0</v>
          </cell>
        </row>
        <row r="4127">
          <cell r="BY4127">
            <v>0</v>
          </cell>
          <cell r="BZ4127">
            <v>0</v>
          </cell>
        </row>
        <row r="4128">
          <cell r="BY4128">
            <v>0</v>
          </cell>
          <cell r="BZ4128">
            <v>0</v>
          </cell>
        </row>
        <row r="4129">
          <cell r="BY4129">
            <v>0</v>
          </cell>
          <cell r="BZ4129">
            <v>0</v>
          </cell>
        </row>
        <row r="4130">
          <cell r="BY4130">
            <v>0</v>
          </cell>
          <cell r="BZ4130">
            <v>0</v>
          </cell>
        </row>
        <row r="4131">
          <cell r="BY4131">
            <v>0</v>
          </cell>
          <cell r="BZ4131">
            <v>0</v>
          </cell>
        </row>
        <row r="4132">
          <cell r="BY4132">
            <v>0</v>
          </cell>
          <cell r="BZ4132">
            <v>0</v>
          </cell>
        </row>
        <row r="4133">
          <cell r="BY4133">
            <v>0</v>
          </cell>
          <cell r="BZ4133">
            <v>0</v>
          </cell>
        </row>
        <row r="4134">
          <cell r="BY4134">
            <v>0</v>
          </cell>
          <cell r="BZ4134">
            <v>0</v>
          </cell>
        </row>
        <row r="4135">
          <cell r="BY4135">
            <v>0</v>
          </cell>
          <cell r="BZ4135">
            <v>0</v>
          </cell>
        </row>
        <row r="4136">
          <cell r="BY4136">
            <v>0</v>
          </cell>
          <cell r="BZ4136">
            <v>0</v>
          </cell>
        </row>
        <row r="4137">
          <cell r="BY4137">
            <v>0</v>
          </cell>
          <cell r="BZ4137">
            <v>0</v>
          </cell>
        </row>
        <row r="4138">
          <cell r="BY4138">
            <v>0</v>
          </cell>
          <cell r="BZ4138">
            <v>0</v>
          </cell>
        </row>
        <row r="4139">
          <cell r="BY4139">
            <v>0</v>
          </cell>
          <cell r="BZ4139">
            <v>0</v>
          </cell>
        </row>
        <row r="4140">
          <cell r="BY4140">
            <v>0</v>
          </cell>
          <cell r="BZ4140">
            <v>0</v>
          </cell>
        </row>
        <row r="4141">
          <cell r="BY4141">
            <v>0</v>
          </cell>
          <cell r="BZ4141">
            <v>0</v>
          </cell>
        </row>
        <row r="4142">
          <cell r="BY4142">
            <v>0</v>
          </cell>
          <cell r="BZ4142">
            <v>0</v>
          </cell>
        </row>
        <row r="4143">
          <cell r="BY4143">
            <v>0</v>
          </cell>
          <cell r="BZ4143">
            <v>0</v>
          </cell>
        </row>
        <row r="4144">
          <cell r="BY4144">
            <v>0</v>
          </cell>
          <cell r="BZ4144">
            <v>0</v>
          </cell>
        </row>
        <row r="4145">
          <cell r="BY4145">
            <v>0</v>
          </cell>
          <cell r="BZ4145">
            <v>0</v>
          </cell>
        </row>
        <row r="4146">
          <cell r="BY4146">
            <v>0</v>
          </cell>
          <cell r="BZ4146">
            <v>0</v>
          </cell>
        </row>
        <row r="4147">
          <cell r="BY4147">
            <v>0</v>
          </cell>
          <cell r="BZ4147">
            <v>0</v>
          </cell>
        </row>
        <row r="4148">
          <cell r="BY4148">
            <v>0</v>
          </cell>
          <cell r="BZ4148">
            <v>0</v>
          </cell>
        </row>
        <row r="4149">
          <cell r="BY4149">
            <v>0</v>
          </cell>
          <cell r="BZ4149">
            <v>0</v>
          </cell>
        </row>
        <row r="4150">
          <cell r="BY4150">
            <v>0</v>
          </cell>
          <cell r="BZ4150">
            <v>0</v>
          </cell>
        </row>
        <row r="4151">
          <cell r="BY4151">
            <v>0</v>
          </cell>
          <cell r="BZ4151">
            <v>0</v>
          </cell>
        </row>
        <row r="4152">
          <cell r="BY4152">
            <v>0</v>
          </cell>
          <cell r="BZ4152">
            <v>0</v>
          </cell>
        </row>
        <row r="4153">
          <cell r="BY4153">
            <v>0</v>
          </cell>
          <cell r="BZ4153">
            <v>0</v>
          </cell>
        </row>
        <row r="4154">
          <cell r="BY4154">
            <v>0</v>
          </cell>
          <cell r="BZ4154">
            <v>0</v>
          </cell>
        </row>
        <row r="4155">
          <cell r="BY4155">
            <v>0</v>
          </cell>
          <cell r="BZ4155">
            <v>0</v>
          </cell>
        </row>
        <row r="4156">
          <cell r="BY4156">
            <v>0</v>
          </cell>
          <cell r="BZ4156">
            <v>0</v>
          </cell>
        </row>
        <row r="4157">
          <cell r="BY4157">
            <v>0</v>
          </cell>
          <cell r="BZ4157">
            <v>0</v>
          </cell>
        </row>
        <row r="4158">
          <cell r="BY4158">
            <v>0</v>
          </cell>
          <cell r="BZ4158">
            <v>0</v>
          </cell>
        </row>
        <row r="4159">
          <cell r="BY4159">
            <v>0</v>
          </cell>
          <cell r="BZ4159">
            <v>0</v>
          </cell>
        </row>
        <row r="4160">
          <cell r="BY4160">
            <v>0</v>
          </cell>
          <cell r="BZ4160">
            <v>0</v>
          </cell>
        </row>
        <row r="4161">
          <cell r="BY4161">
            <v>0</v>
          </cell>
          <cell r="BZ4161">
            <v>0</v>
          </cell>
        </row>
        <row r="4162">
          <cell r="BY4162">
            <v>0</v>
          </cell>
          <cell r="BZ4162">
            <v>0</v>
          </cell>
        </row>
        <row r="4163">
          <cell r="BY4163">
            <v>0</v>
          </cell>
          <cell r="BZ4163">
            <v>0</v>
          </cell>
        </row>
        <row r="4164">
          <cell r="BY4164">
            <v>0</v>
          </cell>
          <cell r="BZ4164">
            <v>0</v>
          </cell>
        </row>
        <row r="4165">
          <cell r="BY4165">
            <v>0</v>
          </cell>
          <cell r="BZ4165">
            <v>0</v>
          </cell>
        </row>
        <row r="4166">
          <cell r="BY4166">
            <v>0</v>
          </cell>
          <cell r="BZ4166">
            <v>0</v>
          </cell>
        </row>
        <row r="4167">
          <cell r="BY4167">
            <v>0</v>
          </cell>
          <cell r="BZ4167">
            <v>0</v>
          </cell>
        </row>
        <row r="4168">
          <cell r="BY4168">
            <v>0</v>
          </cell>
          <cell r="BZ4168">
            <v>0</v>
          </cell>
        </row>
        <row r="4169">
          <cell r="BY4169">
            <v>0</v>
          </cell>
          <cell r="BZ4169">
            <v>0</v>
          </cell>
        </row>
        <row r="4170">
          <cell r="BY4170">
            <v>0</v>
          </cell>
          <cell r="BZ4170">
            <v>0</v>
          </cell>
        </row>
        <row r="4171">
          <cell r="BY4171">
            <v>0</v>
          </cell>
          <cell r="BZ4171">
            <v>0</v>
          </cell>
        </row>
        <row r="4172">
          <cell r="BY4172">
            <v>0</v>
          </cell>
          <cell r="BZ4172">
            <v>0</v>
          </cell>
        </row>
        <row r="4173">
          <cell r="BY4173">
            <v>0</v>
          </cell>
          <cell r="BZ4173">
            <v>0</v>
          </cell>
        </row>
        <row r="4174">
          <cell r="BY4174">
            <v>0</v>
          </cell>
          <cell r="BZ4174">
            <v>0</v>
          </cell>
        </row>
        <row r="4175">
          <cell r="BY4175">
            <v>0</v>
          </cell>
          <cell r="BZ4175">
            <v>0</v>
          </cell>
        </row>
        <row r="4176">
          <cell r="BY4176">
            <v>0</v>
          </cell>
          <cell r="BZ4176">
            <v>0</v>
          </cell>
        </row>
        <row r="4177">
          <cell r="BY4177">
            <v>0</v>
          </cell>
          <cell r="BZ4177">
            <v>0</v>
          </cell>
        </row>
        <row r="4178">
          <cell r="BY4178">
            <v>0</v>
          </cell>
          <cell r="BZ4178">
            <v>0</v>
          </cell>
        </row>
        <row r="4179">
          <cell r="BY4179">
            <v>0</v>
          </cell>
          <cell r="BZ4179">
            <v>0</v>
          </cell>
        </row>
        <row r="4180">
          <cell r="BY4180">
            <v>0</v>
          </cell>
          <cell r="BZ4180">
            <v>0</v>
          </cell>
        </row>
        <row r="4181">
          <cell r="BY4181">
            <v>0</v>
          </cell>
          <cell r="BZ4181">
            <v>0</v>
          </cell>
        </row>
        <row r="4182">
          <cell r="BY4182">
            <v>0</v>
          </cell>
          <cell r="BZ4182">
            <v>0</v>
          </cell>
        </row>
        <row r="4183">
          <cell r="BY4183">
            <v>0</v>
          </cell>
          <cell r="BZ4183">
            <v>0</v>
          </cell>
        </row>
        <row r="4184">
          <cell r="BY4184">
            <v>0</v>
          </cell>
          <cell r="BZ4184">
            <v>0</v>
          </cell>
        </row>
        <row r="4185">
          <cell r="BY4185">
            <v>0</v>
          </cell>
          <cell r="BZ4185">
            <v>0</v>
          </cell>
        </row>
        <row r="4186">
          <cell r="BY4186">
            <v>0</v>
          </cell>
          <cell r="BZ4186">
            <v>0</v>
          </cell>
        </row>
        <row r="4187">
          <cell r="BY4187">
            <v>0</v>
          </cell>
          <cell r="BZ4187">
            <v>0</v>
          </cell>
        </row>
        <row r="4188">
          <cell r="BY4188">
            <v>0</v>
          </cell>
          <cell r="BZ4188">
            <v>0</v>
          </cell>
        </row>
        <row r="4189">
          <cell r="BY4189">
            <v>0</v>
          </cell>
          <cell r="BZ4189">
            <v>0</v>
          </cell>
        </row>
        <row r="4190">
          <cell r="BY4190">
            <v>0</v>
          </cell>
          <cell r="BZ4190">
            <v>0</v>
          </cell>
        </row>
        <row r="4191">
          <cell r="BY4191">
            <v>0</v>
          </cell>
          <cell r="BZ4191">
            <v>0</v>
          </cell>
        </row>
        <row r="4192">
          <cell r="BY4192">
            <v>0</v>
          </cell>
          <cell r="BZ4192">
            <v>0</v>
          </cell>
        </row>
        <row r="4193">
          <cell r="BY4193">
            <v>0</v>
          </cell>
          <cell r="BZ4193">
            <v>0</v>
          </cell>
        </row>
        <row r="4194">
          <cell r="BY4194">
            <v>0</v>
          </cell>
          <cell r="BZ4194">
            <v>0</v>
          </cell>
        </row>
        <row r="4195">
          <cell r="BY4195">
            <v>0</v>
          </cell>
          <cell r="BZ4195">
            <v>0</v>
          </cell>
        </row>
        <row r="4196">
          <cell r="BY4196">
            <v>0</v>
          </cell>
          <cell r="BZ4196">
            <v>0</v>
          </cell>
        </row>
        <row r="4197">
          <cell r="BY4197">
            <v>0</v>
          </cell>
          <cell r="BZ4197">
            <v>0</v>
          </cell>
        </row>
        <row r="4198">
          <cell r="BY4198">
            <v>0</v>
          </cell>
          <cell r="BZ4198">
            <v>0</v>
          </cell>
        </row>
        <row r="4199">
          <cell r="BY4199">
            <v>0</v>
          </cell>
          <cell r="BZ4199">
            <v>0</v>
          </cell>
        </row>
        <row r="4200">
          <cell r="BY4200">
            <v>0</v>
          </cell>
          <cell r="BZ4200">
            <v>0</v>
          </cell>
        </row>
        <row r="4201">
          <cell r="BY4201">
            <v>0</v>
          </cell>
          <cell r="BZ4201">
            <v>0</v>
          </cell>
        </row>
        <row r="4202">
          <cell r="BY4202">
            <v>0</v>
          </cell>
          <cell r="BZ4202">
            <v>0</v>
          </cell>
        </row>
        <row r="4203">
          <cell r="BY4203">
            <v>0</v>
          </cell>
          <cell r="BZ4203">
            <v>0</v>
          </cell>
        </row>
        <row r="4204">
          <cell r="BY4204">
            <v>0</v>
          </cell>
          <cell r="BZ4204">
            <v>0</v>
          </cell>
        </row>
        <row r="4205">
          <cell r="BY4205">
            <v>0</v>
          </cell>
          <cell r="BZ4205">
            <v>0</v>
          </cell>
        </row>
        <row r="4206">
          <cell r="BY4206">
            <v>0</v>
          </cell>
          <cell r="BZ4206">
            <v>0</v>
          </cell>
        </row>
        <row r="4207">
          <cell r="BY4207">
            <v>0</v>
          </cell>
          <cell r="BZ4207">
            <v>0</v>
          </cell>
        </row>
        <row r="4208">
          <cell r="BY4208">
            <v>0</v>
          </cell>
          <cell r="BZ4208">
            <v>0</v>
          </cell>
        </row>
        <row r="4209">
          <cell r="BY4209">
            <v>0</v>
          </cell>
          <cell r="BZ4209">
            <v>0</v>
          </cell>
        </row>
        <row r="4210">
          <cell r="BY4210">
            <v>0</v>
          </cell>
          <cell r="BZ4210">
            <v>0</v>
          </cell>
        </row>
        <row r="4211">
          <cell r="BY4211">
            <v>0</v>
          </cell>
          <cell r="BZ4211">
            <v>0</v>
          </cell>
        </row>
        <row r="4212">
          <cell r="BY4212">
            <v>0</v>
          </cell>
          <cell r="BZ4212">
            <v>0</v>
          </cell>
        </row>
        <row r="4213">
          <cell r="BY4213">
            <v>0</v>
          </cell>
          <cell r="BZ4213">
            <v>0</v>
          </cell>
        </row>
        <row r="4214">
          <cell r="BY4214">
            <v>0</v>
          </cell>
          <cell r="BZ4214">
            <v>0</v>
          </cell>
        </row>
        <row r="4215">
          <cell r="BY4215">
            <v>0</v>
          </cell>
          <cell r="BZ4215">
            <v>0</v>
          </cell>
        </row>
        <row r="4216">
          <cell r="BY4216">
            <v>0</v>
          </cell>
          <cell r="BZ4216">
            <v>0</v>
          </cell>
        </row>
        <row r="4217">
          <cell r="BY4217">
            <v>0</v>
          </cell>
          <cell r="BZ4217">
            <v>0</v>
          </cell>
        </row>
        <row r="4218">
          <cell r="BY4218">
            <v>0</v>
          </cell>
          <cell r="BZ4218">
            <v>0</v>
          </cell>
        </row>
        <row r="4219">
          <cell r="BY4219">
            <v>0</v>
          </cell>
          <cell r="BZ4219">
            <v>0</v>
          </cell>
        </row>
        <row r="4220">
          <cell r="BY4220">
            <v>0</v>
          </cell>
          <cell r="BZ4220">
            <v>0</v>
          </cell>
        </row>
        <row r="4221">
          <cell r="BY4221">
            <v>0</v>
          </cell>
          <cell r="BZ4221">
            <v>0</v>
          </cell>
        </row>
        <row r="4222">
          <cell r="BY4222">
            <v>0</v>
          </cell>
          <cell r="BZ4222">
            <v>0</v>
          </cell>
        </row>
        <row r="4223">
          <cell r="BY4223">
            <v>0</v>
          </cell>
          <cell r="BZ4223">
            <v>0</v>
          </cell>
        </row>
        <row r="4224">
          <cell r="BY4224">
            <v>0</v>
          </cell>
          <cell r="BZ4224">
            <v>0</v>
          </cell>
        </row>
        <row r="4225">
          <cell r="BY4225">
            <v>0</v>
          </cell>
          <cell r="BZ4225">
            <v>0</v>
          </cell>
        </row>
        <row r="4226">
          <cell r="BY4226">
            <v>0</v>
          </cell>
          <cell r="BZ4226">
            <v>0</v>
          </cell>
        </row>
        <row r="4227">
          <cell r="BY4227">
            <v>0</v>
          </cell>
          <cell r="BZ4227">
            <v>0</v>
          </cell>
        </row>
        <row r="4228">
          <cell r="BY4228">
            <v>0</v>
          </cell>
          <cell r="BZ4228">
            <v>0</v>
          </cell>
        </row>
        <row r="4229">
          <cell r="BY4229">
            <v>0</v>
          </cell>
          <cell r="BZ4229">
            <v>0</v>
          </cell>
        </row>
        <row r="4230">
          <cell r="BY4230">
            <v>0</v>
          </cell>
          <cell r="BZ4230">
            <v>0</v>
          </cell>
        </row>
        <row r="4231">
          <cell r="BY4231">
            <v>0</v>
          </cell>
          <cell r="BZ4231">
            <v>0</v>
          </cell>
        </row>
        <row r="4232">
          <cell r="BY4232">
            <v>0</v>
          </cell>
          <cell r="BZ4232">
            <v>0</v>
          </cell>
        </row>
        <row r="4233">
          <cell r="BY4233">
            <v>0</v>
          </cell>
          <cell r="BZ4233">
            <v>0</v>
          </cell>
        </row>
        <row r="4234">
          <cell r="BY4234">
            <v>0</v>
          </cell>
          <cell r="BZ4234">
            <v>0</v>
          </cell>
        </row>
        <row r="4235">
          <cell r="BY4235">
            <v>0</v>
          </cell>
          <cell r="BZ4235">
            <v>0</v>
          </cell>
        </row>
        <row r="4236">
          <cell r="BY4236">
            <v>0</v>
          </cell>
          <cell r="BZ4236">
            <v>0</v>
          </cell>
        </row>
        <row r="4237">
          <cell r="BY4237">
            <v>0</v>
          </cell>
          <cell r="BZ4237">
            <v>0</v>
          </cell>
        </row>
        <row r="4238">
          <cell r="BY4238">
            <v>0</v>
          </cell>
          <cell r="BZ4238">
            <v>0</v>
          </cell>
        </row>
        <row r="4239">
          <cell r="BY4239">
            <v>0</v>
          </cell>
          <cell r="BZ4239">
            <v>0</v>
          </cell>
        </row>
        <row r="4240">
          <cell r="BY4240">
            <v>0</v>
          </cell>
          <cell r="BZ4240">
            <v>0</v>
          </cell>
        </row>
        <row r="4241">
          <cell r="BY4241">
            <v>0</v>
          </cell>
          <cell r="BZ4241">
            <v>0</v>
          </cell>
        </row>
        <row r="4242">
          <cell r="BY4242">
            <v>0</v>
          </cell>
          <cell r="BZ4242">
            <v>0</v>
          </cell>
        </row>
        <row r="4243">
          <cell r="BY4243">
            <v>0</v>
          </cell>
          <cell r="BZ4243">
            <v>0</v>
          </cell>
        </row>
        <row r="4244">
          <cell r="BY4244">
            <v>0</v>
          </cell>
          <cell r="BZ4244">
            <v>0</v>
          </cell>
        </row>
        <row r="4245">
          <cell r="BY4245">
            <v>0</v>
          </cell>
          <cell r="BZ4245">
            <v>0</v>
          </cell>
        </row>
        <row r="4246">
          <cell r="BY4246">
            <v>0</v>
          </cell>
          <cell r="BZ4246">
            <v>0</v>
          </cell>
        </row>
        <row r="4247">
          <cell r="BY4247">
            <v>0</v>
          </cell>
          <cell r="BZ4247">
            <v>0</v>
          </cell>
        </row>
        <row r="4248">
          <cell r="BY4248">
            <v>0</v>
          </cell>
          <cell r="BZ4248">
            <v>0</v>
          </cell>
        </row>
        <row r="4249">
          <cell r="BY4249">
            <v>0</v>
          </cell>
          <cell r="BZ4249">
            <v>0</v>
          </cell>
        </row>
        <row r="4250">
          <cell r="BY4250">
            <v>0</v>
          </cell>
          <cell r="BZ4250">
            <v>0</v>
          </cell>
        </row>
        <row r="4251">
          <cell r="BY4251">
            <v>0</v>
          </cell>
          <cell r="BZ4251">
            <v>0</v>
          </cell>
        </row>
        <row r="4252">
          <cell r="BY4252">
            <v>0</v>
          </cell>
          <cell r="BZ4252">
            <v>0</v>
          </cell>
        </row>
        <row r="4253">
          <cell r="BY4253">
            <v>0</v>
          </cell>
          <cell r="BZ4253">
            <v>0</v>
          </cell>
        </row>
        <row r="4254">
          <cell r="BY4254">
            <v>0</v>
          </cell>
          <cell r="BZ4254">
            <v>0</v>
          </cell>
        </row>
        <row r="4255">
          <cell r="BY4255">
            <v>0</v>
          </cell>
          <cell r="BZ4255">
            <v>0</v>
          </cell>
        </row>
        <row r="4256">
          <cell r="BY4256">
            <v>0</v>
          </cell>
          <cell r="BZ4256">
            <v>0</v>
          </cell>
        </row>
        <row r="4257">
          <cell r="BY4257">
            <v>0</v>
          </cell>
          <cell r="BZ4257">
            <v>0</v>
          </cell>
        </row>
        <row r="4258">
          <cell r="BY4258">
            <v>0</v>
          </cell>
          <cell r="BZ4258">
            <v>0</v>
          </cell>
        </row>
        <row r="4259">
          <cell r="BY4259">
            <v>0</v>
          </cell>
          <cell r="BZ4259">
            <v>0</v>
          </cell>
        </row>
        <row r="4260">
          <cell r="BY4260">
            <v>0</v>
          </cell>
          <cell r="BZ4260">
            <v>0</v>
          </cell>
        </row>
        <row r="4261">
          <cell r="BY4261">
            <v>0</v>
          </cell>
          <cell r="BZ4261">
            <v>0</v>
          </cell>
        </row>
        <row r="4262">
          <cell r="BY4262">
            <v>0</v>
          </cell>
          <cell r="BZ4262">
            <v>0</v>
          </cell>
        </row>
        <row r="4263">
          <cell r="BY4263">
            <v>0</v>
          </cell>
          <cell r="BZ4263">
            <v>0</v>
          </cell>
        </row>
        <row r="4264">
          <cell r="BY4264">
            <v>0</v>
          </cell>
          <cell r="BZ4264">
            <v>0</v>
          </cell>
        </row>
        <row r="4265">
          <cell r="BY4265">
            <v>0</v>
          </cell>
          <cell r="BZ4265">
            <v>0</v>
          </cell>
        </row>
        <row r="4266">
          <cell r="BY4266">
            <v>0</v>
          </cell>
          <cell r="BZ4266">
            <v>0</v>
          </cell>
        </row>
        <row r="4267">
          <cell r="BY4267">
            <v>0</v>
          </cell>
          <cell r="BZ4267">
            <v>0</v>
          </cell>
        </row>
        <row r="4268">
          <cell r="BY4268">
            <v>0</v>
          </cell>
          <cell r="BZ4268">
            <v>0</v>
          </cell>
        </row>
        <row r="4269">
          <cell r="BY4269">
            <v>0</v>
          </cell>
          <cell r="BZ4269">
            <v>0</v>
          </cell>
        </row>
        <row r="4270">
          <cell r="BY4270">
            <v>0</v>
          </cell>
          <cell r="BZ4270">
            <v>0</v>
          </cell>
        </row>
        <row r="4271">
          <cell r="BY4271">
            <v>0</v>
          </cell>
          <cell r="BZ4271">
            <v>0</v>
          </cell>
        </row>
        <row r="4272">
          <cell r="BY4272">
            <v>0</v>
          </cell>
          <cell r="BZ4272">
            <v>0</v>
          </cell>
        </row>
        <row r="4273">
          <cell r="BY4273">
            <v>0</v>
          </cell>
          <cell r="BZ4273">
            <v>0</v>
          </cell>
        </row>
        <row r="4274">
          <cell r="BY4274">
            <v>0</v>
          </cell>
          <cell r="BZ4274">
            <v>0</v>
          </cell>
        </row>
        <row r="4275">
          <cell r="BY4275">
            <v>0</v>
          </cell>
          <cell r="BZ4275">
            <v>0</v>
          </cell>
        </row>
        <row r="4276">
          <cell r="BY4276">
            <v>0</v>
          </cell>
          <cell r="BZ4276">
            <v>0</v>
          </cell>
        </row>
        <row r="4277">
          <cell r="BY4277">
            <v>0</v>
          </cell>
          <cell r="BZ4277">
            <v>0</v>
          </cell>
        </row>
        <row r="4278">
          <cell r="BY4278">
            <v>0</v>
          </cell>
          <cell r="BZ4278">
            <v>0</v>
          </cell>
        </row>
        <row r="4279">
          <cell r="BY4279">
            <v>0</v>
          </cell>
          <cell r="BZ4279">
            <v>0</v>
          </cell>
        </row>
        <row r="4280">
          <cell r="BY4280">
            <v>0</v>
          </cell>
          <cell r="BZ4280">
            <v>0</v>
          </cell>
        </row>
        <row r="4281">
          <cell r="BY4281">
            <v>0</v>
          </cell>
          <cell r="BZ4281">
            <v>0</v>
          </cell>
        </row>
        <row r="4282">
          <cell r="BY4282">
            <v>0</v>
          </cell>
          <cell r="BZ4282">
            <v>0</v>
          </cell>
        </row>
        <row r="4283">
          <cell r="BY4283">
            <v>0</v>
          </cell>
          <cell r="BZ4283">
            <v>0</v>
          </cell>
        </row>
        <row r="4284">
          <cell r="BY4284">
            <v>0</v>
          </cell>
          <cell r="BZ4284">
            <v>0</v>
          </cell>
        </row>
        <row r="4285">
          <cell r="BY4285">
            <v>0</v>
          </cell>
          <cell r="BZ4285">
            <v>0</v>
          </cell>
        </row>
        <row r="4286">
          <cell r="BY4286">
            <v>0</v>
          </cell>
          <cell r="BZ4286">
            <v>0</v>
          </cell>
        </row>
        <row r="4287">
          <cell r="BY4287">
            <v>0</v>
          </cell>
          <cell r="BZ4287">
            <v>0</v>
          </cell>
        </row>
        <row r="4288">
          <cell r="BY4288">
            <v>0</v>
          </cell>
          <cell r="BZ4288">
            <v>0</v>
          </cell>
        </row>
        <row r="4289">
          <cell r="BY4289">
            <v>0</v>
          </cell>
          <cell r="BZ4289">
            <v>0</v>
          </cell>
        </row>
        <row r="4290">
          <cell r="BY4290">
            <v>0</v>
          </cell>
          <cell r="BZ4290">
            <v>0</v>
          </cell>
        </row>
        <row r="4291">
          <cell r="BY4291">
            <v>0</v>
          </cell>
          <cell r="BZ4291">
            <v>0</v>
          </cell>
        </row>
        <row r="4292">
          <cell r="BY4292">
            <v>0</v>
          </cell>
          <cell r="BZ4292">
            <v>0</v>
          </cell>
        </row>
        <row r="4293">
          <cell r="BY4293">
            <v>0</v>
          </cell>
          <cell r="BZ4293">
            <v>0</v>
          </cell>
        </row>
        <row r="4294">
          <cell r="BY4294">
            <v>0</v>
          </cell>
          <cell r="BZ4294">
            <v>0</v>
          </cell>
        </row>
        <row r="4295">
          <cell r="BY4295">
            <v>0</v>
          </cell>
          <cell r="BZ4295">
            <v>0</v>
          </cell>
        </row>
        <row r="4296">
          <cell r="BY4296">
            <v>0</v>
          </cell>
          <cell r="BZ4296">
            <v>0</v>
          </cell>
        </row>
        <row r="4297">
          <cell r="BY4297">
            <v>0</v>
          </cell>
          <cell r="BZ4297">
            <v>0</v>
          </cell>
        </row>
        <row r="4298">
          <cell r="BY4298">
            <v>0</v>
          </cell>
          <cell r="BZ4298">
            <v>0</v>
          </cell>
        </row>
        <row r="4299">
          <cell r="BY4299">
            <v>0</v>
          </cell>
          <cell r="BZ4299">
            <v>0</v>
          </cell>
        </row>
        <row r="4300">
          <cell r="BY4300">
            <v>0</v>
          </cell>
          <cell r="BZ4300">
            <v>0</v>
          </cell>
        </row>
        <row r="4301">
          <cell r="BY4301">
            <v>0</v>
          </cell>
          <cell r="BZ4301">
            <v>0</v>
          </cell>
        </row>
        <row r="4302">
          <cell r="BY4302">
            <v>0</v>
          </cell>
          <cell r="BZ4302">
            <v>0</v>
          </cell>
        </row>
        <row r="4303">
          <cell r="BY4303">
            <v>0</v>
          </cell>
          <cell r="BZ4303">
            <v>0</v>
          </cell>
        </row>
        <row r="4304">
          <cell r="BY4304">
            <v>0</v>
          </cell>
          <cell r="BZ4304">
            <v>0</v>
          </cell>
        </row>
        <row r="4305">
          <cell r="BY4305">
            <v>0</v>
          </cell>
          <cell r="BZ4305">
            <v>0</v>
          </cell>
        </row>
        <row r="4306">
          <cell r="BY4306">
            <v>0</v>
          </cell>
          <cell r="BZ4306">
            <v>0</v>
          </cell>
        </row>
        <row r="4307">
          <cell r="BY4307">
            <v>0</v>
          </cell>
          <cell r="BZ4307">
            <v>0</v>
          </cell>
        </row>
        <row r="4308">
          <cell r="BY4308">
            <v>0</v>
          </cell>
          <cell r="BZ4308">
            <v>0</v>
          </cell>
        </row>
        <row r="4309">
          <cell r="BY4309">
            <v>0</v>
          </cell>
          <cell r="BZ4309">
            <v>0</v>
          </cell>
        </row>
        <row r="4310">
          <cell r="BY4310">
            <v>0</v>
          </cell>
          <cell r="BZ4310">
            <v>0</v>
          </cell>
        </row>
        <row r="4311">
          <cell r="BY4311">
            <v>0</v>
          </cell>
          <cell r="BZ4311">
            <v>0</v>
          </cell>
        </row>
        <row r="4312">
          <cell r="BY4312">
            <v>0</v>
          </cell>
          <cell r="BZ4312">
            <v>0</v>
          </cell>
        </row>
        <row r="4313">
          <cell r="BY4313">
            <v>0</v>
          </cell>
          <cell r="BZ4313">
            <v>0</v>
          </cell>
        </row>
        <row r="4314">
          <cell r="BY4314">
            <v>0</v>
          </cell>
          <cell r="BZ4314">
            <v>0</v>
          </cell>
        </row>
        <row r="4315">
          <cell r="BY4315">
            <v>0</v>
          </cell>
          <cell r="BZ4315">
            <v>0</v>
          </cell>
        </row>
        <row r="4316">
          <cell r="BY4316">
            <v>0</v>
          </cell>
          <cell r="BZ4316">
            <v>0</v>
          </cell>
        </row>
        <row r="4317">
          <cell r="BY4317">
            <v>0</v>
          </cell>
          <cell r="BZ4317">
            <v>0</v>
          </cell>
        </row>
        <row r="4318">
          <cell r="BY4318">
            <v>0</v>
          </cell>
          <cell r="BZ4318">
            <v>0</v>
          </cell>
        </row>
        <row r="4319">
          <cell r="BY4319">
            <v>0</v>
          </cell>
          <cell r="BZ4319">
            <v>0</v>
          </cell>
        </row>
        <row r="4320">
          <cell r="BY4320">
            <v>0</v>
          </cell>
          <cell r="BZ4320">
            <v>0</v>
          </cell>
        </row>
        <row r="4321">
          <cell r="BY4321">
            <v>0</v>
          </cell>
          <cell r="BZ4321">
            <v>0</v>
          </cell>
        </row>
        <row r="4322">
          <cell r="BY4322">
            <v>0</v>
          </cell>
          <cell r="BZ4322">
            <v>0</v>
          </cell>
        </row>
        <row r="4323">
          <cell r="BY4323">
            <v>0</v>
          </cell>
          <cell r="BZ4323">
            <v>0</v>
          </cell>
        </row>
        <row r="4324">
          <cell r="BY4324">
            <v>0</v>
          </cell>
          <cell r="BZ4324">
            <v>0</v>
          </cell>
        </row>
        <row r="4325">
          <cell r="BY4325">
            <v>0</v>
          </cell>
          <cell r="BZ4325">
            <v>0</v>
          </cell>
        </row>
        <row r="4326">
          <cell r="BY4326">
            <v>0</v>
          </cell>
          <cell r="BZ4326">
            <v>0</v>
          </cell>
        </row>
        <row r="4327">
          <cell r="BY4327">
            <v>0</v>
          </cell>
          <cell r="BZ4327">
            <v>0</v>
          </cell>
        </row>
        <row r="4328">
          <cell r="BY4328">
            <v>0</v>
          </cell>
          <cell r="BZ4328">
            <v>0</v>
          </cell>
        </row>
        <row r="4329">
          <cell r="BY4329">
            <v>0</v>
          </cell>
          <cell r="BZ4329">
            <v>0</v>
          </cell>
        </row>
        <row r="4330">
          <cell r="BY4330">
            <v>0</v>
          </cell>
          <cell r="BZ4330">
            <v>0</v>
          </cell>
        </row>
        <row r="4331">
          <cell r="BY4331">
            <v>0</v>
          </cell>
          <cell r="BZ4331">
            <v>0</v>
          </cell>
        </row>
        <row r="4332">
          <cell r="BY4332">
            <v>0</v>
          </cell>
          <cell r="BZ4332">
            <v>0</v>
          </cell>
        </row>
        <row r="4333">
          <cell r="BY4333">
            <v>0</v>
          </cell>
          <cell r="BZ4333">
            <v>0</v>
          </cell>
        </row>
        <row r="4334">
          <cell r="BY4334">
            <v>0</v>
          </cell>
          <cell r="BZ4334">
            <v>0</v>
          </cell>
        </row>
        <row r="4335">
          <cell r="BY4335">
            <v>0</v>
          </cell>
          <cell r="BZ4335">
            <v>0</v>
          </cell>
        </row>
        <row r="4336">
          <cell r="BY4336">
            <v>0</v>
          </cell>
          <cell r="BZ4336">
            <v>0</v>
          </cell>
        </row>
        <row r="4337">
          <cell r="BY4337">
            <v>0</v>
          </cell>
          <cell r="BZ4337">
            <v>0</v>
          </cell>
        </row>
        <row r="4338">
          <cell r="BY4338">
            <v>0</v>
          </cell>
          <cell r="BZ4338">
            <v>0</v>
          </cell>
        </row>
        <row r="4339">
          <cell r="BY4339">
            <v>0</v>
          </cell>
          <cell r="BZ4339">
            <v>0</v>
          </cell>
        </row>
        <row r="4340">
          <cell r="BY4340">
            <v>0</v>
          </cell>
          <cell r="BZ4340">
            <v>0</v>
          </cell>
        </row>
        <row r="4341">
          <cell r="BY4341">
            <v>0</v>
          </cell>
          <cell r="BZ4341">
            <v>0</v>
          </cell>
        </row>
        <row r="4342">
          <cell r="BY4342">
            <v>0</v>
          </cell>
          <cell r="BZ4342">
            <v>0</v>
          </cell>
        </row>
        <row r="4343">
          <cell r="BY4343">
            <v>0</v>
          </cell>
          <cell r="BZ4343">
            <v>0</v>
          </cell>
        </row>
        <row r="4344">
          <cell r="BY4344">
            <v>0</v>
          </cell>
          <cell r="BZ4344">
            <v>0</v>
          </cell>
        </row>
        <row r="4345">
          <cell r="BY4345">
            <v>0</v>
          </cell>
          <cell r="BZ4345">
            <v>0</v>
          </cell>
        </row>
        <row r="4346">
          <cell r="BY4346">
            <v>0</v>
          </cell>
          <cell r="BZ4346">
            <v>0</v>
          </cell>
        </row>
        <row r="4347">
          <cell r="BY4347">
            <v>0</v>
          </cell>
          <cell r="BZ4347">
            <v>0</v>
          </cell>
        </row>
        <row r="4348">
          <cell r="BY4348">
            <v>0</v>
          </cell>
          <cell r="BZ4348">
            <v>0</v>
          </cell>
        </row>
        <row r="4349">
          <cell r="BY4349">
            <v>0</v>
          </cell>
          <cell r="BZ4349">
            <v>0</v>
          </cell>
        </row>
        <row r="4350">
          <cell r="BY4350">
            <v>0</v>
          </cell>
          <cell r="BZ4350">
            <v>0</v>
          </cell>
        </row>
        <row r="4351">
          <cell r="BY4351">
            <v>0</v>
          </cell>
          <cell r="BZ4351">
            <v>0</v>
          </cell>
        </row>
        <row r="4352">
          <cell r="BY4352">
            <v>0</v>
          </cell>
          <cell r="BZ4352">
            <v>0</v>
          </cell>
        </row>
        <row r="4353">
          <cell r="BY4353">
            <v>0</v>
          </cell>
          <cell r="BZ4353">
            <v>0</v>
          </cell>
        </row>
        <row r="4354">
          <cell r="BY4354">
            <v>0</v>
          </cell>
          <cell r="BZ4354">
            <v>0</v>
          </cell>
        </row>
        <row r="4355">
          <cell r="BY4355">
            <v>0</v>
          </cell>
          <cell r="BZ4355">
            <v>0</v>
          </cell>
        </row>
        <row r="4356">
          <cell r="BY4356">
            <v>0</v>
          </cell>
          <cell r="BZ4356">
            <v>0</v>
          </cell>
        </row>
        <row r="4357">
          <cell r="BY4357">
            <v>0</v>
          </cell>
          <cell r="BZ4357">
            <v>0</v>
          </cell>
        </row>
        <row r="4358">
          <cell r="BY4358">
            <v>0</v>
          </cell>
          <cell r="BZ4358">
            <v>0</v>
          </cell>
        </row>
        <row r="4359">
          <cell r="BY4359">
            <v>0</v>
          </cell>
          <cell r="BZ4359">
            <v>0</v>
          </cell>
        </row>
        <row r="4360">
          <cell r="BY4360">
            <v>0</v>
          </cell>
          <cell r="BZ4360">
            <v>0</v>
          </cell>
        </row>
        <row r="4361">
          <cell r="BY4361">
            <v>0</v>
          </cell>
          <cell r="BZ4361">
            <v>0</v>
          </cell>
        </row>
        <row r="4362">
          <cell r="BY4362">
            <v>0</v>
          </cell>
          <cell r="BZ4362">
            <v>0</v>
          </cell>
        </row>
        <row r="4363">
          <cell r="BY4363">
            <v>0</v>
          </cell>
          <cell r="BZ4363">
            <v>0</v>
          </cell>
        </row>
        <row r="4364">
          <cell r="BY4364">
            <v>0</v>
          </cell>
          <cell r="BZ4364">
            <v>0</v>
          </cell>
        </row>
        <row r="4365">
          <cell r="BY4365">
            <v>0</v>
          </cell>
          <cell r="BZ4365">
            <v>0</v>
          </cell>
        </row>
        <row r="4366">
          <cell r="BY4366">
            <v>0</v>
          </cell>
          <cell r="BZ4366">
            <v>0</v>
          </cell>
        </row>
        <row r="4367">
          <cell r="BY4367">
            <v>0</v>
          </cell>
          <cell r="BZ4367">
            <v>0</v>
          </cell>
        </row>
        <row r="4368">
          <cell r="BY4368">
            <v>0</v>
          </cell>
          <cell r="BZ4368">
            <v>0</v>
          </cell>
        </row>
        <row r="4369">
          <cell r="BY4369">
            <v>0</v>
          </cell>
          <cell r="BZ4369">
            <v>0</v>
          </cell>
        </row>
        <row r="4370">
          <cell r="BY4370">
            <v>0</v>
          </cell>
          <cell r="BZ4370">
            <v>0</v>
          </cell>
        </row>
        <row r="4371">
          <cell r="BY4371">
            <v>0</v>
          </cell>
          <cell r="BZ4371">
            <v>0</v>
          </cell>
        </row>
        <row r="4372">
          <cell r="BY4372">
            <v>0</v>
          </cell>
          <cell r="BZ4372">
            <v>0</v>
          </cell>
        </row>
        <row r="4373">
          <cell r="BY4373">
            <v>0</v>
          </cell>
          <cell r="BZ4373">
            <v>0</v>
          </cell>
        </row>
        <row r="4374">
          <cell r="BY4374">
            <v>0</v>
          </cell>
          <cell r="BZ4374">
            <v>0</v>
          </cell>
        </row>
        <row r="4375">
          <cell r="BY4375">
            <v>0</v>
          </cell>
          <cell r="BZ4375">
            <v>0</v>
          </cell>
        </row>
        <row r="4376">
          <cell r="BY4376">
            <v>0</v>
          </cell>
          <cell r="BZ4376">
            <v>0</v>
          </cell>
        </row>
        <row r="4377">
          <cell r="BY4377">
            <v>0</v>
          </cell>
          <cell r="BZ4377">
            <v>0</v>
          </cell>
        </row>
        <row r="4378">
          <cell r="BY4378">
            <v>0</v>
          </cell>
          <cell r="BZ4378">
            <v>0</v>
          </cell>
        </row>
        <row r="4379">
          <cell r="BY4379">
            <v>0</v>
          </cell>
          <cell r="BZ4379">
            <v>0</v>
          </cell>
        </row>
        <row r="4380">
          <cell r="BY4380">
            <v>0</v>
          </cell>
          <cell r="BZ4380">
            <v>0</v>
          </cell>
        </row>
        <row r="4381">
          <cell r="BY4381">
            <v>0</v>
          </cell>
          <cell r="BZ4381">
            <v>0</v>
          </cell>
        </row>
        <row r="4382">
          <cell r="BY4382">
            <v>0</v>
          </cell>
          <cell r="BZ4382">
            <v>0</v>
          </cell>
        </row>
        <row r="4383">
          <cell r="BY4383">
            <v>0</v>
          </cell>
          <cell r="BZ4383">
            <v>0</v>
          </cell>
        </row>
        <row r="4384">
          <cell r="BY4384">
            <v>0</v>
          </cell>
          <cell r="BZ4384">
            <v>0</v>
          </cell>
        </row>
        <row r="4385">
          <cell r="BY4385">
            <v>0</v>
          </cell>
          <cell r="BZ4385">
            <v>0</v>
          </cell>
        </row>
        <row r="4386">
          <cell r="BY4386">
            <v>0</v>
          </cell>
          <cell r="BZ4386">
            <v>0</v>
          </cell>
        </row>
        <row r="4387">
          <cell r="BY4387">
            <v>0</v>
          </cell>
          <cell r="BZ4387">
            <v>0</v>
          </cell>
        </row>
        <row r="4388">
          <cell r="BY4388">
            <v>0</v>
          </cell>
          <cell r="BZ4388">
            <v>0</v>
          </cell>
        </row>
        <row r="4389">
          <cell r="BY4389">
            <v>0</v>
          </cell>
          <cell r="BZ4389">
            <v>0</v>
          </cell>
        </row>
        <row r="4390">
          <cell r="BY4390">
            <v>0</v>
          </cell>
          <cell r="BZ4390">
            <v>0</v>
          </cell>
        </row>
        <row r="4391">
          <cell r="BY4391">
            <v>0</v>
          </cell>
          <cell r="BZ4391">
            <v>0</v>
          </cell>
        </row>
        <row r="4392">
          <cell r="BY4392">
            <v>0</v>
          </cell>
          <cell r="BZ4392">
            <v>0</v>
          </cell>
        </row>
        <row r="4393">
          <cell r="BY4393">
            <v>0</v>
          </cell>
          <cell r="BZ4393">
            <v>0</v>
          </cell>
        </row>
        <row r="4394">
          <cell r="BY4394">
            <v>0</v>
          </cell>
          <cell r="BZ4394">
            <v>0</v>
          </cell>
        </row>
        <row r="4395">
          <cell r="BY4395">
            <v>0</v>
          </cell>
          <cell r="BZ4395">
            <v>0</v>
          </cell>
        </row>
        <row r="4396">
          <cell r="BY4396">
            <v>0</v>
          </cell>
          <cell r="BZ4396">
            <v>0</v>
          </cell>
        </row>
        <row r="4397">
          <cell r="BY4397">
            <v>0</v>
          </cell>
          <cell r="BZ4397">
            <v>0</v>
          </cell>
        </row>
        <row r="4398">
          <cell r="BY4398">
            <v>0</v>
          </cell>
          <cell r="BZ4398">
            <v>0</v>
          </cell>
        </row>
        <row r="4399">
          <cell r="BY4399">
            <v>0</v>
          </cell>
          <cell r="BZ4399">
            <v>0</v>
          </cell>
        </row>
        <row r="4400">
          <cell r="BY4400">
            <v>0</v>
          </cell>
          <cell r="BZ4400">
            <v>0</v>
          </cell>
        </row>
        <row r="4401">
          <cell r="BY4401">
            <v>0</v>
          </cell>
          <cell r="BZ4401">
            <v>0</v>
          </cell>
        </row>
        <row r="4402">
          <cell r="BY4402">
            <v>0</v>
          </cell>
          <cell r="BZ4402">
            <v>0</v>
          </cell>
        </row>
        <row r="4403">
          <cell r="BY4403">
            <v>0</v>
          </cell>
          <cell r="BZ4403">
            <v>0</v>
          </cell>
        </row>
        <row r="4404">
          <cell r="BY4404">
            <v>0</v>
          </cell>
          <cell r="BZ4404">
            <v>0</v>
          </cell>
        </row>
        <row r="4405">
          <cell r="BY4405">
            <v>0</v>
          </cell>
          <cell r="BZ4405">
            <v>0</v>
          </cell>
        </row>
        <row r="4406">
          <cell r="BY4406">
            <v>0</v>
          </cell>
          <cell r="BZ4406">
            <v>0</v>
          </cell>
        </row>
        <row r="4407">
          <cell r="BY4407">
            <v>0</v>
          </cell>
          <cell r="BZ4407">
            <v>0</v>
          </cell>
        </row>
        <row r="4408">
          <cell r="BY4408">
            <v>0</v>
          </cell>
          <cell r="BZ4408">
            <v>0</v>
          </cell>
        </row>
        <row r="4409">
          <cell r="BY4409">
            <v>0</v>
          </cell>
          <cell r="BZ4409">
            <v>0</v>
          </cell>
        </row>
        <row r="4410">
          <cell r="BY4410">
            <v>0</v>
          </cell>
          <cell r="BZ4410">
            <v>0</v>
          </cell>
        </row>
        <row r="4411">
          <cell r="BY4411">
            <v>0</v>
          </cell>
          <cell r="BZ4411">
            <v>0</v>
          </cell>
        </row>
        <row r="4412">
          <cell r="BY4412">
            <v>0</v>
          </cell>
          <cell r="BZ4412">
            <v>0</v>
          </cell>
        </row>
        <row r="4413">
          <cell r="BY4413">
            <v>0</v>
          </cell>
          <cell r="BZ4413">
            <v>0</v>
          </cell>
        </row>
        <row r="4414">
          <cell r="BY4414">
            <v>0</v>
          </cell>
          <cell r="BZ4414">
            <v>0</v>
          </cell>
        </row>
        <row r="4415">
          <cell r="BY4415">
            <v>0</v>
          </cell>
          <cell r="BZ4415">
            <v>0</v>
          </cell>
        </row>
        <row r="4416">
          <cell r="BY4416">
            <v>0</v>
          </cell>
          <cell r="BZ4416">
            <v>0</v>
          </cell>
        </row>
        <row r="4417">
          <cell r="BY4417">
            <v>0</v>
          </cell>
          <cell r="BZ4417">
            <v>0</v>
          </cell>
        </row>
        <row r="4418">
          <cell r="BY4418">
            <v>0</v>
          </cell>
          <cell r="BZ4418">
            <v>0</v>
          </cell>
        </row>
        <row r="4419">
          <cell r="BY4419">
            <v>0</v>
          </cell>
          <cell r="BZ4419">
            <v>0</v>
          </cell>
        </row>
        <row r="4420">
          <cell r="BY4420">
            <v>0</v>
          </cell>
          <cell r="BZ4420">
            <v>0</v>
          </cell>
        </row>
        <row r="4421">
          <cell r="BY4421">
            <v>0</v>
          </cell>
          <cell r="BZ4421">
            <v>0</v>
          </cell>
        </row>
        <row r="4422">
          <cell r="BY4422">
            <v>0</v>
          </cell>
          <cell r="BZ4422">
            <v>0</v>
          </cell>
        </row>
        <row r="4423">
          <cell r="BY4423">
            <v>0</v>
          </cell>
          <cell r="BZ4423">
            <v>0</v>
          </cell>
        </row>
        <row r="4424">
          <cell r="BY4424">
            <v>0</v>
          </cell>
          <cell r="BZ4424">
            <v>0</v>
          </cell>
        </row>
        <row r="4425">
          <cell r="BY4425">
            <v>0</v>
          </cell>
          <cell r="BZ4425">
            <v>0</v>
          </cell>
        </row>
        <row r="4426">
          <cell r="BY4426">
            <v>0</v>
          </cell>
          <cell r="BZ4426">
            <v>0</v>
          </cell>
        </row>
        <row r="4427">
          <cell r="BY4427">
            <v>0</v>
          </cell>
          <cell r="BZ4427">
            <v>0</v>
          </cell>
        </row>
        <row r="4428">
          <cell r="BY4428">
            <v>0</v>
          </cell>
          <cell r="BZ4428">
            <v>0</v>
          </cell>
        </row>
        <row r="4429">
          <cell r="BY4429">
            <v>0</v>
          </cell>
          <cell r="BZ4429">
            <v>0</v>
          </cell>
        </row>
        <row r="4430">
          <cell r="BY4430">
            <v>0</v>
          </cell>
          <cell r="BZ4430">
            <v>0</v>
          </cell>
        </row>
        <row r="4431">
          <cell r="BY4431">
            <v>0</v>
          </cell>
          <cell r="BZ4431">
            <v>0</v>
          </cell>
        </row>
        <row r="4432">
          <cell r="BY4432">
            <v>0</v>
          </cell>
          <cell r="BZ4432">
            <v>0</v>
          </cell>
        </row>
        <row r="4433">
          <cell r="BY4433">
            <v>0</v>
          </cell>
          <cell r="BZ4433">
            <v>0</v>
          </cell>
        </row>
        <row r="4434">
          <cell r="BY4434">
            <v>0</v>
          </cell>
          <cell r="BZ4434">
            <v>0</v>
          </cell>
        </row>
        <row r="4435">
          <cell r="BY4435">
            <v>0</v>
          </cell>
          <cell r="BZ4435">
            <v>0</v>
          </cell>
        </row>
        <row r="4436">
          <cell r="BY4436">
            <v>0</v>
          </cell>
          <cell r="BZ4436">
            <v>0</v>
          </cell>
        </row>
        <row r="4437">
          <cell r="BY4437">
            <v>0</v>
          </cell>
          <cell r="BZ4437">
            <v>0</v>
          </cell>
        </row>
        <row r="4438">
          <cell r="BY4438">
            <v>0</v>
          </cell>
          <cell r="BZ4438">
            <v>0</v>
          </cell>
        </row>
        <row r="4439">
          <cell r="BY4439">
            <v>0</v>
          </cell>
          <cell r="BZ4439">
            <v>0</v>
          </cell>
        </row>
        <row r="4440">
          <cell r="BY4440">
            <v>0</v>
          </cell>
          <cell r="BZ4440">
            <v>0</v>
          </cell>
        </row>
        <row r="4441">
          <cell r="BY4441">
            <v>0</v>
          </cell>
          <cell r="BZ4441">
            <v>0</v>
          </cell>
        </row>
        <row r="4442">
          <cell r="BY4442">
            <v>0</v>
          </cell>
          <cell r="BZ4442">
            <v>0</v>
          </cell>
        </row>
        <row r="4443">
          <cell r="BY4443">
            <v>0</v>
          </cell>
          <cell r="BZ4443">
            <v>0</v>
          </cell>
        </row>
        <row r="4444">
          <cell r="BY4444">
            <v>0</v>
          </cell>
          <cell r="BZ4444">
            <v>0</v>
          </cell>
        </row>
        <row r="4445">
          <cell r="BY4445">
            <v>0</v>
          </cell>
          <cell r="BZ4445">
            <v>0</v>
          </cell>
        </row>
        <row r="4446">
          <cell r="BY4446">
            <v>0</v>
          </cell>
          <cell r="BZ4446">
            <v>0</v>
          </cell>
        </row>
        <row r="4447">
          <cell r="BY4447">
            <v>0</v>
          </cell>
          <cell r="BZ4447">
            <v>0</v>
          </cell>
        </row>
        <row r="4448">
          <cell r="BY4448">
            <v>0</v>
          </cell>
          <cell r="BZ4448">
            <v>0</v>
          </cell>
        </row>
        <row r="4449">
          <cell r="BY4449">
            <v>0</v>
          </cell>
          <cell r="BZ4449">
            <v>0</v>
          </cell>
        </row>
        <row r="4450">
          <cell r="BY4450">
            <v>0</v>
          </cell>
          <cell r="BZ4450">
            <v>0</v>
          </cell>
        </row>
        <row r="4451">
          <cell r="BY4451">
            <v>0</v>
          </cell>
          <cell r="BZ4451">
            <v>0</v>
          </cell>
        </row>
        <row r="4452">
          <cell r="BY4452">
            <v>0</v>
          </cell>
          <cell r="BZ4452">
            <v>0</v>
          </cell>
        </row>
        <row r="4453">
          <cell r="BY4453">
            <v>0</v>
          </cell>
          <cell r="BZ4453">
            <v>0</v>
          </cell>
        </row>
        <row r="4454">
          <cell r="BY4454">
            <v>0</v>
          </cell>
          <cell r="BZ4454">
            <v>0</v>
          </cell>
        </row>
        <row r="4455">
          <cell r="BY4455">
            <v>0</v>
          </cell>
          <cell r="BZ4455">
            <v>0</v>
          </cell>
        </row>
        <row r="4456">
          <cell r="BY4456">
            <v>0</v>
          </cell>
          <cell r="BZ4456">
            <v>0</v>
          </cell>
        </row>
        <row r="4457">
          <cell r="BY4457">
            <v>0</v>
          </cell>
          <cell r="BZ4457">
            <v>0</v>
          </cell>
        </row>
        <row r="4458">
          <cell r="BY4458">
            <v>0</v>
          </cell>
          <cell r="BZ4458">
            <v>0</v>
          </cell>
        </row>
        <row r="4459">
          <cell r="BY4459">
            <v>0</v>
          </cell>
          <cell r="BZ4459">
            <v>0</v>
          </cell>
        </row>
        <row r="4460">
          <cell r="BY4460">
            <v>0</v>
          </cell>
          <cell r="BZ4460">
            <v>0</v>
          </cell>
        </row>
        <row r="4461">
          <cell r="BY4461">
            <v>0</v>
          </cell>
          <cell r="BZ4461">
            <v>0</v>
          </cell>
        </row>
        <row r="4462">
          <cell r="BY4462">
            <v>0</v>
          </cell>
          <cell r="BZ4462">
            <v>0</v>
          </cell>
        </row>
        <row r="4463">
          <cell r="BY4463">
            <v>0</v>
          </cell>
          <cell r="BZ4463">
            <v>0</v>
          </cell>
        </row>
        <row r="4464">
          <cell r="BY4464">
            <v>0</v>
          </cell>
          <cell r="BZ4464">
            <v>0</v>
          </cell>
        </row>
        <row r="4465">
          <cell r="BY4465">
            <v>0</v>
          </cell>
          <cell r="BZ4465">
            <v>0</v>
          </cell>
        </row>
        <row r="4466">
          <cell r="BY4466">
            <v>0</v>
          </cell>
          <cell r="BZ4466">
            <v>0</v>
          </cell>
        </row>
        <row r="4467">
          <cell r="BY4467">
            <v>0</v>
          </cell>
          <cell r="BZ4467">
            <v>0</v>
          </cell>
        </row>
        <row r="4468">
          <cell r="BY4468">
            <v>0</v>
          </cell>
          <cell r="BZ4468">
            <v>0</v>
          </cell>
        </row>
        <row r="4469">
          <cell r="BY4469">
            <v>0</v>
          </cell>
          <cell r="BZ4469">
            <v>0</v>
          </cell>
        </row>
        <row r="4470">
          <cell r="BY4470">
            <v>0</v>
          </cell>
          <cell r="BZ4470">
            <v>0</v>
          </cell>
        </row>
        <row r="4471">
          <cell r="BY4471">
            <v>0</v>
          </cell>
          <cell r="BZ4471">
            <v>0</v>
          </cell>
        </row>
        <row r="4472">
          <cell r="BY4472">
            <v>0</v>
          </cell>
          <cell r="BZ4472">
            <v>0</v>
          </cell>
        </row>
        <row r="4473">
          <cell r="BY4473">
            <v>0</v>
          </cell>
          <cell r="BZ4473">
            <v>0</v>
          </cell>
        </row>
        <row r="4474">
          <cell r="BY4474">
            <v>0</v>
          </cell>
          <cell r="BZ4474">
            <v>0</v>
          </cell>
        </row>
        <row r="4475">
          <cell r="BY4475">
            <v>0</v>
          </cell>
          <cell r="BZ4475">
            <v>0</v>
          </cell>
        </row>
        <row r="4476">
          <cell r="BY4476">
            <v>0</v>
          </cell>
          <cell r="BZ4476">
            <v>0</v>
          </cell>
        </row>
        <row r="4477">
          <cell r="BY4477">
            <v>0</v>
          </cell>
          <cell r="BZ4477">
            <v>0</v>
          </cell>
        </row>
        <row r="4478">
          <cell r="BY4478">
            <v>0</v>
          </cell>
          <cell r="BZ4478">
            <v>0</v>
          </cell>
        </row>
        <row r="4479">
          <cell r="BY4479">
            <v>0</v>
          </cell>
          <cell r="BZ4479">
            <v>0</v>
          </cell>
        </row>
        <row r="4480">
          <cell r="BY4480">
            <v>0</v>
          </cell>
          <cell r="BZ4480">
            <v>0</v>
          </cell>
        </row>
        <row r="4481">
          <cell r="BY4481">
            <v>0</v>
          </cell>
          <cell r="BZ4481">
            <v>0</v>
          </cell>
        </row>
        <row r="4482">
          <cell r="BY4482">
            <v>0</v>
          </cell>
          <cell r="BZ4482">
            <v>0</v>
          </cell>
        </row>
        <row r="4483">
          <cell r="BY4483">
            <v>0</v>
          </cell>
          <cell r="BZ4483">
            <v>0</v>
          </cell>
        </row>
        <row r="4484">
          <cell r="BY4484">
            <v>0</v>
          </cell>
          <cell r="BZ4484">
            <v>0</v>
          </cell>
        </row>
        <row r="4485">
          <cell r="BY4485">
            <v>0</v>
          </cell>
          <cell r="BZ4485">
            <v>0</v>
          </cell>
        </row>
        <row r="4486">
          <cell r="BY4486">
            <v>0</v>
          </cell>
          <cell r="BZ4486">
            <v>0</v>
          </cell>
        </row>
        <row r="4487">
          <cell r="BY4487">
            <v>0</v>
          </cell>
          <cell r="BZ4487">
            <v>0</v>
          </cell>
        </row>
        <row r="4488">
          <cell r="BY4488">
            <v>0</v>
          </cell>
          <cell r="BZ4488">
            <v>0</v>
          </cell>
        </row>
        <row r="4489">
          <cell r="BY4489">
            <v>0</v>
          </cell>
          <cell r="BZ4489">
            <v>0</v>
          </cell>
        </row>
        <row r="4490">
          <cell r="BY4490">
            <v>0</v>
          </cell>
          <cell r="BZ4490">
            <v>0</v>
          </cell>
        </row>
        <row r="4491">
          <cell r="BY4491">
            <v>0</v>
          </cell>
          <cell r="BZ4491">
            <v>0</v>
          </cell>
        </row>
        <row r="4492">
          <cell r="BY4492">
            <v>0</v>
          </cell>
          <cell r="BZ4492">
            <v>0</v>
          </cell>
        </row>
        <row r="4493">
          <cell r="BY4493">
            <v>0</v>
          </cell>
          <cell r="BZ4493">
            <v>0</v>
          </cell>
        </row>
        <row r="4494">
          <cell r="BY4494">
            <v>0</v>
          </cell>
          <cell r="BZ4494">
            <v>0</v>
          </cell>
        </row>
        <row r="4495">
          <cell r="BY4495">
            <v>0</v>
          </cell>
          <cell r="BZ4495">
            <v>0</v>
          </cell>
        </row>
        <row r="4496">
          <cell r="BY4496">
            <v>0</v>
          </cell>
          <cell r="BZ4496">
            <v>0</v>
          </cell>
        </row>
        <row r="4497">
          <cell r="BY4497">
            <v>0</v>
          </cell>
          <cell r="BZ4497">
            <v>0</v>
          </cell>
        </row>
        <row r="4498">
          <cell r="BY4498">
            <v>0</v>
          </cell>
          <cell r="BZ4498">
            <v>0</v>
          </cell>
        </row>
        <row r="4499">
          <cell r="BY4499">
            <v>0</v>
          </cell>
          <cell r="BZ4499">
            <v>0</v>
          </cell>
        </row>
        <row r="4500">
          <cell r="BY4500">
            <v>0</v>
          </cell>
          <cell r="BZ4500">
            <v>0</v>
          </cell>
        </row>
        <row r="4501">
          <cell r="BY4501">
            <v>0</v>
          </cell>
          <cell r="BZ4501">
            <v>0</v>
          </cell>
        </row>
        <row r="4502">
          <cell r="BY4502">
            <v>0</v>
          </cell>
          <cell r="BZ4502">
            <v>0</v>
          </cell>
        </row>
        <row r="4503">
          <cell r="BY4503">
            <v>0</v>
          </cell>
          <cell r="BZ4503">
            <v>0</v>
          </cell>
        </row>
        <row r="4504">
          <cell r="BY4504">
            <v>0</v>
          </cell>
          <cell r="BZ4504">
            <v>0</v>
          </cell>
        </row>
        <row r="4505">
          <cell r="BY4505">
            <v>0</v>
          </cell>
          <cell r="BZ4505">
            <v>0</v>
          </cell>
        </row>
        <row r="4506">
          <cell r="BY4506">
            <v>0</v>
          </cell>
          <cell r="BZ4506">
            <v>0</v>
          </cell>
        </row>
        <row r="4507">
          <cell r="BY4507">
            <v>0</v>
          </cell>
          <cell r="BZ4507">
            <v>0</v>
          </cell>
        </row>
        <row r="4508">
          <cell r="BY4508">
            <v>0</v>
          </cell>
          <cell r="BZ4508">
            <v>0</v>
          </cell>
        </row>
        <row r="4509">
          <cell r="BY4509">
            <v>0</v>
          </cell>
          <cell r="BZ4509">
            <v>0</v>
          </cell>
        </row>
        <row r="4510">
          <cell r="BY4510">
            <v>0</v>
          </cell>
          <cell r="BZ4510">
            <v>0</v>
          </cell>
        </row>
        <row r="4511">
          <cell r="BY4511">
            <v>0</v>
          </cell>
          <cell r="BZ4511">
            <v>0</v>
          </cell>
        </row>
        <row r="4512">
          <cell r="BY4512">
            <v>0</v>
          </cell>
          <cell r="BZ4512">
            <v>0</v>
          </cell>
        </row>
        <row r="4513">
          <cell r="BY4513">
            <v>0</v>
          </cell>
          <cell r="BZ4513">
            <v>0</v>
          </cell>
        </row>
        <row r="4514">
          <cell r="BY4514">
            <v>0</v>
          </cell>
          <cell r="BZ4514">
            <v>0</v>
          </cell>
        </row>
        <row r="4515">
          <cell r="BY4515">
            <v>0</v>
          </cell>
          <cell r="BZ4515">
            <v>0</v>
          </cell>
        </row>
        <row r="4516">
          <cell r="BY4516">
            <v>0</v>
          </cell>
          <cell r="BZ4516">
            <v>0</v>
          </cell>
        </row>
        <row r="4517">
          <cell r="BY4517">
            <v>0</v>
          </cell>
          <cell r="BZ4517">
            <v>0</v>
          </cell>
        </row>
        <row r="4518">
          <cell r="BY4518">
            <v>0</v>
          </cell>
          <cell r="BZ4518">
            <v>0</v>
          </cell>
        </row>
        <row r="4519">
          <cell r="BY4519">
            <v>0</v>
          </cell>
          <cell r="BZ4519">
            <v>0</v>
          </cell>
        </row>
        <row r="4520">
          <cell r="BY4520">
            <v>0</v>
          </cell>
          <cell r="BZ4520">
            <v>0</v>
          </cell>
        </row>
        <row r="4521">
          <cell r="BY4521">
            <v>0</v>
          </cell>
          <cell r="BZ4521">
            <v>0</v>
          </cell>
        </row>
        <row r="4522">
          <cell r="BY4522">
            <v>0</v>
          </cell>
          <cell r="BZ4522">
            <v>0</v>
          </cell>
        </row>
        <row r="4523">
          <cell r="BY4523">
            <v>0</v>
          </cell>
          <cell r="BZ4523">
            <v>0</v>
          </cell>
        </row>
        <row r="4524">
          <cell r="BY4524">
            <v>0</v>
          </cell>
          <cell r="BZ4524">
            <v>0</v>
          </cell>
        </row>
        <row r="4525">
          <cell r="BY4525">
            <v>0</v>
          </cell>
          <cell r="BZ4525">
            <v>0</v>
          </cell>
        </row>
        <row r="4526">
          <cell r="BY4526">
            <v>0</v>
          </cell>
          <cell r="BZ4526">
            <v>0</v>
          </cell>
        </row>
        <row r="4527">
          <cell r="BY4527">
            <v>0</v>
          </cell>
          <cell r="BZ4527">
            <v>0</v>
          </cell>
        </row>
        <row r="4528">
          <cell r="BY4528">
            <v>0</v>
          </cell>
          <cell r="BZ4528">
            <v>0</v>
          </cell>
        </row>
        <row r="4529">
          <cell r="BY4529">
            <v>0</v>
          </cell>
          <cell r="BZ4529">
            <v>0</v>
          </cell>
        </row>
        <row r="4530">
          <cell r="BY4530">
            <v>0</v>
          </cell>
          <cell r="BZ4530">
            <v>0</v>
          </cell>
        </row>
        <row r="4531">
          <cell r="BY4531">
            <v>0</v>
          </cell>
          <cell r="BZ4531">
            <v>0</v>
          </cell>
        </row>
        <row r="4532">
          <cell r="BY4532">
            <v>0</v>
          </cell>
          <cell r="BZ4532">
            <v>0</v>
          </cell>
        </row>
        <row r="4533">
          <cell r="BY4533">
            <v>0</v>
          </cell>
          <cell r="BZ4533">
            <v>0</v>
          </cell>
        </row>
        <row r="4534">
          <cell r="BY4534">
            <v>0</v>
          </cell>
          <cell r="BZ4534">
            <v>0</v>
          </cell>
        </row>
        <row r="4535">
          <cell r="BY4535">
            <v>0</v>
          </cell>
          <cell r="BZ4535">
            <v>0</v>
          </cell>
        </row>
        <row r="4536">
          <cell r="BY4536">
            <v>0</v>
          </cell>
          <cell r="BZ4536">
            <v>0</v>
          </cell>
        </row>
        <row r="4537">
          <cell r="BY4537">
            <v>0</v>
          </cell>
          <cell r="BZ4537">
            <v>0</v>
          </cell>
        </row>
        <row r="4538">
          <cell r="BY4538">
            <v>0</v>
          </cell>
          <cell r="BZ4538">
            <v>0</v>
          </cell>
        </row>
        <row r="4539">
          <cell r="BY4539">
            <v>0</v>
          </cell>
          <cell r="BZ4539">
            <v>0</v>
          </cell>
        </row>
        <row r="4540">
          <cell r="BY4540">
            <v>0</v>
          </cell>
          <cell r="BZ4540">
            <v>0</v>
          </cell>
        </row>
        <row r="4541">
          <cell r="BY4541">
            <v>0</v>
          </cell>
          <cell r="BZ4541">
            <v>0</v>
          </cell>
        </row>
        <row r="4542">
          <cell r="BY4542">
            <v>0</v>
          </cell>
          <cell r="BZ4542">
            <v>0</v>
          </cell>
        </row>
        <row r="4543">
          <cell r="BY4543">
            <v>0</v>
          </cell>
          <cell r="BZ4543">
            <v>0</v>
          </cell>
        </row>
        <row r="4544">
          <cell r="BY4544">
            <v>0</v>
          </cell>
          <cell r="BZ4544">
            <v>0</v>
          </cell>
        </row>
        <row r="4545">
          <cell r="BY4545">
            <v>0</v>
          </cell>
          <cell r="BZ4545">
            <v>0</v>
          </cell>
        </row>
        <row r="4546">
          <cell r="BY4546">
            <v>0</v>
          </cell>
          <cell r="BZ4546">
            <v>0</v>
          </cell>
        </row>
        <row r="4547">
          <cell r="BY4547">
            <v>0</v>
          </cell>
          <cell r="BZ4547">
            <v>0</v>
          </cell>
        </row>
        <row r="4548">
          <cell r="BY4548">
            <v>0</v>
          </cell>
          <cell r="BZ4548">
            <v>0</v>
          </cell>
        </row>
        <row r="4549">
          <cell r="BY4549">
            <v>0</v>
          </cell>
          <cell r="BZ4549">
            <v>0</v>
          </cell>
        </row>
        <row r="4550">
          <cell r="BY4550">
            <v>0</v>
          </cell>
          <cell r="BZ4550">
            <v>0</v>
          </cell>
        </row>
        <row r="4551">
          <cell r="BY4551">
            <v>0</v>
          </cell>
          <cell r="BZ4551">
            <v>0</v>
          </cell>
        </row>
        <row r="4552">
          <cell r="BY4552">
            <v>0</v>
          </cell>
          <cell r="BZ4552">
            <v>0</v>
          </cell>
        </row>
        <row r="4553">
          <cell r="BY4553">
            <v>0</v>
          </cell>
          <cell r="BZ4553">
            <v>0</v>
          </cell>
        </row>
        <row r="4554">
          <cell r="BY4554">
            <v>0</v>
          </cell>
          <cell r="BZ4554">
            <v>0</v>
          </cell>
        </row>
        <row r="4555">
          <cell r="BY4555">
            <v>0</v>
          </cell>
          <cell r="BZ4555">
            <v>0</v>
          </cell>
        </row>
        <row r="4556">
          <cell r="BY4556">
            <v>0</v>
          </cell>
          <cell r="BZ4556">
            <v>0</v>
          </cell>
        </row>
        <row r="4557">
          <cell r="BY4557">
            <v>0</v>
          </cell>
          <cell r="BZ4557">
            <v>0</v>
          </cell>
        </row>
        <row r="4558">
          <cell r="BY4558">
            <v>0</v>
          </cell>
          <cell r="BZ4558">
            <v>0</v>
          </cell>
        </row>
        <row r="4559">
          <cell r="BY4559">
            <v>0</v>
          </cell>
          <cell r="BZ4559">
            <v>0</v>
          </cell>
        </row>
        <row r="4560">
          <cell r="BY4560">
            <v>0</v>
          </cell>
          <cell r="BZ4560">
            <v>0</v>
          </cell>
        </row>
        <row r="4561">
          <cell r="BY4561">
            <v>0</v>
          </cell>
          <cell r="BZ4561">
            <v>0</v>
          </cell>
        </row>
        <row r="4562">
          <cell r="BY4562">
            <v>0</v>
          </cell>
          <cell r="BZ4562">
            <v>0</v>
          </cell>
        </row>
        <row r="4563">
          <cell r="BY4563">
            <v>0</v>
          </cell>
          <cell r="BZ4563">
            <v>0</v>
          </cell>
        </row>
        <row r="4564">
          <cell r="BY4564">
            <v>0</v>
          </cell>
          <cell r="BZ4564">
            <v>0</v>
          </cell>
        </row>
        <row r="4565">
          <cell r="BY4565">
            <v>0</v>
          </cell>
          <cell r="BZ4565">
            <v>0</v>
          </cell>
        </row>
        <row r="4566">
          <cell r="BY4566">
            <v>0</v>
          </cell>
          <cell r="BZ4566">
            <v>0</v>
          </cell>
        </row>
        <row r="4567">
          <cell r="BY4567">
            <v>0</v>
          </cell>
          <cell r="BZ4567">
            <v>0</v>
          </cell>
        </row>
        <row r="4568">
          <cell r="BY4568">
            <v>0</v>
          </cell>
          <cell r="BZ4568">
            <v>0</v>
          </cell>
        </row>
        <row r="4569">
          <cell r="BY4569">
            <v>0</v>
          </cell>
          <cell r="BZ4569">
            <v>0</v>
          </cell>
        </row>
        <row r="4570">
          <cell r="BY4570">
            <v>0</v>
          </cell>
          <cell r="BZ4570">
            <v>0</v>
          </cell>
        </row>
        <row r="4571">
          <cell r="BY4571">
            <v>0</v>
          </cell>
          <cell r="BZ4571">
            <v>0</v>
          </cell>
        </row>
        <row r="4572">
          <cell r="BY4572">
            <v>0</v>
          </cell>
          <cell r="BZ4572">
            <v>0</v>
          </cell>
        </row>
        <row r="4573">
          <cell r="BY4573">
            <v>0</v>
          </cell>
          <cell r="BZ4573">
            <v>0</v>
          </cell>
        </row>
        <row r="4574">
          <cell r="BY4574">
            <v>0</v>
          </cell>
          <cell r="BZ4574">
            <v>0</v>
          </cell>
        </row>
        <row r="4575">
          <cell r="BY4575">
            <v>0</v>
          </cell>
          <cell r="BZ4575">
            <v>0</v>
          </cell>
        </row>
        <row r="4576">
          <cell r="BY4576">
            <v>0</v>
          </cell>
          <cell r="BZ4576">
            <v>0</v>
          </cell>
        </row>
        <row r="4577">
          <cell r="BY4577">
            <v>0</v>
          </cell>
          <cell r="BZ4577">
            <v>0</v>
          </cell>
        </row>
        <row r="4578">
          <cell r="BY4578">
            <v>0</v>
          </cell>
          <cell r="BZ4578">
            <v>0</v>
          </cell>
        </row>
        <row r="4579">
          <cell r="BY4579">
            <v>0</v>
          </cell>
          <cell r="BZ4579">
            <v>0</v>
          </cell>
        </row>
        <row r="4580">
          <cell r="BY4580">
            <v>0</v>
          </cell>
          <cell r="BZ4580">
            <v>0</v>
          </cell>
        </row>
        <row r="4581">
          <cell r="BY4581">
            <v>0</v>
          </cell>
          <cell r="BZ4581">
            <v>0</v>
          </cell>
        </row>
        <row r="4582">
          <cell r="BY4582">
            <v>0</v>
          </cell>
          <cell r="BZ4582">
            <v>0</v>
          </cell>
        </row>
        <row r="4583">
          <cell r="BY4583">
            <v>0</v>
          </cell>
          <cell r="BZ4583">
            <v>0</v>
          </cell>
        </row>
        <row r="4584">
          <cell r="BY4584">
            <v>0</v>
          </cell>
          <cell r="BZ4584">
            <v>0</v>
          </cell>
        </row>
        <row r="4585">
          <cell r="BY4585">
            <v>0</v>
          </cell>
          <cell r="BZ4585">
            <v>0</v>
          </cell>
        </row>
        <row r="4586">
          <cell r="BY4586">
            <v>0</v>
          </cell>
          <cell r="BZ4586">
            <v>0</v>
          </cell>
        </row>
        <row r="4587">
          <cell r="BY4587">
            <v>0</v>
          </cell>
          <cell r="BZ4587">
            <v>0</v>
          </cell>
        </row>
        <row r="4588">
          <cell r="BY4588">
            <v>0</v>
          </cell>
          <cell r="BZ4588">
            <v>0</v>
          </cell>
        </row>
        <row r="4589">
          <cell r="BY4589">
            <v>0</v>
          </cell>
          <cell r="BZ4589">
            <v>0</v>
          </cell>
        </row>
        <row r="4590">
          <cell r="BY4590">
            <v>0</v>
          </cell>
          <cell r="BZ4590">
            <v>0</v>
          </cell>
        </row>
        <row r="4591">
          <cell r="BY4591">
            <v>0</v>
          </cell>
          <cell r="BZ4591">
            <v>0</v>
          </cell>
        </row>
        <row r="4592">
          <cell r="BY4592">
            <v>0</v>
          </cell>
          <cell r="BZ4592">
            <v>0</v>
          </cell>
        </row>
        <row r="4593">
          <cell r="BY4593">
            <v>0</v>
          </cell>
          <cell r="BZ4593">
            <v>0</v>
          </cell>
        </row>
        <row r="4594">
          <cell r="BY4594">
            <v>0</v>
          </cell>
          <cell r="BZ4594">
            <v>0</v>
          </cell>
        </row>
        <row r="4595">
          <cell r="BY4595">
            <v>0</v>
          </cell>
          <cell r="BZ4595">
            <v>0</v>
          </cell>
        </row>
        <row r="4596">
          <cell r="BY4596">
            <v>0</v>
          </cell>
          <cell r="BZ4596">
            <v>0</v>
          </cell>
        </row>
        <row r="4597">
          <cell r="BY4597">
            <v>0</v>
          </cell>
          <cell r="BZ4597">
            <v>0</v>
          </cell>
        </row>
        <row r="4598">
          <cell r="BY4598">
            <v>0</v>
          </cell>
          <cell r="BZ4598">
            <v>0</v>
          </cell>
        </row>
        <row r="4599">
          <cell r="BY4599">
            <v>0</v>
          </cell>
          <cell r="BZ4599">
            <v>0</v>
          </cell>
        </row>
        <row r="4600">
          <cell r="BY4600">
            <v>0</v>
          </cell>
          <cell r="BZ4600">
            <v>0</v>
          </cell>
        </row>
        <row r="4601">
          <cell r="BY4601">
            <v>0</v>
          </cell>
          <cell r="BZ4601">
            <v>0</v>
          </cell>
        </row>
        <row r="4602">
          <cell r="BY4602">
            <v>0</v>
          </cell>
          <cell r="BZ4602">
            <v>0</v>
          </cell>
        </row>
        <row r="4603">
          <cell r="BY4603">
            <v>0</v>
          </cell>
          <cell r="BZ4603">
            <v>0</v>
          </cell>
        </row>
        <row r="4604">
          <cell r="BY4604">
            <v>0</v>
          </cell>
          <cell r="BZ4604">
            <v>0</v>
          </cell>
        </row>
        <row r="4605">
          <cell r="BY4605">
            <v>0</v>
          </cell>
          <cell r="BZ4605">
            <v>0</v>
          </cell>
        </row>
        <row r="4606">
          <cell r="BY4606">
            <v>0</v>
          </cell>
          <cell r="BZ4606">
            <v>0</v>
          </cell>
        </row>
        <row r="4607">
          <cell r="BY4607">
            <v>0</v>
          </cell>
          <cell r="BZ4607">
            <v>0</v>
          </cell>
        </row>
        <row r="4608">
          <cell r="BY4608">
            <v>0</v>
          </cell>
          <cell r="BZ4608">
            <v>0</v>
          </cell>
        </row>
        <row r="4609">
          <cell r="BY4609">
            <v>0</v>
          </cell>
          <cell r="BZ4609">
            <v>0</v>
          </cell>
        </row>
        <row r="4610">
          <cell r="BY4610">
            <v>0</v>
          </cell>
          <cell r="BZ4610">
            <v>0</v>
          </cell>
        </row>
        <row r="4611">
          <cell r="BY4611">
            <v>0</v>
          </cell>
          <cell r="BZ4611">
            <v>0</v>
          </cell>
        </row>
        <row r="4612">
          <cell r="BY4612">
            <v>0</v>
          </cell>
          <cell r="BZ4612">
            <v>0</v>
          </cell>
        </row>
        <row r="4613">
          <cell r="BY4613">
            <v>0</v>
          </cell>
          <cell r="BZ4613">
            <v>0</v>
          </cell>
        </row>
        <row r="4614">
          <cell r="BY4614">
            <v>0</v>
          </cell>
          <cell r="BZ4614">
            <v>0</v>
          </cell>
        </row>
        <row r="4615">
          <cell r="BY4615">
            <v>0</v>
          </cell>
          <cell r="BZ4615">
            <v>0</v>
          </cell>
        </row>
        <row r="4616">
          <cell r="BY4616">
            <v>0</v>
          </cell>
          <cell r="BZ4616">
            <v>0</v>
          </cell>
        </row>
        <row r="4617">
          <cell r="BY4617">
            <v>0</v>
          </cell>
          <cell r="BZ4617">
            <v>0</v>
          </cell>
        </row>
        <row r="4618">
          <cell r="BY4618">
            <v>0</v>
          </cell>
          <cell r="BZ4618">
            <v>0</v>
          </cell>
        </row>
        <row r="4619">
          <cell r="BY4619">
            <v>0</v>
          </cell>
          <cell r="BZ4619">
            <v>0</v>
          </cell>
        </row>
        <row r="4620">
          <cell r="BY4620">
            <v>0</v>
          </cell>
          <cell r="BZ4620">
            <v>0</v>
          </cell>
        </row>
        <row r="4621">
          <cell r="BY4621">
            <v>0</v>
          </cell>
          <cell r="BZ4621">
            <v>0</v>
          </cell>
        </row>
        <row r="4622">
          <cell r="BY4622">
            <v>0</v>
          </cell>
          <cell r="BZ4622">
            <v>0</v>
          </cell>
        </row>
        <row r="4623">
          <cell r="BY4623">
            <v>0</v>
          </cell>
          <cell r="BZ4623">
            <v>0</v>
          </cell>
        </row>
        <row r="4624">
          <cell r="BY4624">
            <v>0</v>
          </cell>
          <cell r="BZ4624">
            <v>0</v>
          </cell>
        </row>
        <row r="4625">
          <cell r="BY4625">
            <v>0</v>
          </cell>
          <cell r="BZ4625">
            <v>0</v>
          </cell>
        </row>
        <row r="4626">
          <cell r="BY4626">
            <v>0</v>
          </cell>
          <cell r="BZ4626">
            <v>0</v>
          </cell>
        </row>
        <row r="4627">
          <cell r="BY4627">
            <v>0</v>
          </cell>
          <cell r="BZ4627">
            <v>0</v>
          </cell>
        </row>
        <row r="4628">
          <cell r="BY4628">
            <v>0</v>
          </cell>
          <cell r="BZ4628">
            <v>0</v>
          </cell>
        </row>
        <row r="4629">
          <cell r="BY4629">
            <v>0</v>
          </cell>
          <cell r="BZ4629">
            <v>0</v>
          </cell>
        </row>
        <row r="4630">
          <cell r="BY4630">
            <v>0</v>
          </cell>
          <cell r="BZ4630">
            <v>0</v>
          </cell>
        </row>
        <row r="4631">
          <cell r="BY4631">
            <v>0</v>
          </cell>
          <cell r="BZ4631">
            <v>0</v>
          </cell>
        </row>
        <row r="4632">
          <cell r="BY4632">
            <v>0</v>
          </cell>
          <cell r="BZ4632">
            <v>0</v>
          </cell>
        </row>
        <row r="4633">
          <cell r="BY4633">
            <v>0</v>
          </cell>
          <cell r="BZ4633">
            <v>0</v>
          </cell>
        </row>
        <row r="4634">
          <cell r="BY4634">
            <v>0</v>
          </cell>
          <cell r="BZ4634">
            <v>0</v>
          </cell>
        </row>
        <row r="4635">
          <cell r="BY4635">
            <v>0</v>
          </cell>
          <cell r="BZ4635">
            <v>0</v>
          </cell>
        </row>
        <row r="4636">
          <cell r="BY4636">
            <v>0</v>
          </cell>
          <cell r="BZ4636">
            <v>0</v>
          </cell>
        </row>
        <row r="4637">
          <cell r="BY4637">
            <v>0</v>
          </cell>
          <cell r="BZ4637">
            <v>0</v>
          </cell>
        </row>
        <row r="4638">
          <cell r="BY4638">
            <v>0</v>
          </cell>
          <cell r="BZ4638">
            <v>0</v>
          </cell>
        </row>
        <row r="4639">
          <cell r="BY4639">
            <v>0</v>
          </cell>
          <cell r="BZ4639">
            <v>0</v>
          </cell>
        </row>
        <row r="4640">
          <cell r="BY4640">
            <v>0</v>
          </cell>
          <cell r="BZ4640">
            <v>0</v>
          </cell>
        </row>
        <row r="4641">
          <cell r="BY4641">
            <v>0</v>
          </cell>
          <cell r="BZ4641">
            <v>0</v>
          </cell>
        </row>
        <row r="4642">
          <cell r="BY4642">
            <v>0</v>
          </cell>
          <cell r="BZ4642">
            <v>0</v>
          </cell>
        </row>
        <row r="4643">
          <cell r="BY4643">
            <v>0</v>
          </cell>
          <cell r="BZ4643">
            <v>0</v>
          </cell>
        </row>
        <row r="4644">
          <cell r="BY4644">
            <v>0</v>
          </cell>
          <cell r="BZ4644">
            <v>0</v>
          </cell>
        </row>
        <row r="4645">
          <cell r="BY4645">
            <v>0</v>
          </cell>
          <cell r="BZ4645">
            <v>0</v>
          </cell>
        </row>
        <row r="4646">
          <cell r="BY4646">
            <v>0</v>
          </cell>
          <cell r="BZ4646">
            <v>0</v>
          </cell>
        </row>
        <row r="4647">
          <cell r="BY4647">
            <v>0</v>
          </cell>
          <cell r="BZ4647">
            <v>0</v>
          </cell>
        </row>
        <row r="4648">
          <cell r="BY4648">
            <v>0</v>
          </cell>
          <cell r="BZ4648">
            <v>0</v>
          </cell>
        </row>
        <row r="4649">
          <cell r="BY4649">
            <v>0</v>
          </cell>
          <cell r="BZ4649">
            <v>0</v>
          </cell>
        </row>
        <row r="4650">
          <cell r="BY4650">
            <v>0</v>
          </cell>
          <cell r="BZ4650">
            <v>0</v>
          </cell>
        </row>
        <row r="4651">
          <cell r="BY4651">
            <v>0</v>
          </cell>
          <cell r="BZ4651">
            <v>0</v>
          </cell>
        </row>
        <row r="4652">
          <cell r="BY4652">
            <v>0</v>
          </cell>
          <cell r="BZ4652">
            <v>0</v>
          </cell>
        </row>
        <row r="4653">
          <cell r="BY4653">
            <v>0</v>
          </cell>
          <cell r="BZ4653">
            <v>0</v>
          </cell>
        </row>
        <row r="4654">
          <cell r="BY4654">
            <v>0</v>
          </cell>
          <cell r="BZ4654">
            <v>0</v>
          </cell>
        </row>
        <row r="4655">
          <cell r="BY4655">
            <v>0</v>
          </cell>
          <cell r="BZ4655">
            <v>0</v>
          </cell>
        </row>
        <row r="4656">
          <cell r="BY4656">
            <v>0</v>
          </cell>
          <cell r="BZ4656">
            <v>0</v>
          </cell>
        </row>
        <row r="4657">
          <cell r="BY4657">
            <v>0</v>
          </cell>
          <cell r="BZ4657">
            <v>0</v>
          </cell>
        </row>
        <row r="4658">
          <cell r="BY4658">
            <v>0</v>
          </cell>
          <cell r="BZ4658">
            <v>0</v>
          </cell>
        </row>
        <row r="4659">
          <cell r="BY4659">
            <v>0</v>
          </cell>
          <cell r="BZ4659">
            <v>0</v>
          </cell>
        </row>
        <row r="4660">
          <cell r="BY4660">
            <v>0</v>
          </cell>
          <cell r="BZ4660">
            <v>0</v>
          </cell>
        </row>
        <row r="4661">
          <cell r="BY4661">
            <v>0</v>
          </cell>
          <cell r="BZ4661">
            <v>0</v>
          </cell>
        </row>
        <row r="4662">
          <cell r="BY4662">
            <v>0</v>
          </cell>
          <cell r="BZ4662">
            <v>0</v>
          </cell>
        </row>
        <row r="4663">
          <cell r="BY4663">
            <v>0</v>
          </cell>
          <cell r="BZ4663">
            <v>0</v>
          </cell>
        </row>
        <row r="4664">
          <cell r="BY4664">
            <v>0</v>
          </cell>
          <cell r="BZ4664">
            <v>0</v>
          </cell>
        </row>
        <row r="4665">
          <cell r="BY4665">
            <v>0</v>
          </cell>
          <cell r="BZ4665">
            <v>0</v>
          </cell>
        </row>
        <row r="4666">
          <cell r="BY4666">
            <v>0</v>
          </cell>
          <cell r="BZ4666">
            <v>0</v>
          </cell>
        </row>
        <row r="4667">
          <cell r="BY4667">
            <v>0</v>
          </cell>
          <cell r="BZ4667">
            <v>0</v>
          </cell>
        </row>
        <row r="4668">
          <cell r="BY4668">
            <v>0</v>
          </cell>
          <cell r="BZ4668">
            <v>0</v>
          </cell>
        </row>
        <row r="4669">
          <cell r="BY4669">
            <v>0</v>
          </cell>
          <cell r="BZ4669">
            <v>0</v>
          </cell>
        </row>
        <row r="4670">
          <cell r="BY4670">
            <v>0</v>
          </cell>
          <cell r="BZ4670">
            <v>0</v>
          </cell>
        </row>
        <row r="4671">
          <cell r="BY4671">
            <v>0</v>
          </cell>
          <cell r="BZ4671">
            <v>0</v>
          </cell>
        </row>
        <row r="4672">
          <cell r="BY4672">
            <v>0</v>
          </cell>
          <cell r="BZ4672">
            <v>0</v>
          </cell>
        </row>
        <row r="4673">
          <cell r="BY4673">
            <v>0</v>
          </cell>
          <cell r="BZ4673">
            <v>0</v>
          </cell>
        </row>
        <row r="4674">
          <cell r="BY4674">
            <v>0</v>
          </cell>
          <cell r="BZ4674">
            <v>0</v>
          </cell>
        </row>
        <row r="4675">
          <cell r="BY4675">
            <v>0</v>
          </cell>
          <cell r="BZ4675">
            <v>0</v>
          </cell>
        </row>
        <row r="4676">
          <cell r="BY4676">
            <v>0</v>
          </cell>
          <cell r="BZ4676">
            <v>0</v>
          </cell>
        </row>
        <row r="4677">
          <cell r="BY4677">
            <v>0</v>
          </cell>
          <cell r="BZ4677">
            <v>0</v>
          </cell>
        </row>
        <row r="4678">
          <cell r="BY4678">
            <v>0</v>
          </cell>
          <cell r="BZ4678">
            <v>0</v>
          </cell>
        </row>
        <row r="4679">
          <cell r="BY4679">
            <v>0</v>
          </cell>
          <cell r="BZ4679">
            <v>0</v>
          </cell>
        </row>
        <row r="4680">
          <cell r="BY4680">
            <v>0</v>
          </cell>
          <cell r="BZ4680">
            <v>0</v>
          </cell>
        </row>
        <row r="4681">
          <cell r="BY4681">
            <v>0</v>
          </cell>
          <cell r="BZ4681">
            <v>0</v>
          </cell>
        </row>
        <row r="4682">
          <cell r="BY4682">
            <v>0</v>
          </cell>
          <cell r="BZ4682">
            <v>0</v>
          </cell>
        </row>
        <row r="4683">
          <cell r="BY4683">
            <v>0</v>
          </cell>
          <cell r="BZ4683">
            <v>0</v>
          </cell>
        </row>
        <row r="4684">
          <cell r="BY4684">
            <v>0</v>
          </cell>
          <cell r="BZ4684">
            <v>0</v>
          </cell>
        </row>
        <row r="4685">
          <cell r="BY4685">
            <v>0</v>
          </cell>
          <cell r="BZ4685">
            <v>0</v>
          </cell>
        </row>
        <row r="4686">
          <cell r="BY4686">
            <v>0</v>
          </cell>
          <cell r="BZ4686">
            <v>0</v>
          </cell>
        </row>
        <row r="4687">
          <cell r="BY4687">
            <v>0</v>
          </cell>
          <cell r="BZ4687">
            <v>0</v>
          </cell>
        </row>
        <row r="4688">
          <cell r="BY4688">
            <v>0</v>
          </cell>
          <cell r="BZ4688">
            <v>0</v>
          </cell>
        </row>
        <row r="4689">
          <cell r="BY4689">
            <v>0</v>
          </cell>
          <cell r="BZ4689">
            <v>0</v>
          </cell>
        </row>
        <row r="4690">
          <cell r="BY4690">
            <v>0</v>
          </cell>
          <cell r="BZ4690">
            <v>0</v>
          </cell>
        </row>
        <row r="4691">
          <cell r="BY4691">
            <v>0</v>
          </cell>
          <cell r="BZ4691">
            <v>0</v>
          </cell>
        </row>
        <row r="4692">
          <cell r="BY4692">
            <v>0</v>
          </cell>
          <cell r="BZ4692">
            <v>0</v>
          </cell>
        </row>
        <row r="4693">
          <cell r="BY4693">
            <v>0</v>
          </cell>
          <cell r="BZ4693">
            <v>0</v>
          </cell>
        </row>
        <row r="4694">
          <cell r="BY4694">
            <v>0</v>
          </cell>
          <cell r="BZ4694">
            <v>0</v>
          </cell>
        </row>
        <row r="4695">
          <cell r="BY4695">
            <v>0</v>
          </cell>
          <cell r="BZ4695">
            <v>0</v>
          </cell>
        </row>
        <row r="4696">
          <cell r="BY4696">
            <v>0</v>
          </cell>
          <cell r="BZ4696">
            <v>0</v>
          </cell>
        </row>
        <row r="4697">
          <cell r="BY4697">
            <v>0</v>
          </cell>
          <cell r="BZ4697">
            <v>0</v>
          </cell>
        </row>
        <row r="4698">
          <cell r="BY4698">
            <v>0</v>
          </cell>
          <cell r="BZ4698">
            <v>0</v>
          </cell>
        </row>
        <row r="4699">
          <cell r="BY4699">
            <v>0</v>
          </cell>
          <cell r="BZ4699">
            <v>0</v>
          </cell>
        </row>
        <row r="4700">
          <cell r="BY4700">
            <v>0</v>
          </cell>
          <cell r="BZ4700">
            <v>0</v>
          </cell>
        </row>
        <row r="4701">
          <cell r="BY4701">
            <v>0</v>
          </cell>
          <cell r="BZ4701">
            <v>0</v>
          </cell>
        </row>
        <row r="4702">
          <cell r="BY4702">
            <v>0</v>
          </cell>
          <cell r="BZ4702">
            <v>0</v>
          </cell>
        </row>
        <row r="4703">
          <cell r="BY4703">
            <v>0</v>
          </cell>
          <cell r="BZ4703">
            <v>0</v>
          </cell>
        </row>
        <row r="4704">
          <cell r="BY4704">
            <v>0</v>
          </cell>
          <cell r="BZ4704">
            <v>0</v>
          </cell>
        </row>
        <row r="4705">
          <cell r="BY4705">
            <v>0</v>
          </cell>
          <cell r="BZ4705">
            <v>0</v>
          </cell>
        </row>
        <row r="4706">
          <cell r="BY4706">
            <v>0</v>
          </cell>
          <cell r="BZ4706">
            <v>0</v>
          </cell>
        </row>
        <row r="4707">
          <cell r="BY4707">
            <v>0</v>
          </cell>
          <cell r="BZ4707">
            <v>0</v>
          </cell>
        </row>
        <row r="4708">
          <cell r="BY4708">
            <v>0</v>
          </cell>
          <cell r="BZ4708">
            <v>0</v>
          </cell>
        </row>
        <row r="4709">
          <cell r="BY4709">
            <v>0</v>
          </cell>
          <cell r="BZ4709">
            <v>0</v>
          </cell>
        </row>
        <row r="4710">
          <cell r="BY4710">
            <v>0</v>
          </cell>
          <cell r="BZ4710">
            <v>0</v>
          </cell>
        </row>
        <row r="4711">
          <cell r="BY4711">
            <v>0</v>
          </cell>
          <cell r="BZ4711">
            <v>0</v>
          </cell>
        </row>
        <row r="4712">
          <cell r="BY4712">
            <v>0</v>
          </cell>
          <cell r="BZ4712">
            <v>0</v>
          </cell>
        </row>
        <row r="4713">
          <cell r="BY4713">
            <v>0</v>
          </cell>
          <cell r="BZ4713">
            <v>0</v>
          </cell>
        </row>
        <row r="4714">
          <cell r="BY4714">
            <v>0</v>
          </cell>
          <cell r="BZ4714">
            <v>0</v>
          </cell>
        </row>
        <row r="4715">
          <cell r="BY4715">
            <v>0</v>
          </cell>
          <cell r="BZ4715">
            <v>0</v>
          </cell>
        </row>
        <row r="4716">
          <cell r="BY4716">
            <v>0</v>
          </cell>
          <cell r="BZ4716">
            <v>0</v>
          </cell>
        </row>
        <row r="4717">
          <cell r="BY4717">
            <v>0</v>
          </cell>
          <cell r="BZ4717">
            <v>0</v>
          </cell>
        </row>
        <row r="4718">
          <cell r="BY4718">
            <v>0</v>
          </cell>
          <cell r="BZ4718">
            <v>0</v>
          </cell>
        </row>
        <row r="4719">
          <cell r="BY4719">
            <v>0</v>
          </cell>
          <cell r="BZ4719">
            <v>0</v>
          </cell>
        </row>
        <row r="4720">
          <cell r="BY4720">
            <v>0</v>
          </cell>
          <cell r="BZ4720">
            <v>0</v>
          </cell>
        </row>
        <row r="4721">
          <cell r="BY4721">
            <v>0</v>
          </cell>
          <cell r="BZ4721">
            <v>0</v>
          </cell>
        </row>
        <row r="4722">
          <cell r="BY4722">
            <v>0</v>
          </cell>
          <cell r="BZ4722">
            <v>0</v>
          </cell>
        </row>
        <row r="4723">
          <cell r="BY4723">
            <v>0</v>
          </cell>
          <cell r="BZ4723">
            <v>0</v>
          </cell>
        </row>
        <row r="4724">
          <cell r="BY4724">
            <v>0</v>
          </cell>
          <cell r="BZ4724">
            <v>0</v>
          </cell>
        </row>
        <row r="4725">
          <cell r="BY4725">
            <v>0</v>
          </cell>
          <cell r="BZ4725">
            <v>0</v>
          </cell>
        </row>
        <row r="4726">
          <cell r="BY4726">
            <v>0</v>
          </cell>
          <cell r="BZ4726">
            <v>0</v>
          </cell>
        </row>
        <row r="4727">
          <cell r="BY4727">
            <v>0</v>
          </cell>
          <cell r="BZ4727">
            <v>0</v>
          </cell>
        </row>
        <row r="4728">
          <cell r="BY4728">
            <v>0</v>
          </cell>
          <cell r="BZ4728">
            <v>0</v>
          </cell>
        </row>
        <row r="4729">
          <cell r="BY4729">
            <v>0</v>
          </cell>
          <cell r="BZ4729">
            <v>0</v>
          </cell>
        </row>
        <row r="4730">
          <cell r="BY4730">
            <v>0</v>
          </cell>
          <cell r="BZ4730">
            <v>0</v>
          </cell>
        </row>
        <row r="4731">
          <cell r="BY4731">
            <v>0</v>
          </cell>
          <cell r="BZ4731">
            <v>0</v>
          </cell>
        </row>
        <row r="4732">
          <cell r="BY4732">
            <v>0</v>
          </cell>
          <cell r="BZ4732">
            <v>0</v>
          </cell>
        </row>
        <row r="4733">
          <cell r="BY4733">
            <v>0</v>
          </cell>
          <cell r="BZ4733">
            <v>0</v>
          </cell>
        </row>
        <row r="4734">
          <cell r="BY4734">
            <v>0</v>
          </cell>
          <cell r="BZ4734">
            <v>0</v>
          </cell>
        </row>
        <row r="4735">
          <cell r="BY4735">
            <v>0</v>
          </cell>
          <cell r="BZ4735">
            <v>0</v>
          </cell>
        </row>
        <row r="4736">
          <cell r="BY4736">
            <v>0</v>
          </cell>
          <cell r="BZ4736">
            <v>0</v>
          </cell>
        </row>
        <row r="4737">
          <cell r="BY4737">
            <v>0</v>
          </cell>
          <cell r="BZ4737">
            <v>0</v>
          </cell>
        </row>
        <row r="4738">
          <cell r="BY4738">
            <v>0</v>
          </cell>
          <cell r="BZ4738">
            <v>0</v>
          </cell>
        </row>
        <row r="4739">
          <cell r="BY4739">
            <v>0</v>
          </cell>
          <cell r="BZ4739">
            <v>0</v>
          </cell>
        </row>
        <row r="4740">
          <cell r="BY4740">
            <v>0</v>
          </cell>
          <cell r="BZ4740">
            <v>0</v>
          </cell>
        </row>
        <row r="4741">
          <cell r="BY4741">
            <v>0</v>
          </cell>
          <cell r="BZ4741">
            <v>0</v>
          </cell>
        </row>
        <row r="4742">
          <cell r="BY4742">
            <v>0</v>
          </cell>
          <cell r="BZ4742">
            <v>0</v>
          </cell>
        </row>
        <row r="4743">
          <cell r="BY4743">
            <v>0</v>
          </cell>
          <cell r="BZ4743">
            <v>0</v>
          </cell>
        </row>
        <row r="4744">
          <cell r="BY4744">
            <v>0</v>
          </cell>
          <cell r="BZ4744">
            <v>0</v>
          </cell>
        </row>
        <row r="4745">
          <cell r="BY4745">
            <v>0</v>
          </cell>
          <cell r="BZ4745">
            <v>0</v>
          </cell>
        </row>
        <row r="4746">
          <cell r="BY4746">
            <v>0</v>
          </cell>
          <cell r="BZ4746">
            <v>0</v>
          </cell>
        </row>
        <row r="4747">
          <cell r="BY4747">
            <v>0</v>
          </cell>
          <cell r="BZ4747">
            <v>0</v>
          </cell>
        </row>
        <row r="4748">
          <cell r="BY4748">
            <v>0</v>
          </cell>
          <cell r="BZ4748">
            <v>0</v>
          </cell>
        </row>
        <row r="4749">
          <cell r="BY4749">
            <v>0</v>
          </cell>
          <cell r="BZ4749">
            <v>0</v>
          </cell>
        </row>
        <row r="4750">
          <cell r="BY4750">
            <v>0</v>
          </cell>
          <cell r="BZ4750">
            <v>0</v>
          </cell>
        </row>
        <row r="4751">
          <cell r="BY4751">
            <v>0</v>
          </cell>
          <cell r="BZ4751">
            <v>0</v>
          </cell>
        </row>
        <row r="4752">
          <cell r="BY4752">
            <v>0</v>
          </cell>
          <cell r="BZ4752">
            <v>0</v>
          </cell>
        </row>
        <row r="4753">
          <cell r="BY4753">
            <v>0</v>
          </cell>
          <cell r="BZ4753">
            <v>0</v>
          </cell>
        </row>
        <row r="4754">
          <cell r="BY4754">
            <v>0</v>
          </cell>
          <cell r="BZ4754">
            <v>0</v>
          </cell>
        </row>
        <row r="4755">
          <cell r="BY4755">
            <v>0</v>
          </cell>
          <cell r="BZ4755">
            <v>0</v>
          </cell>
        </row>
        <row r="4756">
          <cell r="BY4756">
            <v>0</v>
          </cell>
          <cell r="BZ4756">
            <v>0</v>
          </cell>
        </row>
        <row r="4757">
          <cell r="BY4757">
            <v>0</v>
          </cell>
          <cell r="BZ4757">
            <v>0</v>
          </cell>
        </row>
        <row r="4758">
          <cell r="BY4758">
            <v>0</v>
          </cell>
          <cell r="BZ4758">
            <v>0</v>
          </cell>
        </row>
        <row r="4759">
          <cell r="BY4759">
            <v>0</v>
          </cell>
          <cell r="BZ4759">
            <v>0</v>
          </cell>
        </row>
        <row r="4760">
          <cell r="BY4760">
            <v>0</v>
          </cell>
          <cell r="BZ4760">
            <v>0</v>
          </cell>
        </row>
        <row r="4761">
          <cell r="BY4761">
            <v>0</v>
          </cell>
          <cell r="BZ4761">
            <v>0</v>
          </cell>
        </row>
        <row r="4762">
          <cell r="BY4762">
            <v>0</v>
          </cell>
          <cell r="BZ4762">
            <v>0</v>
          </cell>
        </row>
        <row r="4763">
          <cell r="BY4763">
            <v>0</v>
          </cell>
          <cell r="BZ4763">
            <v>0</v>
          </cell>
        </row>
        <row r="4764">
          <cell r="BY4764">
            <v>0</v>
          </cell>
          <cell r="BZ4764">
            <v>0</v>
          </cell>
        </row>
        <row r="4765">
          <cell r="BY4765">
            <v>0</v>
          </cell>
          <cell r="BZ4765">
            <v>0</v>
          </cell>
        </row>
        <row r="4766">
          <cell r="BY4766">
            <v>0</v>
          </cell>
          <cell r="BZ4766">
            <v>0</v>
          </cell>
        </row>
        <row r="4767">
          <cell r="BY4767">
            <v>0</v>
          </cell>
          <cell r="BZ4767">
            <v>0</v>
          </cell>
        </row>
        <row r="4768">
          <cell r="BY4768">
            <v>0</v>
          </cell>
          <cell r="BZ4768">
            <v>0</v>
          </cell>
        </row>
        <row r="4769">
          <cell r="BY4769">
            <v>0</v>
          </cell>
          <cell r="BZ4769">
            <v>0</v>
          </cell>
        </row>
        <row r="4770">
          <cell r="BY4770">
            <v>0</v>
          </cell>
          <cell r="BZ4770">
            <v>0</v>
          </cell>
        </row>
        <row r="4771">
          <cell r="BY4771">
            <v>0</v>
          </cell>
          <cell r="BZ4771">
            <v>0</v>
          </cell>
        </row>
        <row r="4772">
          <cell r="BY4772">
            <v>0</v>
          </cell>
          <cell r="BZ4772">
            <v>0</v>
          </cell>
        </row>
        <row r="4773">
          <cell r="BY4773">
            <v>0</v>
          </cell>
          <cell r="BZ4773">
            <v>0</v>
          </cell>
        </row>
        <row r="4774">
          <cell r="BY4774">
            <v>0</v>
          </cell>
          <cell r="BZ4774">
            <v>0</v>
          </cell>
        </row>
        <row r="4775">
          <cell r="BY4775">
            <v>0</v>
          </cell>
          <cell r="BZ4775">
            <v>0</v>
          </cell>
        </row>
        <row r="4776">
          <cell r="BY4776">
            <v>0</v>
          </cell>
          <cell r="BZ4776">
            <v>0</v>
          </cell>
        </row>
        <row r="4777">
          <cell r="BY4777">
            <v>0</v>
          </cell>
          <cell r="BZ4777">
            <v>0</v>
          </cell>
        </row>
        <row r="4778">
          <cell r="BY4778">
            <v>0</v>
          </cell>
          <cell r="BZ4778">
            <v>0</v>
          </cell>
        </row>
        <row r="4779">
          <cell r="BY4779">
            <v>0</v>
          </cell>
          <cell r="BZ4779">
            <v>0</v>
          </cell>
        </row>
        <row r="4780">
          <cell r="BY4780">
            <v>0</v>
          </cell>
          <cell r="BZ4780">
            <v>0</v>
          </cell>
        </row>
        <row r="4781">
          <cell r="BY4781">
            <v>0</v>
          </cell>
          <cell r="BZ4781">
            <v>0</v>
          </cell>
        </row>
        <row r="4782">
          <cell r="BY4782">
            <v>0</v>
          </cell>
          <cell r="BZ4782">
            <v>0</v>
          </cell>
        </row>
        <row r="4783">
          <cell r="BY4783">
            <v>0</v>
          </cell>
          <cell r="BZ4783">
            <v>0</v>
          </cell>
        </row>
        <row r="4784">
          <cell r="BY4784">
            <v>0</v>
          </cell>
          <cell r="BZ4784">
            <v>0</v>
          </cell>
        </row>
        <row r="4785">
          <cell r="BY4785">
            <v>0</v>
          </cell>
          <cell r="BZ4785">
            <v>0</v>
          </cell>
        </row>
        <row r="4786">
          <cell r="BY4786">
            <v>0</v>
          </cell>
          <cell r="BZ4786">
            <v>0</v>
          </cell>
        </row>
        <row r="4787">
          <cell r="BY4787">
            <v>0</v>
          </cell>
          <cell r="BZ4787">
            <v>0</v>
          </cell>
        </row>
        <row r="4788">
          <cell r="BY4788">
            <v>0</v>
          </cell>
          <cell r="BZ4788">
            <v>0</v>
          </cell>
        </row>
        <row r="4789">
          <cell r="BY4789">
            <v>0</v>
          </cell>
          <cell r="BZ4789">
            <v>0</v>
          </cell>
        </row>
        <row r="4790">
          <cell r="BY4790">
            <v>0</v>
          </cell>
          <cell r="BZ4790">
            <v>0</v>
          </cell>
        </row>
        <row r="4791">
          <cell r="BY4791">
            <v>0</v>
          </cell>
          <cell r="BZ4791">
            <v>0</v>
          </cell>
        </row>
        <row r="4792">
          <cell r="BY4792">
            <v>0</v>
          </cell>
          <cell r="BZ4792">
            <v>0</v>
          </cell>
        </row>
        <row r="4793">
          <cell r="BY4793">
            <v>0</v>
          </cell>
          <cell r="BZ4793">
            <v>0</v>
          </cell>
        </row>
        <row r="4794">
          <cell r="BY4794">
            <v>0</v>
          </cell>
          <cell r="BZ4794">
            <v>0</v>
          </cell>
        </row>
        <row r="4795">
          <cell r="BY4795">
            <v>0</v>
          </cell>
          <cell r="BZ4795">
            <v>0</v>
          </cell>
        </row>
        <row r="4796">
          <cell r="BY4796">
            <v>0</v>
          </cell>
          <cell r="BZ4796">
            <v>0</v>
          </cell>
        </row>
        <row r="4797">
          <cell r="BY4797">
            <v>0</v>
          </cell>
          <cell r="BZ4797">
            <v>0</v>
          </cell>
        </row>
        <row r="4798">
          <cell r="BY4798">
            <v>0</v>
          </cell>
          <cell r="BZ4798">
            <v>0</v>
          </cell>
        </row>
        <row r="4799">
          <cell r="BY4799">
            <v>0</v>
          </cell>
          <cell r="BZ4799">
            <v>0</v>
          </cell>
        </row>
        <row r="4800">
          <cell r="BY4800">
            <v>0</v>
          </cell>
          <cell r="BZ4800">
            <v>0</v>
          </cell>
        </row>
        <row r="4801">
          <cell r="BY4801">
            <v>0</v>
          </cell>
          <cell r="BZ4801">
            <v>0</v>
          </cell>
        </row>
        <row r="4802">
          <cell r="BY4802">
            <v>0</v>
          </cell>
          <cell r="BZ4802">
            <v>0</v>
          </cell>
        </row>
        <row r="4803">
          <cell r="BY4803">
            <v>0</v>
          </cell>
          <cell r="BZ4803">
            <v>0</v>
          </cell>
        </row>
        <row r="4804">
          <cell r="BY4804">
            <v>0</v>
          </cell>
          <cell r="BZ4804">
            <v>0</v>
          </cell>
        </row>
        <row r="4805">
          <cell r="BY4805">
            <v>0</v>
          </cell>
          <cell r="BZ4805">
            <v>0</v>
          </cell>
        </row>
        <row r="4806">
          <cell r="BY4806">
            <v>0</v>
          </cell>
          <cell r="BZ4806">
            <v>0</v>
          </cell>
        </row>
        <row r="4807">
          <cell r="BY4807">
            <v>0</v>
          </cell>
          <cell r="BZ4807">
            <v>0</v>
          </cell>
        </row>
        <row r="4808">
          <cell r="BY4808">
            <v>0</v>
          </cell>
          <cell r="BZ4808">
            <v>0</v>
          </cell>
        </row>
        <row r="4809">
          <cell r="BY4809">
            <v>0</v>
          </cell>
          <cell r="BZ4809">
            <v>0</v>
          </cell>
        </row>
        <row r="4810">
          <cell r="BY4810">
            <v>0</v>
          </cell>
          <cell r="BZ4810">
            <v>0</v>
          </cell>
        </row>
        <row r="4811">
          <cell r="BY4811">
            <v>0</v>
          </cell>
          <cell r="BZ4811">
            <v>0</v>
          </cell>
        </row>
        <row r="4812">
          <cell r="BY4812">
            <v>0</v>
          </cell>
          <cell r="BZ4812">
            <v>0</v>
          </cell>
        </row>
        <row r="4813">
          <cell r="BY4813">
            <v>0</v>
          </cell>
          <cell r="BZ4813">
            <v>0</v>
          </cell>
        </row>
        <row r="4814">
          <cell r="BY4814">
            <v>0</v>
          </cell>
          <cell r="BZ4814">
            <v>0</v>
          </cell>
        </row>
        <row r="4815">
          <cell r="BY4815">
            <v>0</v>
          </cell>
          <cell r="BZ4815">
            <v>0</v>
          </cell>
        </row>
        <row r="4816">
          <cell r="BY4816">
            <v>0</v>
          </cell>
          <cell r="BZ4816">
            <v>0</v>
          </cell>
        </row>
        <row r="4817">
          <cell r="BY4817">
            <v>0</v>
          </cell>
          <cell r="BZ4817">
            <v>0</v>
          </cell>
        </row>
        <row r="4818">
          <cell r="BY4818">
            <v>0</v>
          </cell>
          <cell r="BZ4818">
            <v>0</v>
          </cell>
        </row>
        <row r="4819">
          <cell r="BY4819">
            <v>0</v>
          </cell>
          <cell r="BZ4819">
            <v>0</v>
          </cell>
        </row>
        <row r="4820">
          <cell r="BY4820">
            <v>0</v>
          </cell>
          <cell r="BZ4820">
            <v>0</v>
          </cell>
        </row>
        <row r="4821">
          <cell r="BY4821">
            <v>0</v>
          </cell>
          <cell r="BZ4821">
            <v>0</v>
          </cell>
        </row>
        <row r="4822">
          <cell r="BY4822">
            <v>0</v>
          </cell>
          <cell r="BZ4822">
            <v>0</v>
          </cell>
        </row>
        <row r="4823">
          <cell r="BY4823">
            <v>0</v>
          </cell>
          <cell r="BZ4823">
            <v>0</v>
          </cell>
        </row>
        <row r="4824">
          <cell r="BY4824">
            <v>0</v>
          </cell>
          <cell r="BZ4824">
            <v>0</v>
          </cell>
        </row>
        <row r="4825">
          <cell r="BY4825">
            <v>0</v>
          </cell>
          <cell r="BZ4825">
            <v>0</v>
          </cell>
        </row>
        <row r="4826">
          <cell r="BY4826">
            <v>0</v>
          </cell>
          <cell r="BZ4826">
            <v>0</v>
          </cell>
        </row>
        <row r="4827">
          <cell r="BY4827">
            <v>0</v>
          </cell>
          <cell r="BZ4827">
            <v>0</v>
          </cell>
        </row>
        <row r="4828">
          <cell r="BY4828">
            <v>0</v>
          </cell>
          <cell r="BZ4828">
            <v>0</v>
          </cell>
        </row>
        <row r="4829">
          <cell r="BY4829">
            <v>0</v>
          </cell>
          <cell r="BZ4829">
            <v>0</v>
          </cell>
        </row>
        <row r="4830">
          <cell r="BY4830">
            <v>0</v>
          </cell>
          <cell r="BZ4830">
            <v>0</v>
          </cell>
        </row>
        <row r="4831">
          <cell r="BY4831">
            <v>0</v>
          </cell>
          <cell r="BZ4831">
            <v>0</v>
          </cell>
        </row>
        <row r="4832">
          <cell r="BY4832">
            <v>0</v>
          </cell>
          <cell r="BZ4832">
            <v>0</v>
          </cell>
        </row>
        <row r="4833">
          <cell r="BY4833">
            <v>0</v>
          </cell>
          <cell r="BZ4833">
            <v>0</v>
          </cell>
        </row>
        <row r="4834">
          <cell r="BY4834">
            <v>0</v>
          </cell>
          <cell r="BZ4834">
            <v>0</v>
          </cell>
        </row>
        <row r="4835">
          <cell r="BY4835">
            <v>0</v>
          </cell>
          <cell r="BZ4835">
            <v>0</v>
          </cell>
        </row>
        <row r="4836">
          <cell r="BY4836">
            <v>0</v>
          </cell>
          <cell r="BZ4836">
            <v>0</v>
          </cell>
        </row>
        <row r="4837">
          <cell r="BY4837">
            <v>0</v>
          </cell>
          <cell r="BZ4837">
            <v>0</v>
          </cell>
        </row>
        <row r="4838">
          <cell r="BY4838">
            <v>0</v>
          </cell>
          <cell r="BZ4838">
            <v>0</v>
          </cell>
        </row>
        <row r="4839">
          <cell r="BY4839">
            <v>0</v>
          </cell>
          <cell r="BZ4839">
            <v>0</v>
          </cell>
        </row>
        <row r="4840">
          <cell r="BY4840">
            <v>0</v>
          </cell>
          <cell r="BZ4840">
            <v>0</v>
          </cell>
        </row>
        <row r="4841">
          <cell r="BY4841">
            <v>0</v>
          </cell>
          <cell r="BZ4841">
            <v>0</v>
          </cell>
        </row>
        <row r="4842">
          <cell r="BY4842">
            <v>0</v>
          </cell>
          <cell r="BZ4842">
            <v>0</v>
          </cell>
        </row>
        <row r="4843">
          <cell r="BY4843">
            <v>0</v>
          </cell>
          <cell r="BZ4843">
            <v>0</v>
          </cell>
        </row>
        <row r="4844">
          <cell r="BY4844">
            <v>0</v>
          </cell>
          <cell r="BZ4844">
            <v>0</v>
          </cell>
        </row>
        <row r="4845">
          <cell r="BY4845">
            <v>0</v>
          </cell>
          <cell r="BZ4845">
            <v>0</v>
          </cell>
        </row>
        <row r="4846">
          <cell r="BY4846">
            <v>0</v>
          </cell>
          <cell r="BZ4846">
            <v>0</v>
          </cell>
        </row>
        <row r="4847">
          <cell r="BY4847">
            <v>0</v>
          </cell>
          <cell r="BZ4847">
            <v>0</v>
          </cell>
        </row>
        <row r="4848">
          <cell r="BY4848">
            <v>0</v>
          </cell>
          <cell r="BZ4848">
            <v>0</v>
          </cell>
        </row>
        <row r="4849">
          <cell r="BY4849">
            <v>0</v>
          </cell>
          <cell r="BZ4849">
            <v>0</v>
          </cell>
        </row>
        <row r="4850">
          <cell r="BY4850">
            <v>0</v>
          </cell>
          <cell r="BZ4850">
            <v>0</v>
          </cell>
        </row>
        <row r="4851">
          <cell r="BY4851">
            <v>0</v>
          </cell>
          <cell r="BZ4851">
            <v>0</v>
          </cell>
        </row>
        <row r="4852">
          <cell r="BY4852">
            <v>0</v>
          </cell>
          <cell r="BZ4852">
            <v>0</v>
          </cell>
        </row>
        <row r="4853">
          <cell r="BY4853">
            <v>0</v>
          </cell>
          <cell r="BZ4853">
            <v>0</v>
          </cell>
        </row>
        <row r="4854">
          <cell r="BY4854">
            <v>0</v>
          </cell>
          <cell r="BZ4854">
            <v>0</v>
          </cell>
        </row>
        <row r="4855">
          <cell r="BY4855">
            <v>0</v>
          </cell>
          <cell r="BZ4855">
            <v>0</v>
          </cell>
        </row>
        <row r="4856">
          <cell r="BY4856">
            <v>0</v>
          </cell>
          <cell r="BZ4856">
            <v>0</v>
          </cell>
        </row>
        <row r="4857">
          <cell r="BY4857">
            <v>0</v>
          </cell>
          <cell r="BZ4857">
            <v>0</v>
          </cell>
        </row>
        <row r="4858">
          <cell r="BY4858">
            <v>0</v>
          </cell>
          <cell r="BZ4858">
            <v>0</v>
          </cell>
        </row>
        <row r="4859">
          <cell r="BY4859">
            <v>0</v>
          </cell>
          <cell r="BZ4859">
            <v>0</v>
          </cell>
        </row>
        <row r="4860">
          <cell r="BY4860">
            <v>0</v>
          </cell>
          <cell r="BZ4860">
            <v>0</v>
          </cell>
        </row>
        <row r="4861">
          <cell r="BY4861">
            <v>0</v>
          </cell>
          <cell r="BZ4861">
            <v>0</v>
          </cell>
        </row>
        <row r="4862">
          <cell r="BY4862">
            <v>0</v>
          </cell>
          <cell r="BZ4862">
            <v>0</v>
          </cell>
        </row>
        <row r="4863">
          <cell r="BY4863">
            <v>0</v>
          </cell>
          <cell r="BZ4863">
            <v>0</v>
          </cell>
        </row>
        <row r="4864">
          <cell r="BY4864">
            <v>0</v>
          </cell>
          <cell r="BZ4864">
            <v>0</v>
          </cell>
        </row>
        <row r="4865">
          <cell r="BY4865">
            <v>0</v>
          </cell>
          <cell r="BZ4865">
            <v>0</v>
          </cell>
        </row>
        <row r="4866">
          <cell r="BY4866">
            <v>0</v>
          </cell>
          <cell r="BZ4866">
            <v>0</v>
          </cell>
        </row>
        <row r="4867">
          <cell r="BY4867">
            <v>0</v>
          </cell>
          <cell r="BZ4867">
            <v>0</v>
          </cell>
        </row>
        <row r="4868">
          <cell r="BY4868">
            <v>0</v>
          </cell>
          <cell r="BZ4868">
            <v>0</v>
          </cell>
        </row>
        <row r="4869">
          <cell r="BY4869">
            <v>0</v>
          </cell>
          <cell r="BZ4869">
            <v>0</v>
          </cell>
        </row>
        <row r="4870">
          <cell r="BY4870">
            <v>0</v>
          </cell>
          <cell r="BZ4870">
            <v>0</v>
          </cell>
        </row>
        <row r="4871">
          <cell r="BY4871">
            <v>0</v>
          </cell>
          <cell r="BZ4871">
            <v>0</v>
          </cell>
        </row>
        <row r="4872">
          <cell r="BY4872">
            <v>0</v>
          </cell>
          <cell r="BZ4872">
            <v>0</v>
          </cell>
        </row>
        <row r="4873">
          <cell r="BY4873">
            <v>0</v>
          </cell>
          <cell r="BZ4873">
            <v>0</v>
          </cell>
        </row>
        <row r="4874">
          <cell r="BY4874">
            <v>0</v>
          </cell>
          <cell r="BZ4874">
            <v>0</v>
          </cell>
        </row>
        <row r="4875">
          <cell r="BY4875">
            <v>0</v>
          </cell>
          <cell r="BZ4875">
            <v>0</v>
          </cell>
        </row>
        <row r="4876">
          <cell r="BY4876">
            <v>0</v>
          </cell>
          <cell r="BZ4876">
            <v>0</v>
          </cell>
        </row>
        <row r="4877">
          <cell r="BY4877">
            <v>0</v>
          </cell>
          <cell r="BZ4877">
            <v>0</v>
          </cell>
        </row>
        <row r="4878">
          <cell r="BY4878">
            <v>0</v>
          </cell>
          <cell r="BZ4878">
            <v>0</v>
          </cell>
        </row>
        <row r="4879">
          <cell r="BY4879">
            <v>0</v>
          </cell>
          <cell r="BZ4879">
            <v>0</v>
          </cell>
        </row>
        <row r="4880">
          <cell r="BY4880">
            <v>0</v>
          </cell>
          <cell r="BZ4880">
            <v>0</v>
          </cell>
        </row>
        <row r="4881">
          <cell r="BY4881">
            <v>0</v>
          </cell>
          <cell r="BZ4881">
            <v>0</v>
          </cell>
        </row>
        <row r="4882">
          <cell r="BY4882">
            <v>0</v>
          </cell>
          <cell r="BZ4882">
            <v>0</v>
          </cell>
        </row>
        <row r="4883">
          <cell r="BY4883">
            <v>0</v>
          </cell>
          <cell r="BZ4883">
            <v>0</v>
          </cell>
        </row>
        <row r="4884">
          <cell r="BY4884">
            <v>0</v>
          </cell>
          <cell r="BZ4884">
            <v>0</v>
          </cell>
        </row>
        <row r="4885">
          <cell r="BY4885">
            <v>0</v>
          </cell>
          <cell r="BZ4885">
            <v>0</v>
          </cell>
        </row>
        <row r="4886">
          <cell r="BY4886">
            <v>0</v>
          </cell>
          <cell r="BZ4886">
            <v>0</v>
          </cell>
        </row>
        <row r="4887">
          <cell r="BY4887">
            <v>0</v>
          </cell>
          <cell r="BZ4887">
            <v>0</v>
          </cell>
        </row>
        <row r="4888">
          <cell r="BY4888">
            <v>0</v>
          </cell>
          <cell r="BZ4888">
            <v>0</v>
          </cell>
        </row>
        <row r="4889">
          <cell r="BY4889">
            <v>0</v>
          </cell>
          <cell r="BZ4889">
            <v>0</v>
          </cell>
        </row>
        <row r="4890">
          <cell r="BY4890">
            <v>0</v>
          </cell>
          <cell r="BZ4890">
            <v>0</v>
          </cell>
        </row>
        <row r="4891">
          <cell r="BY4891">
            <v>0</v>
          </cell>
          <cell r="BZ4891">
            <v>0</v>
          </cell>
        </row>
        <row r="4892">
          <cell r="BY4892">
            <v>0</v>
          </cell>
          <cell r="BZ4892">
            <v>0</v>
          </cell>
        </row>
        <row r="4893">
          <cell r="BY4893">
            <v>0</v>
          </cell>
          <cell r="BZ4893">
            <v>0</v>
          </cell>
        </row>
        <row r="4894">
          <cell r="BY4894">
            <v>0</v>
          </cell>
          <cell r="BZ4894">
            <v>0</v>
          </cell>
        </row>
        <row r="4895">
          <cell r="BY4895">
            <v>0</v>
          </cell>
          <cell r="BZ4895">
            <v>0</v>
          </cell>
        </row>
        <row r="4896">
          <cell r="BY4896">
            <v>0</v>
          </cell>
          <cell r="BZ4896">
            <v>0</v>
          </cell>
        </row>
        <row r="4897">
          <cell r="BY4897">
            <v>0</v>
          </cell>
          <cell r="BZ4897">
            <v>0</v>
          </cell>
        </row>
        <row r="4898">
          <cell r="BY4898">
            <v>0</v>
          </cell>
          <cell r="BZ4898">
            <v>0</v>
          </cell>
        </row>
        <row r="4899">
          <cell r="BY4899">
            <v>0</v>
          </cell>
          <cell r="BZ4899">
            <v>0</v>
          </cell>
        </row>
        <row r="4900">
          <cell r="BY4900">
            <v>0</v>
          </cell>
          <cell r="BZ4900">
            <v>0</v>
          </cell>
        </row>
        <row r="4901">
          <cell r="BY4901">
            <v>0</v>
          </cell>
          <cell r="BZ4901">
            <v>0</v>
          </cell>
        </row>
        <row r="4902">
          <cell r="BY4902">
            <v>0</v>
          </cell>
          <cell r="BZ4902">
            <v>0</v>
          </cell>
        </row>
        <row r="4903">
          <cell r="BY4903">
            <v>0</v>
          </cell>
          <cell r="BZ4903">
            <v>0</v>
          </cell>
        </row>
        <row r="4904">
          <cell r="BY4904">
            <v>0</v>
          </cell>
          <cell r="BZ4904">
            <v>0</v>
          </cell>
        </row>
        <row r="4905">
          <cell r="BY4905">
            <v>0</v>
          </cell>
          <cell r="BZ4905">
            <v>0</v>
          </cell>
        </row>
        <row r="4906">
          <cell r="BY4906">
            <v>0</v>
          </cell>
          <cell r="BZ4906">
            <v>0</v>
          </cell>
        </row>
        <row r="4907">
          <cell r="BY4907">
            <v>0</v>
          </cell>
          <cell r="BZ4907">
            <v>0</v>
          </cell>
        </row>
        <row r="4908">
          <cell r="BY4908">
            <v>0</v>
          </cell>
          <cell r="BZ4908">
            <v>0</v>
          </cell>
        </row>
        <row r="4909">
          <cell r="BY4909">
            <v>0</v>
          </cell>
          <cell r="BZ4909">
            <v>0</v>
          </cell>
        </row>
        <row r="4910">
          <cell r="BY4910">
            <v>0</v>
          </cell>
          <cell r="BZ4910">
            <v>0</v>
          </cell>
        </row>
        <row r="4911">
          <cell r="BY4911">
            <v>0</v>
          </cell>
          <cell r="BZ4911">
            <v>0</v>
          </cell>
        </row>
        <row r="4912">
          <cell r="BY4912">
            <v>0</v>
          </cell>
          <cell r="BZ4912">
            <v>0</v>
          </cell>
        </row>
        <row r="4913">
          <cell r="BY4913">
            <v>0</v>
          </cell>
          <cell r="BZ4913">
            <v>0</v>
          </cell>
        </row>
        <row r="4914">
          <cell r="BY4914">
            <v>0</v>
          </cell>
          <cell r="BZ4914">
            <v>0</v>
          </cell>
        </row>
        <row r="4915">
          <cell r="BY4915">
            <v>0</v>
          </cell>
          <cell r="BZ4915">
            <v>0</v>
          </cell>
        </row>
        <row r="4916">
          <cell r="BY4916">
            <v>0</v>
          </cell>
          <cell r="BZ4916">
            <v>0</v>
          </cell>
        </row>
        <row r="4917">
          <cell r="BY4917">
            <v>0</v>
          </cell>
          <cell r="BZ4917">
            <v>0</v>
          </cell>
        </row>
        <row r="4918">
          <cell r="BY4918">
            <v>0</v>
          </cell>
          <cell r="BZ4918">
            <v>0</v>
          </cell>
        </row>
        <row r="4919">
          <cell r="BY4919">
            <v>0</v>
          </cell>
          <cell r="BZ4919">
            <v>0</v>
          </cell>
        </row>
        <row r="4920">
          <cell r="BY4920">
            <v>0</v>
          </cell>
          <cell r="BZ4920">
            <v>0</v>
          </cell>
        </row>
        <row r="4921">
          <cell r="BY4921">
            <v>0</v>
          </cell>
          <cell r="BZ4921">
            <v>0</v>
          </cell>
        </row>
        <row r="4922">
          <cell r="BY4922">
            <v>0</v>
          </cell>
          <cell r="BZ4922">
            <v>0</v>
          </cell>
        </row>
        <row r="4923">
          <cell r="BY4923">
            <v>0</v>
          </cell>
          <cell r="BZ4923">
            <v>0</v>
          </cell>
        </row>
        <row r="4924">
          <cell r="BY4924">
            <v>0</v>
          </cell>
          <cell r="BZ4924">
            <v>0</v>
          </cell>
        </row>
        <row r="4925">
          <cell r="BY4925">
            <v>0</v>
          </cell>
          <cell r="BZ4925">
            <v>0</v>
          </cell>
        </row>
        <row r="4926">
          <cell r="BY4926">
            <v>0</v>
          </cell>
          <cell r="BZ4926">
            <v>0</v>
          </cell>
        </row>
        <row r="4927">
          <cell r="BY4927">
            <v>0</v>
          </cell>
          <cell r="BZ4927">
            <v>0</v>
          </cell>
        </row>
        <row r="4928">
          <cell r="BY4928">
            <v>0</v>
          </cell>
          <cell r="BZ4928">
            <v>0</v>
          </cell>
        </row>
        <row r="4929">
          <cell r="BY4929">
            <v>0</v>
          </cell>
          <cell r="BZ4929">
            <v>0</v>
          </cell>
        </row>
        <row r="4930">
          <cell r="BY4930">
            <v>0</v>
          </cell>
          <cell r="BZ4930">
            <v>0</v>
          </cell>
        </row>
        <row r="4931">
          <cell r="BY4931">
            <v>0</v>
          </cell>
          <cell r="BZ4931">
            <v>0</v>
          </cell>
        </row>
        <row r="4932">
          <cell r="BY4932">
            <v>0</v>
          </cell>
          <cell r="BZ4932">
            <v>0</v>
          </cell>
        </row>
        <row r="4933">
          <cell r="BY4933">
            <v>0</v>
          </cell>
          <cell r="BZ4933">
            <v>0</v>
          </cell>
        </row>
        <row r="4934">
          <cell r="BY4934">
            <v>0</v>
          </cell>
          <cell r="BZ4934">
            <v>0</v>
          </cell>
        </row>
        <row r="4935">
          <cell r="BY4935">
            <v>0</v>
          </cell>
          <cell r="BZ4935">
            <v>0</v>
          </cell>
        </row>
        <row r="4936">
          <cell r="BY4936">
            <v>0</v>
          </cell>
          <cell r="BZ4936">
            <v>0</v>
          </cell>
        </row>
        <row r="4937">
          <cell r="BY4937">
            <v>0</v>
          </cell>
          <cell r="BZ4937">
            <v>0</v>
          </cell>
        </row>
        <row r="4938">
          <cell r="BY4938">
            <v>0</v>
          </cell>
          <cell r="BZ4938">
            <v>0</v>
          </cell>
        </row>
        <row r="4939">
          <cell r="BY4939">
            <v>0</v>
          </cell>
          <cell r="BZ4939">
            <v>0</v>
          </cell>
        </row>
        <row r="4940">
          <cell r="BY4940">
            <v>0</v>
          </cell>
          <cell r="BZ4940">
            <v>0</v>
          </cell>
        </row>
        <row r="4941">
          <cell r="BY4941">
            <v>0</v>
          </cell>
          <cell r="BZ4941">
            <v>0</v>
          </cell>
        </row>
        <row r="4942">
          <cell r="BY4942">
            <v>0</v>
          </cell>
          <cell r="BZ4942">
            <v>0</v>
          </cell>
        </row>
        <row r="4943">
          <cell r="BY4943">
            <v>0</v>
          </cell>
          <cell r="BZ4943">
            <v>0</v>
          </cell>
        </row>
        <row r="4944">
          <cell r="BY4944">
            <v>0</v>
          </cell>
          <cell r="BZ4944">
            <v>0</v>
          </cell>
        </row>
        <row r="4945">
          <cell r="BY4945">
            <v>0</v>
          </cell>
          <cell r="BZ4945">
            <v>0</v>
          </cell>
        </row>
        <row r="4946">
          <cell r="BY4946">
            <v>0</v>
          </cell>
          <cell r="BZ4946">
            <v>0</v>
          </cell>
        </row>
        <row r="4947">
          <cell r="BY4947">
            <v>0</v>
          </cell>
          <cell r="BZ4947">
            <v>0</v>
          </cell>
        </row>
        <row r="4948">
          <cell r="BY4948">
            <v>0</v>
          </cell>
          <cell r="BZ4948">
            <v>0</v>
          </cell>
        </row>
        <row r="4949">
          <cell r="BY4949">
            <v>0</v>
          </cell>
          <cell r="BZ4949">
            <v>0</v>
          </cell>
        </row>
        <row r="4950">
          <cell r="BY4950">
            <v>0</v>
          </cell>
          <cell r="BZ4950">
            <v>0</v>
          </cell>
        </row>
        <row r="4951">
          <cell r="BY4951">
            <v>0</v>
          </cell>
          <cell r="BZ4951">
            <v>0</v>
          </cell>
        </row>
        <row r="4952">
          <cell r="BY4952">
            <v>0</v>
          </cell>
          <cell r="BZ4952">
            <v>0</v>
          </cell>
        </row>
        <row r="4953">
          <cell r="BY4953">
            <v>0</v>
          </cell>
          <cell r="BZ4953">
            <v>0</v>
          </cell>
        </row>
        <row r="4954">
          <cell r="BY4954">
            <v>0</v>
          </cell>
          <cell r="BZ4954">
            <v>0</v>
          </cell>
        </row>
        <row r="4955">
          <cell r="BY4955">
            <v>0</v>
          </cell>
          <cell r="BZ4955">
            <v>0</v>
          </cell>
        </row>
        <row r="4956">
          <cell r="BY4956">
            <v>0</v>
          </cell>
          <cell r="BZ4956">
            <v>0</v>
          </cell>
        </row>
        <row r="4957">
          <cell r="BY4957">
            <v>0</v>
          </cell>
          <cell r="BZ4957">
            <v>0</v>
          </cell>
        </row>
        <row r="4958">
          <cell r="BY4958">
            <v>0</v>
          </cell>
          <cell r="BZ4958">
            <v>0</v>
          </cell>
        </row>
        <row r="4959">
          <cell r="BY4959">
            <v>0</v>
          </cell>
          <cell r="BZ4959">
            <v>0</v>
          </cell>
        </row>
        <row r="4960">
          <cell r="BY4960">
            <v>0</v>
          </cell>
          <cell r="BZ4960">
            <v>0</v>
          </cell>
        </row>
        <row r="4961">
          <cell r="BY4961">
            <v>0</v>
          </cell>
          <cell r="BZ4961">
            <v>0</v>
          </cell>
        </row>
        <row r="4962">
          <cell r="BY4962">
            <v>0</v>
          </cell>
          <cell r="BZ4962">
            <v>0</v>
          </cell>
        </row>
        <row r="4963">
          <cell r="BY4963">
            <v>0</v>
          </cell>
          <cell r="BZ4963">
            <v>0</v>
          </cell>
        </row>
        <row r="4964">
          <cell r="BY4964">
            <v>0</v>
          </cell>
          <cell r="BZ4964">
            <v>0</v>
          </cell>
        </row>
        <row r="4965">
          <cell r="BY4965">
            <v>0</v>
          </cell>
          <cell r="BZ4965">
            <v>0</v>
          </cell>
        </row>
        <row r="4966">
          <cell r="BY4966">
            <v>0</v>
          </cell>
          <cell r="BZ4966">
            <v>0</v>
          </cell>
        </row>
        <row r="4967">
          <cell r="BY4967">
            <v>0</v>
          </cell>
          <cell r="BZ4967">
            <v>0</v>
          </cell>
        </row>
        <row r="4968">
          <cell r="BY4968">
            <v>0</v>
          </cell>
          <cell r="BZ4968">
            <v>0</v>
          </cell>
        </row>
        <row r="4969">
          <cell r="BY4969">
            <v>0</v>
          </cell>
          <cell r="BZ4969">
            <v>0</v>
          </cell>
        </row>
        <row r="4970">
          <cell r="BY4970">
            <v>0</v>
          </cell>
          <cell r="BZ4970">
            <v>0</v>
          </cell>
        </row>
        <row r="4971">
          <cell r="BY4971">
            <v>0</v>
          </cell>
          <cell r="BZ4971">
            <v>0</v>
          </cell>
        </row>
        <row r="4972">
          <cell r="BY4972">
            <v>0</v>
          </cell>
          <cell r="BZ4972">
            <v>0</v>
          </cell>
        </row>
        <row r="4973">
          <cell r="BY4973">
            <v>0</v>
          </cell>
          <cell r="BZ4973">
            <v>0</v>
          </cell>
        </row>
        <row r="4974">
          <cell r="BY4974">
            <v>0</v>
          </cell>
          <cell r="BZ4974">
            <v>0</v>
          </cell>
        </row>
        <row r="4975">
          <cell r="BY4975">
            <v>0</v>
          </cell>
          <cell r="BZ4975">
            <v>0</v>
          </cell>
        </row>
        <row r="4976">
          <cell r="BY4976">
            <v>0</v>
          </cell>
          <cell r="BZ4976">
            <v>0</v>
          </cell>
        </row>
        <row r="4977">
          <cell r="BY4977">
            <v>0</v>
          </cell>
          <cell r="BZ4977">
            <v>0</v>
          </cell>
        </row>
        <row r="4978">
          <cell r="BY4978">
            <v>0</v>
          </cell>
          <cell r="BZ4978">
            <v>0</v>
          </cell>
        </row>
        <row r="4979">
          <cell r="BY4979">
            <v>0</v>
          </cell>
          <cell r="BZ4979">
            <v>0</v>
          </cell>
        </row>
        <row r="4980">
          <cell r="BY4980">
            <v>0</v>
          </cell>
          <cell r="BZ4980">
            <v>0</v>
          </cell>
        </row>
        <row r="4981">
          <cell r="BY4981">
            <v>0</v>
          </cell>
          <cell r="BZ4981">
            <v>0</v>
          </cell>
        </row>
        <row r="4982">
          <cell r="BY4982">
            <v>0</v>
          </cell>
          <cell r="BZ4982">
            <v>0</v>
          </cell>
        </row>
        <row r="4983">
          <cell r="BY4983">
            <v>0</v>
          </cell>
          <cell r="BZ4983">
            <v>0</v>
          </cell>
        </row>
        <row r="4984">
          <cell r="BY4984">
            <v>0</v>
          </cell>
          <cell r="BZ4984">
            <v>0</v>
          </cell>
        </row>
        <row r="4985">
          <cell r="BY4985">
            <v>0</v>
          </cell>
          <cell r="BZ4985">
            <v>0</v>
          </cell>
        </row>
        <row r="4986">
          <cell r="BY4986">
            <v>0</v>
          </cell>
          <cell r="BZ4986">
            <v>0</v>
          </cell>
        </row>
        <row r="4987">
          <cell r="BY4987">
            <v>0</v>
          </cell>
          <cell r="BZ4987">
            <v>0</v>
          </cell>
        </row>
        <row r="4988">
          <cell r="BY4988">
            <v>0</v>
          </cell>
          <cell r="BZ4988">
            <v>0</v>
          </cell>
        </row>
        <row r="4989">
          <cell r="BY4989">
            <v>0</v>
          </cell>
          <cell r="BZ4989">
            <v>0</v>
          </cell>
        </row>
        <row r="4990">
          <cell r="BY4990">
            <v>0</v>
          </cell>
          <cell r="BZ4990">
            <v>0</v>
          </cell>
        </row>
        <row r="4991">
          <cell r="BY4991">
            <v>0</v>
          </cell>
          <cell r="BZ4991">
            <v>0</v>
          </cell>
        </row>
        <row r="4992">
          <cell r="BY4992">
            <v>0</v>
          </cell>
          <cell r="BZ4992">
            <v>0</v>
          </cell>
        </row>
        <row r="4993">
          <cell r="BY4993">
            <v>0</v>
          </cell>
          <cell r="BZ4993">
            <v>0</v>
          </cell>
        </row>
        <row r="4994">
          <cell r="BY4994">
            <v>0</v>
          </cell>
          <cell r="BZ4994">
            <v>0</v>
          </cell>
        </row>
        <row r="4995">
          <cell r="BY4995">
            <v>0</v>
          </cell>
          <cell r="BZ4995">
            <v>0</v>
          </cell>
        </row>
        <row r="4996">
          <cell r="BY4996">
            <v>0</v>
          </cell>
          <cell r="BZ4996">
            <v>0</v>
          </cell>
        </row>
        <row r="4997">
          <cell r="BY4997">
            <v>0</v>
          </cell>
          <cell r="BZ4997">
            <v>0</v>
          </cell>
        </row>
        <row r="4998">
          <cell r="BY4998">
            <v>0</v>
          </cell>
          <cell r="BZ4998">
            <v>0</v>
          </cell>
        </row>
        <row r="4999">
          <cell r="BY4999">
            <v>0</v>
          </cell>
          <cell r="BZ4999">
            <v>0</v>
          </cell>
        </row>
        <row r="5000">
          <cell r="BY5000">
            <v>0</v>
          </cell>
          <cell r="BZ5000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FT"/>
      <sheetName val="LTN"/>
      <sheetName val="NTN-D"/>
      <sheetName val="NTN-C"/>
      <sheetName val="NTN-B"/>
    </sheetNames>
    <sheetDataSet>
      <sheetData sheetId="0"/>
      <sheetData sheetId="1"/>
      <sheetData sheetId="2"/>
      <sheetData sheetId="3">
        <row r="18">
          <cell r="Q18">
            <v>36892</v>
          </cell>
        </row>
        <row r="19">
          <cell r="Q19">
            <v>36948</v>
          </cell>
        </row>
        <row r="20">
          <cell r="Q20">
            <v>36949</v>
          </cell>
        </row>
        <row r="21">
          <cell r="Q21">
            <v>36994</v>
          </cell>
        </row>
        <row r="22">
          <cell r="Q22">
            <v>37002</v>
          </cell>
        </row>
        <row r="23">
          <cell r="Q23">
            <v>37012</v>
          </cell>
        </row>
        <row r="24">
          <cell r="Q24">
            <v>37056</v>
          </cell>
        </row>
        <row r="25">
          <cell r="Q25">
            <v>37141</v>
          </cell>
        </row>
        <row r="26">
          <cell r="Q26">
            <v>37176</v>
          </cell>
        </row>
        <row r="27">
          <cell r="Q27">
            <v>37197</v>
          </cell>
        </row>
        <row r="28">
          <cell r="Q28">
            <v>37210</v>
          </cell>
        </row>
        <row r="29">
          <cell r="Q29">
            <v>37250</v>
          </cell>
        </row>
        <row r="30">
          <cell r="Q30">
            <v>37257</v>
          </cell>
        </row>
        <row r="31">
          <cell r="Q31">
            <v>37298</v>
          </cell>
        </row>
        <row r="32">
          <cell r="Q32">
            <v>37299</v>
          </cell>
        </row>
        <row r="33">
          <cell r="Q33">
            <v>37344</v>
          </cell>
        </row>
        <row r="34">
          <cell r="Q34">
            <v>37367</v>
          </cell>
        </row>
        <row r="35">
          <cell r="Q35">
            <v>37377</v>
          </cell>
        </row>
        <row r="36">
          <cell r="Q36">
            <v>37406</v>
          </cell>
        </row>
        <row r="37">
          <cell r="Q37">
            <v>37506</v>
          </cell>
        </row>
        <row r="38">
          <cell r="Q38">
            <v>37541</v>
          </cell>
        </row>
        <row r="39">
          <cell r="Q39">
            <v>37562</v>
          </cell>
        </row>
        <row r="40">
          <cell r="Q40">
            <v>37575</v>
          </cell>
        </row>
        <row r="41">
          <cell r="Q41">
            <v>37615</v>
          </cell>
        </row>
        <row r="42">
          <cell r="Q42">
            <v>37622</v>
          </cell>
        </row>
        <row r="43">
          <cell r="Q43">
            <v>37683</v>
          </cell>
        </row>
        <row r="44">
          <cell r="Q44">
            <v>37684</v>
          </cell>
        </row>
        <row r="45">
          <cell r="Q45">
            <v>37729</v>
          </cell>
        </row>
        <row r="46">
          <cell r="Q46">
            <v>37732</v>
          </cell>
        </row>
        <row r="47">
          <cell r="Q47">
            <v>37742</v>
          </cell>
        </row>
        <row r="48">
          <cell r="Q48">
            <v>37791</v>
          </cell>
        </row>
        <row r="49">
          <cell r="Q49">
            <v>37871</v>
          </cell>
        </row>
        <row r="50">
          <cell r="Q50">
            <v>37906</v>
          </cell>
        </row>
        <row r="51">
          <cell r="Q51">
            <v>37927</v>
          </cell>
        </row>
        <row r="52">
          <cell r="Q52">
            <v>37940</v>
          </cell>
        </row>
        <row r="53">
          <cell r="Q53">
            <v>37980</v>
          </cell>
        </row>
        <row r="54">
          <cell r="Q54">
            <v>37987</v>
          </cell>
        </row>
        <row r="55">
          <cell r="Q55">
            <v>38040</v>
          </cell>
        </row>
        <row r="56">
          <cell r="Q56">
            <v>38041</v>
          </cell>
        </row>
        <row r="57">
          <cell r="Q57">
            <v>38086</v>
          </cell>
        </row>
        <row r="58">
          <cell r="Q58">
            <v>38098</v>
          </cell>
        </row>
        <row r="59">
          <cell r="Q59">
            <v>38108</v>
          </cell>
        </row>
        <row r="60">
          <cell r="Q60">
            <v>38148</v>
          </cell>
        </row>
        <row r="61">
          <cell r="Q61">
            <v>38237</v>
          </cell>
        </row>
        <row r="62">
          <cell r="Q62">
            <v>38272</v>
          </cell>
        </row>
        <row r="63">
          <cell r="Q63">
            <v>38293</v>
          </cell>
        </row>
        <row r="64">
          <cell r="Q64">
            <v>38306</v>
          </cell>
        </row>
        <row r="65">
          <cell r="Q65">
            <v>38346</v>
          </cell>
        </row>
        <row r="66">
          <cell r="Q66">
            <v>38353</v>
          </cell>
        </row>
        <row r="67">
          <cell r="Q67">
            <v>38390</v>
          </cell>
        </row>
        <row r="68">
          <cell r="Q68">
            <v>38391</v>
          </cell>
        </row>
        <row r="69">
          <cell r="Q69">
            <v>38436</v>
          </cell>
        </row>
        <row r="70">
          <cell r="Q70">
            <v>38463</v>
          </cell>
        </row>
        <row r="71">
          <cell r="Q71">
            <v>38473</v>
          </cell>
        </row>
        <row r="72">
          <cell r="Q72">
            <v>38498</v>
          </cell>
        </row>
        <row r="73">
          <cell r="Q73">
            <v>38602</v>
          </cell>
        </row>
        <row r="74">
          <cell r="Q74">
            <v>38637</v>
          </cell>
        </row>
        <row r="75">
          <cell r="Q75">
            <v>38658</v>
          </cell>
        </row>
        <row r="76">
          <cell r="Q76">
            <v>38671</v>
          </cell>
        </row>
        <row r="77">
          <cell r="Q77">
            <v>38711</v>
          </cell>
        </row>
        <row r="78">
          <cell r="Q78">
            <v>38718</v>
          </cell>
        </row>
        <row r="79">
          <cell r="Q79">
            <v>38775</v>
          </cell>
        </row>
        <row r="80">
          <cell r="Q80">
            <v>38776</v>
          </cell>
        </row>
        <row r="81">
          <cell r="Q81">
            <v>38821</v>
          </cell>
        </row>
        <row r="82">
          <cell r="Q82">
            <v>38828</v>
          </cell>
        </row>
        <row r="83">
          <cell r="Q83">
            <v>38838</v>
          </cell>
        </row>
        <row r="84">
          <cell r="Q84">
            <v>38883</v>
          </cell>
        </row>
        <row r="85">
          <cell r="Q85">
            <v>38967</v>
          </cell>
        </row>
        <row r="86">
          <cell r="Q86">
            <v>39002</v>
          </cell>
        </row>
        <row r="87">
          <cell r="Q87">
            <v>39023</v>
          </cell>
        </row>
        <row r="88">
          <cell r="Q88">
            <v>39036</v>
          </cell>
        </row>
        <row r="89">
          <cell r="Q89">
            <v>39076</v>
          </cell>
        </row>
        <row r="90">
          <cell r="Q90">
            <v>39083</v>
          </cell>
        </row>
        <row r="91">
          <cell r="Q91">
            <v>39132</v>
          </cell>
        </row>
        <row r="92">
          <cell r="Q92">
            <v>39133</v>
          </cell>
        </row>
        <row r="93">
          <cell r="Q93">
            <v>39178</v>
          </cell>
        </row>
        <row r="94">
          <cell r="Q94">
            <v>39193</v>
          </cell>
        </row>
        <row r="95">
          <cell r="Q95">
            <v>39203</v>
          </cell>
        </row>
        <row r="96">
          <cell r="Q96">
            <v>39240</v>
          </cell>
        </row>
        <row r="97">
          <cell r="Q97">
            <v>39332</v>
          </cell>
        </row>
        <row r="98">
          <cell r="Q98">
            <v>39367</v>
          </cell>
        </row>
        <row r="99">
          <cell r="Q99">
            <v>39388</v>
          </cell>
        </row>
        <row r="100">
          <cell r="Q100">
            <v>39401</v>
          </cell>
        </row>
        <row r="101">
          <cell r="Q101">
            <v>39441</v>
          </cell>
        </row>
        <row r="102">
          <cell r="Q102">
            <v>39448</v>
          </cell>
        </row>
        <row r="103">
          <cell r="Q103">
            <v>39482</v>
          </cell>
        </row>
        <row r="104">
          <cell r="Q104">
            <v>39483</v>
          </cell>
        </row>
        <row r="105">
          <cell r="Q105">
            <v>39528</v>
          </cell>
        </row>
        <row r="106">
          <cell r="Q106">
            <v>39559</v>
          </cell>
        </row>
        <row r="107">
          <cell r="Q107">
            <v>39569</v>
          </cell>
        </row>
        <row r="108">
          <cell r="Q108">
            <v>39590</v>
          </cell>
        </row>
        <row r="109">
          <cell r="Q109">
            <v>39698</v>
          </cell>
        </row>
        <row r="110">
          <cell r="Q110">
            <v>39733</v>
          </cell>
        </row>
        <row r="111">
          <cell r="Q111">
            <v>39754</v>
          </cell>
        </row>
        <row r="112">
          <cell r="Q112">
            <v>39767</v>
          </cell>
        </row>
        <row r="113">
          <cell r="Q113">
            <v>39807</v>
          </cell>
        </row>
        <row r="114">
          <cell r="Q114">
            <v>39814</v>
          </cell>
        </row>
        <row r="115">
          <cell r="Q115">
            <v>39867</v>
          </cell>
        </row>
        <row r="116">
          <cell r="Q116">
            <v>39868</v>
          </cell>
        </row>
        <row r="117">
          <cell r="Q117">
            <v>39913</v>
          </cell>
        </row>
        <row r="118">
          <cell r="Q118">
            <v>39924</v>
          </cell>
        </row>
        <row r="119">
          <cell r="Q119">
            <v>39934</v>
          </cell>
        </row>
        <row r="120">
          <cell r="Q120">
            <v>39975</v>
          </cell>
        </row>
        <row r="121">
          <cell r="Q121">
            <v>40063</v>
          </cell>
        </row>
        <row r="122">
          <cell r="Q122">
            <v>40098</v>
          </cell>
        </row>
        <row r="123">
          <cell r="Q123">
            <v>40119</v>
          </cell>
        </row>
        <row r="124">
          <cell r="Q124">
            <v>40132</v>
          </cell>
        </row>
        <row r="125">
          <cell r="Q125">
            <v>40172</v>
          </cell>
        </row>
        <row r="126">
          <cell r="Q126">
            <v>40179</v>
          </cell>
        </row>
        <row r="127">
          <cell r="Q127">
            <v>40224</v>
          </cell>
        </row>
        <row r="128">
          <cell r="Q128">
            <v>40225</v>
          </cell>
        </row>
        <row r="129">
          <cell r="Q129">
            <v>40270</v>
          </cell>
        </row>
        <row r="130">
          <cell r="Q130">
            <v>40289</v>
          </cell>
        </row>
        <row r="131">
          <cell r="Q131">
            <v>40299</v>
          </cell>
        </row>
        <row r="132">
          <cell r="Q132">
            <v>40332</v>
          </cell>
        </row>
        <row r="133">
          <cell r="Q133">
            <v>40428</v>
          </cell>
        </row>
        <row r="134">
          <cell r="Q134">
            <v>40463</v>
          </cell>
        </row>
        <row r="135">
          <cell r="Q135">
            <v>40484</v>
          </cell>
        </row>
        <row r="136">
          <cell r="Q136">
            <v>40497</v>
          </cell>
        </row>
        <row r="137">
          <cell r="Q137">
            <v>40537</v>
          </cell>
        </row>
        <row r="138">
          <cell r="Q138">
            <v>40544</v>
          </cell>
        </row>
        <row r="139">
          <cell r="Q139">
            <v>40609</v>
          </cell>
        </row>
        <row r="140">
          <cell r="Q140">
            <v>40610</v>
          </cell>
        </row>
        <row r="141">
          <cell r="Q141">
            <v>40654</v>
          </cell>
        </row>
        <row r="142">
          <cell r="Q142">
            <v>40655</v>
          </cell>
        </row>
        <row r="143">
          <cell r="Q143">
            <v>40664</v>
          </cell>
        </row>
        <row r="144">
          <cell r="Q144">
            <v>40717</v>
          </cell>
        </row>
        <row r="145">
          <cell r="Q145">
            <v>40793</v>
          </cell>
        </row>
        <row r="146">
          <cell r="Q146">
            <v>40828</v>
          </cell>
        </row>
        <row r="147">
          <cell r="Q147">
            <v>40849</v>
          </cell>
        </row>
        <row r="148">
          <cell r="Q148">
            <v>40862</v>
          </cell>
        </row>
        <row r="149">
          <cell r="Q149">
            <v>40902</v>
          </cell>
        </row>
        <row r="150">
          <cell r="Q150">
            <v>40909</v>
          </cell>
        </row>
        <row r="151">
          <cell r="Q151">
            <v>40959</v>
          </cell>
        </row>
        <row r="152">
          <cell r="Q152">
            <v>40960</v>
          </cell>
        </row>
        <row r="153">
          <cell r="Q153">
            <v>41005</v>
          </cell>
        </row>
        <row r="154">
          <cell r="Q154">
            <v>41020</v>
          </cell>
        </row>
        <row r="155">
          <cell r="Q155">
            <v>41030</v>
          </cell>
        </row>
        <row r="156">
          <cell r="Q156">
            <v>41067</v>
          </cell>
        </row>
        <row r="157">
          <cell r="Q157">
            <v>41159</v>
          </cell>
        </row>
        <row r="158">
          <cell r="Q158">
            <v>41194</v>
          </cell>
        </row>
        <row r="159">
          <cell r="Q159">
            <v>41215</v>
          </cell>
        </row>
        <row r="160">
          <cell r="Q160">
            <v>41228</v>
          </cell>
        </row>
        <row r="161">
          <cell r="Q161">
            <v>41268</v>
          </cell>
        </row>
        <row r="162">
          <cell r="Q162">
            <v>41275</v>
          </cell>
        </row>
        <row r="163">
          <cell r="Q163">
            <v>41316</v>
          </cell>
        </row>
        <row r="164">
          <cell r="Q164">
            <v>41317</v>
          </cell>
        </row>
        <row r="165">
          <cell r="Q165">
            <v>41362</v>
          </cell>
        </row>
        <row r="166">
          <cell r="Q166">
            <v>41385</v>
          </cell>
        </row>
        <row r="167">
          <cell r="Q167">
            <v>41395</v>
          </cell>
        </row>
        <row r="168">
          <cell r="Q168">
            <v>41424</v>
          </cell>
        </row>
        <row r="169">
          <cell r="Q169">
            <v>41524</v>
          </cell>
        </row>
        <row r="170">
          <cell r="Q170">
            <v>41559</v>
          </cell>
        </row>
        <row r="171">
          <cell r="Q171">
            <v>41580</v>
          </cell>
        </row>
        <row r="172">
          <cell r="Q172">
            <v>41593</v>
          </cell>
        </row>
        <row r="173">
          <cell r="Q173">
            <v>41633</v>
          </cell>
        </row>
        <row r="174">
          <cell r="Q174">
            <v>41640</v>
          </cell>
        </row>
        <row r="175">
          <cell r="Q175">
            <v>41701</v>
          </cell>
        </row>
        <row r="176">
          <cell r="Q176">
            <v>41702</v>
          </cell>
        </row>
        <row r="177">
          <cell r="Q177">
            <v>41747</v>
          </cell>
        </row>
        <row r="178">
          <cell r="Q178">
            <v>41750</v>
          </cell>
        </row>
        <row r="179">
          <cell r="Q179">
            <v>41760</v>
          </cell>
        </row>
        <row r="180">
          <cell r="Q180">
            <v>41809</v>
          </cell>
        </row>
        <row r="181">
          <cell r="Q181">
            <v>41889</v>
          </cell>
        </row>
        <row r="182">
          <cell r="Q182">
            <v>41924</v>
          </cell>
        </row>
        <row r="183">
          <cell r="Q183">
            <v>41945</v>
          </cell>
        </row>
        <row r="184">
          <cell r="Q184">
            <v>41958</v>
          </cell>
        </row>
        <row r="185">
          <cell r="Q185">
            <v>41998</v>
          </cell>
        </row>
        <row r="186">
          <cell r="Q186">
            <v>42005</v>
          </cell>
        </row>
        <row r="187">
          <cell r="Q187">
            <v>42051</v>
          </cell>
        </row>
        <row r="188">
          <cell r="Q188">
            <v>42052</v>
          </cell>
        </row>
        <row r="189">
          <cell r="Q189">
            <v>42097</v>
          </cell>
        </row>
        <row r="190">
          <cell r="Q190">
            <v>42115</v>
          </cell>
        </row>
        <row r="191">
          <cell r="Q191">
            <v>42125</v>
          </cell>
        </row>
        <row r="192">
          <cell r="Q192">
            <v>42159</v>
          </cell>
        </row>
        <row r="193">
          <cell r="Q193">
            <v>42254</v>
          </cell>
        </row>
        <row r="194">
          <cell r="Q194">
            <v>42289</v>
          </cell>
        </row>
        <row r="195">
          <cell r="Q195">
            <v>42310</v>
          </cell>
        </row>
        <row r="196">
          <cell r="Q196">
            <v>42323</v>
          </cell>
        </row>
        <row r="197">
          <cell r="Q197">
            <v>42363</v>
          </cell>
        </row>
        <row r="198">
          <cell r="Q198">
            <v>42370</v>
          </cell>
        </row>
        <row r="199">
          <cell r="Q199">
            <v>42408</v>
          </cell>
        </row>
        <row r="200">
          <cell r="Q200">
            <v>42409</v>
          </cell>
        </row>
        <row r="201">
          <cell r="Q201">
            <v>42454</v>
          </cell>
        </row>
        <row r="202">
          <cell r="Q202">
            <v>42481</v>
          </cell>
        </row>
        <row r="203">
          <cell r="Q203">
            <v>42491</v>
          </cell>
        </row>
        <row r="204">
          <cell r="Q204">
            <v>42516</v>
          </cell>
        </row>
        <row r="205">
          <cell r="Q205">
            <v>42620</v>
          </cell>
        </row>
        <row r="206">
          <cell r="Q206">
            <v>42655</v>
          </cell>
        </row>
        <row r="207">
          <cell r="Q207">
            <v>42676</v>
          </cell>
        </row>
        <row r="208">
          <cell r="Q208">
            <v>42689</v>
          </cell>
        </row>
        <row r="209">
          <cell r="Q209">
            <v>42729</v>
          </cell>
        </row>
        <row r="210">
          <cell r="Q210">
            <v>42736</v>
          </cell>
        </row>
        <row r="211">
          <cell r="Q211">
            <v>42793</v>
          </cell>
        </row>
        <row r="212">
          <cell r="Q212">
            <v>42794</v>
          </cell>
        </row>
        <row r="213">
          <cell r="Q213">
            <v>42839</v>
          </cell>
        </row>
        <row r="214">
          <cell r="Q214">
            <v>42846</v>
          </cell>
        </row>
        <row r="215">
          <cell r="Q215">
            <v>42856</v>
          </cell>
        </row>
        <row r="216">
          <cell r="Q216">
            <v>42901</v>
          </cell>
        </row>
        <row r="217">
          <cell r="Q217">
            <v>42985</v>
          </cell>
        </row>
        <row r="218">
          <cell r="Q218">
            <v>43020</v>
          </cell>
        </row>
        <row r="219">
          <cell r="Q219">
            <v>43041</v>
          </cell>
        </row>
        <row r="220">
          <cell r="Q220">
            <v>43054</v>
          </cell>
        </row>
        <row r="221">
          <cell r="Q221">
            <v>43094</v>
          </cell>
        </row>
        <row r="222">
          <cell r="Q222">
            <v>43101</v>
          </cell>
        </row>
        <row r="223">
          <cell r="Q223">
            <v>43143</v>
          </cell>
        </row>
        <row r="224">
          <cell r="Q224">
            <v>43144</v>
          </cell>
        </row>
        <row r="225">
          <cell r="Q225">
            <v>43189</v>
          </cell>
        </row>
        <row r="226">
          <cell r="Q226">
            <v>43211</v>
          </cell>
        </row>
        <row r="227">
          <cell r="Q227">
            <v>43221</v>
          </cell>
        </row>
        <row r="228">
          <cell r="Q228">
            <v>43251</v>
          </cell>
        </row>
        <row r="229">
          <cell r="Q229">
            <v>43350</v>
          </cell>
        </row>
        <row r="230">
          <cell r="Q230">
            <v>43385</v>
          </cell>
        </row>
        <row r="231">
          <cell r="Q231">
            <v>43406</v>
          </cell>
        </row>
        <row r="232">
          <cell r="Q232">
            <v>43419</v>
          </cell>
        </row>
        <row r="233">
          <cell r="Q233">
            <v>43459</v>
          </cell>
        </row>
        <row r="234">
          <cell r="Q234">
            <v>43466</v>
          </cell>
        </row>
        <row r="235">
          <cell r="Q235">
            <v>43528</v>
          </cell>
        </row>
        <row r="236">
          <cell r="Q236">
            <v>43529</v>
          </cell>
        </row>
        <row r="237">
          <cell r="Q237">
            <v>43574</v>
          </cell>
        </row>
        <row r="238">
          <cell r="Q238">
            <v>43576</v>
          </cell>
        </row>
        <row r="239">
          <cell r="Q239">
            <v>43586</v>
          </cell>
        </row>
        <row r="240">
          <cell r="Q240">
            <v>43636</v>
          </cell>
        </row>
        <row r="241">
          <cell r="Q241">
            <v>43715</v>
          </cell>
        </row>
        <row r="242">
          <cell r="Q242">
            <v>43750</v>
          </cell>
        </row>
        <row r="243">
          <cell r="Q243">
            <v>43771</v>
          </cell>
        </row>
        <row r="244">
          <cell r="Q244">
            <v>43784</v>
          </cell>
        </row>
        <row r="245">
          <cell r="Q245">
            <v>43824</v>
          </cell>
        </row>
        <row r="246">
          <cell r="Q246">
            <v>43831</v>
          </cell>
        </row>
        <row r="247">
          <cell r="Q247">
            <v>43885</v>
          </cell>
        </row>
        <row r="248">
          <cell r="Q248">
            <v>43886</v>
          </cell>
        </row>
        <row r="249">
          <cell r="Q249">
            <v>43931</v>
          </cell>
        </row>
        <row r="250">
          <cell r="Q250">
            <v>43942</v>
          </cell>
        </row>
        <row r="251">
          <cell r="Q251">
            <v>43952</v>
          </cell>
        </row>
        <row r="252">
          <cell r="Q252">
            <v>43993</v>
          </cell>
        </row>
        <row r="253">
          <cell r="Q253">
            <v>44081</v>
          </cell>
        </row>
        <row r="254">
          <cell r="Q254">
            <v>44116</v>
          </cell>
        </row>
        <row r="255">
          <cell r="Q255">
            <v>44137</v>
          </cell>
        </row>
        <row r="256">
          <cell r="Q256">
            <v>44150</v>
          </cell>
        </row>
        <row r="257">
          <cell r="Q257">
            <v>44190</v>
          </cell>
        </row>
        <row r="258">
          <cell r="Q258">
            <v>44197</v>
          </cell>
        </row>
        <row r="259">
          <cell r="Q259">
            <v>44242</v>
          </cell>
        </row>
        <row r="260">
          <cell r="Q260">
            <v>44243</v>
          </cell>
        </row>
        <row r="261">
          <cell r="Q261">
            <v>44288</v>
          </cell>
        </row>
        <row r="262">
          <cell r="Q262">
            <v>44307</v>
          </cell>
        </row>
        <row r="263">
          <cell r="Q263">
            <v>44317</v>
          </cell>
        </row>
        <row r="264">
          <cell r="Q264">
            <v>44350</v>
          </cell>
        </row>
        <row r="265">
          <cell r="Q265">
            <v>44446</v>
          </cell>
        </row>
        <row r="266">
          <cell r="Q266">
            <v>44481</v>
          </cell>
        </row>
        <row r="267">
          <cell r="Q267">
            <v>44502</v>
          </cell>
        </row>
        <row r="268">
          <cell r="Q268">
            <v>44515</v>
          </cell>
        </row>
        <row r="269">
          <cell r="Q269">
            <v>44555</v>
          </cell>
        </row>
        <row r="270">
          <cell r="Q270">
            <v>44562</v>
          </cell>
        </row>
        <row r="271">
          <cell r="Q271">
            <v>44620</v>
          </cell>
        </row>
        <row r="272">
          <cell r="Q272">
            <v>44621</v>
          </cell>
        </row>
        <row r="273">
          <cell r="Q273">
            <v>44666</v>
          </cell>
        </row>
        <row r="274">
          <cell r="Q274">
            <v>44672</v>
          </cell>
        </row>
        <row r="275">
          <cell r="Q275">
            <v>44682</v>
          </cell>
        </row>
        <row r="276">
          <cell r="Q276">
            <v>44728</v>
          </cell>
        </row>
        <row r="277">
          <cell r="Q277">
            <v>44811</v>
          </cell>
        </row>
        <row r="278">
          <cell r="Q278">
            <v>44846</v>
          </cell>
        </row>
        <row r="279">
          <cell r="Q279">
            <v>44867</v>
          </cell>
        </row>
        <row r="280">
          <cell r="Q280">
            <v>44880</v>
          </cell>
        </row>
        <row r="281">
          <cell r="Q281">
            <v>44920</v>
          </cell>
        </row>
        <row r="282">
          <cell r="Q282">
            <v>44927</v>
          </cell>
        </row>
        <row r="283">
          <cell r="Q283">
            <v>44977</v>
          </cell>
        </row>
        <row r="284">
          <cell r="Q284">
            <v>44978</v>
          </cell>
        </row>
        <row r="285">
          <cell r="Q285">
            <v>45023</v>
          </cell>
        </row>
        <row r="286">
          <cell r="Q286">
            <v>45037</v>
          </cell>
        </row>
        <row r="287">
          <cell r="Q287">
            <v>45047</v>
          </cell>
        </row>
        <row r="288">
          <cell r="Q288">
            <v>45085</v>
          </cell>
        </row>
        <row r="289">
          <cell r="Q289">
            <v>45176</v>
          </cell>
        </row>
        <row r="290">
          <cell r="Q290">
            <v>45211</v>
          </cell>
        </row>
        <row r="291">
          <cell r="Q291">
            <v>45232</v>
          </cell>
        </row>
        <row r="292">
          <cell r="Q292">
            <v>45245</v>
          </cell>
        </row>
        <row r="293">
          <cell r="Q293">
            <v>45285</v>
          </cell>
        </row>
        <row r="294">
          <cell r="Q294">
            <v>45292</v>
          </cell>
        </row>
        <row r="295">
          <cell r="Q295">
            <v>45334</v>
          </cell>
        </row>
        <row r="296">
          <cell r="Q296">
            <v>45335</v>
          </cell>
        </row>
        <row r="297">
          <cell r="Q297">
            <v>45380</v>
          </cell>
        </row>
        <row r="298">
          <cell r="Q298">
            <v>45403</v>
          </cell>
        </row>
        <row r="299">
          <cell r="Q299">
            <v>45413</v>
          </cell>
        </row>
        <row r="300">
          <cell r="Q300">
            <v>45442</v>
          </cell>
        </row>
        <row r="301">
          <cell r="Q301">
            <v>45542</v>
          </cell>
        </row>
        <row r="302">
          <cell r="Q302">
            <v>45577</v>
          </cell>
        </row>
        <row r="303">
          <cell r="Q303">
            <v>45598</v>
          </cell>
        </row>
        <row r="304">
          <cell r="Q304">
            <v>45611</v>
          </cell>
        </row>
        <row r="305">
          <cell r="Q305">
            <v>45651</v>
          </cell>
        </row>
        <row r="306">
          <cell r="Q306">
            <v>45658</v>
          </cell>
        </row>
        <row r="307">
          <cell r="Q307">
            <v>45719</v>
          </cell>
        </row>
        <row r="308">
          <cell r="Q308">
            <v>45720</v>
          </cell>
        </row>
        <row r="309">
          <cell r="Q309">
            <v>45765</v>
          </cell>
        </row>
        <row r="310">
          <cell r="Q310">
            <v>45768</v>
          </cell>
        </row>
        <row r="311">
          <cell r="Q311">
            <v>45778</v>
          </cell>
        </row>
        <row r="312">
          <cell r="Q312">
            <v>45827</v>
          </cell>
        </row>
        <row r="313">
          <cell r="Q313">
            <v>45907</v>
          </cell>
        </row>
        <row r="314">
          <cell r="Q314">
            <v>45942</v>
          </cell>
        </row>
        <row r="315">
          <cell r="Q315">
            <v>45963</v>
          </cell>
        </row>
        <row r="316">
          <cell r="Q316">
            <v>45976</v>
          </cell>
        </row>
        <row r="317">
          <cell r="Q317">
            <v>46016</v>
          </cell>
        </row>
        <row r="318">
          <cell r="Q318">
            <v>46023</v>
          </cell>
        </row>
        <row r="319">
          <cell r="Q319">
            <v>46069</v>
          </cell>
        </row>
        <row r="320">
          <cell r="Q320">
            <v>46070</v>
          </cell>
        </row>
        <row r="321">
          <cell r="Q321">
            <v>46115</v>
          </cell>
        </row>
        <row r="322">
          <cell r="Q322">
            <v>46133</v>
          </cell>
        </row>
        <row r="323">
          <cell r="Q323">
            <v>46143</v>
          </cell>
        </row>
        <row r="324">
          <cell r="Q324">
            <v>46177</v>
          </cell>
        </row>
        <row r="325">
          <cell r="Q325">
            <v>46272</v>
          </cell>
        </row>
        <row r="326">
          <cell r="Q326">
            <v>46307</v>
          </cell>
        </row>
        <row r="327">
          <cell r="Q327">
            <v>46328</v>
          </cell>
        </row>
        <row r="328">
          <cell r="Q328">
            <v>46341</v>
          </cell>
        </row>
        <row r="329">
          <cell r="Q329">
            <v>46381</v>
          </cell>
        </row>
        <row r="330">
          <cell r="Q330">
            <v>46388</v>
          </cell>
        </row>
        <row r="331">
          <cell r="Q331">
            <v>46426</v>
          </cell>
        </row>
        <row r="332">
          <cell r="Q332">
            <v>46427</v>
          </cell>
        </row>
        <row r="333">
          <cell r="Q333">
            <v>46472</v>
          </cell>
        </row>
        <row r="334">
          <cell r="Q334">
            <v>46498</v>
          </cell>
        </row>
        <row r="335">
          <cell r="Q335">
            <v>46508</v>
          </cell>
        </row>
        <row r="336">
          <cell r="Q336">
            <v>46534</v>
          </cell>
        </row>
        <row r="337">
          <cell r="Q337">
            <v>46637</v>
          </cell>
        </row>
        <row r="338">
          <cell r="Q338">
            <v>46672</v>
          </cell>
        </row>
        <row r="339">
          <cell r="Q339">
            <v>46693</v>
          </cell>
        </row>
        <row r="340">
          <cell r="Q340">
            <v>46706</v>
          </cell>
        </row>
        <row r="341">
          <cell r="Q341">
            <v>46746</v>
          </cell>
        </row>
        <row r="342">
          <cell r="Q342">
            <v>46753</v>
          </cell>
        </row>
        <row r="343">
          <cell r="Q343">
            <v>46811</v>
          </cell>
        </row>
        <row r="344">
          <cell r="Q344">
            <v>46812</v>
          </cell>
        </row>
        <row r="345">
          <cell r="Q345">
            <v>46857</v>
          </cell>
        </row>
        <row r="346">
          <cell r="Q346">
            <v>46864</v>
          </cell>
        </row>
        <row r="347">
          <cell r="Q347">
            <v>46874</v>
          </cell>
        </row>
        <row r="348">
          <cell r="Q348">
            <v>46919</v>
          </cell>
        </row>
        <row r="349">
          <cell r="Q349">
            <v>47003</v>
          </cell>
        </row>
        <row r="350">
          <cell r="Q350">
            <v>47038</v>
          </cell>
        </row>
        <row r="351">
          <cell r="Q351">
            <v>47059</v>
          </cell>
        </row>
        <row r="352">
          <cell r="Q352">
            <v>47072</v>
          </cell>
        </row>
        <row r="353">
          <cell r="Q353">
            <v>47112</v>
          </cell>
        </row>
        <row r="354">
          <cell r="Q354">
            <v>47119</v>
          </cell>
        </row>
        <row r="355">
          <cell r="Q355">
            <v>47161</v>
          </cell>
        </row>
        <row r="356">
          <cell r="Q356">
            <v>47162</v>
          </cell>
        </row>
        <row r="357">
          <cell r="Q357">
            <v>47207</v>
          </cell>
        </row>
        <row r="358">
          <cell r="Q358">
            <v>47229</v>
          </cell>
        </row>
        <row r="359">
          <cell r="Q359">
            <v>47239</v>
          </cell>
        </row>
        <row r="360">
          <cell r="Q360">
            <v>47269</v>
          </cell>
        </row>
        <row r="361">
          <cell r="Q361">
            <v>47368</v>
          </cell>
        </row>
        <row r="362">
          <cell r="Q362">
            <v>47403</v>
          </cell>
        </row>
        <row r="363">
          <cell r="Q363">
            <v>47424</v>
          </cell>
        </row>
        <row r="364">
          <cell r="Q364">
            <v>47437</v>
          </cell>
        </row>
        <row r="365">
          <cell r="Q365">
            <v>47477</v>
          </cell>
        </row>
        <row r="366">
          <cell r="Q366">
            <v>47484</v>
          </cell>
        </row>
        <row r="367">
          <cell r="Q367">
            <v>47546</v>
          </cell>
        </row>
        <row r="368">
          <cell r="Q368">
            <v>47547</v>
          </cell>
        </row>
        <row r="369">
          <cell r="Q369">
            <v>47592</v>
          </cell>
        </row>
        <row r="370">
          <cell r="Q370">
            <v>47594</v>
          </cell>
        </row>
        <row r="371">
          <cell r="Q371">
            <v>47604</v>
          </cell>
        </row>
        <row r="372">
          <cell r="Q372">
            <v>47654</v>
          </cell>
        </row>
        <row r="373">
          <cell r="Q373">
            <v>47733</v>
          </cell>
        </row>
        <row r="374">
          <cell r="Q374">
            <v>47768</v>
          </cell>
        </row>
        <row r="375">
          <cell r="Q375">
            <v>47789</v>
          </cell>
        </row>
        <row r="376">
          <cell r="Q376">
            <v>47802</v>
          </cell>
        </row>
        <row r="377">
          <cell r="Q377">
            <v>47842</v>
          </cell>
        </row>
        <row r="378">
          <cell r="Q378">
            <v>47849</v>
          </cell>
        </row>
        <row r="379">
          <cell r="Q379">
            <v>47903</v>
          </cell>
        </row>
        <row r="380">
          <cell r="Q380">
            <v>47904</v>
          </cell>
        </row>
        <row r="381">
          <cell r="Q381">
            <v>47949</v>
          </cell>
        </row>
        <row r="382">
          <cell r="Q382">
            <v>47959</v>
          </cell>
        </row>
        <row r="383">
          <cell r="Q383">
            <v>47969</v>
          </cell>
        </row>
        <row r="384">
          <cell r="Q384">
            <v>48011</v>
          </cell>
        </row>
        <row r="385">
          <cell r="Q385">
            <v>48098</v>
          </cell>
        </row>
        <row r="386">
          <cell r="Q386">
            <v>48133</v>
          </cell>
        </row>
        <row r="387">
          <cell r="Q387">
            <v>48154</v>
          </cell>
        </row>
        <row r="388">
          <cell r="Q388">
            <v>48167</v>
          </cell>
        </row>
        <row r="389">
          <cell r="Q389">
            <v>48207</v>
          </cell>
        </row>
        <row r="390">
          <cell r="Q390">
            <v>48214</v>
          </cell>
        </row>
        <row r="391">
          <cell r="Q391">
            <v>48253</v>
          </cell>
        </row>
        <row r="392">
          <cell r="Q392">
            <v>48254</v>
          </cell>
        </row>
        <row r="393">
          <cell r="Q393">
            <v>48299</v>
          </cell>
        </row>
        <row r="394">
          <cell r="Q394">
            <v>48325</v>
          </cell>
        </row>
        <row r="395">
          <cell r="Q395">
            <v>48335</v>
          </cell>
        </row>
        <row r="396">
          <cell r="Q396">
            <v>48361</v>
          </cell>
        </row>
        <row r="397">
          <cell r="Q397">
            <v>48464</v>
          </cell>
        </row>
        <row r="398">
          <cell r="Q398">
            <v>48499</v>
          </cell>
        </row>
        <row r="399">
          <cell r="Q399">
            <v>48520</v>
          </cell>
        </row>
        <row r="400">
          <cell r="Q400">
            <v>48533</v>
          </cell>
        </row>
        <row r="401">
          <cell r="Q401">
            <v>48573</v>
          </cell>
        </row>
      </sheetData>
      <sheetData sheetId="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FT"/>
      <sheetName val="LTN"/>
      <sheetName val="NTN-D"/>
      <sheetName val="NTN-C"/>
      <sheetName val="NTN-B"/>
    </sheetNames>
    <sheetDataSet>
      <sheetData sheetId="0"/>
      <sheetData sheetId="1"/>
      <sheetData sheetId="2"/>
      <sheetData sheetId="3">
        <row r="18">
          <cell r="Q18">
            <v>36892</v>
          </cell>
        </row>
        <row r="19">
          <cell r="Q19">
            <v>36948</v>
          </cell>
        </row>
        <row r="20">
          <cell r="Q20">
            <v>36949</v>
          </cell>
        </row>
        <row r="21">
          <cell r="Q21">
            <v>36994</v>
          </cell>
        </row>
        <row r="22">
          <cell r="Q22">
            <v>37002</v>
          </cell>
        </row>
        <row r="23">
          <cell r="Q23">
            <v>37012</v>
          </cell>
        </row>
        <row r="24">
          <cell r="Q24">
            <v>37056</v>
          </cell>
        </row>
        <row r="25">
          <cell r="Q25">
            <v>37141</v>
          </cell>
        </row>
        <row r="26">
          <cell r="Q26">
            <v>37176</v>
          </cell>
        </row>
        <row r="27">
          <cell r="Q27">
            <v>37197</v>
          </cell>
        </row>
        <row r="28">
          <cell r="Q28">
            <v>37210</v>
          </cell>
        </row>
        <row r="29">
          <cell r="Q29">
            <v>37250</v>
          </cell>
        </row>
        <row r="30">
          <cell r="Q30">
            <v>37257</v>
          </cell>
        </row>
        <row r="31">
          <cell r="Q31">
            <v>37298</v>
          </cell>
        </row>
        <row r="32">
          <cell r="Q32">
            <v>37299</v>
          </cell>
        </row>
        <row r="33">
          <cell r="Q33">
            <v>37344</v>
          </cell>
        </row>
        <row r="34">
          <cell r="Q34">
            <v>37367</v>
          </cell>
        </row>
        <row r="35">
          <cell r="Q35">
            <v>37377</v>
          </cell>
        </row>
        <row r="36">
          <cell r="Q36">
            <v>37406</v>
          </cell>
        </row>
        <row r="37">
          <cell r="Q37">
            <v>37506</v>
          </cell>
        </row>
        <row r="38">
          <cell r="Q38">
            <v>37541</v>
          </cell>
        </row>
        <row r="39">
          <cell r="Q39">
            <v>37562</v>
          </cell>
        </row>
        <row r="40">
          <cell r="Q40">
            <v>37575</v>
          </cell>
        </row>
        <row r="41">
          <cell r="Q41">
            <v>37615</v>
          </cell>
        </row>
        <row r="42">
          <cell r="Q42">
            <v>37622</v>
          </cell>
        </row>
        <row r="43">
          <cell r="Q43">
            <v>37683</v>
          </cell>
        </row>
        <row r="44">
          <cell r="Q44">
            <v>37684</v>
          </cell>
        </row>
        <row r="45">
          <cell r="Q45">
            <v>37729</v>
          </cell>
        </row>
        <row r="46">
          <cell r="Q46">
            <v>37732</v>
          </cell>
        </row>
        <row r="47">
          <cell r="Q47">
            <v>37742</v>
          </cell>
        </row>
        <row r="48">
          <cell r="Q48">
            <v>37791</v>
          </cell>
        </row>
        <row r="49">
          <cell r="Q49">
            <v>37871</v>
          </cell>
        </row>
        <row r="50">
          <cell r="Q50">
            <v>37906</v>
          </cell>
        </row>
        <row r="51">
          <cell r="Q51">
            <v>37927</v>
          </cell>
        </row>
        <row r="52">
          <cell r="Q52">
            <v>37940</v>
          </cell>
        </row>
        <row r="53">
          <cell r="Q53">
            <v>37980</v>
          </cell>
        </row>
        <row r="54">
          <cell r="Q54">
            <v>37987</v>
          </cell>
        </row>
        <row r="55">
          <cell r="Q55">
            <v>38040</v>
          </cell>
        </row>
        <row r="56">
          <cell r="Q56">
            <v>38041</v>
          </cell>
        </row>
        <row r="57">
          <cell r="Q57">
            <v>38086</v>
          </cell>
        </row>
        <row r="58">
          <cell r="Q58">
            <v>38098</v>
          </cell>
        </row>
        <row r="59">
          <cell r="Q59">
            <v>38108</v>
          </cell>
        </row>
        <row r="60">
          <cell r="Q60">
            <v>38148</v>
          </cell>
        </row>
        <row r="61">
          <cell r="Q61">
            <v>38237</v>
          </cell>
        </row>
        <row r="62">
          <cell r="Q62">
            <v>38272</v>
          </cell>
        </row>
        <row r="63">
          <cell r="Q63">
            <v>38293</v>
          </cell>
        </row>
        <row r="64">
          <cell r="Q64">
            <v>38306</v>
          </cell>
        </row>
        <row r="65">
          <cell r="Q65">
            <v>38346</v>
          </cell>
        </row>
        <row r="66">
          <cell r="Q66">
            <v>38353</v>
          </cell>
        </row>
        <row r="67">
          <cell r="Q67">
            <v>38390</v>
          </cell>
        </row>
        <row r="68">
          <cell r="Q68">
            <v>38391</v>
          </cell>
        </row>
        <row r="69">
          <cell r="Q69">
            <v>38436</v>
          </cell>
        </row>
        <row r="70">
          <cell r="Q70">
            <v>38463</v>
          </cell>
        </row>
        <row r="71">
          <cell r="Q71">
            <v>38473</v>
          </cell>
        </row>
        <row r="72">
          <cell r="Q72">
            <v>38498</v>
          </cell>
        </row>
        <row r="73">
          <cell r="Q73">
            <v>38602</v>
          </cell>
        </row>
        <row r="74">
          <cell r="Q74">
            <v>38637</v>
          </cell>
        </row>
        <row r="75">
          <cell r="Q75">
            <v>38658</v>
          </cell>
        </row>
        <row r="76">
          <cell r="Q76">
            <v>38671</v>
          </cell>
        </row>
        <row r="77">
          <cell r="Q77">
            <v>38711</v>
          </cell>
        </row>
        <row r="78">
          <cell r="Q78">
            <v>38718</v>
          </cell>
        </row>
        <row r="79">
          <cell r="Q79">
            <v>38775</v>
          </cell>
        </row>
        <row r="80">
          <cell r="Q80">
            <v>38776</v>
          </cell>
        </row>
        <row r="81">
          <cell r="Q81">
            <v>38821</v>
          </cell>
        </row>
        <row r="82">
          <cell r="Q82">
            <v>38828</v>
          </cell>
        </row>
        <row r="83">
          <cell r="Q83">
            <v>38838</v>
          </cell>
        </row>
        <row r="84">
          <cell r="Q84">
            <v>38883</v>
          </cell>
        </row>
        <row r="85">
          <cell r="Q85">
            <v>38967</v>
          </cell>
        </row>
        <row r="86">
          <cell r="Q86">
            <v>39002</v>
          </cell>
        </row>
        <row r="87">
          <cell r="Q87">
            <v>39023</v>
          </cell>
        </row>
        <row r="88">
          <cell r="Q88">
            <v>39036</v>
          </cell>
        </row>
        <row r="89">
          <cell r="Q89">
            <v>39076</v>
          </cell>
        </row>
        <row r="90">
          <cell r="Q90">
            <v>39083</v>
          </cell>
        </row>
        <row r="91">
          <cell r="Q91">
            <v>39132</v>
          </cell>
        </row>
        <row r="92">
          <cell r="Q92">
            <v>39133</v>
          </cell>
        </row>
        <row r="93">
          <cell r="Q93">
            <v>39178</v>
          </cell>
        </row>
        <row r="94">
          <cell r="Q94">
            <v>39193</v>
          </cell>
        </row>
        <row r="95">
          <cell r="Q95">
            <v>39203</v>
          </cell>
        </row>
        <row r="96">
          <cell r="Q96">
            <v>39240</v>
          </cell>
        </row>
        <row r="97">
          <cell r="Q97">
            <v>39332</v>
          </cell>
        </row>
        <row r="98">
          <cell r="Q98">
            <v>39367</v>
          </cell>
        </row>
        <row r="99">
          <cell r="Q99">
            <v>39388</v>
          </cell>
        </row>
        <row r="100">
          <cell r="Q100">
            <v>39401</v>
          </cell>
        </row>
        <row r="101">
          <cell r="Q101">
            <v>39441</v>
          </cell>
        </row>
        <row r="102">
          <cell r="Q102">
            <v>39448</v>
          </cell>
        </row>
        <row r="103">
          <cell r="Q103">
            <v>39482</v>
          </cell>
        </row>
        <row r="104">
          <cell r="Q104">
            <v>39483</v>
          </cell>
        </row>
        <row r="105">
          <cell r="Q105">
            <v>39528</v>
          </cell>
        </row>
        <row r="106">
          <cell r="Q106">
            <v>39559</v>
          </cell>
        </row>
        <row r="107">
          <cell r="Q107">
            <v>39569</v>
          </cell>
        </row>
        <row r="108">
          <cell r="Q108">
            <v>39590</v>
          </cell>
        </row>
        <row r="109">
          <cell r="Q109">
            <v>39698</v>
          </cell>
        </row>
        <row r="110">
          <cell r="Q110">
            <v>39733</v>
          </cell>
        </row>
        <row r="111">
          <cell r="Q111">
            <v>39754</v>
          </cell>
        </row>
        <row r="112">
          <cell r="Q112">
            <v>39767</v>
          </cell>
        </row>
        <row r="113">
          <cell r="Q113">
            <v>39807</v>
          </cell>
        </row>
        <row r="114">
          <cell r="Q114">
            <v>39814</v>
          </cell>
        </row>
        <row r="115">
          <cell r="Q115">
            <v>39867</v>
          </cell>
        </row>
        <row r="116">
          <cell r="Q116">
            <v>39868</v>
          </cell>
        </row>
        <row r="117">
          <cell r="Q117">
            <v>39913</v>
          </cell>
        </row>
        <row r="118">
          <cell r="Q118">
            <v>39924</v>
          </cell>
        </row>
        <row r="119">
          <cell r="Q119">
            <v>39934</v>
          </cell>
        </row>
        <row r="120">
          <cell r="Q120">
            <v>39975</v>
          </cell>
        </row>
        <row r="121">
          <cell r="Q121">
            <v>40063</v>
          </cell>
        </row>
        <row r="122">
          <cell r="Q122">
            <v>40098</v>
          </cell>
        </row>
        <row r="123">
          <cell r="Q123">
            <v>40119</v>
          </cell>
        </row>
        <row r="124">
          <cell r="Q124">
            <v>40132</v>
          </cell>
        </row>
        <row r="125">
          <cell r="Q125">
            <v>40172</v>
          </cell>
        </row>
        <row r="126">
          <cell r="Q126">
            <v>40179</v>
          </cell>
        </row>
        <row r="127">
          <cell r="Q127">
            <v>40224</v>
          </cell>
        </row>
        <row r="128">
          <cell r="Q128">
            <v>40225</v>
          </cell>
        </row>
        <row r="129">
          <cell r="Q129">
            <v>40270</v>
          </cell>
        </row>
        <row r="130">
          <cell r="Q130">
            <v>40289</v>
          </cell>
        </row>
        <row r="131">
          <cell r="Q131">
            <v>40299</v>
          </cell>
        </row>
        <row r="132">
          <cell r="Q132">
            <v>40332</v>
          </cell>
        </row>
        <row r="133">
          <cell r="Q133">
            <v>40428</v>
          </cell>
        </row>
        <row r="134">
          <cell r="Q134">
            <v>40463</v>
          </cell>
        </row>
        <row r="135">
          <cell r="Q135">
            <v>40484</v>
          </cell>
        </row>
        <row r="136">
          <cell r="Q136">
            <v>40497</v>
          </cell>
        </row>
        <row r="137">
          <cell r="Q137">
            <v>40537</v>
          </cell>
        </row>
        <row r="138">
          <cell r="Q138">
            <v>40544</v>
          </cell>
        </row>
        <row r="139">
          <cell r="Q139">
            <v>40609</v>
          </cell>
        </row>
        <row r="140">
          <cell r="Q140">
            <v>40610</v>
          </cell>
        </row>
        <row r="141">
          <cell r="Q141">
            <v>40654</v>
          </cell>
        </row>
        <row r="142">
          <cell r="Q142">
            <v>40655</v>
          </cell>
        </row>
        <row r="143">
          <cell r="Q143">
            <v>40664</v>
          </cell>
        </row>
        <row r="144">
          <cell r="Q144">
            <v>40717</v>
          </cell>
        </row>
        <row r="145">
          <cell r="Q145">
            <v>40793</v>
          </cell>
        </row>
        <row r="146">
          <cell r="Q146">
            <v>40828</v>
          </cell>
        </row>
        <row r="147">
          <cell r="Q147">
            <v>40849</v>
          </cell>
        </row>
        <row r="148">
          <cell r="Q148">
            <v>40862</v>
          </cell>
        </row>
        <row r="149">
          <cell r="Q149">
            <v>40902</v>
          </cell>
        </row>
        <row r="150">
          <cell r="Q150">
            <v>40909</v>
          </cell>
        </row>
        <row r="151">
          <cell r="Q151">
            <v>40959</v>
          </cell>
        </row>
        <row r="152">
          <cell r="Q152">
            <v>40960</v>
          </cell>
        </row>
        <row r="153">
          <cell r="Q153">
            <v>41005</v>
          </cell>
        </row>
        <row r="154">
          <cell r="Q154">
            <v>41020</v>
          </cell>
        </row>
        <row r="155">
          <cell r="Q155">
            <v>41030</v>
          </cell>
        </row>
        <row r="156">
          <cell r="Q156">
            <v>41067</v>
          </cell>
        </row>
        <row r="157">
          <cell r="Q157">
            <v>41159</v>
          </cell>
        </row>
        <row r="158">
          <cell r="Q158">
            <v>41194</v>
          </cell>
        </row>
        <row r="159">
          <cell r="Q159">
            <v>41215</v>
          </cell>
        </row>
        <row r="160">
          <cell r="Q160">
            <v>41228</v>
          </cell>
        </row>
        <row r="161">
          <cell r="Q161">
            <v>41268</v>
          </cell>
        </row>
        <row r="162">
          <cell r="Q162">
            <v>41275</v>
          </cell>
        </row>
        <row r="163">
          <cell r="Q163">
            <v>41316</v>
          </cell>
        </row>
        <row r="164">
          <cell r="Q164">
            <v>41317</v>
          </cell>
        </row>
        <row r="165">
          <cell r="Q165">
            <v>41362</v>
          </cell>
        </row>
        <row r="166">
          <cell r="Q166">
            <v>41385</v>
          </cell>
        </row>
        <row r="167">
          <cell r="Q167">
            <v>41395</v>
          </cell>
        </row>
        <row r="168">
          <cell r="Q168">
            <v>41424</v>
          </cell>
        </row>
        <row r="169">
          <cell r="Q169">
            <v>41524</v>
          </cell>
        </row>
        <row r="170">
          <cell r="Q170">
            <v>41559</v>
          </cell>
        </row>
        <row r="171">
          <cell r="Q171">
            <v>41580</v>
          </cell>
        </row>
        <row r="172">
          <cell r="Q172">
            <v>41593</v>
          </cell>
        </row>
        <row r="173">
          <cell r="Q173">
            <v>41633</v>
          </cell>
        </row>
        <row r="174">
          <cell r="Q174">
            <v>41640</v>
          </cell>
        </row>
        <row r="175">
          <cell r="Q175">
            <v>41701</v>
          </cell>
        </row>
        <row r="176">
          <cell r="Q176">
            <v>41702</v>
          </cell>
        </row>
        <row r="177">
          <cell r="Q177">
            <v>41747</v>
          </cell>
        </row>
        <row r="178">
          <cell r="Q178">
            <v>41750</v>
          </cell>
        </row>
        <row r="179">
          <cell r="Q179">
            <v>41760</v>
          </cell>
        </row>
        <row r="180">
          <cell r="Q180">
            <v>41809</v>
          </cell>
        </row>
        <row r="181">
          <cell r="Q181">
            <v>41889</v>
          </cell>
        </row>
        <row r="182">
          <cell r="Q182">
            <v>41924</v>
          </cell>
        </row>
        <row r="183">
          <cell r="Q183">
            <v>41945</v>
          </cell>
        </row>
        <row r="184">
          <cell r="Q184">
            <v>41958</v>
          </cell>
        </row>
        <row r="185">
          <cell r="Q185">
            <v>41998</v>
          </cell>
        </row>
        <row r="186">
          <cell r="Q186">
            <v>42005</v>
          </cell>
        </row>
        <row r="187">
          <cell r="Q187">
            <v>42051</v>
          </cell>
        </row>
        <row r="188">
          <cell r="Q188">
            <v>42052</v>
          </cell>
        </row>
        <row r="189">
          <cell r="Q189">
            <v>42097</v>
          </cell>
        </row>
        <row r="190">
          <cell r="Q190">
            <v>42115</v>
          </cell>
        </row>
        <row r="191">
          <cell r="Q191">
            <v>42125</v>
          </cell>
        </row>
        <row r="192">
          <cell r="Q192">
            <v>42159</v>
          </cell>
        </row>
        <row r="193">
          <cell r="Q193">
            <v>42254</v>
          </cell>
        </row>
        <row r="194">
          <cell r="Q194">
            <v>42289</v>
          </cell>
        </row>
        <row r="195">
          <cell r="Q195">
            <v>42310</v>
          </cell>
        </row>
        <row r="196">
          <cell r="Q196">
            <v>42323</v>
          </cell>
        </row>
        <row r="197">
          <cell r="Q197">
            <v>42363</v>
          </cell>
        </row>
        <row r="198">
          <cell r="Q198">
            <v>42370</v>
          </cell>
        </row>
        <row r="199">
          <cell r="Q199">
            <v>42408</v>
          </cell>
        </row>
        <row r="200">
          <cell r="Q200">
            <v>42409</v>
          </cell>
        </row>
        <row r="201">
          <cell r="Q201">
            <v>42454</v>
          </cell>
        </row>
        <row r="202">
          <cell r="Q202">
            <v>42481</v>
          </cell>
        </row>
        <row r="203">
          <cell r="Q203">
            <v>42491</v>
          </cell>
        </row>
        <row r="204">
          <cell r="Q204">
            <v>42516</v>
          </cell>
        </row>
        <row r="205">
          <cell r="Q205">
            <v>42620</v>
          </cell>
        </row>
        <row r="206">
          <cell r="Q206">
            <v>42655</v>
          </cell>
        </row>
        <row r="207">
          <cell r="Q207">
            <v>42676</v>
          </cell>
        </row>
        <row r="208">
          <cell r="Q208">
            <v>42689</v>
          </cell>
        </row>
        <row r="209">
          <cell r="Q209">
            <v>42729</v>
          </cell>
        </row>
        <row r="210">
          <cell r="Q210">
            <v>42736</v>
          </cell>
        </row>
        <row r="211">
          <cell r="Q211">
            <v>42793</v>
          </cell>
        </row>
        <row r="212">
          <cell r="Q212">
            <v>42794</v>
          </cell>
        </row>
        <row r="213">
          <cell r="Q213">
            <v>42839</v>
          </cell>
        </row>
        <row r="214">
          <cell r="Q214">
            <v>42846</v>
          </cell>
        </row>
        <row r="215">
          <cell r="Q215">
            <v>42856</v>
          </cell>
        </row>
        <row r="216">
          <cell r="Q216">
            <v>42901</v>
          </cell>
        </row>
        <row r="217">
          <cell r="Q217">
            <v>42985</v>
          </cell>
        </row>
        <row r="218">
          <cell r="Q218">
            <v>43020</v>
          </cell>
        </row>
        <row r="219">
          <cell r="Q219">
            <v>43041</v>
          </cell>
        </row>
        <row r="220">
          <cell r="Q220">
            <v>43054</v>
          </cell>
        </row>
        <row r="221">
          <cell r="Q221">
            <v>43094</v>
          </cell>
        </row>
        <row r="222">
          <cell r="Q222">
            <v>43101</v>
          </cell>
        </row>
        <row r="223">
          <cell r="Q223">
            <v>43143</v>
          </cell>
        </row>
        <row r="224">
          <cell r="Q224">
            <v>43144</v>
          </cell>
        </row>
        <row r="225">
          <cell r="Q225">
            <v>43189</v>
          </cell>
        </row>
        <row r="226">
          <cell r="Q226">
            <v>43211</v>
          </cell>
        </row>
        <row r="227">
          <cell r="Q227">
            <v>43221</v>
          </cell>
        </row>
        <row r="228">
          <cell r="Q228">
            <v>43251</v>
          </cell>
        </row>
        <row r="229">
          <cell r="Q229">
            <v>43350</v>
          </cell>
        </row>
        <row r="230">
          <cell r="Q230">
            <v>43385</v>
          </cell>
        </row>
        <row r="231">
          <cell r="Q231">
            <v>43406</v>
          </cell>
        </row>
        <row r="232">
          <cell r="Q232">
            <v>43419</v>
          </cell>
        </row>
        <row r="233">
          <cell r="Q233">
            <v>43459</v>
          </cell>
        </row>
        <row r="234">
          <cell r="Q234">
            <v>43466</v>
          </cell>
        </row>
        <row r="235">
          <cell r="Q235">
            <v>43528</v>
          </cell>
        </row>
        <row r="236">
          <cell r="Q236">
            <v>43529</v>
          </cell>
        </row>
        <row r="237">
          <cell r="Q237">
            <v>43574</v>
          </cell>
        </row>
        <row r="238">
          <cell r="Q238">
            <v>43576</v>
          </cell>
        </row>
        <row r="239">
          <cell r="Q239">
            <v>43586</v>
          </cell>
        </row>
        <row r="240">
          <cell r="Q240">
            <v>43636</v>
          </cell>
        </row>
        <row r="241">
          <cell r="Q241">
            <v>43715</v>
          </cell>
        </row>
        <row r="242">
          <cell r="Q242">
            <v>43750</v>
          </cell>
        </row>
        <row r="243">
          <cell r="Q243">
            <v>43771</v>
          </cell>
        </row>
        <row r="244">
          <cell r="Q244">
            <v>43784</v>
          </cell>
        </row>
        <row r="245">
          <cell r="Q245">
            <v>43824</v>
          </cell>
        </row>
        <row r="246">
          <cell r="Q246">
            <v>43831</v>
          </cell>
        </row>
        <row r="247">
          <cell r="Q247">
            <v>43885</v>
          </cell>
        </row>
        <row r="248">
          <cell r="Q248">
            <v>43886</v>
          </cell>
        </row>
        <row r="249">
          <cell r="Q249">
            <v>43931</v>
          </cell>
        </row>
        <row r="250">
          <cell r="Q250">
            <v>43942</v>
          </cell>
        </row>
        <row r="251">
          <cell r="Q251">
            <v>43952</v>
          </cell>
        </row>
        <row r="252">
          <cell r="Q252">
            <v>43993</v>
          </cell>
        </row>
        <row r="253">
          <cell r="Q253">
            <v>44081</v>
          </cell>
        </row>
        <row r="254">
          <cell r="Q254">
            <v>44116</v>
          </cell>
        </row>
        <row r="255">
          <cell r="Q255">
            <v>44137</v>
          </cell>
        </row>
        <row r="256">
          <cell r="Q256">
            <v>44150</v>
          </cell>
        </row>
        <row r="257">
          <cell r="Q257">
            <v>44190</v>
          </cell>
        </row>
        <row r="258">
          <cell r="Q258">
            <v>44197</v>
          </cell>
        </row>
        <row r="259">
          <cell r="Q259">
            <v>44242</v>
          </cell>
        </row>
        <row r="260">
          <cell r="Q260">
            <v>44243</v>
          </cell>
        </row>
        <row r="261">
          <cell r="Q261">
            <v>44288</v>
          </cell>
        </row>
        <row r="262">
          <cell r="Q262">
            <v>44307</v>
          </cell>
        </row>
        <row r="263">
          <cell r="Q263">
            <v>44317</v>
          </cell>
        </row>
        <row r="264">
          <cell r="Q264">
            <v>44350</v>
          </cell>
        </row>
        <row r="265">
          <cell r="Q265">
            <v>44446</v>
          </cell>
        </row>
        <row r="266">
          <cell r="Q266">
            <v>44481</v>
          </cell>
        </row>
        <row r="267">
          <cell r="Q267">
            <v>44502</v>
          </cell>
        </row>
        <row r="268">
          <cell r="Q268">
            <v>44515</v>
          </cell>
        </row>
        <row r="269">
          <cell r="Q269">
            <v>44555</v>
          </cell>
        </row>
        <row r="270">
          <cell r="Q270">
            <v>44562</v>
          </cell>
        </row>
        <row r="271">
          <cell r="Q271">
            <v>44620</v>
          </cell>
        </row>
        <row r="272">
          <cell r="Q272">
            <v>44621</v>
          </cell>
        </row>
        <row r="273">
          <cell r="Q273">
            <v>44666</v>
          </cell>
        </row>
        <row r="274">
          <cell r="Q274">
            <v>44672</v>
          </cell>
        </row>
        <row r="275">
          <cell r="Q275">
            <v>44682</v>
          </cell>
        </row>
        <row r="276">
          <cell r="Q276">
            <v>44728</v>
          </cell>
        </row>
        <row r="277">
          <cell r="Q277">
            <v>44811</v>
          </cell>
        </row>
        <row r="278">
          <cell r="Q278">
            <v>44846</v>
          </cell>
        </row>
        <row r="279">
          <cell r="Q279">
            <v>44867</v>
          </cell>
        </row>
        <row r="280">
          <cell r="Q280">
            <v>44880</v>
          </cell>
        </row>
        <row r="281">
          <cell r="Q281">
            <v>44920</v>
          </cell>
        </row>
        <row r="282">
          <cell r="Q282">
            <v>44927</v>
          </cell>
        </row>
        <row r="283">
          <cell r="Q283">
            <v>44977</v>
          </cell>
        </row>
        <row r="284">
          <cell r="Q284">
            <v>44978</v>
          </cell>
        </row>
        <row r="285">
          <cell r="Q285">
            <v>45023</v>
          </cell>
        </row>
        <row r="286">
          <cell r="Q286">
            <v>45037</v>
          </cell>
        </row>
        <row r="287">
          <cell r="Q287">
            <v>45047</v>
          </cell>
        </row>
        <row r="288">
          <cell r="Q288">
            <v>45085</v>
          </cell>
        </row>
        <row r="289">
          <cell r="Q289">
            <v>45176</v>
          </cell>
        </row>
        <row r="290">
          <cell r="Q290">
            <v>45211</v>
          </cell>
        </row>
        <row r="291">
          <cell r="Q291">
            <v>45232</v>
          </cell>
        </row>
        <row r="292">
          <cell r="Q292">
            <v>45245</v>
          </cell>
        </row>
        <row r="293">
          <cell r="Q293">
            <v>45285</v>
          </cell>
        </row>
        <row r="294">
          <cell r="Q294">
            <v>45292</v>
          </cell>
        </row>
        <row r="295">
          <cell r="Q295">
            <v>45334</v>
          </cell>
        </row>
        <row r="296">
          <cell r="Q296">
            <v>45335</v>
          </cell>
        </row>
        <row r="297">
          <cell r="Q297">
            <v>45380</v>
          </cell>
        </row>
        <row r="298">
          <cell r="Q298">
            <v>45403</v>
          </cell>
        </row>
        <row r="299">
          <cell r="Q299">
            <v>45413</v>
          </cell>
        </row>
        <row r="300">
          <cell r="Q300">
            <v>45442</v>
          </cell>
        </row>
        <row r="301">
          <cell r="Q301">
            <v>45542</v>
          </cell>
        </row>
        <row r="302">
          <cell r="Q302">
            <v>45577</v>
          </cell>
        </row>
        <row r="303">
          <cell r="Q303">
            <v>45598</v>
          </cell>
        </row>
        <row r="304">
          <cell r="Q304">
            <v>45611</v>
          </cell>
        </row>
        <row r="305">
          <cell r="Q305">
            <v>45651</v>
          </cell>
        </row>
        <row r="306">
          <cell r="Q306">
            <v>45658</v>
          </cell>
        </row>
        <row r="307">
          <cell r="Q307">
            <v>45719</v>
          </cell>
        </row>
        <row r="308">
          <cell r="Q308">
            <v>45720</v>
          </cell>
        </row>
        <row r="309">
          <cell r="Q309">
            <v>45765</v>
          </cell>
        </row>
        <row r="310">
          <cell r="Q310">
            <v>45768</v>
          </cell>
        </row>
        <row r="311">
          <cell r="Q311">
            <v>45778</v>
          </cell>
        </row>
        <row r="312">
          <cell r="Q312">
            <v>45827</v>
          </cell>
        </row>
        <row r="313">
          <cell r="Q313">
            <v>45907</v>
          </cell>
        </row>
        <row r="314">
          <cell r="Q314">
            <v>45942</v>
          </cell>
        </row>
        <row r="315">
          <cell r="Q315">
            <v>45963</v>
          </cell>
        </row>
        <row r="316">
          <cell r="Q316">
            <v>45976</v>
          </cell>
        </row>
        <row r="317">
          <cell r="Q317">
            <v>46016</v>
          </cell>
        </row>
        <row r="318">
          <cell r="Q318">
            <v>46023</v>
          </cell>
        </row>
        <row r="319">
          <cell r="Q319">
            <v>46069</v>
          </cell>
        </row>
        <row r="320">
          <cell r="Q320">
            <v>46070</v>
          </cell>
        </row>
        <row r="321">
          <cell r="Q321">
            <v>46115</v>
          </cell>
        </row>
        <row r="322">
          <cell r="Q322">
            <v>46133</v>
          </cell>
        </row>
        <row r="323">
          <cell r="Q323">
            <v>46143</v>
          </cell>
        </row>
        <row r="324">
          <cell r="Q324">
            <v>46177</v>
          </cell>
        </row>
        <row r="325">
          <cell r="Q325">
            <v>46272</v>
          </cell>
        </row>
        <row r="326">
          <cell r="Q326">
            <v>46307</v>
          </cell>
        </row>
        <row r="327">
          <cell r="Q327">
            <v>46328</v>
          </cell>
        </row>
        <row r="328">
          <cell r="Q328">
            <v>46341</v>
          </cell>
        </row>
        <row r="329">
          <cell r="Q329">
            <v>46381</v>
          </cell>
        </row>
        <row r="330">
          <cell r="Q330">
            <v>46388</v>
          </cell>
        </row>
        <row r="331">
          <cell r="Q331">
            <v>46426</v>
          </cell>
        </row>
        <row r="332">
          <cell r="Q332">
            <v>46427</v>
          </cell>
        </row>
        <row r="333">
          <cell r="Q333">
            <v>46472</v>
          </cell>
        </row>
        <row r="334">
          <cell r="Q334">
            <v>46498</v>
          </cell>
        </row>
        <row r="335">
          <cell r="Q335">
            <v>46508</v>
          </cell>
        </row>
        <row r="336">
          <cell r="Q336">
            <v>46534</v>
          </cell>
        </row>
        <row r="337">
          <cell r="Q337">
            <v>46637</v>
          </cell>
        </row>
        <row r="338">
          <cell r="Q338">
            <v>46672</v>
          </cell>
        </row>
        <row r="339">
          <cell r="Q339">
            <v>46693</v>
          </cell>
        </row>
        <row r="340">
          <cell r="Q340">
            <v>46706</v>
          </cell>
        </row>
        <row r="341">
          <cell r="Q341">
            <v>46746</v>
          </cell>
        </row>
        <row r="342">
          <cell r="Q342">
            <v>46753</v>
          </cell>
        </row>
        <row r="343">
          <cell r="Q343">
            <v>46811</v>
          </cell>
        </row>
        <row r="344">
          <cell r="Q344">
            <v>46812</v>
          </cell>
        </row>
        <row r="345">
          <cell r="Q345">
            <v>46857</v>
          </cell>
        </row>
        <row r="346">
          <cell r="Q346">
            <v>46864</v>
          </cell>
        </row>
        <row r="347">
          <cell r="Q347">
            <v>46874</v>
          </cell>
        </row>
        <row r="348">
          <cell r="Q348">
            <v>46919</v>
          </cell>
        </row>
        <row r="349">
          <cell r="Q349">
            <v>47003</v>
          </cell>
        </row>
        <row r="350">
          <cell r="Q350">
            <v>47038</v>
          </cell>
        </row>
        <row r="351">
          <cell r="Q351">
            <v>47059</v>
          </cell>
        </row>
        <row r="352">
          <cell r="Q352">
            <v>47072</v>
          </cell>
        </row>
        <row r="353">
          <cell r="Q353">
            <v>47112</v>
          </cell>
        </row>
        <row r="354">
          <cell r="Q354">
            <v>47119</v>
          </cell>
        </row>
        <row r="355">
          <cell r="Q355">
            <v>47161</v>
          </cell>
        </row>
        <row r="356">
          <cell r="Q356">
            <v>47162</v>
          </cell>
        </row>
        <row r="357">
          <cell r="Q357">
            <v>47207</v>
          </cell>
        </row>
        <row r="358">
          <cell r="Q358">
            <v>47229</v>
          </cell>
        </row>
        <row r="359">
          <cell r="Q359">
            <v>47239</v>
          </cell>
        </row>
        <row r="360">
          <cell r="Q360">
            <v>47269</v>
          </cell>
        </row>
        <row r="361">
          <cell r="Q361">
            <v>47368</v>
          </cell>
        </row>
        <row r="362">
          <cell r="Q362">
            <v>47403</v>
          </cell>
        </row>
        <row r="363">
          <cell r="Q363">
            <v>47424</v>
          </cell>
        </row>
        <row r="364">
          <cell r="Q364">
            <v>47437</v>
          </cell>
        </row>
        <row r="365">
          <cell r="Q365">
            <v>47477</v>
          </cell>
        </row>
        <row r="366">
          <cell r="Q366">
            <v>47484</v>
          </cell>
        </row>
        <row r="367">
          <cell r="Q367">
            <v>47546</v>
          </cell>
        </row>
        <row r="368">
          <cell r="Q368">
            <v>47547</v>
          </cell>
        </row>
        <row r="369">
          <cell r="Q369">
            <v>47592</v>
          </cell>
        </row>
        <row r="370">
          <cell r="Q370">
            <v>47594</v>
          </cell>
        </row>
        <row r="371">
          <cell r="Q371">
            <v>47604</v>
          </cell>
        </row>
        <row r="372">
          <cell r="Q372">
            <v>47654</v>
          </cell>
        </row>
        <row r="373">
          <cell r="Q373">
            <v>47733</v>
          </cell>
        </row>
        <row r="374">
          <cell r="Q374">
            <v>47768</v>
          </cell>
        </row>
        <row r="375">
          <cell r="Q375">
            <v>47789</v>
          </cell>
        </row>
        <row r="376">
          <cell r="Q376">
            <v>47802</v>
          </cell>
        </row>
        <row r="377">
          <cell r="Q377">
            <v>47842</v>
          </cell>
        </row>
        <row r="378">
          <cell r="Q378">
            <v>47849</v>
          </cell>
        </row>
        <row r="379">
          <cell r="Q379">
            <v>47903</v>
          </cell>
        </row>
        <row r="380">
          <cell r="Q380">
            <v>47904</v>
          </cell>
        </row>
        <row r="381">
          <cell r="Q381">
            <v>47949</v>
          </cell>
        </row>
        <row r="382">
          <cell r="Q382">
            <v>47959</v>
          </cell>
        </row>
        <row r="383">
          <cell r="Q383">
            <v>47969</v>
          </cell>
        </row>
        <row r="384">
          <cell r="Q384">
            <v>48011</v>
          </cell>
        </row>
        <row r="385">
          <cell r="Q385">
            <v>48098</v>
          </cell>
        </row>
        <row r="386">
          <cell r="Q386">
            <v>48133</v>
          </cell>
        </row>
        <row r="387">
          <cell r="Q387">
            <v>48154</v>
          </cell>
        </row>
        <row r="388">
          <cell r="Q388">
            <v>48167</v>
          </cell>
        </row>
        <row r="389">
          <cell r="Q389">
            <v>48207</v>
          </cell>
        </row>
        <row r="390">
          <cell r="Q390">
            <v>48214</v>
          </cell>
        </row>
        <row r="391">
          <cell r="Q391">
            <v>48253</v>
          </cell>
        </row>
        <row r="392">
          <cell r="Q392">
            <v>48254</v>
          </cell>
        </row>
        <row r="393">
          <cell r="Q393">
            <v>48299</v>
          </cell>
        </row>
        <row r="394">
          <cell r="Q394">
            <v>48325</v>
          </cell>
        </row>
        <row r="395">
          <cell r="Q395">
            <v>48335</v>
          </cell>
        </row>
        <row r="396">
          <cell r="Q396">
            <v>48361</v>
          </cell>
        </row>
        <row r="397">
          <cell r="Q397">
            <v>48464</v>
          </cell>
        </row>
        <row r="398">
          <cell r="Q398">
            <v>48499</v>
          </cell>
        </row>
        <row r="399">
          <cell r="Q399">
            <v>48520</v>
          </cell>
        </row>
        <row r="400">
          <cell r="Q400">
            <v>48533</v>
          </cell>
        </row>
        <row r="401">
          <cell r="Q401">
            <v>48573</v>
          </cell>
        </row>
      </sheetData>
      <sheetData sheetId="4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Fence OGXP3 Novembro"/>
      <sheetName val="Fence NATU3 Setembro"/>
      <sheetName val="Mod. Fence NATU3 Setembro"/>
      <sheetName val="Condor BBAS3 Outubro"/>
      <sheetName val="Fence CSNA3 Outubro"/>
      <sheetName val="Fence Alta USIM5 Outubro"/>
      <sheetName val="Fence BBDC4 Outubro"/>
      <sheetName val="Fence USIM5 Outubro"/>
      <sheetName val="Fence PETR4 Outubro"/>
      <sheetName val="Fence VALE5 Outubro"/>
      <sheetName val="Financiamento ITUB4 Setembro"/>
      <sheetName val="Call Spread GGBR4 Agosto "/>
      <sheetName val="Butterfly"/>
      <sheetName val="Call Spread"/>
      <sheetName val="Cadastro"/>
      <sheetName val="Pricing"/>
      <sheetName val="Holiday"/>
      <sheetName val="Rates"/>
      <sheetName val="Opt Mkt"/>
      <sheetName val="Condor GGBR4 Outubro"/>
      <sheetName val="Fence BOVA11 Novembro"/>
      <sheetName val="Put+Call Spread ITUB4 Dezembro"/>
      <sheetName val="Fence Alta ITUB4 Dezembro"/>
      <sheetName val="Put+Call Spread BOVA11 Novembro"/>
      <sheetName val="Fence Alta BBDC4 Dezembro"/>
      <sheetName val="Fence BVMF3 Outubro"/>
      <sheetName val="Fence Alta OGXP3 Novembro"/>
      <sheetName val="Fence Alta"/>
      <sheetName val="Fence Baixa"/>
      <sheetName val="Condor"/>
      <sheetName val="Put+Call Spread"/>
      <sheetName val="Financiament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3">
          <cell r="A3">
            <v>39814</v>
          </cell>
          <cell r="B3">
            <v>39814</v>
          </cell>
        </row>
        <row r="4">
          <cell r="A4">
            <v>39867</v>
          </cell>
          <cell r="B4">
            <v>39838</v>
          </cell>
        </row>
        <row r="5">
          <cell r="A5">
            <v>39868</v>
          </cell>
          <cell r="B5">
            <v>39867</v>
          </cell>
        </row>
        <row r="6">
          <cell r="A6">
            <v>39913</v>
          </cell>
          <cell r="B6">
            <v>39868</v>
          </cell>
        </row>
        <row r="7">
          <cell r="A7">
            <v>39924</v>
          </cell>
          <cell r="B7">
            <v>39913</v>
          </cell>
        </row>
        <row r="8">
          <cell r="A8">
            <v>39934</v>
          </cell>
          <cell r="B8">
            <v>39924</v>
          </cell>
        </row>
        <row r="9">
          <cell r="A9">
            <v>39975</v>
          </cell>
          <cell r="B9">
            <v>39934</v>
          </cell>
        </row>
        <row r="10">
          <cell r="A10">
            <v>40063</v>
          </cell>
          <cell r="B10">
            <v>39975</v>
          </cell>
        </row>
        <row r="11">
          <cell r="A11">
            <v>40098</v>
          </cell>
          <cell r="B11">
            <v>40003</v>
          </cell>
        </row>
        <row r="12">
          <cell r="A12">
            <v>40119</v>
          </cell>
          <cell r="B12">
            <v>40063</v>
          </cell>
        </row>
        <row r="13">
          <cell r="A13">
            <v>40132</v>
          </cell>
          <cell r="B13">
            <v>40098</v>
          </cell>
        </row>
        <row r="14">
          <cell r="A14">
            <v>40172</v>
          </cell>
          <cell r="B14">
            <v>40119</v>
          </cell>
        </row>
        <row r="15">
          <cell r="A15">
            <v>40179</v>
          </cell>
          <cell r="B15">
            <v>40132</v>
          </cell>
        </row>
        <row r="16">
          <cell r="A16">
            <v>40203</v>
          </cell>
          <cell r="B16">
            <v>40172</v>
          </cell>
        </row>
        <row r="17">
          <cell r="A17">
            <v>40224</v>
          </cell>
          <cell r="B17">
            <v>40179</v>
          </cell>
        </row>
        <row r="18">
          <cell r="A18">
            <v>40225</v>
          </cell>
          <cell r="B18">
            <v>40203</v>
          </cell>
        </row>
        <row r="19">
          <cell r="A19">
            <v>40270</v>
          </cell>
          <cell r="B19">
            <v>40224</v>
          </cell>
        </row>
        <row r="20">
          <cell r="A20">
            <v>40289</v>
          </cell>
          <cell r="B20">
            <v>40225</v>
          </cell>
        </row>
        <row r="21">
          <cell r="A21">
            <v>40299</v>
          </cell>
          <cell r="B21">
            <v>40270</v>
          </cell>
        </row>
        <row r="22">
          <cell r="A22">
            <v>40332</v>
          </cell>
          <cell r="B22">
            <v>40289</v>
          </cell>
        </row>
        <row r="23">
          <cell r="A23">
            <v>40368</v>
          </cell>
          <cell r="B23">
            <v>40299</v>
          </cell>
        </row>
        <row r="24">
          <cell r="A24">
            <v>40428</v>
          </cell>
          <cell r="B24">
            <v>40332</v>
          </cell>
        </row>
        <row r="25">
          <cell r="A25">
            <v>40463</v>
          </cell>
          <cell r="B25">
            <v>40368</v>
          </cell>
        </row>
        <row r="26">
          <cell r="A26">
            <v>40484</v>
          </cell>
          <cell r="B26">
            <v>40428</v>
          </cell>
        </row>
        <row r="27">
          <cell r="A27">
            <v>40497</v>
          </cell>
          <cell r="B27">
            <v>40463</v>
          </cell>
        </row>
        <row r="28">
          <cell r="A28">
            <v>40537</v>
          </cell>
          <cell r="B28">
            <v>40484</v>
          </cell>
        </row>
        <row r="29">
          <cell r="A29">
            <v>40544</v>
          </cell>
          <cell r="B29">
            <v>40497</v>
          </cell>
        </row>
        <row r="30">
          <cell r="A30">
            <v>40568</v>
          </cell>
          <cell r="B30">
            <v>40537</v>
          </cell>
        </row>
        <row r="31">
          <cell r="A31">
            <v>40609</v>
          </cell>
          <cell r="B31">
            <v>40544</v>
          </cell>
        </row>
        <row r="32">
          <cell r="A32">
            <v>40610</v>
          </cell>
          <cell r="B32">
            <v>40568</v>
          </cell>
        </row>
        <row r="33">
          <cell r="A33">
            <v>40654</v>
          </cell>
          <cell r="B33">
            <v>40609</v>
          </cell>
        </row>
        <row r="34">
          <cell r="A34">
            <v>40655</v>
          </cell>
          <cell r="B34">
            <v>40610</v>
          </cell>
        </row>
        <row r="35">
          <cell r="A35">
            <v>40664</v>
          </cell>
          <cell r="B35">
            <v>40654</v>
          </cell>
        </row>
        <row r="36">
          <cell r="A36">
            <v>40717</v>
          </cell>
          <cell r="B36">
            <v>40655</v>
          </cell>
        </row>
        <row r="37">
          <cell r="A37">
            <v>40733</v>
          </cell>
          <cell r="B37">
            <v>40664</v>
          </cell>
        </row>
        <row r="38">
          <cell r="A38">
            <v>40793</v>
          </cell>
          <cell r="B38">
            <v>40717</v>
          </cell>
        </row>
        <row r="39">
          <cell r="A39">
            <v>40828</v>
          </cell>
          <cell r="B39">
            <v>40733</v>
          </cell>
        </row>
        <row r="40">
          <cell r="A40">
            <v>40849</v>
          </cell>
          <cell r="B40">
            <v>40793</v>
          </cell>
        </row>
        <row r="41">
          <cell r="A41">
            <v>40862</v>
          </cell>
          <cell r="B41">
            <v>40828</v>
          </cell>
        </row>
        <row r="42">
          <cell r="A42">
            <v>40902</v>
          </cell>
          <cell r="B42">
            <v>40849</v>
          </cell>
        </row>
        <row r="43">
          <cell r="A43">
            <v>40909</v>
          </cell>
          <cell r="B43">
            <v>40862</v>
          </cell>
        </row>
        <row r="44">
          <cell r="A44">
            <v>40933</v>
          </cell>
          <cell r="B44">
            <v>40902</v>
          </cell>
        </row>
        <row r="45">
          <cell r="A45">
            <v>40959</v>
          </cell>
          <cell r="B45">
            <v>40909</v>
          </cell>
        </row>
        <row r="46">
          <cell r="A46">
            <v>40960</v>
          </cell>
          <cell r="B46">
            <v>40933</v>
          </cell>
        </row>
        <row r="47">
          <cell r="A47">
            <v>41005</v>
          </cell>
          <cell r="B47">
            <v>40959</v>
          </cell>
        </row>
        <row r="48">
          <cell r="A48">
            <v>41020</v>
          </cell>
          <cell r="B48">
            <v>40960</v>
          </cell>
        </row>
        <row r="49">
          <cell r="A49">
            <v>41030</v>
          </cell>
          <cell r="B49">
            <v>41005</v>
          </cell>
        </row>
        <row r="50">
          <cell r="A50">
            <v>41067</v>
          </cell>
          <cell r="B50">
            <v>41020</v>
          </cell>
        </row>
        <row r="51">
          <cell r="A51">
            <v>41099</v>
          </cell>
          <cell r="B51">
            <v>41030</v>
          </cell>
        </row>
        <row r="52">
          <cell r="A52">
            <v>41159</v>
          </cell>
          <cell r="B52">
            <v>41067</v>
          </cell>
        </row>
        <row r="53">
          <cell r="A53">
            <v>41194</v>
          </cell>
          <cell r="B53">
            <v>41099</v>
          </cell>
        </row>
        <row r="54">
          <cell r="A54">
            <v>41215</v>
          </cell>
          <cell r="B54">
            <v>41159</v>
          </cell>
        </row>
        <row r="55">
          <cell r="A55">
            <v>41228</v>
          </cell>
          <cell r="B55">
            <v>41194</v>
          </cell>
        </row>
        <row r="56">
          <cell r="A56">
            <v>41268</v>
          </cell>
          <cell r="B56">
            <v>41215</v>
          </cell>
        </row>
        <row r="57">
          <cell r="A57">
            <v>41275</v>
          </cell>
          <cell r="B57">
            <v>41228</v>
          </cell>
        </row>
        <row r="58">
          <cell r="A58">
            <v>41299</v>
          </cell>
          <cell r="B58">
            <v>41268</v>
          </cell>
        </row>
        <row r="59">
          <cell r="A59">
            <v>41316</v>
          </cell>
          <cell r="B59">
            <v>41275</v>
          </cell>
        </row>
        <row r="60">
          <cell r="A60">
            <v>41317</v>
          </cell>
          <cell r="B60">
            <v>41299</v>
          </cell>
        </row>
        <row r="61">
          <cell r="A61">
            <v>41362</v>
          </cell>
          <cell r="B61">
            <v>41316</v>
          </cell>
        </row>
        <row r="62">
          <cell r="A62">
            <v>41385</v>
          </cell>
          <cell r="B62">
            <v>41317</v>
          </cell>
        </row>
        <row r="63">
          <cell r="A63">
            <v>41395</v>
          </cell>
          <cell r="B63">
            <v>41362</v>
          </cell>
        </row>
        <row r="64">
          <cell r="A64">
            <v>41424</v>
          </cell>
          <cell r="B64">
            <v>41385</v>
          </cell>
        </row>
        <row r="65">
          <cell r="A65">
            <v>41464</v>
          </cell>
          <cell r="B65">
            <v>41395</v>
          </cell>
        </row>
        <row r="66">
          <cell r="A66">
            <v>41524</v>
          </cell>
          <cell r="B66">
            <v>41424</v>
          </cell>
        </row>
        <row r="67">
          <cell r="A67">
            <v>41559</v>
          </cell>
          <cell r="B67">
            <v>41464</v>
          </cell>
        </row>
        <row r="68">
          <cell r="A68">
            <v>41580</v>
          </cell>
          <cell r="B68">
            <v>41524</v>
          </cell>
        </row>
        <row r="69">
          <cell r="A69">
            <v>41593</v>
          </cell>
          <cell r="B69">
            <v>41559</v>
          </cell>
        </row>
        <row r="70">
          <cell r="A70">
            <v>41633</v>
          </cell>
          <cell r="B70">
            <v>41580</v>
          </cell>
        </row>
        <row r="71">
          <cell r="A71">
            <v>41640</v>
          </cell>
          <cell r="B71">
            <v>41593</v>
          </cell>
        </row>
        <row r="72">
          <cell r="A72">
            <v>41664</v>
          </cell>
          <cell r="B72">
            <v>41633</v>
          </cell>
        </row>
        <row r="73">
          <cell r="A73">
            <v>41701</v>
          </cell>
          <cell r="B73">
            <v>41640</v>
          </cell>
        </row>
        <row r="74">
          <cell r="A74">
            <v>41702</v>
          </cell>
          <cell r="B74">
            <v>41664</v>
          </cell>
        </row>
        <row r="75">
          <cell r="A75">
            <v>41747</v>
          </cell>
          <cell r="B75">
            <v>41701</v>
          </cell>
        </row>
        <row r="76">
          <cell r="A76">
            <v>41750</v>
          </cell>
          <cell r="B76">
            <v>41702</v>
          </cell>
        </row>
        <row r="77">
          <cell r="A77">
            <v>41760</v>
          </cell>
          <cell r="B77">
            <v>41747</v>
          </cell>
        </row>
        <row r="78">
          <cell r="A78">
            <v>41809</v>
          </cell>
          <cell r="B78">
            <v>41750</v>
          </cell>
        </row>
        <row r="79">
          <cell r="A79">
            <v>41829</v>
          </cell>
          <cell r="B79">
            <v>41760</v>
          </cell>
        </row>
        <row r="80">
          <cell r="A80">
            <v>41889</v>
          </cell>
          <cell r="B80">
            <v>41809</v>
          </cell>
        </row>
        <row r="81">
          <cell r="A81">
            <v>41924</v>
          </cell>
          <cell r="B81">
            <v>41829</v>
          </cell>
        </row>
        <row r="82">
          <cell r="A82">
            <v>41945</v>
          </cell>
          <cell r="B82">
            <v>41889</v>
          </cell>
        </row>
        <row r="83">
          <cell r="A83">
            <v>41958</v>
          </cell>
          <cell r="B83">
            <v>41924</v>
          </cell>
        </row>
        <row r="84">
          <cell r="A84">
            <v>41998</v>
          </cell>
          <cell r="B84">
            <v>41945</v>
          </cell>
        </row>
        <row r="85">
          <cell r="A85">
            <v>42005</v>
          </cell>
          <cell r="B85">
            <v>41958</v>
          </cell>
        </row>
        <row r="86">
          <cell r="A86">
            <v>42029</v>
          </cell>
          <cell r="B86">
            <v>41998</v>
          </cell>
        </row>
        <row r="87">
          <cell r="A87">
            <v>42051</v>
          </cell>
          <cell r="B87">
            <v>42005</v>
          </cell>
        </row>
        <row r="88">
          <cell r="A88">
            <v>42052</v>
          </cell>
          <cell r="B88">
            <v>42029</v>
          </cell>
        </row>
        <row r="89">
          <cell r="A89">
            <v>42097</v>
          </cell>
          <cell r="B89">
            <v>42051</v>
          </cell>
        </row>
        <row r="90">
          <cell r="A90">
            <v>42115</v>
          </cell>
          <cell r="B90">
            <v>42052</v>
          </cell>
        </row>
        <row r="91">
          <cell r="A91">
            <v>42125</v>
          </cell>
          <cell r="B91">
            <v>42097</v>
          </cell>
        </row>
        <row r="92">
          <cell r="A92">
            <v>42159</v>
          </cell>
          <cell r="B92">
            <v>42115</v>
          </cell>
        </row>
        <row r="93">
          <cell r="A93">
            <v>42194</v>
          </cell>
          <cell r="B93">
            <v>42125</v>
          </cell>
        </row>
        <row r="94">
          <cell r="A94">
            <v>42254</v>
          </cell>
          <cell r="B94">
            <v>42159</v>
          </cell>
        </row>
        <row r="95">
          <cell r="A95">
            <v>42289</v>
          </cell>
          <cell r="B95">
            <v>42194</v>
          </cell>
        </row>
        <row r="96">
          <cell r="A96">
            <v>42310</v>
          </cell>
          <cell r="B96">
            <v>42254</v>
          </cell>
        </row>
        <row r="97">
          <cell r="A97">
            <v>42323</v>
          </cell>
          <cell r="B97">
            <v>42289</v>
          </cell>
        </row>
        <row r="98">
          <cell r="A98">
            <v>42363</v>
          </cell>
          <cell r="B98">
            <v>42310</v>
          </cell>
        </row>
        <row r="99">
          <cell r="A99">
            <v>42370</v>
          </cell>
          <cell r="B99">
            <v>42323</v>
          </cell>
        </row>
        <row r="100">
          <cell r="A100">
            <v>42394</v>
          </cell>
          <cell r="B100">
            <v>42363</v>
          </cell>
        </row>
        <row r="101">
          <cell r="A101">
            <v>42408</v>
          </cell>
          <cell r="B101">
            <v>42370</v>
          </cell>
        </row>
        <row r="102">
          <cell r="A102">
            <v>42409</v>
          </cell>
          <cell r="B102">
            <v>42394</v>
          </cell>
        </row>
        <row r="103">
          <cell r="A103">
            <v>42454</v>
          </cell>
          <cell r="B103">
            <v>42408</v>
          </cell>
        </row>
        <row r="104">
          <cell r="A104">
            <v>42481</v>
          </cell>
          <cell r="B104">
            <v>42409</v>
          </cell>
        </row>
        <row r="105">
          <cell r="A105">
            <v>42491</v>
          </cell>
          <cell r="B105">
            <v>42454</v>
          </cell>
        </row>
        <row r="106">
          <cell r="A106">
            <v>42516</v>
          </cell>
          <cell r="B106">
            <v>42481</v>
          </cell>
        </row>
        <row r="107">
          <cell r="A107">
            <v>42560</v>
          </cell>
          <cell r="B107">
            <v>42491</v>
          </cell>
        </row>
        <row r="108">
          <cell r="A108">
            <v>42620</v>
          </cell>
          <cell r="B108">
            <v>42516</v>
          </cell>
        </row>
        <row r="109">
          <cell r="A109">
            <v>42655</v>
          </cell>
          <cell r="B109">
            <v>42560</v>
          </cell>
        </row>
        <row r="110">
          <cell r="A110">
            <v>42676</v>
          </cell>
          <cell r="B110">
            <v>42620</v>
          </cell>
        </row>
        <row r="111">
          <cell r="A111">
            <v>42689</v>
          </cell>
          <cell r="B111">
            <v>42655</v>
          </cell>
        </row>
        <row r="112">
          <cell r="A112">
            <v>42729</v>
          </cell>
          <cell r="B112">
            <v>42676</v>
          </cell>
        </row>
        <row r="113">
          <cell r="A113">
            <v>42736</v>
          </cell>
          <cell r="B113">
            <v>42689</v>
          </cell>
        </row>
        <row r="114">
          <cell r="A114">
            <v>42760</v>
          </cell>
          <cell r="B114">
            <v>42729</v>
          </cell>
        </row>
        <row r="115">
          <cell r="A115">
            <v>42793</v>
          </cell>
          <cell r="B115">
            <v>42736</v>
          </cell>
        </row>
        <row r="116">
          <cell r="A116">
            <v>42794</v>
          </cell>
          <cell r="B116">
            <v>42760</v>
          </cell>
        </row>
        <row r="117">
          <cell r="A117">
            <v>42839</v>
          </cell>
          <cell r="B117">
            <v>42793</v>
          </cell>
        </row>
        <row r="118">
          <cell r="A118">
            <v>42846</v>
          </cell>
          <cell r="B118">
            <v>42794</v>
          </cell>
        </row>
        <row r="119">
          <cell r="A119">
            <v>42856</v>
          </cell>
          <cell r="B119">
            <v>42839</v>
          </cell>
        </row>
        <row r="120">
          <cell r="A120">
            <v>42901</v>
          </cell>
          <cell r="B120">
            <v>42846</v>
          </cell>
        </row>
        <row r="121">
          <cell r="A121">
            <v>42925</v>
          </cell>
          <cell r="B121">
            <v>42856</v>
          </cell>
        </row>
        <row r="122">
          <cell r="A122">
            <v>42985</v>
          </cell>
          <cell r="B122">
            <v>42901</v>
          </cell>
        </row>
        <row r="123">
          <cell r="A123">
            <v>43020</v>
          </cell>
          <cell r="B123">
            <v>42925</v>
          </cell>
        </row>
        <row r="124">
          <cell r="A124">
            <v>43041</v>
          </cell>
          <cell r="B124">
            <v>42985</v>
          </cell>
        </row>
        <row r="125">
          <cell r="A125">
            <v>43054</v>
          </cell>
          <cell r="B125">
            <v>43020</v>
          </cell>
        </row>
        <row r="126">
          <cell r="A126">
            <v>43094</v>
          </cell>
          <cell r="B126">
            <v>43041</v>
          </cell>
        </row>
        <row r="127">
          <cell r="A127">
            <v>43101</v>
          </cell>
          <cell r="B127">
            <v>43054</v>
          </cell>
        </row>
        <row r="128">
          <cell r="A128">
            <v>43125</v>
          </cell>
          <cell r="B128">
            <v>43094</v>
          </cell>
        </row>
        <row r="129">
          <cell r="A129">
            <v>43143</v>
          </cell>
          <cell r="B129">
            <v>43101</v>
          </cell>
        </row>
        <row r="130">
          <cell r="A130">
            <v>43144</v>
          </cell>
          <cell r="B130">
            <v>43125</v>
          </cell>
        </row>
        <row r="131">
          <cell r="A131">
            <v>43189</v>
          </cell>
          <cell r="B131">
            <v>43143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_Dol"/>
      <sheetName val="Spreads_Dol"/>
      <sheetName val="Call_Dol"/>
      <sheetName val="Graph_Dol"/>
      <sheetName val="Strikes_Dol"/>
      <sheetName val="Strat_Dol"/>
      <sheetName val="VOL"/>
      <sheetName val="Aux"/>
      <sheetName val="Main_IDI"/>
      <sheetName val="Spreads_IDI"/>
      <sheetName val="Strikes_IDI"/>
      <sheetName val="Call_IDI"/>
      <sheetName val="Graph_IDI"/>
      <sheetName val="Strat_ID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3">
            <v>40428</v>
          </cell>
        </row>
        <row r="4">
          <cell r="B4">
            <v>40463</v>
          </cell>
        </row>
        <row r="5">
          <cell r="B5">
            <v>40484</v>
          </cell>
        </row>
        <row r="6">
          <cell r="B6">
            <v>40497</v>
          </cell>
        </row>
        <row r="7">
          <cell r="B7">
            <v>40537</v>
          </cell>
        </row>
        <row r="8">
          <cell r="B8">
            <v>40544</v>
          </cell>
        </row>
        <row r="9">
          <cell r="B9">
            <v>40609</v>
          </cell>
        </row>
        <row r="10">
          <cell r="B10">
            <v>40610</v>
          </cell>
        </row>
        <row r="11">
          <cell r="B11">
            <v>40654</v>
          </cell>
        </row>
        <row r="12">
          <cell r="B12">
            <v>40655</v>
          </cell>
        </row>
        <row r="13">
          <cell r="B13">
            <v>40664</v>
          </cell>
        </row>
        <row r="14">
          <cell r="B14">
            <v>40717</v>
          </cell>
        </row>
        <row r="15">
          <cell r="B15">
            <v>40793</v>
          </cell>
        </row>
        <row r="16">
          <cell r="B16">
            <v>40828</v>
          </cell>
        </row>
        <row r="17">
          <cell r="B17">
            <v>40849</v>
          </cell>
        </row>
        <row r="18">
          <cell r="B18">
            <v>40862</v>
          </cell>
        </row>
        <row r="19">
          <cell r="B19">
            <v>40902</v>
          </cell>
        </row>
        <row r="20">
          <cell r="B20">
            <v>40909</v>
          </cell>
        </row>
        <row r="21">
          <cell r="B21">
            <v>40959</v>
          </cell>
        </row>
        <row r="22">
          <cell r="B22">
            <v>40960</v>
          </cell>
        </row>
        <row r="23">
          <cell r="B23">
            <v>41005</v>
          </cell>
        </row>
        <row r="24">
          <cell r="B24">
            <v>41020</v>
          </cell>
        </row>
        <row r="25">
          <cell r="B25">
            <v>41030</v>
          </cell>
        </row>
        <row r="26">
          <cell r="B26">
            <v>41067</v>
          </cell>
        </row>
        <row r="27">
          <cell r="B27">
            <v>41159</v>
          </cell>
        </row>
        <row r="28">
          <cell r="B28">
            <v>41194</v>
          </cell>
        </row>
        <row r="29">
          <cell r="B29">
            <v>41215</v>
          </cell>
        </row>
        <row r="30">
          <cell r="B30">
            <v>41228</v>
          </cell>
        </row>
        <row r="31">
          <cell r="B31">
            <v>41268</v>
          </cell>
        </row>
        <row r="32">
          <cell r="B32">
            <v>41275</v>
          </cell>
        </row>
        <row r="33">
          <cell r="B33">
            <v>41316</v>
          </cell>
        </row>
        <row r="34">
          <cell r="B34">
            <v>41317</v>
          </cell>
        </row>
        <row r="35">
          <cell r="B35">
            <v>41362</v>
          </cell>
        </row>
        <row r="36">
          <cell r="B36">
            <v>41385</v>
          </cell>
        </row>
        <row r="37">
          <cell r="B37">
            <v>41395</v>
          </cell>
        </row>
        <row r="38">
          <cell r="B38">
            <v>41424</v>
          </cell>
        </row>
        <row r="39">
          <cell r="B39">
            <v>41524</v>
          </cell>
        </row>
        <row r="40">
          <cell r="B40">
            <v>41559</v>
          </cell>
        </row>
        <row r="41">
          <cell r="B41">
            <v>41580</v>
          </cell>
        </row>
        <row r="42">
          <cell r="B42">
            <v>41593</v>
          </cell>
        </row>
        <row r="43">
          <cell r="B43">
            <v>41633</v>
          </cell>
        </row>
        <row r="44">
          <cell r="B44">
            <v>41640</v>
          </cell>
        </row>
        <row r="45">
          <cell r="B45">
            <v>41701</v>
          </cell>
        </row>
        <row r="46">
          <cell r="B46">
            <v>41702</v>
          </cell>
        </row>
        <row r="47">
          <cell r="B47">
            <v>41747</v>
          </cell>
        </row>
        <row r="48">
          <cell r="B48">
            <v>41750</v>
          </cell>
        </row>
        <row r="49">
          <cell r="B49">
            <v>41760</v>
          </cell>
        </row>
        <row r="50">
          <cell r="B50">
            <v>41809</v>
          </cell>
        </row>
        <row r="51">
          <cell r="B51">
            <v>41889</v>
          </cell>
        </row>
        <row r="52">
          <cell r="B52">
            <v>41924</v>
          </cell>
        </row>
        <row r="53">
          <cell r="B53">
            <v>41945</v>
          </cell>
        </row>
        <row r="54">
          <cell r="B54">
            <v>41958</v>
          </cell>
        </row>
        <row r="55">
          <cell r="B55">
            <v>41998</v>
          </cell>
        </row>
        <row r="56">
          <cell r="B56">
            <v>42005</v>
          </cell>
        </row>
        <row r="57">
          <cell r="B57">
            <v>42051</v>
          </cell>
        </row>
        <row r="58">
          <cell r="B58">
            <v>42052</v>
          </cell>
        </row>
        <row r="59">
          <cell r="B59">
            <v>42097</v>
          </cell>
        </row>
        <row r="60">
          <cell r="B60">
            <v>42115</v>
          </cell>
        </row>
        <row r="61">
          <cell r="B61">
            <v>42125</v>
          </cell>
        </row>
        <row r="62">
          <cell r="B62">
            <v>42159</v>
          </cell>
        </row>
        <row r="63">
          <cell r="B63">
            <v>42254</v>
          </cell>
        </row>
        <row r="64">
          <cell r="B64">
            <v>42289</v>
          </cell>
        </row>
        <row r="65">
          <cell r="B65">
            <v>42310</v>
          </cell>
        </row>
        <row r="66">
          <cell r="B66">
            <v>42323</v>
          </cell>
        </row>
        <row r="67">
          <cell r="B67">
            <v>42363</v>
          </cell>
        </row>
        <row r="68">
          <cell r="B68">
            <v>42370</v>
          </cell>
        </row>
        <row r="69">
          <cell r="B69">
            <v>42408</v>
          </cell>
        </row>
        <row r="70">
          <cell r="B70">
            <v>42409</v>
          </cell>
        </row>
        <row r="71">
          <cell r="B71">
            <v>42454</v>
          </cell>
        </row>
        <row r="72">
          <cell r="B72">
            <v>42481</v>
          </cell>
        </row>
        <row r="73">
          <cell r="B73">
            <v>42491</v>
          </cell>
        </row>
        <row r="74">
          <cell r="B74">
            <v>42516</v>
          </cell>
        </row>
        <row r="75">
          <cell r="B75">
            <v>42620</v>
          </cell>
        </row>
        <row r="76">
          <cell r="B76">
            <v>42655</v>
          </cell>
        </row>
        <row r="77">
          <cell r="B77">
            <v>42676</v>
          </cell>
        </row>
        <row r="78">
          <cell r="B78">
            <v>42689</v>
          </cell>
        </row>
        <row r="79">
          <cell r="B79">
            <v>42729</v>
          </cell>
        </row>
        <row r="80">
          <cell r="B80">
            <v>42736</v>
          </cell>
        </row>
        <row r="81">
          <cell r="B81">
            <v>42793</v>
          </cell>
        </row>
        <row r="82">
          <cell r="B82">
            <v>42794</v>
          </cell>
        </row>
        <row r="83">
          <cell r="B83">
            <v>42839</v>
          </cell>
        </row>
        <row r="84">
          <cell r="B84">
            <v>42846</v>
          </cell>
        </row>
        <row r="85">
          <cell r="B85">
            <v>42856</v>
          </cell>
        </row>
        <row r="86">
          <cell r="B86">
            <v>42901</v>
          </cell>
        </row>
        <row r="87">
          <cell r="B87">
            <v>42985</v>
          </cell>
        </row>
        <row r="88">
          <cell r="B88">
            <v>43020</v>
          </cell>
        </row>
        <row r="89">
          <cell r="B89">
            <v>43041</v>
          </cell>
        </row>
        <row r="90">
          <cell r="B90">
            <v>43054</v>
          </cell>
        </row>
        <row r="91">
          <cell r="B91">
            <v>43094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rva"/>
      <sheetName val="Graficos"/>
      <sheetName val="NTN-B"/>
      <sheetName val="NTN-F"/>
      <sheetName val="Termo"/>
      <sheetName val="BOX4pontas"/>
      <sheetName val="2pontas"/>
      <sheetName val="3pontas"/>
      <sheetName val="4pontas"/>
      <sheetName val="COPOM (2)"/>
      <sheetName val="COPOM"/>
      <sheetName val="AuxilioDados"/>
      <sheetName val="dadosexternosBMF_1"/>
      <sheetName val="ANDIMANTN-F"/>
      <sheetName val="ANDIMANTN-B"/>
      <sheetName val="LTN"/>
      <sheetName val="HistoricoDU"/>
      <sheetName val="FERIADOS"/>
      <sheetName val="Plan1"/>
    </sheetNames>
    <sheetDataSet>
      <sheetData sheetId="0"/>
      <sheetData sheetId="1"/>
      <sheetData sheetId="2"/>
      <sheetData sheetId="3"/>
      <sheetData sheetId="4">
        <row r="1">
          <cell r="G1" t="str">
            <v>Fundo</v>
          </cell>
        </row>
        <row r="2">
          <cell r="G2" t="str">
            <v>Banco</v>
          </cell>
        </row>
        <row r="3">
          <cell r="G3" t="str">
            <v>Financiar</v>
          </cell>
        </row>
        <row r="4">
          <cell r="G4" t="str">
            <v>Reverter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DOS"/>
      <sheetName val="GRÁFICOS"/>
      <sheetName val="DI1"/>
      <sheetName val="FERIADOS"/>
    </sheetNames>
    <sheetDataSet>
      <sheetData sheetId="0"/>
      <sheetData sheetId="1"/>
      <sheetData sheetId="2"/>
      <sheetData sheetId="3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LIC"/>
      <sheetName val="NET"/>
      <sheetName val="SWAP"/>
      <sheetName val="POSITION"/>
      <sheetName val="CAMBIAIS"/>
      <sheetName val="FORWARD"/>
      <sheetName val="GRAF RESERVAS"/>
      <sheetName val="RESERVAS"/>
      <sheetName val="GRAF PTAX"/>
      <sheetName val="PTAX800"/>
      <sheetName val="HISTÓRICO"/>
      <sheetName val="CUSTOS"/>
      <sheetName val="FERIADOS"/>
      <sheetName val="Plan9"/>
      <sheetName val="Plan10"/>
      <sheetName val="Plan11"/>
      <sheetName val="Plan12"/>
      <sheetName val="Plan13"/>
      <sheetName val="Plan14"/>
      <sheetName val="Plan15"/>
      <sheetName val="Plan16"/>
      <sheetName val="Módulo1"/>
      <sheetName val="Módulo2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_Ibov"/>
      <sheetName val="Spreads_Ibov"/>
      <sheetName val="Aux"/>
      <sheetName val="Plan1"/>
    </sheetNames>
    <sheetDataSet>
      <sheetData sheetId="0"/>
      <sheetData sheetId="1"/>
      <sheetData sheetId="2">
        <row r="42">
          <cell r="K42">
            <v>40686</v>
          </cell>
        </row>
      </sheetData>
      <sheetData sheetId="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rva"/>
      <sheetName val="F18F19F20F21"/>
      <sheetName val="F18F19F20"/>
      <sheetName val="F17N17F18N18"/>
      <sheetName val="F18F19F21F23"/>
      <sheetName val="NTN-F"/>
      <sheetName val="NTN-B"/>
      <sheetName val="Leilão"/>
      <sheetName val="Graficos"/>
      <sheetName val="Curva FRA"/>
      <sheetName val="AuxilioDados (2)"/>
      <sheetName val="SWAP"/>
      <sheetName val="BONDS"/>
      <sheetName val="dadosexternosBMF_1"/>
      <sheetName val="AuxilioDados"/>
      <sheetName val="N17F18N18F19"/>
      <sheetName val="N16F17N17F18"/>
      <sheetName val="Gráf2"/>
      <sheetName val="Travas"/>
      <sheetName val="SlideEspecial"/>
      <sheetName val="Plan1 (3)"/>
      <sheetName val="Plan1"/>
      <sheetName val="SlideNet"/>
      <sheetName val="N16F17N17"/>
      <sheetName val="Plan1 (2)"/>
      <sheetName val="Historico NTN-B"/>
      <sheetName val="NTN-B Travas"/>
      <sheetName val="ROBOTRADER"/>
      <sheetName val="N15F16F17F18"/>
      <sheetName val="MédioHistoricoIbiuna"/>
      <sheetName val="MédioHistoricoGui"/>
      <sheetName val="ML"/>
      <sheetName val="Controle"/>
      <sheetName val="ON-OFF"/>
      <sheetName val="OC1"/>
      <sheetName val="COPOM (2)"/>
      <sheetName val="COPOM"/>
      <sheetName val="BMF_Opcoes"/>
      <sheetName val="Termo"/>
      <sheetName val="BOX4pontas"/>
      <sheetName val="2pontas"/>
      <sheetName val="3pontas"/>
      <sheetName val="4pontas"/>
      <sheetName val="AuxilioDadosOC1"/>
      <sheetName val="ANDIMANTN-F"/>
      <sheetName val="ANDIMANTN-B"/>
      <sheetName val="ANDIMALFT"/>
      <sheetName val="LFT"/>
      <sheetName val="LTN"/>
      <sheetName val="FERIADOS"/>
      <sheetName val="HistoricoLTN"/>
      <sheetName val="F17"/>
      <sheetName val="F18"/>
      <sheetName val="F19"/>
      <sheetName val="F21"/>
      <sheetName val="F23"/>
      <sheetName val="F25"/>
      <sheetName val="F27"/>
      <sheetName val="DV01"/>
      <sheetName val="Interest Rates"/>
    </sheetNames>
    <definedNames>
      <definedName name="Inclinaçã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 refreshError="1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 refreshError="1"/>
    </sheetDataSet>
  </externalBook>
</externalLink>
</file>

<file path=xl/queryTables/queryTable1.xml><?xml version="1.0" encoding="utf-8"?>
<queryTable xmlns="http://schemas.openxmlformats.org/spreadsheetml/2006/main" name="dadosexternosBMF_2" connectionId="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BMF_3" connectionId="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BMF_4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BMF_1" connectionId="1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indicadoresFinanceiros1" connectionId="1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BMF_2" connectionId="1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BMF_3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BMF_4" connectionId="1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BMF_1" connectionId="1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BMF_3" connectionId="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BMF_2" connectionId="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BMF_1" connectionId="1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BMF_4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BMF_2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BMF_3" connectionId="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BMF_4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BMF_1" connectionId="1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5.bin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7.bin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8.bin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9.bin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1:DP1445"/>
  <sheetViews>
    <sheetView zoomScale="65" zoomScaleNormal="65" workbookViewId="0">
      <pane ySplit="36" topLeftCell="A37" activePane="bottomLeft" state="frozen"/>
      <selection pane="bottomLeft"/>
    </sheetView>
  </sheetViews>
  <sheetFormatPr defaultRowHeight="13.5" customHeight="1" x14ac:dyDescent="0.2"/>
  <cols>
    <col min="1" max="1" width="12" customWidth="1"/>
    <col min="2" max="2" width="12.28515625" bestFit="1" customWidth="1"/>
    <col min="3" max="3" width="13.28515625" bestFit="1" customWidth="1"/>
    <col min="4" max="4" width="11.85546875" customWidth="1"/>
    <col min="5" max="5" width="15.28515625" customWidth="1"/>
    <col min="6" max="6" width="13.42578125" bestFit="1" customWidth="1"/>
    <col min="7" max="7" width="17" bestFit="1" customWidth="1"/>
    <col min="8" max="8" width="13.5703125" bestFit="1" customWidth="1"/>
    <col min="9" max="9" width="11.85546875" customWidth="1"/>
    <col min="10" max="10" width="15.42578125" bestFit="1" customWidth="1"/>
    <col min="11" max="11" width="13.5703125" customWidth="1"/>
    <col min="12" max="12" width="15.7109375" customWidth="1"/>
    <col min="13" max="13" width="18" bestFit="1" customWidth="1"/>
    <col min="14" max="14" width="14.7109375" customWidth="1"/>
    <col min="15" max="15" width="13.5703125" customWidth="1"/>
    <col min="16" max="16" width="18.28515625" customWidth="1"/>
    <col min="17" max="17" width="13.7109375" customWidth="1"/>
    <col min="18" max="18" width="16.42578125" bestFit="1" customWidth="1"/>
    <col min="19" max="19" width="15.28515625" bestFit="1" customWidth="1"/>
    <col min="20" max="20" width="13.140625" customWidth="1"/>
    <col min="21" max="21" width="14.140625" bestFit="1" customWidth="1"/>
    <col min="22" max="22" width="21" style="5" bestFit="1" customWidth="1"/>
    <col min="23" max="24" width="13.7109375" bestFit="1" customWidth="1"/>
    <col min="25" max="25" width="11" bestFit="1" customWidth="1"/>
    <col min="26" max="26" width="9" customWidth="1"/>
    <col min="27" max="27" width="12.7109375" bestFit="1" customWidth="1"/>
    <col min="28" max="28" width="13.5703125" bestFit="1" customWidth="1"/>
    <col min="29" max="30" width="12.5703125" bestFit="1" customWidth="1"/>
    <col min="31" max="31" width="14.28515625" bestFit="1" customWidth="1"/>
    <col min="32" max="32" width="13.5703125" style="5" bestFit="1" customWidth="1"/>
    <col min="33" max="33" width="11.85546875" style="5" bestFit="1" customWidth="1"/>
    <col min="34" max="34" width="16.140625" style="5" bestFit="1" customWidth="1"/>
    <col min="35" max="35" width="19" style="5" bestFit="1" customWidth="1"/>
    <col min="36" max="36" width="15.5703125" style="5" bestFit="1" customWidth="1"/>
    <col min="37" max="37" width="17.42578125" style="5" bestFit="1" customWidth="1"/>
    <col min="38" max="38" width="18" style="5" bestFit="1" customWidth="1"/>
    <col min="39" max="39" width="10.85546875" style="5" bestFit="1" customWidth="1"/>
    <col min="40" max="40" width="13.7109375" style="5" bestFit="1" customWidth="1"/>
    <col min="41" max="41" width="11" style="5" bestFit="1" customWidth="1"/>
    <col min="42" max="42" width="13" style="5" bestFit="1" customWidth="1"/>
    <col min="43" max="43" width="11.85546875" style="5" bestFit="1" customWidth="1"/>
    <col min="44" max="44" width="13.7109375" style="5" bestFit="1" customWidth="1"/>
    <col min="45" max="45" width="13.28515625" style="5" bestFit="1" customWidth="1"/>
    <col min="46" max="46" width="11.28515625" style="5" bestFit="1" customWidth="1"/>
    <col min="47" max="47" width="9.140625" style="5"/>
    <col min="48" max="48" width="10.7109375" style="5" bestFit="1" customWidth="1"/>
    <col min="49" max="51" width="9.140625" style="5"/>
    <col min="52" max="52" width="10.28515625" style="5" bestFit="1" customWidth="1"/>
    <col min="53" max="54" width="9.140625" style="5"/>
    <col min="55" max="55" width="19.28515625" style="5" bestFit="1" customWidth="1"/>
    <col min="56" max="56" width="9.28515625" style="5" customWidth="1"/>
    <col min="57" max="57" width="13.140625" style="5" bestFit="1" customWidth="1"/>
    <col min="58" max="58" width="17.28515625" style="5" bestFit="1" customWidth="1"/>
    <col min="59" max="59" width="13.5703125" style="5" bestFit="1" customWidth="1"/>
    <col min="60" max="120" width="9.140625" style="5"/>
  </cols>
  <sheetData>
    <row r="1" spans="1:77" s="188" customFormat="1" ht="15.75" customHeight="1" thickBot="1" x14ac:dyDescent="0.25">
      <c r="A1" s="355">
        <f>_xll.BDP("BZDIOVRA Index","PX_LAST")/100</f>
        <v>8.14E-2</v>
      </c>
      <c r="B1" s="101">
        <f ca="1">TODAY()</f>
        <v>43000</v>
      </c>
      <c r="C1" s="102">
        <f>IF(ISERROR((D1-E2)/1000),_xll.BDP("BRL curncy","PX_LAST"),((D1-E2)/1000))</f>
        <v>3.1227</v>
      </c>
      <c r="D1" s="185">
        <f>_xll.BDP("UC1 curncy","LAST_PRICE")</f>
        <v>3130</v>
      </c>
      <c r="E1" s="103">
        <v>8.85</v>
      </c>
      <c r="F1" s="278" t="s">
        <v>68</v>
      </c>
      <c r="G1" s="356"/>
      <c r="H1" s="357">
        <f>H2*C1</f>
        <v>3.7297528799999999</v>
      </c>
      <c r="I1" s="5"/>
      <c r="J1" s="5"/>
      <c r="K1" s="358">
        <f>_xll.BDP("Casado CMPN CURNCY","PX_LAST")</f>
        <v>3</v>
      </c>
      <c r="L1" s="359">
        <f>1830*12*0.9</f>
        <v>19764</v>
      </c>
      <c r="M1" s="121" t="s">
        <v>191</v>
      </c>
      <c r="N1" s="5"/>
      <c r="O1" s="312">
        <v>10000</v>
      </c>
      <c r="P1" s="100" t="s">
        <v>71</v>
      </c>
      <c r="Q1" s="107" t="s">
        <v>72</v>
      </c>
      <c r="R1" s="104" t="s">
        <v>69</v>
      </c>
      <c r="S1" s="105" t="s">
        <v>70</v>
      </c>
      <c r="T1" s="312"/>
      <c r="U1" s="5"/>
      <c r="V1" s="360">
        <f ca="1">TODAY()</f>
        <v>43000</v>
      </c>
      <c r="W1" s="108"/>
      <c r="X1" s="108"/>
      <c r="Y1" s="108"/>
      <c r="Z1" s="108"/>
      <c r="AA1" s="361"/>
      <c r="AB1" s="362"/>
      <c r="AC1"/>
      <c r="AD1" s="312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>
        <v>1</v>
      </c>
      <c r="AU1" s="5">
        <v>2</v>
      </c>
      <c r="AV1" s="5">
        <v>4</v>
      </c>
      <c r="AW1" s="5">
        <v>5</v>
      </c>
      <c r="AX1" s="5">
        <v>6</v>
      </c>
      <c r="AY1" s="5">
        <v>7</v>
      </c>
      <c r="AZ1" s="5">
        <v>8</v>
      </c>
      <c r="BA1" s="5">
        <v>9</v>
      </c>
      <c r="BB1" s="5">
        <v>10</v>
      </c>
      <c r="BC1" s="5">
        <v>11</v>
      </c>
      <c r="BD1" s="5">
        <v>12</v>
      </c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363"/>
      <c r="BX1" s="5"/>
      <c r="BY1" s="5"/>
    </row>
    <row r="2" spans="1:77" s="188" customFormat="1" ht="14.25" customHeight="1" thickBot="1" x14ac:dyDescent="0.3">
      <c r="A2" s="364" t="s">
        <v>3</v>
      </c>
      <c r="B2" s="172">
        <f>A1</f>
        <v>8.14E-2</v>
      </c>
      <c r="C2" s="173" t="s">
        <v>254</v>
      </c>
      <c r="D2" s="174">
        <f>(1+B2)^(1/252)</f>
        <v>1.0003105898816469</v>
      </c>
      <c r="E2" s="358">
        <v>7.3</v>
      </c>
      <c r="F2" s="217" t="s">
        <v>254</v>
      </c>
      <c r="G2" s="351" t="s">
        <v>80</v>
      </c>
      <c r="H2" s="216">
        <f>_xll.BDP("EUR curncy","PX_LAST")</f>
        <v>1.1943999999999999</v>
      </c>
      <c r="I2" s="111"/>
      <c r="J2" s="5"/>
      <c r="K2" s="5"/>
      <c r="L2" s="169">
        <v>1</v>
      </c>
      <c r="M2" s="365">
        <f ca="1">IF(C2="X",'ANDIMANTN-F'!$K$1,WORKDAY(TODAY(),-L2,FERIADOS!$A$1:$A$830))</f>
        <v>42999</v>
      </c>
      <c r="N2" s="5"/>
      <c r="O2" s="312">
        <f ca="1">O1/(((100000/((1+C13-$P$2)^(T13/252)))-(100000/((1+C13+$P$2)^(T13/252))))/2)</f>
        <v>1489.4261749948143</v>
      </c>
      <c r="P2" s="112">
        <v>1E-4</v>
      </c>
      <c r="Q2" s="113">
        <v>1E-4</v>
      </c>
      <c r="R2" s="366">
        <v>50</v>
      </c>
      <c r="S2" s="110">
        <v>30</v>
      </c>
      <c r="T2" s="367" t="s">
        <v>9</v>
      </c>
      <c r="U2" s="8">
        <f>B2</f>
        <v>8.14E-2</v>
      </c>
      <c r="V2" s="368">
        <f ca="1">NOW()</f>
        <v>43000.604086574072</v>
      </c>
      <c r="W2" s="184">
        <f ca="1">V2-V1</f>
        <v>0.60408657407242572</v>
      </c>
      <c r="X2" s="312"/>
      <c r="Y2" s="5"/>
      <c r="Z2" s="5"/>
      <c r="AA2" s="5"/>
      <c r="AB2" s="5"/>
      <c r="AC2" s="5"/>
      <c r="AD2" s="312"/>
      <c r="AE2" s="308">
        <f>IF(AD8&gt;1,1,0)</f>
        <v>1</v>
      </c>
      <c r="AF2" s="5"/>
      <c r="AG2" s="5"/>
      <c r="AH2" s="246" t="s">
        <v>94</v>
      </c>
      <c r="AI2" s="116" t="s">
        <v>95</v>
      </c>
      <c r="AJ2" s="278" t="s">
        <v>301</v>
      </c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 t="s">
        <v>73</v>
      </c>
      <c r="AX2" s="56" t="s">
        <v>74</v>
      </c>
      <c r="AY2" s="5" t="s">
        <v>75</v>
      </c>
      <c r="AZ2" s="5"/>
      <c r="BA2" s="5"/>
      <c r="BB2" s="5"/>
      <c r="BC2" s="5"/>
      <c r="BD2" s="5"/>
      <c r="BE2" s="234">
        <v>0.999</v>
      </c>
      <c r="BF2" s="246" t="s">
        <v>209</v>
      </c>
      <c r="BG2" s="369">
        <f ca="1">SUM(BG3:BG35)</f>
        <v>6799765.9097165745</v>
      </c>
      <c r="BH2" s="5">
        <f ca="1">BG2/C1</f>
        <v>2177527.7515344331</v>
      </c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363"/>
      <c r="BX2" s="363"/>
      <c r="BY2" s="363"/>
    </row>
    <row r="3" spans="1:77" s="188" customFormat="1" ht="13.5" customHeight="1" thickTop="1" thickBot="1" x14ac:dyDescent="0.25">
      <c r="A3" s="370" t="s">
        <v>76</v>
      </c>
      <c r="B3" s="175" t="s">
        <v>5</v>
      </c>
      <c r="C3" s="176">
        <f>+B2</f>
        <v>8.14E-2</v>
      </c>
      <c r="D3" s="175" t="s">
        <v>77</v>
      </c>
      <c r="E3" s="175" t="s">
        <v>78</v>
      </c>
      <c r="F3" s="175" t="s">
        <v>79</v>
      </c>
      <c r="G3" s="176">
        <f>B2</f>
        <v>8.14E-2</v>
      </c>
      <c r="H3" s="175" t="s">
        <v>81</v>
      </c>
      <c r="I3" s="175" t="s">
        <v>81</v>
      </c>
      <c r="J3" s="175">
        <v>0</v>
      </c>
      <c r="K3" s="175" t="s">
        <v>4</v>
      </c>
      <c r="L3" s="175" t="s">
        <v>291</v>
      </c>
      <c r="M3" s="175" t="str">
        <f>IF($F$2="X","BRL PV01","US$ PV01")</f>
        <v>BRL PV01</v>
      </c>
      <c r="N3" s="175" t="s">
        <v>82</v>
      </c>
      <c r="O3" s="175" t="s">
        <v>83</v>
      </c>
      <c r="P3" s="175" t="s">
        <v>84</v>
      </c>
      <c r="Q3" s="175" t="s">
        <v>85</v>
      </c>
      <c r="R3" s="177" t="s">
        <v>215</v>
      </c>
      <c r="S3" s="640">
        <f ca="1">TODAY()</f>
        <v>43000</v>
      </c>
      <c r="T3" s="175">
        <f ca="1">IF(T4=1,0,1)</f>
        <v>1</v>
      </c>
      <c r="U3" s="178" t="s">
        <v>86</v>
      </c>
      <c r="V3" s="368">
        <f ca="1">WORKDAY(V1,-1,FERIADOS!$A$1:$A$840)</f>
        <v>42999</v>
      </c>
      <c r="W3" s="115" t="s">
        <v>87</v>
      </c>
      <c r="X3" s="115" t="s">
        <v>198</v>
      </c>
      <c r="Y3" s="115" t="s">
        <v>77</v>
      </c>
      <c r="Z3" s="115" t="s">
        <v>88</v>
      </c>
      <c r="AA3" s="115" t="s">
        <v>89</v>
      </c>
      <c r="AB3" s="115" t="s">
        <v>90</v>
      </c>
      <c r="AC3" s="115" t="s">
        <v>91</v>
      </c>
      <c r="AD3" s="115" t="s">
        <v>92</v>
      </c>
      <c r="AE3" s="115" t="s">
        <v>93</v>
      </c>
      <c r="AF3" s="171">
        <f ca="1">IF(AF4=1,0,IF(AF4=0,-1,1))</f>
        <v>1</v>
      </c>
      <c r="AG3" s="165">
        <f>B2</f>
        <v>8.14E-2</v>
      </c>
      <c r="AH3" s="8">
        <f>B2</f>
        <v>8.14E-2</v>
      </c>
      <c r="AI3" s="8">
        <f>AG3</f>
        <v>8.14E-2</v>
      </c>
      <c r="AJ3" s="5"/>
      <c r="AK3" s="117"/>
      <c r="AL3" s="118" t="s">
        <v>9</v>
      </c>
      <c r="AM3" s="118" t="s">
        <v>96</v>
      </c>
      <c r="AN3" s="119" t="s">
        <v>80</v>
      </c>
      <c r="AO3" s="119" t="s">
        <v>97</v>
      </c>
      <c r="AP3" s="118" t="s">
        <v>81</v>
      </c>
      <c r="AQ3" s="118" t="s">
        <v>81</v>
      </c>
      <c r="AR3" s="120" t="s">
        <v>98</v>
      </c>
      <c r="AS3" s="121"/>
      <c r="AT3" s="5"/>
      <c r="AU3" s="5" t="s">
        <v>99</v>
      </c>
      <c r="AV3" s="5" t="s">
        <v>100</v>
      </c>
      <c r="AW3" s="5" t="s">
        <v>101</v>
      </c>
      <c r="AX3" s="5" t="s">
        <v>102</v>
      </c>
      <c r="AY3" s="5" t="s">
        <v>103</v>
      </c>
      <c r="AZ3" s="5" t="s">
        <v>104</v>
      </c>
      <c r="BA3" s="5" t="s">
        <v>105</v>
      </c>
      <c r="BB3" s="5" t="s">
        <v>106</v>
      </c>
      <c r="BC3" s="121" t="s">
        <v>107</v>
      </c>
      <c r="BD3" s="5"/>
      <c r="BE3" s="246" t="s">
        <v>200</v>
      </c>
      <c r="BF3" s="369">
        <f>SUM(BF4:BF34)</f>
        <v>519322</v>
      </c>
      <c r="BG3" s="246" t="str">
        <f>M3</f>
        <v>BRL PV01</v>
      </c>
      <c r="BH3" s="246" t="s">
        <v>257</v>
      </c>
      <c r="BI3" s="246"/>
      <c r="BJ3" s="246" t="s">
        <v>258</v>
      </c>
      <c r="BK3" s="246" t="s">
        <v>259</v>
      </c>
      <c r="BL3" s="246" t="s">
        <v>260</v>
      </c>
      <c r="BM3" s="5"/>
      <c r="BN3" s="5"/>
      <c r="BO3" s="5"/>
      <c r="BP3" s="5"/>
      <c r="BQ3" s="5"/>
      <c r="BR3" s="5"/>
      <c r="BS3" s="5"/>
      <c r="BT3" s="5"/>
      <c r="BU3" s="5"/>
      <c r="BV3" s="5"/>
      <c r="BW3" s="106"/>
      <c r="BX3" s="5"/>
      <c r="BY3" s="5"/>
    </row>
    <row r="4" spans="1:77" s="188" customFormat="1" ht="13.5" customHeight="1" thickTop="1" thickBot="1" x14ac:dyDescent="0.25">
      <c r="A4" s="371">
        <v>1</v>
      </c>
      <c r="B4" s="45" t="str">
        <f>W4</f>
        <v>DI1V17</v>
      </c>
      <c r="C4" s="50">
        <f t="shared" ref="C4:C43" si="0">IF($C$2="F",AH4,IF($C$2="X",G4,BC4))</f>
        <v>8.1421364545830377E-2</v>
      </c>
      <c r="D4" s="46">
        <f>IF(ISERROR(Y4/100),"",Y4/100)</f>
        <v>8.14E-2</v>
      </c>
      <c r="E4" s="46">
        <f>IF(ISERROR(IF(Z4=0,"",Z4/100)),"",IF(Z4=0,"",Z4/100))</f>
        <v>8.138999999999999E-2</v>
      </c>
      <c r="F4" s="46">
        <f>IF(ISERROR(IF(AA4=0,"",AA4/100)),"",IF(AA4=0,"",AA4/100))</f>
        <v>8.1419999999999992E-2</v>
      </c>
      <c r="G4" s="122">
        <v>8.1421364545830377E-2</v>
      </c>
      <c r="H4" s="123">
        <v>2.1364545830376835E-5</v>
      </c>
      <c r="I4" s="124">
        <f>C4-B2</f>
        <v>2.1364545830376835E-5</v>
      </c>
      <c r="J4" s="124">
        <f t="shared" ref="J4:J43" si="1">C4-G4</f>
        <v>0</v>
      </c>
      <c r="K4" s="125">
        <f ca="1">(1+Q4)^(252/U4)-1</f>
        <v>8.1421364545830377E-2</v>
      </c>
      <c r="L4" s="372">
        <v>10000</v>
      </c>
      <c r="M4" s="373">
        <f t="shared" ref="M4:M43" ca="1" si="2">((((100000/((1+C4-$P$2)^(T4/252)))-(100000/((1+C4+$P$2)^(T4/252))))/2)*L4)/IF($F$2="X",1,$C$1)</f>
        <v>2197.5884414860047</v>
      </c>
      <c r="N4" s="374">
        <f t="shared" ref="N4:N43" ca="1" si="3">((100000/((1+C4-$Q$2)^(T4/252)))-(100000/((1+C4+$Q$2)^(T4/252))))/(2*P4*$Q$2)</f>
        <v>2.2016879507391736E-2</v>
      </c>
      <c r="O4" s="374">
        <f t="shared" ref="O4:O43" ca="1" si="4">(((100000/((1+C4-$P$2)^(T4/252)))+(100000/((1+C4+$P$2)^(T4/252))))-2*P4)/(2*P4*$P$2^2)</f>
        <v>1.0421987701674759E-2</v>
      </c>
      <c r="P4" s="126">
        <f t="shared" ref="P4:P43" ca="1" si="5">100000/((1+C4)^(T4/252))</f>
        <v>99813.801531148289</v>
      </c>
      <c r="Q4" s="125">
        <f t="shared" ref="Q4:Q43" ca="1" si="6">100000/P4-1</f>
        <v>1.8654581430164185E-3</v>
      </c>
      <c r="R4" s="375">
        <f t="shared" ref="R4:R46" ca="1" si="7">L4/(((100000/((1+C4-$P$2)^(T4/252)))-(100000/((1+C4+$P$2)^(T4/252))))/2)*IF($F$2="X",1,$C$1)</f>
        <v>45504.425720577696</v>
      </c>
      <c r="S4" s="51">
        <f>AuxilioDados!Y58</f>
        <v>43010</v>
      </c>
      <c r="T4" s="54">
        <f ca="1">AuxilioDados!T58-$L$2</f>
        <v>6</v>
      </c>
      <c r="U4" s="179">
        <f ca="1">T4</f>
        <v>6</v>
      </c>
      <c r="V4" s="376">
        <f t="shared" ref="V4:V46" si="8">A4</f>
        <v>1</v>
      </c>
      <c r="W4" s="377" t="str">
        <f>IF(ISERROR(VLOOKUP(A4,AuxilioDados!$R$1:$S$1810,2,FALSE)),"",(VLOOKUP(A4,AuxilioDados!$R$1:$S$1810,2,FALSE)))</f>
        <v>DI1V17</v>
      </c>
      <c r="X4" s="145">
        <f t="shared" ref="X4:X45" si="9">C4</f>
        <v>8.1421364545830377E-2</v>
      </c>
      <c r="Y4" s="377">
        <f>_xll.BDP(CONCATENATE("OD",RIGHT(W4,3)," COMDTY"),"last_price")</f>
        <v>8.14</v>
      </c>
      <c r="Z4" s="377">
        <f>_xll.BDP(CONCATENATE("OD",RIGHT(W4,3)," COMDTY"),"BID")</f>
        <v>8.1389999999999993</v>
      </c>
      <c r="AA4" s="377">
        <f>_xll.BDP(CONCATENATE("OD",RIGHT(W4,3)," COMDTY"),"ASK")</f>
        <v>8.1419999999999995</v>
      </c>
      <c r="AB4" s="377">
        <f>_xll.BDP(CONCATENATE("OD",RIGHT(W4,3)," COMDTY"),"PREV_CLOSE_VAL")</f>
        <v>8.1419999999999995</v>
      </c>
      <c r="AC4" s="378">
        <f>_xll.BDP(CONCATENATE("OD",RIGHT(W4,3)," COMDTY"),"PX_LAST")</f>
        <v>8.14</v>
      </c>
      <c r="AD4" s="379">
        <f>_xll.BDP(CONCATENATE("OD",RIGHT(W4,3)," COMDTY"),"time")+1-1</f>
        <v>0.49797453703703698</v>
      </c>
      <c r="AE4" s="377">
        <f ca="1">IF(ISERROR((((IF(AD4=$V$3,$V$2,$W$2)-AD4)*24*60))),24*60,(IF(AD4=$V$3,$V$2,$W$2)-AD4)*24*60)</f>
        <v>152.80133333095978</v>
      </c>
      <c r="AF4" s="5">
        <f ca="1">T4-'NTN-F'!$E$3</f>
        <v>5</v>
      </c>
      <c r="AG4" s="380">
        <f t="shared" ref="AG4:AG45" ca="1" si="10">(((C4+1)^((T4+$L$2)/252))/((1+$B$2)^($L$2/252)))^(252/T4)-1</f>
        <v>8.1424925344496302E-2</v>
      </c>
      <c r="AH4" s="127">
        <f ca="1">IF(ISERROR(IF(B4="",AH3,VLOOKUP(S4,AuxilioDados!$M$1:$P$65524,3,FALSE))),VLOOKUP(S4,AuxilioDados!$Y$58:$AA$98,3,FALSE),(IF(B4="",AH3,VLOOKUP(S4,AuxilioDados!$M$1:$P$65524,3,FALSE))))</f>
        <v>8.1418312442013141E-2</v>
      </c>
      <c r="AI4" s="114">
        <f t="shared" ref="AI4:AI46" ca="1" si="11">(((AH4+1)^((T4+$L$2)/252))/((1+$B$2)^($L$2/252)))^(252/T4)-1</f>
        <v>8.1421364545830377E-2</v>
      </c>
      <c r="AJ4" s="5"/>
      <c r="AK4" s="128" t="str">
        <f>B4</f>
        <v>DI1V17</v>
      </c>
      <c r="AL4" s="37">
        <f t="shared" ref="AL4:AL13" ca="1" si="12">VLOOKUP(AK4,$B$4:$U$43,19,FALSE)</f>
        <v>6</v>
      </c>
      <c r="AM4" s="129">
        <f ca="1">IF(VLOOKUP(AK4,$AT$4:$BD$54,4,FALSE)=0,IF(VLOOKUP(AK4,$AT$4:$BD$54,5,FALSE)=0,IF(VLOOKUP(AK4,$AT$4:$BD$54,6,FALSE)=0,B2+AQ4,VLOOKUP(AK4,$AT$4:$BD$54,6,FALSE)),VLOOKUP(AK4,$AT$4:$BD$54,5,FALSE)),VLOOKUP(AK4,$AT$4:$BD$54,4,FALSE))</f>
        <v>8.1421364545830377E-2</v>
      </c>
      <c r="AN4" s="129">
        <f t="shared" ref="AN4:AN13" si="13">VLOOKUP(AK4,$B$4:$G$48,6,FALSE)</f>
        <v>8.1421364545830377E-2</v>
      </c>
      <c r="AO4" s="130">
        <f ca="1">AM4-AN4</f>
        <v>0</v>
      </c>
      <c r="AP4" s="130">
        <f>VLOOKUP(AK4,$B$4:$C$43,2,FALSE)-G3</f>
        <v>2.1364545830376835E-5</v>
      </c>
      <c r="AQ4" s="131">
        <v>2.1364545830376835E-5</v>
      </c>
      <c r="AR4" s="381">
        <f t="shared" ref="AR4:AR13" ca="1" si="14">AL5</f>
        <v>6</v>
      </c>
      <c r="AS4" s="312">
        <f t="shared" ref="AS4:AS43" ca="1" si="15">((100000/((1+C4)^(T4/252)))*((1+$B$2)^(1/252)))-(100000/(1+C4)^((T4-1)/252))</f>
        <v>-7.8275878331623971E-3</v>
      </c>
      <c r="AT4" s="132" t="str">
        <f t="shared" ref="AT4:AT43" si="16">B4</f>
        <v>DI1V17</v>
      </c>
      <c r="AU4" s="55">
        <f t="shared" ref="AU4:AU43" ca="1" si="17">IF(ISERROR(VLOOKUP(AT4,$AK$4:$AM$14,3,FALSE)),IF(AW4=0,IF(AX4=0,IF(AY4=0,AU3+H4,AY4),AX4),AW4),((VLOOKUP(AT4,$AK$4:$AM$14,3,FALSE))))</f>
        <v>8.1421364545830377E-2</v>
      </c>
      <c r="AV4" s="114" t="e">
        <f ca="1">_xll.Interpolate($AL$4:$AL$13,$AM$4:$AM$13,T4)-_xll.Interpolate($AL$4:$AL$13,$AN$4:$AN$13,T4)</f>
        <v>#NUM!</v>
      </c>
      <c r="AW4" s="55">
        <f t="shared" ref="AW4:AW43" ca="1" si="18">IF(AND(D4&lt;E4,E4&lt;&gt;"",AE4&lt;$S$2,AE4&lt;&gt;""),E4,IF(AND(D4&gt;F4,F4&lt;&gt;"",AE4&lt;$S$2,AE4&lt;&gt;""),F4,0))</f>
        <v>0</v>
      </c>
      <c r="AX4" s="55">
        <f t="shared" ref="AX4:AX43" ca="1" si="19">IF(AW4=0,IF(AND(AE4&gt;=0,AE4&lt;$R$2,AE4&lt;&gt;""),D4,0),0)</f>
        <v>0</v>
      </c>
      <c r="AY4" s="8">
        <f t="shared" ref="AY4:AY43" ca="1" si="20">IF(AND(D4&lt;=F4,D4&gt;=E4,AE4&lt;$S$2,AE4&lt;&gt;""),D4,0)</f>
        <v>0</v>
      </c>
      <c r="AZ4" s="99">
        <f ca="1">IF(AW4=0,IF(AX4=0,IF(AY4=0,B2+H4,AY4),AX4),AW4)</f>
        <v>8.1421364545830377E-2</v>
      </c>
      <c r="BA4" s="99">
        <f t="shared" ref="BA4:BA43" ca="1" si="21">IF(AND(AZ4&gt;F4,F4&lt;&gt;""),F4,0)</f>
        <v>8.1419999999999992E-2</v>
      </c>
      <c r="BB4" s="55">
        <f t="shared" ref="BB4:BB43" ca="1" si="22">IF(AND(AZ4&lt;E4,E4&lt;&gt;""),E4,0)</f>
        <v>0</v>
      </c>
      <c r="BC4" s="134">
        <f ca="1">IF(BB4&lt;&gt;0,BB4,IF(BA4&lt;&gt;0,BA4,AZ4))</f>
        <v>8.1419999999999992E-2</v>
      </c>
      <c r="BD4" s="135">
        <f t="shared" ref="BD4:BD43" ca="1" si="23">BC4-AZ4</f>
        <v>-1.3645458303845892E-6</v>
      </c>
      <c r="BE4" s="208">
        <f t="shared" ref="BE4:BE43" ca="1" si="24">(100000-100000/((1+AI4)^(T4/252)))*3%*(1-$BE$2)</f>
        <v>5.5859540655513453E-3</v>
      </c>
      <c r="BF4" s="312">
        <f>IF(ISERROR(_xll.BDP(CONCATENATE("OD",RIGHT(W4,3)," COMDTY"),"volume")+1-1),0,(_xll.BDP(CONCATENATE("OD",RIGHT(W4,3)," COMDTY"),"volume")+1-1))</f>
        <v>26076</v>
      </c>
      <c r="BG4" s="312">
        <f t="shared" ref="BG4:BG43" ca="1" si="25">BF4*M4/L4</f>
        <v>5730.431620018906</v>
      </c>
      <c r="BH4" s="5">
        <f t="shared" ref="BH4:BH43" ca="1" si="26">M4/L4</f>
        <v>0.21975884414860047</v>
      </c>
      <c r="BI4" s="5"/>
      <c r="BJ4" s="312">
        <f ca="1">(_xll.Spline($T$3:$T$35, $AH$3:$AH$35,T4-1)-AH4)*-10000</f>
        <v>-1.0898143474880051E-2</v>
      </c>
      <c r="BK4" s="312">
        <f t="shared" ref="BK4:BK35" ca="1" si="27">(AI4-AH4)*10000</f>
        <v>3.0521038172359738E-2</v>
      </c>
      <c r="BL4" s="308">
        <f t="shared" ref="BL4:BL35" ca="1" si="28">BK4+BJ4</f>
        <v>1.9622894697479687E-2</v>
      </c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</row>
    <row r="5" spans="1:77" s="188" customFormat="1" ht="13.5" customHeight="1" thickBot="1" x14ac:dyDescent="0.25">
      <c r="A5" s="382">
        <v>2</v>
      </c>
      <c r="B5" s="47" t="str">
        <f t="shared" ref="B5:B32" si="29">W5</f>
        <v>DI1X17</v>
      </c>
      <c r="C5" s="48">
        <f t="shared" si="0"/>
        <v>8.0311494279510676E-2</v>
      </c>
      <c r="D5" s="48">
        <f t="shared" ref="D5:D32" si="30">IF(ISERROR(Y5/100),"",Y5/100)</f>
        <v>8.0350000000000005E-2</v>
      </c>
      <c r="E5" s="48">
        <f t="shared" ref="E5:F20" si="31">IF(ISERROR(IF(Z5=0,"",Z5/100)),"",IF(Z5=0,"",Z5/100))</f>
        <v>8.005000000000001E-2</v>
      </c>
      <c r="F5" s="48">
        <f t="shared" si="31"/>
        <v>8.0350000000000005E-2</v>
      </c>
      <c r="G5" s="136">
        <v>8.0311494279510676E-2</v>
      </c>
      <c r="H5" s="137">
        <v>-1.1098702663197013E-3</v>
      </c>
      <c r="I5" s="138">
        <f t="shared" ref="I5:I43" si="32">C5-C4</f>
        <v>-1.1098702663197013E-3</v>
      </c>
      <c r="J5" s="138">
        <f t="shared" si="1"/>
        <v>0</v>
      </c>
      <c r="K5" s="139">
        <f t="shared" ref="K5:K43" ca="1" si="33">(1+(1+Q5)/(1+Q4)-1)^(252/U5)-1</f>
        <v>7.9994597756771091E-2</v>
      </c>
      <c r="L5" s="383">
        <v>10000</v>
      </c>
      <c r="M5" s="384">
        <f t="shared" ca="1" si="2"/>
        <v>9836.0265541123226</v>
      </c>
      <c r="N5" s="361">
        <f t="shared" ca="1" si="3"/>
        <v>9.917774462882141E-2</v>
      </c>
      <c r="O5" s="361">
        <f t="shared" ca="1" si="4"/>
        <v>5.0820512099097645E-2</v>
      </c>
      <c r="P5" s="40">
        <f t="shared" ca="1" si="5"/>
        <v>99175.74341828638</v>
      </c>
      <c r="Q5" s="139">
        <f t="shared" ca="1" si="6"/>
        <v>8.3110703616025017E-3</v>
      </c>
      <c r="R5" s="385">
        <f t="shared" ca="1" si="7"/>
        <v>10166.706997978896</v>
      </c>
      <c r="S5" s="52">
        <f>AuxilioDados!Y59</f>
        <v>43040</v>
      </c>
      <c r="T5" s="37">
        <f ca="1">AuxilioDados!T59-$L$2</f>
        <v>27</v>
      </c>
      <c r="U5" s="386">
        <f t="shared" ref="U5:U46" ca="1" si="34">T5-T4</f>
        <v>21</v>
      </c>
      <c r="V5" s="376">
        <f t="shared" si="8"/>
        <v>2</v>
      </c>
      <c r="W5" s="385" t="str">
        <f>IF(ISERROR(VLOOKUP(A5,AuxilioDados!$R$1:$S$1810,2,FALSE)),"",(VLOOKUP(A5,AuxilioDados!$R$1:$S$1810,2,FALSE)))</f>
        <v>DI1X17</v>
      </c>
      <c r="X5" s="98">
        <f t="shared" si="9"/>
        <v>8.0311494279510676E-2</v>
      </c>
      <c r="Y5" s="385">
        <f>_xll.BDP(CONCATENATE("OD",RIGHT(W5,3)," COMDTY"),"last_price")</f>
        <v>8.0350000000000001</v>
      </c>
      <c r="Z5" s="385">
        <f>_xll.BDP(CONCATENATE("OD",RIGHT(W5,3)," COMDTY"),"BID")</f>
        <v>8.0050000000000008</v>
      </c>
      <c r="AA5" s="385">
        <f>_xll.BDP(CONCATENATE("OD",RIGHT(W5,3)," COMDTY"),"ASK")</f>
        <v>8.0350000000000001</v>
      </c>
      <c r="AB5" s="385">
        <f>_xll.BDP(CONCATENATE("OD",RIGHT(W5,3)," COMDTY"),"PREV_CLOSE_VAL")</f>
        <v>8.0350000000000001</v>
      </c>
      <c r="AC5" s="385">
        <f>_xll.BDP(CONCATENATE("OD",RIGHT(W5,3)," COMDTY"),"PX_LAST")</f>
        <v>8.0350000000000001</v>
      </c>
      <c r="AD5" s="387">
        <f>_xll.BDP(CONCATENATE("OD",RIGHT(W5,3)," COMDTY"),"time")+1-1</f>
        <v>0.58578703703703705</v>
      </c>
      <c r="AE5" s="385">
        <f ca="1">IF(ISERROR((((IF(AD5=$V$3,$V$2,$W$2)-AD5)*24*60))),24*60,(IF(AD5=$V$3,$V$2,$W$2)-AD5)*24*60)</f>
        <v>26.351333330959683</v>
      </c>
      <c r="AF5" s="5">
        <f ca="1">T5-'NTN-F'!$E$3</f>
        <v>26</v>
      </c>
      <c r="AG5" s="380">
        <f t="shared" ca="1" si="10"/>
        <v>8.0271200301072154E-2</v>
      </c>
      <c r="AH5" s="127">
        <f ca="1">IF(ISERROR(IF(B5="",AH4,VLOOKUP(S5,AuxilioDados!$M$1:$P$65524,3,FALSE))),VLOOKUP(S5,AuxilioDados!$Y$58:$AA$98,3,FALSE),(IF(B5="",AH4,VLOOKUP(S5,AuxilioDados!$M$1:$P$65524,3,FALSE))))</f>
        <v>8.0350350610693289E-2</v>
      </c>
      <c r="AI5" s="114">
        <f t="shared" ca="1" si="11"/>
        <v>8.0311494279510676E-2</v>
      </c>
      <c r="AJ5" s="231"/>
      <c r="AK5" s="128" t="s">
        <v>206</v>
      </c>
      <c r="AL5" s="37">
        <f t="shared" ca="1" si="12"/>
        <v>6</v>
      </c>
      <c r="AM5" s="129">
        <f t="shared" ref="AM5:AM13" ca="1" si="35">IF(VLOOKUP(AK5,$AT$4:$BD$54,4,FALSE)=0,IF(VLOOKUP(AK5,$AT$4:$BD$54,5,FALSE)=0,IF(VLOOKUP(AK5,$AT$4:$BD$54,6,FALSE)=0,AM4+AQ5,VLOOKUP(AK5,$AT$4:$BD$54,6,FALSE)),VLOOKUP(AK5,$AT$4:$BD$54,5,FALSE)),VLOOKUP(AK5,$AT$4:$BD$54,4,FALSE))</f>
        <v>8.1421364545830377E-2</v>
      </c>
      <c r="AN5" s="129">
        <f t="shared" si="13"/>
        <v>8.1421364545830377E-2</v>
      </c>
      <c r="AO5" s="130">
        <f t="shared" ref="AO5:AO13" ca="1" si="36">AM5-AN5</f>
        <v>0</v>
      </c>
      <c r="AP5" s="130">
        <f>AN5-AN4</f>
        <v>0</v>
      </c>
      <c r="AQ5" s="131">
        <v>0</v>
      </c>
      <c r="AR5" s="381">
        <f t="shared" ca="1" si="14"/>
        <v>67</v>
      </c>
      <c r="AS5" s="312">
        <f t="shared" ca="1" si="15"/>
        <v>0.39646233906387351</v>
      </c>
      <c r="AT5" s="132" t="str">
        <f t="shared" si="16"/>
        <v>DI1X17</v>
      </c>
      <c r="AU5" s="55">
        <f t="shared" ca="1" si="17"/>
        <v>8.0350000000000005E-2</v>
      </c>
      <c r="AV5" s="114" t="e">
        <f ca="1">_xll.Interpolate($AL$4:$AL$13,$AM$4:$AM$13,T5)-_xll.Interpolate($AL$4:$AL$13,$AN$4:$AN$13,T5)</f>
        <v>#NUM!</v>
      </c>
      <c r="AW5" s="55">
        <f t="shared" ca="1" si="18"/>
        <v>0</v>
      </c>
      <c r="AX5" s="55">
        <f t="shared" ca="1" si="19"/>
        <v>8.0350000000000005E-2</v>
      </c>
      <c r="AY5" s="8">
        <f t="shared" ca="1" si="20"/>
        <v>8.0350000000000005E-2</v>
      </c>
      <c r="AZ5" s="99">
        <f t="shared" ref="AZ5:AZ43" ca="1" si="37">IF(AW5=0,IF(AX5=0,IF(AY5=0,AV5+G5,AY5),AX5),AW5)</f>
        <v>8.0350000000000005E-2</v>
      </c>
      <c r="BA5" s="99">
        <f t="shared" ca="1" si="21"/>
        <v>0</v>
      </c>
      <c r="BB5" s="55">
        <f t="shared" ca="1" si="22"/>
        <v>0</v>
      </c>
      <c r="BC5" s="134">
        <f ca="1">IF(BB5&lt;&gt;0,BB5,IF(BA5&lt;&gt;0,BA5,AZ5))</f>
        <v>8.0350000000000005E-2</v>
      </c>
      <c r="BD5" s="135">
        <f t="shared" ca="1" si="23"/>
        <v>0</v>
      </c>
      <c r="BE5" s="208">
        <f t="shared" ca="1" si="24"/>
        <v>2.4727697451408626E-2</v>
      </c>
      <c r="BF5" s="312">
        <f>IF(ISERROR(_xll.BDP(CONCATENATE("OD",RIGHT(W5,3)," COMDTY"),"volume")+1-1),0,(_xll.BDP(CONCATENATE("OD",RIGHT(W5,3)," COMDTY"),"volume")+1-1))</f>
        <v>3360</v>
      </c>
      <c r="BG5" s="312">
        <f t="shared" ca="1" si="25"/>
        <v>3304.9049221817404</v>
      </c>
      <c r="BH5" s="5">
        <f t="shared" ca="1" si="26"/>
        <v>0.98360265541123226</v>
      </c>
      <c r="BI5" s="5"/>
      <c r="BJ5" s="312">
        <f ca="1">(_xll.Spline($T$3:$T$35, $AH$3:$AH$35,T5-1)-AH5)*-10000</f>
        <v>-1.0223673757474294</v>
      </c>
      <c r="BK5" s="312">
        <f t="shared" ca="1" si="27"/>
        <v>-0.38856331182612891</v>
      </c>
      <c r="BL5" s="308">
        <f t="shared" ca="1" si="28"/>
        <v>-1.4109306875735583</v>
      </c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</row>
    <row r="6" spans="1:77" s="188" customFormat="1" ht="13.5" customHeight="1" thickBot="1" x14ac:dyDescent="0.25">
      <c r="A6" s="388">
        <v>3</v>
      </c>
      <c r="B6" s="49" t="str">
        <f t="shared" si="29"/>
        <v>DI1Z17</v>
      </c>
      <c r="C6" s="50">
        <f t="shared" si="0"/>
        <v>7.7621566084981719E-2</v>
      </c>
      <c r="D6" s="50">
        <f t="shared" si="30"/>
        <v>7.7800000000000008E-2</v>
      </c>
      <c r="E6" s="50">
        <f t="shared" si="31"/>
        <v>7.7800000000000008E-2</v>
      </c>
      <c r="F6" s="50">
        <f t="shared" si="31"/>
        <v>7.8030000000000002E-2</v>
      </c>
      <c r="G6" s="140">
        <v>7.7621566084981719E-2</v>
      </c>
      <c r="H6" s="141">
        <v>-2.6899281945289566E-3</v>
      </c>
      <c r="I6" s="142">
        <f t="shared" si="32"/>
        <v>-2.6899281945289566E-3</v>
      </c>
      <c r="J6" s="142">
        <f t="shared" si="1"/>
        <v>0</v>
      </c>
      <c r="K6" s="143">
        <f t="shared" ca="1" si="33"/>
        <v>7.4000784324981028E-2</v>
      </c>
      <c r="L6" s="389">
        <v>10000</v>
      </c>
      <c r="M6" s="390">
        <f t="shared" ca="1" si="2"/>
        <v>17067.732467112364</v>
      </c>
      <c r="N6" s="391">
        <f t="shared" ca="1" si="3"/>
        <v>0.17307368660065475</v>
      </c>
      <c r="O6" s="391">
        <f t="shared" ca="1" si="4"/>
        <v>9.5280805599986154E-2</v>
      </c>
      <c r="P6" s="144">
        <f t="shared" ca="1" si="5"/>
        <v>98615.40943825827</v>
      </c>
      <c r="Q6" s="143">
        <f t="shared" ca="1" si="6"/>
        <v>1.4040306374315747E-2</v>
      </c>
      <c r="R6" s="377">
        <f t="shared" ca="1" si="7"/>
        <v>5859.0091093054662</v>
      </c>
      <c r="S6" s="53">
        <f>AuxilioDados!Y60</f>
        <v>43070</v>
      </c>
      <c r="T6" s="54">
        <f ca="1">AuxilioDados!T60-$L$2</f>
        <v>47</v>
      </c>
      <c r="U6" s="392">
        <f t="shared" ca="1" si="34"/>
        <v>20</v>
      </c>
      <c r="V6" s="376">
        <f t="shared" si="8"/>
        <v>3</v>
      </c>
      <c r="W6" s="377" t="str">
        <f>IF(ISERROR(VLOOKUP(A6,AuxilioDados!$R$1:$S$1810,2,FALSE)),"",(VLOOKUP(A6,AuxilioDados!$R$1:$S$1810,2,FALSE)))</f>
        <v>DI1Z17</v>
      </c>
      <c r="X6" s="145">
        <f>C6</f>
        <v>7.7621566084981719E-2</v>
      </c>
      <c r="Y6" s="377">
        <f>_xll.BDP(CONCATENATE("OD",RIGHT(W6,3)," COMDTY"),"last_price")</f>
        <v>7.78</v>
      </c>
      <c r="Z6" s="377">
        <f>_xll.BDP(CONCATENATE("OD",RIGHT(W6,3)," COMDTY"),"BID")</f>
        <v>7.78</v>
      </c>
      <c r="AA6" s="377">
        <f>_xll.BDP(CONCATENATE("OD",RIGHT(W6,3)," COMDTY"),"ASK")</f>
        <v>7.8029999999999999</v>
      </c>
      <c r="AB6" s="377">
        <f>_xll.BDP(CONCATENATE("OD",RIGHT(W6,3)," COMDTY"),"PREV_CLOSE_VAL")</f>
        <v>7.77</v>
      </c>
      <c r="AC6" s="377">
        <f>_xll.BDP(CONCATENATE("OD",RIGHT(W6,3)," COMDTY"),"PX_LAST")</f>
        <v>7.78</v>
      </c>
      <c r="AD6" s="379">
        <f>_xll.BDP(CONCATENATE("OD",RIGHT(W6,3)," COMDTY"),"time")+1-1</f>
        <v>0.51271990740740758</v>
      </c>
      <c r="AE6" s="377">
        <v>3</v>
      </c>
      <c r="AF6" s="5">
        <f ca="1">T6-'NTN-F'!$E$3</f>
        <v>46</v>
      </c>
      <c r="AG6" s="380">
        <f t="shared" ca="1" si="10"/>
        <v>7.7541317472041627E-2</v>
      </c>
      <c r="AH6" s="127">
        <f ca="1">IF(ISERROR(IF(B6="",AH5,VLOOKUP(S6,AuxilioDados!$M$1:$P$65524,3,FALSE))),VLOOKUP(S6,AuxilioDados!$Y$58:$AA$98,3,FALSE),(IF(B6="",AH5,VLOOKUP(S6,AuxilioDados!$M$1:$P$65524,3,FALSE))))</f>
        <v>7.7700148642769529E-2</v>
      </c>
      <c r="AI6" s="114">
        <f t="shared" ca="1" si="11"/>
        <v>7.7621566084981719E-2</v>
      </c>
      <c r="AJ6" s="393"/>
      <c r="AK6" s="128" t="s">
        <v>172</v>
      </c>
      <c r="AL6" s="37">
        <f t="shared" ca="1" si="12"/>
        <v>67</v>
      </c>
      <c r="AM6" s="129">
        <f t="shared" ca="1" si="35"/>
        <v>7.5499999999999998E-2</v>
      </c>
      <c r="AN6" s="129">
        <f t="shared" si="13"/>
        <v>7.5564586424080815E-2</v>
      </c>
      <c r="AO6" s="130">
        <f t="shared" ca="1" si="36"/>
        <v>-6.4586424080817495E-5</v>
      </c>
      <c r="AP6" s="130">
        <f t="shared" ref="AP6:AP13" si="38">AN6-AN5</f>
        <v>-5.8567781217495618E-3</v>
      </c>
      <c r="AQ6" s="131">
        <v>-5.8567781217495618E-3</v>
      </c>
      <c r="AR6" s="381">
        <f t="shared" ca="1" si="14"/>
        <v>317</v>
      </c>
      <c r="AS6" s="312">
        <f t="shared" ca="1" si="15"/>
        <v>1.3701287558942568</v>
      </c>
      <c r="AT6" s="132" t="str">
        <f t="shared" si="16"/>
        <v>DI1Z17</v>
      </c>
      <c r="AU6" s="55">
        <f t="shared" si="17"/>
        <v>7.7800000000000008E-2</v>
      </c>
      <c r="AV6" s="114" t="e">
        <f ca="1">_xll.Interpolate($AL$4:$AL$13,$AM$4:$AM$13,T6)-_xll.Interpolate($AL$4:$AL$13,$AN$4:$AN$13,T6)</f>
        <v>#NUM!</v>
      </c>
      <c r="AW6" s="55">
        <f t="shared" si="18"/>
        <v>0</v>
      </c>
      <c r="AX6" s="55">
        <f t="shared" si="19"/>
        <v>7.7800000000000008E-2</v>
      </c>
      <c r="AY6" s="8">
        <f t="shared" si="20"/>
        <v>7.7800000000000008E-2</v>
      </c>
      <c r="AZ6" s="99">
        <f t="shared" si="37"/>
        <v>7.7800000000000008E-2</v>
      </c>
      <c r="BA6" s="99">
        <f t="shared" si="21"/>
        <v>0</v>
      </c>
      <c r="BB6" s="55">
        <f t="shared" si="22"/>
        <v>0</v>
      </c>
      <c r="BC6" s="134">
        <f>IF(BB6&lt;&gt;0,BB6,IF(BA6&lt;&gt;0,BA6,AZ6))</f>
        <v>7.7800000000000008E-2</v>
      </c>
      <c r="BD6" s="135">
        <f t="shared" si="23"/>
        <v>0</v>
      </c>
      <c r="BE6" s="208">
        <f t="shared" ca="1" si="24"/>
        <v>4.1537716852251938E-2</v>
      </c>
      <c r="BF6" s="312">
        <f>IF(ISERROR(_xll.BDP(CONCATENATE("OD",RIGHT(W6,3)," COMDTY"),"volume")+1-1),0,(_xll.BDP(CONCATENATE("OD",RIGHT(W6,3)," COMDTY"),"volume")+1-1))</f>
        <v>25</v>
      </c>
      <c r="BG6" s="312">
        <f t="shared" ca="1" si="25"/>
        <v>42.669331167780911</v>
      </c>
      <c r="BH6" s="5">
        <f t="shared" ca="1" si="26"/>
        <v>1.7067732467112364</v>
      </c>
      <c r="BI6" s="5"/>
      <c r="BJ6" s="312">
        <f ca="1">(_xll.Spline($T$3:$T$35, $AH$3:$AH$35,T6-1)-AH6)*-10000</f>
        <v>-1.3119761386008733</v>
      </c>
      <c r="BK6" s="312">
        <f t="shared" ca="1" si="27"/>
        <v>-0.78582557787809648</v>
      </c>
      <c r="BL6" s="308">
        <f t="shared" ca="1" si="28"/>
        <v>-2.09780171647897</v>
      </c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</row>
    <row r="7" spans="1:77" s="188" customFormat="1" ht="13.5" customHeight="1" thickBot="1" x14ac:dyDescent="0.25">
      <c r="A7" s="382">
        <v>4</v>
      </c>
      <c r="B7" s="47" t="str">
        <f t="shared" si="29"/>
        <v>DI1F18</v>
      </c>
      <c r="C7" s="48">
        <f t="shared" si="0"/>
        <v>7.5564586424080815E-2</v>
      </c>
      <c r="D7" s="48">
        <f>IF(ISERROR(Y7/100),"",Y7/100)</f>
        <v>7.5499999999999998E-2</v>
      </c>
      <c r="E7" s="48">
        <f t="shared" si="31"/>
        <v>7.5499999999999998E-2</v>
      </c>
      <c r="F7" s="48">
        <f t="shared" si="31"/>
        <v>7.5549999999999992E-2</v>
      </c>
      <c r="G7" s="136">
        <v>7.5564586424080815E-2</v>
      </c>
      <c r="H7" s="137">
        <v>-2.0569796609009039E-3</v>
      </c>
      <c r="I7" s="138">
        <f t="shared" si="32"/>
        <v>-2.0569796609009039E-3</v>
      </c>
      <c r="J7" s="138">
        <f t="shared" si="1"/>
        <v>0</v>
      </c>
      <c r="K7" s="139">
        <f t="shared" ca="1" si="33"/>
        <v>7.0746126210434079E-2</v>
      </c>
      <c r="L7" s="383">
        <v>10000</v>
      </c>
      <c r="M7" s="384">
        <f t="shared" ca="1" si="2"/>
        <v>24245.239534066059</v>
      </c>
      <c r="N7" s="361">
        <f t="shared" ca="1" si="3"/>
        <v>0.2471939112972017</v>
      </c>
      <c r="O7" s="361">
        <f t="shared" ca="1" si="4"/>
        <v>0.14546595783095634</v>
      </c>
      <c r="P7" s="40">
        <f t="shared" ca="1" si="5"/>
        <v>98081.863775827223</v>
      </c>
      <c r="Q7" s="139">
        <f t="shared" ca="1" si="6"/>
        <v>1.9556482211194659E-2</v>
      </c>
      <c r="R7" s="385">
        <f t="shared" ca="1" si="7"/>
        <v>4124.52101615634</v>
      </c>
      <c r="S7" s="52">
        <f>AuxilioDados!Y61</f>
        <v>43102</v>
      </c>
      <c r="T7" s="37">
        <f ca="1">AuxilioDados!T61-$L$2</f>
        <v>67</v>
      </c>
      <c r="U7" s="386">
        <f t="shared" ca="1" si="34"/>
        <v>20</v>
      </c>
      <c r="V7" s="376">
        <f t="shared" si="8"/>
        <v>4</v>
      </c>
      <c r="W7" s="384" t="str">
        <f>IF(ISERROR(VLOOKUP(A7,AuxilioDados!$R$1:$S$1810,2,FALSE)),"",(VLOOKUP(A7,AuxilioDados!$R$1:$S$1810,2,FALSE)))</f>
        <v>DI1F18</v>
      </c>
      <c r="X7" s="98">
        <f>C7</f>
        <v>7.5564586424080815E-2</v>
      </c>
      <c r="Y7" s="385">
        <f>_xll.BDP(CONCATENATE("OD",RIGHT(W7,3)," COMDTY"),"last_price")</f>
        <v>7.55</v>
      </c>
      <c r="Z7" s="385">
        <f>_xll.BDP(CONCATENATE("OD",RIGHT(W7,3)," COMDTY"),"BID")</f>
        <v>7.55</v>
      </c>
      <c r="AA7" s="385">
        <f>_xll.BDP(CONCATENATE("OD",RIGHT(W7,3)," COMDTY"),"ASK")</f>
        <v>7.5549999999999997</v>
      </c>
      <c r="AB7" s="385">
        <f>_xll.BDP(CONCATENATE("OD",RIGHT(W7,3)," COMDTY"),"PREV_CLOSE_VAL")</f>
        <v>7.5649999999999995</v>
      </c>
      <c r="AC7" s="385">
        <f>_xll.BDP(CONCATENATE("OD",RIGHT(W7,3)," COMDTY"),"PX_LAST")</f>
        <v>7.55</v>
      </c>
      <c r="AD7" s="387">
        <f>_xll.BDP(CONCATENATE("OD",RIGHT(W7,3)," COMDTY"),"time")+1-1</f>
        <v>0.57799768518518535</v>
      </c>
      <c r="AE7" s="385">
        <f ca="1">IF(ISERROR((((IF(AD7=$V$3,$V$2,$W$2)-AD7)*24*60))),24*60,(IF(AD7=$V$3,$V$2,$W$2)-AD7)*24*60)</f>
        <v>37.567999997626131</v>
      </c>
      <c r="AF7" s="5">
        <f ca="1">T7-'NTN-F'!$E$3</f>
        <v>66</v>
      </c>
      <c r="AG7" s="380">
        <f t="shared" ca="1" si="10"/>
        <v>7.547772962160848E-2</v>
      </c>
      <c r="AH7" s="127">
        <f ca="1">IF(ISERROR(IF(B7="",AH6,VLOOKUP(S7,AuxilioDados!$M$1:$P$65524,3,FALSE))),VLOOKUP(S7,AuxilioDados!$Y$58:$AA$98,3,FALSE),(IF(B7="",AH6,VLOOKUP(S7,AuxilioDados!$M$1:$P$65524,3,FALSE))))</f>
        <v>7.5650172781308589E-2</v>
      </c>
      <c r="AI7" s="114">
        <f t="shared" ca="1" si="11"/>
        <v>7.5564586424080815E-2</v>
      </c>
      <c r="AJ7" s="312"/>
      <c r="AK7" s="128" t="s">
        <v>208</v>
      </c>
      <c r="AL7" s="37">
        <f t="shared" ca="1" si="12"/>
        <v>317</v>
      </c>
      <c r="AM7" s="129">
        <f t="shared" ca="1" si="35"/>
        <v>7.2900000000000006E-2</v>
      </c>
      <c r="AN7" s="129">
        <f t="shared" si="13"/>
        <v>7.2973606708275129E-2</v>
      </c>
      <c r="AO7" s="130">
        <f t="shared" ca="1" si="36"/>
        <v>-7.3606708275122945E-5</v>
      </c>
      <c r="AP7" s="130">
        <f t="shared" si="38"/>
        <v>-2.5909797158056858E-3</v>
      </c>
      <c r="AQ7" s="131">
        <v>-2.5909797158056858E-3</v>
      </c>
      <c r="AR7" s="381">
        <f t="shared" ca="1" si="14"/>
        <v>570</v>
      </c>
      <c r="AS7" s="312">
        <f t="shared" ca="1" si="15"/>
        <v>2.1065804769168608</v>
      </c>
      <c r="AT7" s="132" t="str">
        <f t="shared" si="16"/>
        <v>DI1F18</v>
      </c>
      <c r="AU7" s="55">
        <f t="shared" ca="1" si="17"/>
        <v>7.5499999999999998E-2</v>
      </c>
      <c r="AV7" s="114" t="e">
        <f ca="1">_xll.Interpolate($AL$4:$AL$13,$AM$4:$AM$13,T7)-_xll.Interpolate($AL$4:$AL$13,$AN$4:$AN$13,T7)</f>
        <v>#NUM!</v>
      </c>
      <c r="AW7" s="55">
        <f t="shared" ca="1" si="18"/>
        <v>0</v>
      </c>
      <c r="AX7" s="55">
        <f t="shared" ca="1" si="19"/>
        <v>7.5499999999999998E-2</v>
      </c>
      <c r="AY7" s="8">
        <f t="shared" ca="1" si="20"/>
        <v>0</v>
      </c>
      <c r="AZ7" s="99">
        <f t="shared" ca="1" si="37"/>
        <v>7.5499999999999998E-2</v>
      </c>
      <c r="BA7" s="99">
        <f t="shared" ca="1" si="21"/>
        <v>0</v>
      </c>
      <c r="BB7" s="55">
        <f t="shared" ca="1" si="22"/>
        <v>0</v>
      </c>
      <c r="BC7" s="134">
        <f ca="1">IF(BB7&lt;&gt;0,BB7,IF(BA7&lt;&gt;0,BA7,AZ7))</f>
        <v>7.5499999999999998E-2</v>
      </c>
      <c r="BD7" s="135">
        <f t="shared" ca="1" si="23"/>
        <v>0</v>
      </c>
      <c r="BE7" s="208">
        <f t="shared" ca="1" si="24"/>
        <v>5.7544086725183352E-2</v>
      </c>
      <c r="BF7" s="312">
        <f>IF(ISERROR(_xll.BDP(CONCATENATE("OD",RIGHT(W7,3)," COMDTY"),"volume")+1-1),0,(_xll.BDP(CONCATENATE("OD",RIGHT(W7,3)," COMDTY"),"volume")+1-1))</f>
        <v>64670</v>
      </c>
      <c r="BG7" s="312">
        <f t="shared" ca="1" si="25"/>
        <v>156793.9640668052</v>
      </c>
      <c r="BH7" s="5">
        <f t="shared" ca="1" si="26"/>
        <v>2.4245239534066059</v>
      </c>
      <c r="BI7" s="5"/>
      <c r="BJ7" s="312">
        <f ca="1">(_xll.Spline($T$3:$T$35, $AH$3:$AH$35,T7-1)-AH7)*-10000</f>
        <v>-0.82227752357874606</v>
      </c>
      <c r="BK7" s="312">
        <f t="shared" ca="1" si="27"/>
        <v>-0.85586357227773746</v>
      </c>
      <c r="BL7" s="308">
        <f t="shared" ca="1" si="28"/>
        <v>-1.6781410958564835</v>
      </c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</row>
    <row r="8" spans="1:77" s="188" customFormat="1" ht="13.5" customHeight="1" thickBot="1" x14ac:dyDescent="0.25">
      <c r="A8" s="388">
        <v>5</v>
      </c>
      <c r="B8" s="49" t="str">
        <f t="shared" si="29"/>
        <v>DI1G18</v>
      </c>
      <c r="C8" s="50">
        <f t="shared" si="0"/>
        <v>7.4119490261113974E-2</v>
      </c>
      <c r="D8" s="50">
        <f t="shared" si="30"/>
        <v>7.4200000000000002E-2</v>
      </c>
      <c r="E8" s="50">
        <f t="shared" si="31"/>
        <v>7.3749999999999996E-2</v>
      </c>
      <c r="F8" s="50">
        <f t="shared" si="31"/>
        <v>7.4249999999999997E-2</v>
      </c>
      <c r="G8" s="140">
        <v>7.4119490261113974E-2</v>
      </c>
      <c r="H8" s="141">
        <v>-1.4450961629668413E-3</v>
      </c>
      <c r="I8" s="142">
        <f t="shared" si="32"/>
        <v>-1.4450961629668413E-3</v>
      </c>
      <c r="J8" s="142">
        <f t="shared" si="1"/>
        <v>0</v>
      </c>
      <c r="K8" s="143">
        <f t="shared" ca="1" si="33"/>
        <v>6.9730465050878099E-2</v>
      </c>
      <c r="L8" s="389">
        <v>10000</v>
      </c>
      <c r="M8" s="390">
        <f t="shared" ca="1" si="2"/>
        <v>32060.469808275229</v>
      </c>
      <c r="N8" s="391">
        <f t="shared" ca="1" si="3"/>
        <v>0.32880383235007682</v>
      </c>
      <c r="O8" s="391">
        <f t="shared" ca="1" si="4"/>
        <v>0.20711334462821446</v>
      </c>
      <c r="P8" s="144">
        <f t="shared" ca="1" si="5"/>
        <v>97506.375090362417</v>
      </c>
      <c r="Q8" s="143">
        <f t="shared" ca="1" si="6"/>
        <v>2.5573967931088237E-2</v>
      </c>
      <c r="R8" s="377">
        <f t="shared" ca="1" si="7"/>
        <v>3119.1058832889803</v>
      </c>
      <c r="S8" s="53">
        <f>AuxilioDados!Y62</f>
        <v>43132</v>
      </c>
      <c r="T8" s="54">
        <f ca="1">AuxilioDados!T62-$L$2</f>
        <v>89</v>
      </c>
      <c r="U8" s="392">
        <f t="shared" ca="1" si="34"/>
        <v>22</v>
      </c>
      <c r="V8" s="376">
        <f t="shared" si="8"/>
        <v>5</v>
      </c>
      <c r="W8" s="377" t="str">
        <f>IF(ISERROR(VLOOKUP(A8,AuxilioDados!$R$1:$S$1810,2,FALSE)),"",(VLOOKUP(A8,AuxilioDados!$R$1:$S$1810,2,FALSE)))</f>
        <v>DI1G18</v>
      </c>
      <c r="X8" s="145">
        <f t="shared" si="9"/>
        <v>7.4119490261113974E-2</v>
      </c>
      <c r="Y8" s="377">
        <f>_xll.BDP(CONCATENATE("OD",RIGHT(W8,3)," COMDTY"),"last_price")</f>
        <v>7.42</v>
      </c>
      <c r="Z8" s="377">
        <f>_xll.BDP(CONCATENATE("OD",RIGHT(W8,3)," COMDTY"),"BID")</f>
        <v>7.375</v>
      </c>
      <c r="AA8" s="377">
        <f>_xll.BDP(CONCATENATE("OD",RIGHT(W8,3)," COMDTY"),"ASK")</f>
        <v>7.4249999999999998</v>
      </c>
      <c r="AB8" s="377">
        <f>_xll.BDP(CONCATENATE("OD",RIGHT(W8,3)," COMDTY"),"PREV_CLOSE_VAL")</f>
        <v>7.42</v>
      </c>
      <c r="AC8" s="377">
        <f>_xll.BDP(CONCATENATE("OD",RIGHT(W8,3)," COMDTY"),"PX_LAST")</f>
        <v>7.42</v>
      </c>
      <c r="AD8" s="379">
        <f>_xll.BDP(CONCATENATE("OD",RIGHT(W8,3)," COMDTY"),"time")+1-1</f>
        <v>42999</v>
      </c>
      <c r="AE8" s="377">
        <v>3</v>
      </c>
      <c r="AF8" s="5">
        <f ca="1">T8-'NTN-F'!$E$3</f>
        <v>88</v>
      </c>
      <c r="AG8" s="380">
        <f t="shared" ca="1" si="10"/>
        <v>7.4037965865294098E-2</v>
      </c>
      <c r="AH8" s="127">
        <f ca="1">IF(ISERROR(IF(B8="",AH7,VLOOKUP(S8,AuxilioDados!$M$1:$P$65524,3,FALSE))),VLOOKUP(S8,AuxilioDados!$Y$58:$AA$98,3,FALSE),(IF(B8="",AH7,VLOOKUP(S8,AuxilioDados!$M$1:$P$65524,3,FALSE))))</f>
        <v>7.4200114915634163E-2</v>
      </c>
      <c r="AI8" s="114">
        <f t="shared" ca="1" si="11"/>
        <v>7.4119490261113974E-2</v>
      </c>
      <c r="AJ8" s="312"/>
      <c r="AK8" s="128" t="s">
        <v>173</v>
      </c>
      <c r="AL8" s="37">
        <f t="shared" ca="1" si="12"/>
        <v>570</v>
      </c>
      <c r="AM8" s="129">
        <f t="shared" ca="1" si="35"/>
        <v>8.0700000000000008E-2</v>
      </c>
      <c r="AN8" s="129">
        <f t="shared" si="13"/>
        <v>8.049839348405774E-2</v>
      </c>
      <c r="AO8" s="130">
        <f t="shared" ca="1" si="36"/>
        <v>2.0160651594226808E-4</v>
      </c>
      <c r="AP8" s="130">
        <f t="shared" si="38"/>
        <v>7.5247867757826103E-3</v>
      </c>
      <c r="AQ8" s="131">
        <v>7.5247867757826103E-3</v>
      </c>
      <c r="AR8" s="381">
        <f t="shared" ca="1" si="14"/>
        <v>821</v>
      </c>
      <c r="AS8" s="312">
        <f t="shared" ca="1" si="15"/>
        <v>2.614586391224293</v>
      </c>
      <c r="AT8" s="132" t="str">
        <f t="shared" si="16"/>
        <v>DI1G18</v>
      </c>
      <c r="AU8" s="55">
        <f t="shared" si="17"/>
        <v>7.4200000000000002E-2</v>
      </c>
      <c r="AV8" s="114">
        <f ca="1">_xll.Interpolate($AL$4:$AL$13,$AM$4:$AM$13,T8)-_xll.Interpolate($AL$4:$AL$13,$AN$4:$AN$13,T8)</f>
        <v>-8.1409858094391718E-5</v>
      </c>
      <c r="AW8" s="55">
        <f t="shared" si="18"/>
        <v>0</v>
      </c>
      <c r="AX8" s="55">
        <f t="shared" si="19"/>
        <v>7.4200000000000002E-2</v>
      </c>
      <c r="AY8" s="8">
        <f t="shared" si="20"/>
        <v>7.4200000000000002E-2</v>
      </c>
      <c r="AZ8" s="99">
        <f t="shared" si="37"/>
        <v>7.4200000000000002E-2</v>
      </c>
      <c r="BA8" s="99">
        <f t="shared" si="21"/>
        <v>0</v>
      </c>
      <c r="BB8" s="55">
        <f t="shared" si="22"/>
        <v>0</v>
      </c>
      <c r="BC8" s="134">
        <f t="shared" ref="BC8:BC43" si="39">IF(BB8&lt;&gt;0,BB8,IF(BA8&lt;&gt;0,BA8,AZ8))</f>
        <v>7.4200000000000002E-2</v>
      </c>
      <c r="BD8" s="135">
        <f t="shared" si="23"/>
        <v>0</v>
      </c>
      <c r="BE8" s="208">
        <f t="shared" ca="1" si="24"/>
        <v>7.4808747289127564E-2</v>
      </c>
      <c r="BF8" s="312">
        <f>IF(ISERROR(_xll.BDP(CONCATENATE("OD",RIGHT(W8,3)," COMDTY"),"volume")+1-1),0,(_xll.BDP(CONCATENATE("OD",RIGHT(W8,3)," COMDTY"),"volume")+1-1))</f>
        <v>315</v>
      </c>
      <c r="BG8" s="312">
        <f t="shared" ca="1" si="25"/>
        <v>1009.9047989606697</v>
      </c>
      <c r="BH8" s="5">
        <f t="shared" ca="1" si="26"/>
        <v>3.2060469808275229</v>
      </c>
      <c r="BI8" s="5"/>
      <c r="BJ8" s="312">
        <f ca="1">(_xll.Spline($T$3:$T$35, $AH$3:$AH$35,T8-1)-AH8)*-10000</f>
        <v>-0.51881101981801625</v>
      </c>
      <c r="BK8" s="312">
        <f t="shared" ca="1" si="27"/>
        <v>-0.80624654520189409</v>
      </c>
      <c r="BL8" s="308">
        <f t="shared" ca="1" si="28"/>
        <v>-1.3250575650199103</v>
      </c>
      <c r="BM8" s="5">
        <v>17740</v>
      </c>
      <c r="BN8" s="5">
        <f ca="1">BM8*BE8</f>
        <v>1327.1071769091229</v>
      </c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</row>
    <row r="9" spans="1:77" s="188" customFormat="1" ht="13.5" customHeight="1" thickBot="1" x14ac:dyDescent="0.25">
      <c r="A9" s="382">
        <v>6</v>
      </c>
      <c r="B9" s="47" t="str">
        <f t="shared" si="29"/>
        <v>DI1H18</v>
      </c>
      <c r="C9" s="48">
        <f t="shared" si="0"/>
        <v>7.3305456510472933E-2</v>
      </c>
      <c r="D9" s="48">
        <f t="shared" si="30"/>
        <v>7.3349999999999999E-2</v>
      </c>
      <c r="E9" s="48">
        <f t="shared" si="31"/>
        <v>7.3200000000000001E-2</v>
      </c>
      <c r="F9" s="48">
        <f t="shared" si="31"/>
        <v>7.3349999999999999E-2</v>
      </c>
      <c r="G9" s="136">
        <v>7.3305456510472933E-2</v>
      </c>
      <c r="H9" s="137">
        <v>-8.1403375064104111E-4</v>
      </c>
      <c r="I9" s="138">
        <f t="shared" si="32"/>
        <v>-8.1403375064104111E-4</v>
      </c>
      <c r="J9" s="138">
        <f t="shared" si="1"/>
        <v>0</v>
      </c>
      <c r="K9" s="139">
        <f t="shared" ca="1" si="33"/>
        <v>6.9289569144635355E-2</v>
      </c>
      <c r="L9" s="383">
        <v>10000</v>
      </c>
      <c r="M9" s="384">
        <f t="shared" ca="1" si="2"/>
        <v>38389.696199155878</v>
      </c>
      <c r="N9" s="361">
        <f t="shared" ca="1" si="3"/>
        <v>0.39560329648082726</v>
      </c>
      <c r="O9" s="361">
        <f t="shared" ca="1" si="4"/>
        <v>0.26254302318919059</v>
      </c>
      <c r="P9" s="40">
        <f t="shared" ca="1" si="5"/>
        <v>97040.890560466854</v>
      </c>
      <c r="Q9" s="139">
        <f t="shared" ca="1" si="6"/>
        <v>3.0493428310917059E-2</v>
      </c>
      <c r="R9" s="385">
        <f t="shared" ca="1" si="7"/>
        <v>2604.8656254330772</v>
      </c>
      <c r="S9" s="52">
        <f>AuxilioDados!Y63</f>
        <v>43160</v>
      </c>
      <c r="T9" s="37">
        <f ca="1">AuxilioDados!T63-$L$2</f>
        <v>107</v>
      </c>
      <c r="U9" s="386">
        <f t="shared" ca="1" si="34"/>
        <v>18</v>
      </c>
      <c r="V9" s="376">
        <f t="shared" si="8"/>
        <v>6</v>
      </c>
      <c r="W9" s="385" t="str">
        <f>IF(ISERROR(VLOOKUP(A9,AuxilioDados!$R$1:$S$1810,2,FALSE)),"",(VLOOKUP(A9,AuxilioDados!$R$1:$S$1810,2,FALSE)))</f>
        <v>DI1H18</v>
      </c>
      <c r="X9" s="98">
        <f>C9</f>
        <v>7.3305456510472933E-2</v>
      </c>
      <c r="Y9" s="385">
        <f>_xll.BDP(CONCATENATE("OD",RIGHT(W9,3)," COMDTY"),"last_price")</f>
        <v>7.335</v>
      </c>
      <c r="Z9" s="385">
        <f>_xll.BDP(CONCATENATE("OD",RIGHT(W9,3)," COMDTY"),"BID")</f>
        <v>7.32</v>
      </c>
      <c r="AA9" s="385">
        <f>_xll.BDP(CONCATENATE("OD",RIGHT(W9,3)," COMDTY"),"ASK")</f>
        <v>7.335</v>
      </c>
      <c r="AB9" s="385">
        <f>_xll.BDP(CONCATENATE("OD",RIGHT(W9,3)," COMDTY"),"PREV_CLOSE_VAL")</f>
        <v>7.3380000000000001</v>
      </c>
      <c r="AC9" s="385">
        <f>_xll.BDP(CONCATENATE("OD",RIGHT(W9,3)," COMDTY"),"PX_LAST")</f>
        <v>7.335</v>
      </c>
      <c r="AD9" s="387">
        <f>_xll.BDP(CONCATENATE("OD",RIGHT(W9,3)," COMDTY"),"time")+1-1</f>
        <v>0.5236574074074074</v>
      </c>
      <c r="AE9" s="385">
        <f ca="1">IF(ISERROR((((IF(AD9=$V$3,$V$2,$W$2)-AD9)*24*60))),24*60,(IF(AD9=$V$3,$V$2,$W$2)-AD9)*24*60)</f>
        <v>115.81799999762637</v>
      </c>
      <c r="AF9" s="5">
        <f ca="1">T9-'NTN-F'!$E$3</f>
        <v>106</v>
      </c>
      <c r="AG9" s="380">
        <f t="shared" ca="1" si="10"/>
        <v>7.3230093055545176E-2</v>
      </c>
      <c r="AH9" s="127">
        <f ca="1">IF(ISERROR(IF(B9="",AH8,VLOOKUP(S9,AuxilioDados!$M$1:$P$65524,3,FALSE))),VLOOKUP(S9,AuxilioDados!$Y$58:$AA$98,3,FALSE),(IF(B9="",AH8,VLOOKUP(S9,AuxilioDados!$M$1:$P$65524,3,FALSE))))</f>
        <v>7.338012737446542E-2</v>
      </c>
      <c r="AI9" s="114">
        <f t="shared" ca="1" si="11"/>
        <v>7.3305456510472933E-2</v>
      </c>
      <c r="AJ9" s="394"/>
      <c r="AK9" s="128" t="s">
        <v>174</v>
      </c>
      <c r="AL9" s="37">
        <f t="shared" ca="1" si="12"/>
        <v>821</v>
      </c>
      <c r="AM9" s="129">
        <f t="shared" ca="1" si="35"/>
        <v>8.7300000000000003E-2</v>
      </c>
      <c r="AN9" s="129">
        <f t="shared" si="13"/>
        <v>8.720708718065695E-2</v>
      </c>
      <c r="AO9" s="130">
        <f t="shared" ca="1" si="36"/>
        <v>9.2912819343052289E-5</v>
      </c>
      <c r="AP9" s="130">
        <f t="shared" si="38"/>
        <v>6.7086936965992106E-3</v>
      </c>
      <c r="AQ9" s="131">
        <v>6.7086936965992106E-3</v>
      </c>
      <c r="AR9" s="381">
        <f t="shared" ca="1" si="14"/>
        <v>1323</v>
      </c>
      <c r="AS9" s="312">
        <f t="shared" ca="1" si="15"/>
        <v>2.894137182898703</v>
      </c>
      <c r="AT9" s="132" t="str">
        <f t="shared" si="16"/>
        <v>DI1H18</v>
      </c>
      <c r="AU9" s="55">
        <f t="shared" ca="1" si="17"/>
        <v>7.3385966249358961E-2</v>
      </c>
      <c r="AV9" s="114">
        <f ca="1">_xll.Interpolate($AL$4:$AL$13,$AM$4:$AM$13,T9)-_xll.Interpolate($AL$4:$AL$13,$AN$4:$AN$13,T9)</f>
        <v>-9.2236053325631118E-5</v>
      </c>
      <c r="AW9" s="55">
        <f t="shared" ca="1" si="18"/>
        <v>0</v>
      </c>
      <c r="AX9" s="55">
        <f t="shared" ca="1" si="19"/>
        <v>0</v>
      </c>
      <c r="AY9" s="8">
        <f t="shared" ca="1" si="20"/>
        <v>0</v>
      </c>
      <c r="AZ9" s="99">
        <f t="shared" ca="1" si="37"/>
        <v>7.3213220457147302E-2</v>
      </c>
      <c r="BA9" s="99">
        <f t="shared" ca="1" si="21"/>
        <v>0</v>
      </c>
      <c r="BB9" s="55">
        <f t="shared" ca="1" si="22"/>
        <v>0</v>
      </c>
      <c r="BC9" s="134">
        <f t="shared" ca="1" si="39"/>
        <v>7.3213220457147302E-2</v>
      </c>
      <c r="BD9" s="135">
        <f t="shared" ca="1" si="23"/>
        <v>0</v>
      </c>
      <c r="BE9" s="208">
        <f t="shared" ca="1" si="24"/>
        <v>8.8773283185994437E-2</v>
      </c>
      <c r="BF9" s="312">
        <f>IF(ISERROR(_xll.BDP(CONCATENATE("OD",RIGHT(W9,3)," COMDTY"),"volume")+1-1),0,(_xll.BDP(CONCATENATE("OD",RIGHT(W9,3)," COMDTY"),"volume")+1-1))</f>
        <v>265</v>
      </c>
      <c r="BG9" s="312">
        <f t="shared" ca="1" si="25"/>
        <v>1017.3269492776308</v>
      </c>
      <c r="BH9" s="5">
        <f t="shared" ca="1" si="26"/>
        <v>3.8389696199155878</v>
      </c>
      <c r="BI9" s="5"/>
      <c r="BJ9" s="312">
        <f ca="1">(_xll.Spline($T$3:$T$35, $AH$3:$AH$35,T9-1)-AH9)*-10000</f>
        <v>-0.45133633770427783</v>
      </c>
      <c r="BK9" s="312">
        <f t="shared" ca="1" si="27"/>
        <v>-0.74670863992487568</v>
      </c>
      <c r="BL9" s="308">
        <f t="shared" ca="1" si="28"/>
        <v>-1.1980449776291535</v>
      </c>
      <c r="BM9" s="5">
        <v>36800</v>
      </c>
      <c r="BN9" s="5">
        <f ca="1">BM9*BE9</f>
        <v>3266.8568212445953</v>
      </c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</row>
    <row r="10" spans="1:77" s="188" customFormat="1" ht="13.5" customHeight="1" thickBot="1" x14ac:dyDescent="0.25">
      <c r="A10" s="388">
        <v>7</v>
      </c>
      <c r="B10" s="49" t="str">
        <f t="shared" si="29"/>
        <v>DI1J18</v>
      </c>
      <c r="C10" s="50">
        <f t="shared" si="0"/>
        <v>7.2380312824337434E-2</v>
      </c>
      <c r="D10" s="50">
        <f t="shared" si="30"/>
        <v>7.2300000000000003E-2</v>
      </c>
      <c r="E10" s="50">
        <f t="shared" si="31"/>
        <v>7.2249999999999995E-2</v>
      </c>
      <c r="F10" s="50">
        <f t="shared" si="31"/>
        <v>7.2300000000000003E-2</v>
      </c>
      <c r="G10" s="140">
        <v>7.2380312824337434E-2</v>
      </c>
      <c r="H10" s="141">
        <v>-9.2514368613549891E-4</v>
      </c>
      <c r="I10" s="142">
        <f t="shared" si="32"/>
        <v>-9.2514368613549891E-4</v>
      </c>
      <c r="J10" s="142">
        <f t="shared" si="1"/>
        <v>0</v>
      </c>
      <c r="K10" s="143">
        <f t="shared" ca="1" si="33"/>
        <v>6.7678853749087331E-2</v>
      </c>
      <c r="L10" s="395">
        <v>10000</v>
      </c>
      <c r="M10" s="390">
        <f t="shared" ca="1" si="2"/>
        <v>45713.588948055985</v>
      </c>
      <c r="N10" s="391">
        <f t="shared" ca="1" si="3"/>
        <v>0.47365333421966976</v>
      </c>
      <c r="O10" s="391">
        <f t="shared" ca="1" si="4"/>
        <v>0.33301578011793886</v>
      </c>
      <c r="P10" s="144">
        <f t="shared" ca="1" si="5"/>
        <v>96512.756578327069</v>
      </c>
      <c r="Q10" s="143">
        <f t="shared" ca="1" si="6"/>
        <v>3.6132461089149137E-2</v>
      </c>
      <c r="R10" s="377">
        <f t="shared" ca="1" si="7"/>
        <v>2187.5333418609785</v>
      </c>
      <c r="S10" s="53">
        <f>AuxilioDados!Y64</f>
        <v>43192</v>
      </c>
      <c r="T10" s="54">
        <f ca="1">AuxilioDados!T64-$L$2</f>
        <v>128</v>
      </c>
      <c r="U10" s="392">
        <f t="shared" ca="1" si="34"/>
        <v>21</v>
      </c>
      <c r="V10" s="376">
        <f t="shared" si="8"/>
        <v>7</v>
      </c>
      <c r="W10" s="377" t="str">
        <f>IF(ISERROR(VLOOKUP(A10,AuxilioDados!$R$1:$S$1810,2,FALSE)),"",(VLOOKUP(A10,AuxilioDados!$R$1:$S$1810,2,FALSE)))</f>
        <v>DI1J18</v>
      </c>
      <c r="X10" s="145">
        <f t="shared" si="9"/>
        <v>7.2380312824337434E-2</v>
      </c>
      <c r="Y10" s="377">
        <f>_xll.BDP(CONCATENATE("OD",RIGHT(W10,3)," COMDTY"),"last_price")</f>
        <v>7.23</v>
      </c>
      <c r="Z10" s="377">
        <f>_xll.BDP(CONCATENATE("OD",RIGHT(W10,3)," COMDTY"),"BID")</f>
        <v>7.2249999999999996</v>
      </c>
      <c r="AA10" s="377">
        <f>_xll.BDP(CONCATENATE("OD",RIGHT(W10,3)," COMDTY"),"ASK")</f>
        <v>7.23</v>
      </c>
      <c r="AB10" s="377">
        <f>_xll.BDP(CONCATENATE("OD",RIGHT(W10,3)," COMDTY"),"PREV_CLOSE_VAL")</f>
        <v>7.2450000000000001</v>
      </c>
      <c r="AC10" s="377">
        <f>_xll.BDP(CONCATENATE("OD",RIGHT(W10,3)," COMDTY"),"PX_LAST")</f>
        <v>7.23</v>
      </c>
      <c r="AD10" s="379">
        <f>_xll.BDP(CONCATENATE("OD",RIGHT(W10,3)," COMDTY"),"time")+1-1</f>
        <v>0.59083333333333332</v>
      </c>
      <c r="AE10" s="377">
        <f t="shared" ref="AE10:AE43" ca="1" si="40">IF(ISERROR((((IF(AD10=$V$3,$V$2,$W$2)-AD10)*24*60))),24*60,(IF(AD10=$V$3,$V$2,$W$2)-AD10)*24*60)</f>
        <v>19.084666664293053</v>
      </c>
      <c r="AF10" s="5">
        <f ca="1">T10-'NTN-F'!$E$3</f>
        <v>127</v>
      </c>
      <c r="AG10" s="380">
        <f t="shared" ca="1" si="10"/>
        <v>7.2310143505465163E-2</v>
      </c>
      <c r="AH10" s="127">
        <f ca="1">IF(ISERROR(IF(B10="",AH9,VLOOKUP(S10,AuxilioDados!$M$1:$P$65524,3,FALSE))),VLOOKUP(S10,AuxilioDados!$Y$58:$AA$98,3,FALSE),(IF(B10="",AH9,VLOOKUP(S10,AuxilioDados!$M$1:$P$65524,3,FALSE))))</f>
        <v>7.244994273345351E-2</v>
      </c>
      <c r="AI10" s="114">
        <f t="shared" ca="1" si="11"/>
        <v>7.2380312824337434E-2</v>
      </c>
      <c r="AJ10" s="312"/>
      <c r="AK10" s="128" t="s">
        <v>214</v>
      </c>
      <c r="AL10" s="37">
        <f t="shared" ca="1" si="12"/>
        <v>1323</v>
      </c>
      <c r="AM10" s="129">
        <f t="shared" ca="1" si="35"/>
        <v>9.3900000000000011E-2</v>
      </c>
      <c r="AN10" s="129">
        <f t="shared" si="13"/>
        <v>9.3709363284394831E-2</v>
      </c>
      <c r="AO10" s="130">
        <f t="shared" ca="1" si="36"/>
        <v>1.9063671560518025E-4</v>
      </c>
      <c r="AP10" s="130">
        <f t="shared" si="38"/>
        <v>6.5022761037378807E-3</v>
      </c>
      <c r="AQ10" s="131">
        <v>6.5022761037378807E-3</v>
      </c>
      <c r="AR10" s="381">
        <f t="shared" ca="1" si="14"/>
        <v>1826</v>
      </c>
      <c r="AS10" s="312">
        <f t="shared" ca="1" si="15"/>
        <v>3.2087393158435589</v>
      </c>
      <c r="AT10" s="132" t="str">
        <f t="shared" si="16"/>
        <v>DI1J18</v>
      </c>
      <c r="AU10" s="55">
        <f t="shared" ca="1" si="17"/>
        <v>7.2300000000000003E-2</v>
      </c>
      <c r="AV10" s="114">
        <f ca="1">_xll.Interpolate($AL$4:$AL$13,$AM$4:$AM$13,T10)-_xll.Interpolate($AL$4:$AL$13,$AN$4:$AN$13,T10)</f>
        <v>-1.0173479657824003E-4</v>
      </c>
      <c r="AW10" s="55">
        <f t="shared" ca="1" si="18"/>
        <v>0</v>
      </c>
      <c r="AX10" s="55">
        <f t="shared" ca="1" si="19"/>
        <v>7.2300000000000003E-2</v>
      </c>
      <c r="AY10" s="8">
        <f t="shared" ca="1" si="20"/>
        <v>7.2300000000000003E-2</v>
      </c>
      <c r="AZ10" s="99">
        <f t="shared" ca="1" si="37"/>
        <v>7.2300000000000003E-2</v>
      </c>
      <c r="BA10" s="99">
        <f t="shared" ca="1" si="21"/>
        <v>0</v>
      </c>
      <c r="BB10" s="55">
        <f t="shared" ca="1" si="22"/>
        <v>0</v>
      </c>
      <c r="BC10" s="134">
        <f t="shared" ca="1" si="39"/>
        <v>7.2300000000000003E-2</v>
      </c>
      <c r="BD10" s="135">
        <f t="shared" ca="1" si="23"/>
        <v>0</v>
      </c>
      <c r="BE10" s="208">
        <f t="shared" ca="1" si="24"/>
        <v>0.10461730265018801</v>
      </c>
      <c r="BF10" s="312">
        <f>IF(ISERROR(_xll.BDP(CONCATENATE("OD",RIGHT(W10,3)," COMDTY"),"volume")+1-1),0,(_xll.BDP(CONCATENATE("OD",RIGHT(W10,3)," COMDTY"),"volume")+1-1))</f>
        <v>70565</v>
      </c>
      <c r="BG10" s="312">
        <f t="shared" ca="1" si="25"/>
        <v>322577.9404119571</v>
      </c>
      <c r="BH10" s="5">
        <f t="shared" ca="1" si="26"/>
        <v>4.5713588948055985</v>
      </c>
      <c r="BI10" s="5"/>
      <c r="BJ10" s="312">
        <f ca="1">(_xll.Spline($T$3:$T$35, $AH$3:$AH$35,T10-1)-AH10)*-10000</f>
        <v>-0.36465274659405744</v>
      </c>
      <c r="BK10" s="312">
        <f t="shared" ca="1" si="27"/>
        <v>-0.69629909116075694</v>
      </c>
      <c r="BL10" s="308">
        <f t="shared" ca="1" si="28"/>
        <v>-1.0609518377548144</v>
      </c>
      <c r="BM10" s="5">
        <v>19090</v>
      </c>
      <c r="BN10" s="5">
        <f ca="1">BM10*BE10</f>
        <v>1997.144307592089</v>
      </c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</row>
    <row r="11" spans="1:77" s="188" customFormat="1" ht="13.5" customHeight="1" thickBot="1" x14ac:dyDescent="0.25">
      <c r="A11" s="382">
        <v>8</v>
      </c>
      <c r="B11" s="47" t="str">
        <f t="shared" si="29"/>
        <v>DI1K18</v>
      </c>
      <c r="C11" s="48">
        <f t="shared" si="0"/>
        <v>7.1917137987548063E-2</v>
      </c>
      <c r="D11" s="48">
        <f t="shared" si="30"/>
        <v>7.1980000000000002E-2</v>
      </c>
      <c r="E11" s="48">
        <f t="shared" si="31"/>
        <v>7.1500000000000008E-2</v>
      </c>
      <c r="F11" s="48">
        <f t="shared" si="31"/>
        <v>7.1849999999999997E-2</v>
      </c>
      <c r="G11" s="136">
        <v>7.1917137987548063E-2</v>
      </c>
      <c r="H11" s="137">
        <v>-4.6317483678937066E-4</v>
      </c>
      <c r="I11" s="138">
        <f t="shared" si="32"/>
        <v>-4.6317483678937066E-4</v>
      </c>
      <c r="J11" s="138">
        <f t="shared" si="1"/>
        <v>0</v>
      </c>
      <c r="K11" s="139">
        <f t="shared" ca="1" si="33"/>
        <v>6.909829972861159E-2</v>
      </c>
      <c r="L11" s="383">
        <v>10000</v>
      </c>
      <c r="M11" s="384">
        <f t="shared" ca="1" si="2"/>
        <v>52940.873068073415</v>
      </c>
      <c r="N11" s="361">
        <f t="shared" ca="1" si="3"/>
        <v>0.5516003279098094</v>
      </c>
      <c r="O11" s="361">
        <f t="shared" ca="1" si="4"/>
        <v>0.40942761981343245</v>
      </c>
      <c r="P11" s="40">
        <f t="shared" ca="1" si="5"/>
        <v>95976.870189115667</v>
      </c>
      <c r="Q11" s="139">
        <f t="shared" ca="1" si="6"/>
        <v>4.1917701660379558E-2</v>
      </c>
      <c r="R11" s="385">
        <f t="shared" ca="1" si="7"/>
        <v>1888.8997140529991</v>
      </c>
      <c r="S11" s="52">
        <f>AuxilioDados!Y65</f>
        <v>43222</v>
      </c>
      <c r="T11" s="37">
        <f ca="1">AuxilioDados!T65-$L$2</f>
        <v>149</v>
      </c>
      <c r="U11" s="386">
        <f t="shared" ca="1" si="34"/>
        <v>21</v>
      </c>
      <c r="V11" s="376">
        <f t="shared" si="8"/>
        <v>8</v>
      </c>
      <c r="W11" s="385" t="str">
        <f>IF(ISERROR(VLOOKUP(A11,AuxilioDados!$R$1:$S$1810,2,FALSE)),"",(VLOOKUP(A11,AuxilioDados!$R$1:$S$1810,2,FALSE)))</f>
        <v>DI1K18</v>
      </c>
      <c r="X11" s="98">
        <f t="shared" si="9"/>
        <v>7.1917137987548063E-2</v>
      </c>
      <c r="Y11" s="385">
        <f>_xll.BDP(CONCATENATE("OD",RIGHT(W11,3)," COMDTY"),"last_price")</f>
        <v>7.1980000000000004</v>
      </c>
      <c r="Z11" s="385">
        <f>_xll.BDP(CONCATENATE("OD",RIGHT(W11,3)," COMDTY"),"BID")</f>
        <v>7.15</v>
      </c>
      <c r="AA11" s="385">
        <f>_xll.BDP(CONCATENATE("OD",RIGHT(W11,3)," COMDTY"),"ASK")</f>
        <v>7.1849999999999996</v>
      </c>
      <c r="AB11" s="385">
        <f>_xll.BDP(CONCATENATE("OD",RIGHT(W11,3)," COMDTY"),"PREV_CLOSE_VAL")</f>
        <v>7.1980000000000004</v>
      </c>
      <c r="AC11" s="385">
        <f>_xll.BDP(CONCATENATE("OD",RIGHT(W11,3)," COMDTY"),"PX_LAST")</f>
        <v>7.1980000000000004</v>
      </c>
      <c r="AD11" s="387">
        <f>_xll.BDP(CONCATENATE("OD",RIGHT(W11,3)," COMDTY"),"time")+1-1</f>
        <v>42999</v>
      </c>
      <c r="AE11" s="385">
        <f t="shared" ca="1" si="40"/>
        <v>2309.884666664293</v>
      </c>
      <c r="AF11" s="5">
        <f ca="1">T11-'NTN-F'!$E$3</f>
        <v>148</v>
      </c>
      <c r="AG11" s="380">
        <f t="shared" ca="1" si="10"/>
        <v>7.1853776356612054E-2</v>
      </c>
      <c r="AH11" s="127">
        <f ca="1">IF(ISERROR(IF(B11="",AH10,VLOOKUP(S11,AuxilioDados!$M$1:$P$65524,3,FALSE))),VLOOKUP(S11,AuxilioDados!$Y$58:$AA$98,3,FALSE),(IF(B11="",AH10,VLOOKUP(S11,AuxilioDados!$M$1:$P$65524,3,FALSE))))</f>
        <v>7.198008091580177E-2</v>
      </c>
      <c r="AI11" s="114">
        <f t="shared" ca="1" si="11"/>
        <v>7.1917137987548063E-2</v>
      </c>
      <c r="AJ11" s="312"/>
      <c r="AK11" s="128" t="s">
        <v>251</v>
      </c>
      <c r="AL11" s="37">
        <f t="shared" ca="1" si="12"/>
        <v>1826</v>
      </c>
      <c r="AM11" s="129">
        <f t="shared" ca="1" si="35"/>
        <v>9.7500000000000003E-2</v>
      </c>
      <c r="AN11" s="129">
        <f t="shared" si="13"/>
        <v>9.720872246064638E-2</v>
      </c>
      <c r="AO11" s="130">
        <f t="shared" ca="1" si="36"/>
        <v>2.9127753935362377E-4</v>
      </c>
      <c r="AP11" s="130">
        <f t="shared" si="38"/>
        <v>3.4993591762515486E-3</v>
      </c>
      <c r="AQ11" s="131">
        <v>3.4993591762515486E-3</v>
      </c>
      <c r="AR11" s="381">
        <f t="shared" ca="1" si="14"/>
        <v>2329</v>
      </c>
      <c r="AS11" s="312">
        <f t="shared" ca="1" si="15"/>
        <v>3.3555024251836585</v>
      </c>
      <c r="AT11" s="132" t="str">
        <f t="shared" si="16"/>
        <v>DI1K18</v>
      </c>
      <c r="AU11" s="55">
        <f t="shared" ca="1" si="17"/>
        <v>7.1836825163210632E-2</v>
      </c>
      <c r="AV11" s="114">
        <f ca="1">_xll.Interpolate($AL$4:$AL$13,$AM$4:$AM$13,T11)-_xll.Interpolate($AL$4:$AL$13,$AN$4:$AN$13,T11)</f>
        <v>-1.0808394702983837E-4</v>
      </c>
      <c r="AW11" s="55">
        <f t="shared" ca="1" si="18"/>
        <v>0</v>
      </c>
      <c r="AX11" s="55">
        <f t="shared" ca="1" si="19"/>
        <v>0</v>
      </c>
      <c r="AY11" s="8">
        <f t="shared" ca="1" si="20"/>
        <v>0</v>
      </c>
      <c r="AZ11" s="99">
        <f t="shared" ca="1" si="37"/>
        <v>7.1809054040518225E-2</v>
      </c>
      <c r="BA11" s="99">
        <f t="shared" ca="1" si="21"/>
        <v>0</v>
      </c>
      <c r="BB11" s="55">
        <f t="shared" ca="1" si="22"/>
        <v>0</v>
      </c>
      <c r="BC11" s="134">
        <f t="shared" ca="1" si="39"/>
        <v>7.1809054040518225E-2</v>
      </c>
      <c r="BD11" s="135">
        <f t="shared" ca="1" si="23"/>
        <v>0</v>
      </c>
      <c r="BE11" s="208">
        <f t="shared" ca="1" si="24"/>
        <v>0.12069389432653009</v>
      </c>
      <c r="BF11" s="312">
        <f>IF(ISERROR(_xll.BDP(CONCATENATE("OD",RIGHT(W11,3)," COMDTY"),"volume")+1-1),0,(_xll.BDP(CONCATENATE("OD",RIGHT(W11,3)," COMDTY"),"volume")+1-1))</f>
        <v>0</v>
      </c>
      <c r="BG11" s="312">
        <f t="shared" ca="1" si="25"/>
        <v>0</v>
      </c>
      <c r="BH11" s="5">
        <f t="shared" ca="1" si="26"/>
        <v>5.2940873068073415</v>
      </c>
      <c r="BI11" s="5"/>
      <c r="BJ11" s="312">
        <f ca="1">(_xll.Spline($T$3:$T$35, $AH$3:$AH$35,T11-1)-AH11)*-10000</f>
        <v>-0.12099008821556123</v>
      </c>
      <c r="BK11" s="312">
        <f t="shared" ca="1" si="27"/>
        <v>-0.62942928253706398</v>
      </c>
      <c r="BL11" s="308">
        <f t="shared" ca="1" si="28"/>
        <v>-0.75041937075262521</v>
      </c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</row>
    <row r="12" spans="1:77" s="188" customFormat="1" ht="13.5" customHeight="1" thickBot="1" x14ac:dyDescent="0.25">
      <c r="A12" s="388">
        <v>9</v>
      </c>
      <c r="B12" s="49" t="str">
        <f t="shared" si="29"/>
        <v>DI1M18</v>
      </c>
      <c r="C12" s="50">
        <f t="shared" si="0"/>
        <v>7.17136220433785E-2</v>
      </c>
      <c r="D12" s="50">
        <f t="shared" si="30"/>
        <v>7.177E-2</v>
      </c>
      <c r="E12" s="50">
        <f t="shared" si="31"/>
        <v>7.1349999999999997E-2</v>
      </c>
      <c r="F12" s="50">
        <f t="shared" si="31"/>
        <v>7.1749999999999994E-2</v>
      </c>
      <c r="G12" s="140">
        <v>7.17136220433785E-2</v>
      </c>
      <c r="H12" s="141">
        <v>-2.0351594416956331E-4</v>
      </c>
      <c r="I12" s="142">
        <f t="shared" si="32"/>
        <v>-2.0351594416956331E-4</v>
      </c>
      <c r="J12" s="142">
        <f t="shared" si="1"/>
        <v>0</v>
      </c>
      <c r="K12" s="143">
        <f t="shared" ca="1" si="33"/>
        <v>7.0270737226878932E-2</v>
      </c>
      <c r="L12" s="389">
        <v>10000</v>
      </c>
      <c r="M12" s="390">
        <f t="shared" ca="1" si="2"/>
        <v>60072.874252946349</v>
      </c>
      <c r="N12" s="391">
        <f t="shared" ca="1" si="3"/>
        <v>0.62946216704905511</v>
      </c>
      <c r="O12" s="391">
        <f t="shared" ca="1" si="4"/>
        <v>0.4917821880088003</v>
      </c>
      <c r="P12" s="144">
        <f t="shared" ca="1" si="5"/>
        <v>95435.242017118348</v>
      </c>
      <c r="Q12" s="143">
        <f t="shared" ca="1" si="6"/>
        <v>4.7830946790734519E-2</v>
      </c>
      <c r="R12" s="377">
        <f t="shared" ca="1" si="7"/>
        <v>1664.6448375174155</v>
      </c>
      <c r="S12" s="53">
        <f>AuxilioDados!Y66</f>
        <v>43252</v>
      </c>
      <c r="T12" s="54">
        <f ca="1">AuxilioDados!T66-$L$2</f>
        <v>170</v>
      </c>
      <c r="U12" s="392">
        <f t="shared" ca="1" si="34"/>
        <v>21</v>
      </c>
      <c r="V12" s="376">
        <f t="shared" si="8"/>
        <v>9</v>
      </c>
      <c r="W12" s="377" t="str">
        <f>IF(ISERROR(VLOOKUP(A12,AuxilioDados!$R$1:$S$1810,2,FALSE)),"",(VLOOKUP(A12,AuxilioDados!$R$1:$S$1810,2,FALSE)))</f>
        <v>DI1M18</v>
      </c>
      <c r="X12" s="145">
        <f t="shared" si="9"/>
        <v>7.17136220433785E-2</v>
      </c>
      <c r="Y12" s="377">
        <f>_xll.BDP(CONCATENATE("OD",RIGHT(W12,3)," COMDTY"),"last_price")</f>
        <v>7.1769999999999996</v>
      </c>
      <c r="Z12" s="377">
        <f>_xll.BDP(CONCATENATE("OD",RIGHT(W12,3)," COMDTY"),"BID")</f>
        <v>7.1349999999999998</v>
      </c>
      <c r="AA12" s="377">
        <f>_xll.BDP(CONCATENATE("OD",RIGHT(W12,3)," COMDTY"),"ASK")</f>
        <v>7.1749999999999998</v>
      </c>
      <c r="AB12" s="377">
        <f>_xll.BDP(CONCATENATE("OD",RIGHT(W12,3)," COMDTY"),"PREV_CLOSE_VAL")</f>
        <v>7.1769999999999996</v>
      </c>
      <c r="AC12" s="377">
        <f>_xll.BDP(CONCATENATE("OD",RIGHT(W12,3)," COMDTY"),"PX_LAST")</f>
        <v>7.1769999999999996</v>
      </c>
      <c r="AD12" s="379">
        <f>_xll.BDP(CONCATENATE("OD",RIGHT(W12,3)," COMDTY"),"time")+1-1</f>
        <v>42999</v>
      </c>
      <c r="AE12" s="377">
        <f t="shared" ca="1" si="40"/>
        <v>2309.884666664293</v>
      </c>
      <c r="AF12" s="5">
        <f ca="1">T12-'NTN-F'!$E$3</f>
        <v>169</v>
      </c>
      <c r="AG12" s="380">
        <f t="shared" ca="1" si="10"/>
        <v>7.1656900802338441E-2</v>
      </c>
      <c r="AH12" s="127">
        <f ca="1">IF(ISERROR(IF(B12="",AH11,VLOOKUP(S12,AuxilioDados!$M$1:$P$65524,3,FALSE))),VLOOKUP(S12,AuxilioDados!$Y$58:$AA$98,3,FALSE),(IF(B12="",AH11,VLOOKUP(S12,AuxilioDados!$M$1:$P$65524,3,FALSE))))</f>
        <v>7.1770014557143602E-2</v>
      </c>
      <c r="AI12" s="114">
        <f t="shared" ca="1" si="11"/>
        <v>7.17136220433785E-2</v>
      </c>
      <c r="AJ12" s="312"/>
      <c r="AK12" s="128" t="s">
        <v>412</v>
      </c>
      <c r="AL12" s="37">
        <f t="shared" ca="1" si="12"/>
        <v>2329</v>
      </c>
      <c r="AM12" s="129">
        <f t="shared" ca="1" si="35"/>
        <v>0.10009999999999999</v>
      </c>
      <c r="AN12" s="129">
        <f t="shared" si="13"/>
        <v>9.9807961905359788E-2</v>
      </c>
      <c r="AO12" s="130">
        <f t="shared" ca="1" si="36"/>
        <v>2.920380946402068E-4</v>
      </c>
      <c r="AP12" s="130">
        <f t="shared" si="38"/>
        <v>2.5992394447134082E-3</v>
      </c>
      <c r="AQ12" s="131">
        <v>2.5992394447134082E-3</v>
      </c>
      <c r="AR12" s="381">
        <f t="shared" ca="1" si="14"/>
        <v>3079</v>
      </c>
      <c r="AS12" s="312">
        <f t="shared" ca="1" si="15"/>
        <v>3.4084956155274995</v>
      </c>
      <c r="AT12" s="132" t="str">
        <f t="shared" si="16"/>
        <v>DI1M18</v>
      </c>
      <c r="AU12" s="55">
        <f t="shared" ca="1" si="17"/>
        <v>7.1633309219041069E-2</v>
      </c>
      <c r="AV12" s="114">
        <f ca="1">_xll.Interpolate($AL$4:$AL$13,$AM$4:$AM$13,T12)-_xll.Interpolate($AL$4:$AL$13,$AN$4:$AN$13,T12)</f>
        <v>-1.1151779550096219E-4</v>
      </c>
      <c r="AW12" s="55">
        <f t="shared" ca="1" si="18"/>
        <v>0</v>
      </c>
      <c r="AX12" s="55">
        <f t="shared" ca="1" si="19"/>
        <v>0</v>
      </c>
      <c r="AY12" s="8">
        <f t="shared" ca="1" si="20"/>
        <v>0</v>
      </c>
      <c r="AZ12" s="99">
        <f t="shared" ca="1" si="37"/>
        <v>7.1602104247877538E-2</v>
      </c>
      <c r="BA12" s="99">
        <f t="shared" ca="1" si="21"/>
        <v>0</v>
      </c>
      <c r="BB12" s="55">
        <f t="shared" ca="1" si="22"/>
        <v>0</v>
      </c>
      <c r="BC12" s="134">
        <f t="shared" ca="1" si="39"/>
        <v>7.1602104247877538E-2</v>
      </c>
      <c r="BD12" s="135">
        <f t="shared" ca="1" si="23"/>
        <v>0</v>
      </c>
      <c r="BE12" s="208">
        <f t="shared" ca="1" si="24"/>
        <v>0.13694273948644969</v>
      </c>
      <c r="BF12" s="312">
        <f>IF(ISERROR(_xll.BDP(CONCATENATE("OD",RIGHT(W12,3)," COMDTY"),"volume")+1-1),0,(_xll.BDP(CONCATENATE("OD",RIGHT(W12,3)," COMDTY"),"volume")+1-1))</f>
        <v>810</v>
      </c>
      <c r="BG12" s="312">
        <f t="shared" ca="1" si="25"/>
        <v>4865.9028144886543</v>
      </c>
      <c r="BH12" s="5">
        <f t="shared" ca="1" si="26"/>
        <v>6.0072874252946349</v>
      </c>
      <c r="BI12" s="308"/>
      <c r="BJ12" s="312">
        <f ca="1">(_xll.Spline($T$3:$T$35, $AH$3:$AH$35,T12-1)-AH12)*-10000</f>
        <v>-0.1406025560229951</v>
      </c>
      <c r="BK12" s="312">
        <f t="shared" ca="1" si="27"/>
        <v>-0.56392513765102237</v>
      </c>
      <c r="BL12" s="308">
        <f t="shared" ca="1" si="28"/>
        <v>-0.70452769367401746</v>
      </c>
      <c r="BM12" s="308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</row>
    <row r="13" spans="1:77" s="188" customFormat="1" ht="13.5" customHeight="1" thickBot="1" x14ac:dyDescent="0.25">
      <c r="A13" s="382">
        <v>10</v>
      </c>
      <c r="B13" s="47" t="str">
        <f t="shared" si="29"/>
        <v>DI1N18</v>
      </c>
      <c r="C13" s="48">
        <f t="shared" si="0"/>
        <v>7.139821260013135E-2</v>
      </c>
      <c r="D13" s="48">
        <f t="shared" si="30"/>
        <v>7.1399999999999991E-2</v>
      </c>
      <c r="E13" s="48">
        <f t="shared" si="31"/>
        <v>7.1399999999999991E-2</v>
      </c>
      <c r="F13" s="48">
        <f t="shared" si="31"/>
        <v>7.145E-2</v>
      </c>
      <c r="G13" s="136">
        <v>7.139821260013135E-2</v>
      </c>
      <c r="H13" s="137">
        <v>-3.1540944324714992E-4</v>
      </c>
      <c r="I13" s="138">
        <f t="shared" si="32"/>
        <v>-3.1540944324714992E-4</v>
      </c>
      <c r="J13" s="138">
        <f t="shared" si="1"/>
        <v>0</v>
      </c>
      <c r="K13" s="139">
        <f t="shared" ca="1" si="33"/>
        <v>6.8848312991675265E-2</v>
      </c>
      <c r="L13" s="383">
        <v>10000</v>
      </c>
      <c r="M13" s="384">
        <f t="shared" ca="1" si="2"/>
        <v>67139.950726559618</v>
      </c>
      <c r="N13" s="361">
        <f t="shared" ca="1" si="3"/>
        <v>0.70742745727791712</v>
      </c>
      <c r="O13" s="361">
        <f t="shared" ca="1" si="4"/>
        <v>0.58036896275450023</v>
      </c>
      <c r="P13" s="40">
        <f t="shared" ca="1" si="5"/>
        <v>94907.188059825741</v>
      </c>
      <c r="Q13" s="139">
        <f t="shared" ca="1" si="6"/>
        <v>5.3660971779755595E-2</v>
      </c>
      <c r="R13" s="385">
        <f t="shared" ca="1" si="7"/>
        <v>1489.4261749948143</v>
      </c>
      <c r="S13" s="52">
        <f>AuxilioDados!Y67</f>
        <v>43283</v>
      </c>
      <c r="T13" s="37">
        <f ca="1">AuxilioDados!T67-$L$2</f>
        <v>191</v>
      </c>
      <c r="U13" s="386">
        <f t="shared" ca="1" si="34"/>
        <v>21</v>
      </c>
      <c r="V13" s="376">
        <f t="shared" si="8"/>
        <v>10</v>
      </c>
      <c r="W13" s="385" t="str">
        <f>IF(ISERROR(VLOOKUP(A13,AuxilioDados!$R$1:$S$1810,2,FALSE)),"",(VLOOKUP(A13,AuxilioDados!$R$1:$S$1810,2,FALSE)))</f>
        <v>DI1N18</v>
      </c>
      <c r="X13" s="98">
        <f t="shared" si="9"/>
        <v>7.139821260013135E-2</v>
      </c>
      <c r="Y13" s="385">
        <f>_xll.BDP(CONCATENATE("OD",RIGHT(W13,3)," COMDTY"),"last_price")</f>
        <v>7.14</v>
      </c>
      <c r="Z13" s="385">
        <f>_xll.BDP(CONCATENATE("OD",RIGHT(W13,3)," COMDTY"),"BID")</f>
        <v>7.14</v>
      </c>
      <c r="AA13" s="385">
        <f>_xll.BDP(CONCATENATE("OD",RIGHT(W13,3)," COMDTY"),"ASK")</f>
        <v>7.1449999999999996</v>
      </c>
      <c r="AB13" s="385">
        <f>_xll.BDP(CONCATENATE("OD",RIGHT(W13,3)," COMDTY"),"PREV_CLOSE_VAL")</f>
        <v>7.1449999999999996</v>
      </c>
      <c r="AC13" s="385">
        <f>_xll.BDP(CONCATENATE("OD",RIGHT(W13,3)," COMDTY"),"PX_LAST")</f>
        <v>7.1400000000000006</v>
      </c>
      <c r="AD13" s="387">
        <f>_xll.BDP(CONCATENATE("OD",RIGHT(W13,3)," COMDTY"),"time")+1-1</f>
        <v>0.5755324074074073</v>
      </c>
      <c r="AE13" s="385">
        <f t="shared" ca="1" si="40"/>
        <v>41.117999997626526</v>
      </c>
      <c r="AF13" s="5">
        <f ca="1">T13-'NTN-F'!$E$3</f>
        <v>190</v>
      </c>
      <c r="AG13" s="380">
        <f t="shared" ca="1" si="10"/>
        <v>7.1346091400686706E-2</v>
      </c>
      <c r="AH13" s="127">
        <f ca="1">IF(ISERROR(IF(B13="",AH12,VLOOKUP(S13,AuxilioDados!$M$1:$P$65524,3,FALSE))),VLOOKUP(S13,AuxilioDados!$Y$58:$AA$98,3,FALSE),(IF(B13="",AH12,VLOOKUP(S13,AuxilioDados!$M$1:$P$65524,3,FALSE))))</f>
        <v>7.1450064850925976E-2</v>
      </c>
      <c r="AI13" s="114">
        <f t="shared" ca="1" si="11"/>
        <v>7.139821260013135E-2</v>
      </c>
      <c r="AJ13" s="312"/>
      <c r="AK13" s="128" t="s">
        <v>421</v>
      </c>
      <c r="AL13" s="37">
        <f t="shared" ca="1" si="12"/>
        <v>3079</v>
      </c>
      <c r="AM13" s="129">
        <f t="shared" ca="1" si="35"/>
        <v>0.10147851395420573</v>
      </c>
      <c r="AN13" s="129">
        <f t="shared" si="13"/>
        <v>0.10118647585956553</v>
      </c>
      <c r="AO13" s="130">
        <f t="shared" ca="1" si="36"/>
        <v>2.920380946402068E-4</v>
      </c>
      <c r="AP13" s="130">
        <f t="shared" si="38"/>
        <v>1.3785139542057401E-3</v>
      </c>
      <c r="AQ13" s="131">
        <v>1.3785139542057401E-3</v>
      </c>
      <c r="AR13" s="381">
        <f t="shared" si="14"/>
        <v>0</v>
      </c>
      <c r="AS13" s="312">
        <f t="shared" ca="1" si="15"/>
        <v>3.5005222318286542</v>
      </c>
      <c r="AT13" s="132" t="str">
        <f t="shared" si="16"/>
        <v>DI1N18</v>
      </c>
      <c r="AU13" s="55">
        <f t="shared" ca="1" si="17"/>
        <v>7.1399999999999991E-2</v>
      </c>
      <c r="AV13" s="114">
        <f ca="1">_xll.Interpolate($AL$4:$AL$13,$AM$4:$AM$13,T13)-_xll.Interpolate($AL$4:$AL$13,$AN$4:$AN$13,T13)</f>
        <v>-1.1227063281223082E-4</v>
      </c>
      <c r="AW13" s="55">
        <f t="shared" ca="1" si="18"/>
        <v>0</v>
      </c>
      <c r="AX13" s="55">
        <f t="shared" ca="1" si="19"/>
        <v>7.1399999999999991E-2</v>
      </c>
      <c r="AY13" s="8">
        <f t="shared" ca="1" si="20"/>
        <v>0</v>
      </c>
      <c r="AZ13" s="99">
        <f t="shared" ca="1" si="37"/>
        <v>7.1399999999999991E-2</v>
      </c>
      <c r="BA13" s="99">
        <f t="shared" ca="1" si="21"/>
        <v>0</v>
      </c>
      <c r="BB13" s="55">
        <f t="shared" ca="1" si="22"/>
        <v>0</v>
      </c>
      <c r="BC13" s="134">
        <f t="shared" ca="1" si="39"/>
        <v>7.1399999999999991E-2</v>
      </c>
      <c r="BD13" s="135">
        <f t="shared" ca="1" si="23"/>
        <v>0</v>
      </c>
      <c r="BE13" s="208">
        <f t="shared" ca="1" si="24"/>
        <v>0.1527843582052279</v>
      </c>
      <c r="BF13" s="312">
        <f>IF(ISERROR(_xll.BDP(CONCATENATE("OD",RIGHT(W13,3)," COMDTY"),"volume")+1-1),0,(_xll.BDP(CONCATENATE("OD",RIGHT(W13,3)," COMDTY"),"volume")+1-1))</f>
        <v>14546</v>
      </c>
      <c r="BG13" s="312">
        <f t="shared" ca="1" si="25"/>
        <v>97661.772326853621</v>
      </c>
      <c r="BH13" s="5">
        <f t="shared" ca="1" si="26"/>
        <v>6.7139950726559618</v>
      </c>
      <c r="BI13" s="5"/>
      <c r="BJ13" s="312">
        <f ca="1">(_xll.Spline($T$3:$T$35, $AH$3:$AH$35,T13-1)-AH13)*-10000</f>
        <v>-6.6689615066395369E-2</v>
      </c>
      <c r="BK13" s="312">
        <f t="shared" ca="1" si="27"/>
        <v>-0.51852250794626187</v>
      </c>
      <c r="BL13" s="308">
        <f t="shared" ca="1" si="28"/>
        <v>-0.58521212301265724</v>
      </c>
      <c r="BM13" s="308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</row>
    <row r="14" spans="1:77" s="188" customFormat="1" ht="13.5" customHeight="1" thickBot="1" x14ac:dyDescent="0.25">
      <c r="A14" s="388">
        <v>11</v>
      </c>
      <c r="B14" s="49" t="str">
        <f t="shared" si="29"/>
        <v>DI1Q18</v>
      </c>
      <c r="C14" s="50">
        <f t="shared" si="0"/>
        <v>7.1503928038283648E-2</v>
      </c>
      <c r="D14" s="50">
        <f t="shared" si="30"/>
        <v>7.1550000000000002E-2</v>
      </c>
      <c r="E14" s="50">
        <f t="shared" si="31"/>
        <v>7.1150000000000005E-2</v>
      </c>
      <c r="F14" s="50">
        <f t="shared" si="31"/>
        <v>7.1650000000000005E-2</v>
      </c>
      <c r="G14" s="140">
        <v>7.1503928038283648E-2</v>
      </c>
      <c r="H14" s="141">
        <v>1.0571543815229845E-4</v>
      </c>
      <c r="I14" s="142">
        <f t="shared" si="32"/>
        <v>1.0571543815229845E-4</v>
      </c>
      <c r="J14" s="142">
        <f t="shared" si="1"/>
        <v>0</v>
      </c>
      <c r="K14" s="143">
        <f t="shared" ca="1" si="33"/>
        <v>7.2422168755031269E-2</v>
      </c>
      <c r="L14" s="389">
        <v>10000</v>
      </c>
      <c r="M14" s="390">
        <f t="shared" ca="1" si="2"/>
        <v>74410.363074493944</v>
      </c>
      <c r="N14" s="391">
        <f t="shared" ca="1" si="3"/>
        <v>0.78883341400975027</v>
      </c>
      <c r="O14" s="391">
        <f t="shared" ca="1" si="4"/>
        <v>0.67922543420939285</v>
      </c>
      <c r="P14" s="144">
        <f t="shared" ca="1" si="5"/>
        <v>94329.628731439865</v>
      </c>
      <c r="Q14" s="143">
        <f t="shared" ca="1" si="6"/>
        <v>6.0112303470460038E-2</v>
      </c>
      <c r="R14" s="377">
        <f t="shared" ca="1" si="7"/>
        <v>1343.8988316706327</v>
      </c>
      <c r="S14" s="53">
        <f>AuxilioDados!Y68</f>
        <v>43313</v>
      </c>
      <c r="T14" s="54">
        <f ca="1">AuxilioDados!T68-$L$2</f>
        <v>213</v>
      </c>
      <c r="U14" s="392">
        <f t="shared" ca="1" si="34"/>
        <v>22</v>
      </c>
      <c r="V14" s="376">
        <f t="shared" si="8"/>
        <v>11</v>
      </c>
      <c r="W14" s="377" t="str">
        <f>IF(ISERROR(VLOOKUP(A14,AuxilioDados!$R$1:$S$1810,2,FALSE)),"",(VLOOKUP(A14,AuxilioDados!$R$1:$S$1810,2,FALSE)))</f>
        <v>DI1Q18</v>
      </c>
      <c r="X14" s="145">
        <f t="shared" si="9"/>
        <v>7.1503928038283648E-2</v>
      </c>
      <c r="Y14" s="377">
        <f>_xll.BDP(CONCATENATE("OD",RIGHT(W14,3)," COMDTY"),"last_price")</f>
        <v>7.1550000000000002</v>
      </c>
      <c r="Z14" s="377">
        <f>_xll.BDP(CONCATENATE("OD",RIGHT(W14,3)," COMDTY"),"BID")</f>
        <v>7.1150000000000002</v>
      </c>
      <c r="AA14" s="377">
        <f>_xll.BDP(CONCATENATE("OD",RIGHT(W14,3)," COMDTY"),"ASK")</f>
        <v>7.165</v>
      </c>
      <c r="AB14" s="377">
        <f>_xll.BDP(CONCATENATE("OD",RIGHT(W14,3)," COMDTY"),"PREV_CLOSE_VAL")</f>
        <v>7.1550000000000002</v>
      </c>
      <c r="AC14" s="377">
        <f>_xll.BDP(CONCATENATE("OD",RIGHT(W14,3)," COMDTY"),"PX_LAST")</f>
        <v>7.1550000000000002</v>
      </c>
      <c r="AD14" s="379">
        <f>_xll.BDP(CONCATENATE("OD",RIGHT(W14,3)," COMDTY"),"time")+1-1</f>
        <v>42999</v>
      </c>
      <c r="AE14" s="377">
        <f t="shared" ca="1" si="40"/>
        <v>2309.884666664293</v>
      </c>
      <c r="AF14" s="5">
        <f ca="1">T14-'NTN-F'!$E$3</f>
        <v>212</v>
      </c>
      <c r="AG14" s="380">
        <f t="shared" ca="1" si="10"/>
        <v>7.1457681839592224E-2</v>
      </c>
      <c r="AH14" s="127">
        <f ca="1">IF(ISERROR(IF(B14="",AH13,VLOOKUP(S14,AuxilioDados!$M$1:$P$65524,3,FALSE))),VLOOKUP(S14,AuxilioDados!$Y$58:$AA$98,3,FALSE),(IF(B14="",AH13,VLOOKUP(S14,AuxilioDados!$M$1:$P$65524,3,FALSE))))</f>
        <v>7.1549960115349087E-2</v>
      </c>
      <c r="AI14" s="114">
        <f t="shared" ca="1" si="11"/>
        <v>7.1503928038283648E-2</v>
      </c>
      <c r="AJ14" s="312"/>
      <c r="AK14" s="146"/>
      <c r="AL14" s="147"/>
      <c r="AM14" s="148"/>
      <c r="AN14" s="148"/>
      <c r="AO14" s="149"/>
      <c r="AP14" s="149"/>
      <c r="AQ14" s="150"/>
      <c r="AR14" s="396"/>
      <c r="AS14" s="312">
        <f t="shared" ca="1" si="15"/>
        <v>3.4422767065552762</v>
      </c>
      <c r="AT14" s="132" t="str">
        <f t="shared" si="16"/>
        <v>DI1Q18</v>
      </c>
      <c r="AU14" s="55">
        <f t="shared" ca="1" si="17"/>
        <v>7.150571543815229E-2</v>
      </c>
      <c r="AV14" s="114">
        <f ca="1">_xll.Interpolate($AL$4:$AL$13,$AM$4:$AM$13,T14)-_xll.Interpolate($AL$4:$AL$13,$AN$4:$AN$13,T14)</f>
        <v>-1.1043904813630434E-4</v>
      </c>
      <c r="AW14" s="55">
        <f t="shared" ca="1" si="18"/>
        <v>0</v>
      </c>
      <c r="AX14" s="55">
        <f t="shared" ca="1" si="19"/>
        <v>0</v>
      </c>
      <c r="AY14" s="8">
        <f t="shared" ca="1" si="20"/>
        <v>0</v>
      </c>
      <c r="AZ14" s="99">
        <f t="shared" ca="1" si="37"/>
        <v>7.1393488990147344E-2</v>
      </c>
      <c r="BA14" s="99">
        <f t="shared" ca="1" si="21"/>
        <v>0</v>
      </c>
      <c r="BB14" s="55">
        <f t="shared" ca="1" si="22"/>
        <v>0</v>
      </c>
      <c r="BC14" s="134">
        <f t="shared" ca="1" si="39"/>
        <v>7.1393488990147344E-2</v>
      </c>
      <c r="BD14" s="135">
        <f t="shared" ca="1" si="23"/>
        <v>0</v>
      </c>
      <c r="BE14" s="208">
        <f t="shared" ca="1" si="24"/>
        <v>0.1701111380568042</v>
      </c>
      <c r="BF14" s="312">
        <f>IF(ISERROR(_xll.BDP(CONCATENATE("OD",RIGHT(W14,3)," COMDTY"),"volume")+1-1),0,(_xll.BDP(CONCATENATE("OD",RIGHT(W14,3)," COMDTY"),"volume")+1-1))</f>
        <v>0</v>
      </c>
      <c r="BG14" s="312">
        <f t="shared" ca="1" si="25"/>
        <v>0</v>
      </c>
      <c r="BH14" s="5">
        <f t="shared" ca="1" si="26"/>
        <v>7.4410363074493944</v>
      </c>
      <c r="BI14" s="5"/>
      <c r="BJ14" s="312">
        <f ca="1">(_xll.Spline($T$3:$T$35, $AH$3:$AH$35,T14-1)-AH14)*-10000</f>
        <v>5.0145931801137689E-2</v>
      </c>
      <c r="BK14" s="312">
        <f t="shared" ca="1" si="27"/>
        <v>-0.4603207706543877</v>
      </c>
      <c r="BL14" s="308">
        <f t="shared" ca="1" si="28"/>
        <v>-0.41017483885325001</v>
      </c>
      <c r="BM14" s="308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</row>
    <row r="15" spans="1:77" s="188" customFormat="1" ht="13.5" customHeight="1" thickBot="1" x14ac:dyDescent="0.25">
      <c r="A15" s="382">
        <v>12</v>
      </c>
      <c r="B15" s="47" t="str">
        <f t="shared" si="29"/>
        <v>DI1V18</v>
      </c>
      <c r="C15" s="48">
        <f t="shared" si="0"/>
        <v>7.1662135760377721E-2</v>
      </c>
      <c r="D15" s="48">
        <f t="shared" si="30"/>
        <v>7.1599999999999997E-2</v>
      </c>
      <c r="E15" s="48">
        <f t="shared" si="31"/>
        <v>7.1599999999999997E-2</v>
      </c>
      <c r="F15" s="48">
        <f t="shared" si="31"/>
        <v>7.17E-2</v>
      </c>
      <c r="G15" s="136">
        <v>7.1662135760377721E-2</v>
      </c>
      <c r="H15" s="137">
        <v>1.5820772209407252E-4</v>
      </c>
      <c r="I15" s="138">
        <f t="shared" si="32"/>
        <v>1.5820772209407252E-4</v>
      </c>
      <c r="J15" s="138">
        <f t="shared" si="1"/>
        <v>0</v>
      </c>
      <c r="K15" s="139">
        <f t="shared" ca="1" si="33"/>
        <v>7.2464834621915442E-2</v>
      </c>
      <c r="L15" s="383">
        <v>10000</v>
      </c>
      <c r="M15" s="384">
        <f t="shared" ca="1" si="2"/>
        <v>88037.162954424275</v>
      </c>
      <c r="N15" s="361">
        <f t="shared" ca="1" si="3"/>
        <v>0.94423861498629402</v>
      </c>
      <c r="O15" s="361">
        <f t="shared" ca="1" si="4"/>
        <v>0.88634194863435034</v>
      </c>
      <c r="P15" s="40">
        <f t="shared" ca="1" si="5"/>
        <v>93236.139210110749</v>
      </c>
      <c r="Q15" s="139">
        <f t="shared" ca="1" si="6"/>
        <v>7.2545483405813904E-2</v>
      </c>
      <c r="R15" s="385">
        <f t="shared" ca="1" si="7"/>
        <v>1135.8839454171045</v>
      </c>
      <c r="S15" s="52">
        <f>AuxilioDados!Y69</f>
        <v>43374</v>
      </c>
      <c r="T15" s="37">
        <f ca="1">AuxilioDados!T69-$L$2</f>
        <v>255</v>
      </c>
      <c r="U15" s="386">
        <f t="shared" ca="1" si="34"/>
        <v>42</v>
      </c>
      <c r="V15" s="376">
        <f t="shared" si="8"/>
        <v>12</v>
      </c>
      <c r="W15" s="385" t="str">
        <f>IF(ISERROR(VLOOKUP(A15,AuxilioDados!$R$1:$S$1810,2,FALSE)),"",(VLOOKUP(A15,AuxilioDados!$R$1:$S$1810,2,FALSE)))</f>
        <v>DI1V18</v>
      </c>
      <c r="X15" s="98">
        <f t="shared" si="9"/>
        <v>7.1662135760377721E-2</v>
      </c>
      <c r="Y15" s="385">
        <f>_xll.BDP(CONCATENATE("OD",RIGHT(W15,3)," COMDTY"),"last_price")</f>
        <v>7.16</v>
      </c>
      <c r="Z15" s="385">
        <f>_xll.BDP(CONCATENATE("OD",RIGHT(W15,3)," COMDTY"),"BID")</f>
        <v>7.16</v>
      </c>
      <c r="AA15" s="385">
        <f>_xll.BDP(CONCATENATE("OD",RIGHT(W15,3)," COMDTY"),"ASK")</f>
        <v>7.17</v>
      </c>
      <c r="AB15" s="385">
        <f>_xll.BDP(CONCATENATE("OD",RIGHT(W15,3)," COMDTY"),"PREV_CLOSE_VAL")</f>
        <v>7.17</v>
      </c>
      <c r="AC15" s="385">
        <f>_xll.BDP(CONCATENATE("OD",RIGHT(W15,3)," COMDTY"),"PX_LAST")</f>
        <v>7.16</v>
      </c>
      <c r="AD15" s="387">
        <f>_xll.BDP(CONCATENATE("OD",RIGHT(W15,3)," COMDTY"),"time")+1-1</f>
        <v>0.53151620370370356</v>
      </c>
      <c r="AE15" s="385">
        <f t="shared" ca="1" si="40"/>
        <v>104.50133333095991</v>
      </c>
      <c r="AF15" s="5">
        <f ca="1">T15-'NTN-F'!$E$3</f>
        <v>254</v>
      </c>
      <c r="AG15" s="380">
        <f t="shared" ca="1" si="10"/>
        <v>7.1624121187769507E-2</v>
      </c>
      <c r="AH15" s="127">
        <f ca="1">IF(ISERROR(IF(B15="",AH14,VLOOKUP(S15,AuxilioDados!$M$1:$P$65524,3,FALSE))),VLOOKUP(S15,AuxilioDados!$Y$58:$AA$98,3,FALSE),(IF(B15="",AH14,VLOOKUP(S15,AuxilioDados!$M$1:$P$65524,3,FALSE))))</f>
        <v>7.1700003179191674E-2</v>
      </c>
      <c r="AI15" s="114">
        <f t="shared" ca="1" si="11"/>
        <v>7.1662135760377721E-2</v>
      </c>
      <c r="AJ15" s="312"/>
      <c r="AK15" s="132"/>
      <c r="AL15" s="5"/>
      <c r="AM15" s="8"/>
      <c r="AN15" s="8"/>
      <c r="AO15" s="8"/>
      <c r="AP15" s="8"/>
      <c r="AQ15" s="8"/>
      <c r="AR15" s="8"/>
      <c r="AS15" s="312">
        <f t="shared" ca="1" si="15"/>
        <v>3.3477338366792537</v>
      </c>
      <c r="AT15" s="132" t="str">
        <f t="shared" si="16"/>
        <v>DI1V18</v>
      </c>
      <c r="AU15" s="55">
        <f t="shared" ca="1" si="17"/>
        <v>7.1663923160246362E-2</v>
      </c>
      <c r="AV15" s="114">
        <f ca="1">_xll.Interpolate($AL$4:$AL$13,$AM$4:$AM$13,T15)-_xll.Interpolate($AL$4:$AL$13,$AN$4:$AN$13,T15)</f>
        <v>-1.0046042145471501E-4</v>
      </c>
      <c r="AW15" s="55">
        <f t="shared" ca="1" si="18"/>
        <v>0</v>
      </c>
      <c r="AX15" s="55">
        <f t="shared" ca="1" si="19"/>
        <v>0</v>
      </c>
      <c r="AY15" s="8">
        <f t="shared" ca="1" si="20"/>
        <v>0</v>
      </c>
      <c r="AZ15" s="99">
        <f t="shared" ca="1" si="37"/>
        <v>7.1561675338923006E-2</v>
      </c>
      <c r="BA15" s="99">
        <f t="shared" ca="1" si="21"/>
        <v>0</v>
      </c>
      <c r="BB15" s="55">
        <f t="shared" ca="1" si="22"/>
        <v>7.1599999999999997E-2</v>
      </c>
      <c r="BC15" s="134">
        <f t="shared" ca="1" si="39"/>
        <v>7.1599999999999997E-2</v>
      </c>
      <c r="BD15" s="135">
        <f t="shared" ca="1" si="23"/>
        <v>3.8324661076991062E-5</v>
      </c>
      <c r="BE15" s="208">
        <f t="shared" ca="1" si="24"/>
        <v>0.20291582369667771</v>
      </c>
      <c r="BF15" s="312">
        <f>IF(ISERROR(_xll.BDP(CONCATENATE("OD",RIGHT(W15,3)," COMDTY"),"volume")+1-1),0,(_xll.BDP(CONCATENATE("OD",RIGHT(W15,3)," COMDTY"),"volume")+1-1))</f>
        <v>11010</v>
      </c>
      <c r="BG15" s="312">
        <f t="shared" ca="1" si="25"/>
        <v>96928.916412821127</v>
      </c>
      <c r="BH15" s="5">
        <f t="shared" ca="1" si="26"/>
        <v>8.8037162954424275</v>
      </c>
      <c r="BI15" s="5"/>
      <c r="BJ15" s="312">
        <f ca="1">(_xll.Spline($T$3:$T$35, $AH$3:$AH$35,T15-1)-AH15)*-10000</f>
        <v>0.20273568019424371</v>
      </c>
      <c r="BK15" s="312">
        <f t="shared" ca="1" si="27"/>
        <v>-0.37867418813952725</v>
      </c>
      <c r="BL15" s="308">
        <f t="shared" ca="1" si="28"/>
        <v>-0.17593850794528354</v>
      </c>
      <c r="BM15" s="397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</row>
    <row r="16" spans="1:77" s="188" customFormat="1" ht="13.5" customHeight="1" thickBot="1" x14ac:dyDescent="0.25">
      <c r="A16" s="388">
        <v>13</v>
      </c>
      <c r="B16" s="49" t="str">
        <f t="shared" si="29"/>
        <v>DI1X18</v>
      </c>
      <c r="C16" s="50">
        <f t="shared" si="0"/>
        <v>7.2317468513646066E-2</v>
      </c>
      <c r="D16" s="50" t="str">
        <f t="shared" si="30"/>
        <v/>
      </c>
      <c r="E16" s="50" t="str">
        <f t="shared" si="31"/>
        <v/>
      </c>
      <c r="F16" s="50" t="str">
        <f t="shared" si="31"/>
        <v/>
      </c>
      <c r="G16" s="140">
        <v>7.2317468513646066E-2</v>
      </c>
      <c r="H16" s="141">
        <v>6.5533275326834506E-4</v>
      </c>
      <c r="I16" s="142">
        <f t="shared" si="32"/>
        <v>6.5533275326834506E-4</v>
      </c>
      <c r="J16" s="142">
        <f t="shared" si="1"/>
        <v>0</v>
      </c>
      <c r="K16" s="143">
        <f t="shared" ca="1" si="33"/>
        <v>7.9942676330071238E-2</v>
      </c>
      <c r="L16" s="395">
        <v>10000</v>
      </c>
      <c r="M16" s="390">
        <f t="shared" ca="1" si="2"/>
        <v>94934.528698213398</v>
      </c>
      <c r="N16" s="391">
        <f t="shared" ca="1" si="3"/>
        <v>1.0250754947560237</v>
      </c>
      <c r="O16" s="391">
        <f t="shared" ca="1" si="4"/>
        <v>1.0033618865705942</v>
      </c>
      <c r="P16" s="144">
        <f t="shared" ca="1" si="5"/>
        <v>92612.231180893257</v>
      </c>
      <c r="Q16" s="143">
        <f t="shared" ca="1" si="6"/>
        <v>7.9770984079594376E-2</v>
      </c>
      <c r="R16" s="377">
        <f t="shared" ca="1" si="7"/>
        <v>1053.3575230345241</v>
      </c>
      <c r="S16" s="53">
        <f>AuxilioDados!Y70</f>
        <v>43405</v>
      </c>
      <c r="T16" s="54">
        <f ca="1">AuxilioDados!T70-$L$2</f>
        <v>277</v>
      </c>
      <c r="U16" s="392">
        <f t="shared" ca="1" si="34"/>
        <v>22</v>
      </c>
      <c r="V16" s="376">
        <f t="shared" si="8"/>
        <v>13</v>
      </c>
      <c r="W16" s="377" t="str">
        <f>IF(ISERROR(VLOOKUP(A16,AuxilioDados!$R$1:$S$1810,2,FALSE)),"",(VLOOKUP(A16,AuxilioDados!$R$1:$S$1810,2,FALSE)))</f>
        <v>DI1X18</v>
      </c>
      <c r="X16" s="145">
        <f t="shared" si="9"/>
        <v>7.2317468513646066E-2</v>
      </c>
      <c r="Y16" s="377" t="str">
        <f>_xll.BDP(CONCATENATE("OD",RIGHT(W16,3)," COMDTY"),"last_price")</f>
        <v>#N/A Invalid Security</v>
      </c>
      <c r="Z16" s="377" t="str">
        <f>_xll.BDP(CONCATENATE("OD",RIGHT(W16,3)," COMDTY"),"BID")</f>
        <v>#N/A Invalid Security</v>
      </c>
      <c r="AA16" s="377" t="str">
        <f>_xll.BDP(CONCATENATE("OD",RIGHT(W16,3)," COMDTY"),"ASK")</f>
        <v>#N/A Invalid Security</v>
      </c>
      <c r="AB16" s="377" t="str">
        <f>_xll.BDP(CONCATENATE("OD",RIGHT(W16,3)," COMDTY"),"PREV_CLOSE_VAL")</f>
        <v>#N/A Invalid Security</v>
      </c>
      <c r="AC16" s="377" t="str">
        <f>_xll.BDP(CONCATENATE("OD",RIGHT(W16,3)," COMDTY"),"PX_LAST")</f>
        <v>#N/A Invalid Security</v>
      </c>
      <c r="AD16" s="379" t="e">
        <f>_xll.BDP(CONCATENATE("OD",RIGHT(W16,3)," COMDTY"),"time")+1-1</f>
        <v>#VALUE!</v>
      </c>
      <c r="AE16" s="377">
        <f t="shared" ca="1" si="40"/>
        <v>1440</v>
      </c>
      <c r="AF16" s="5">
        <f ca="1">T16-'NTN-F'!$E$3</f>
        <v>276</v>
      </c>
      <c r="AG16" s="380">
        <f ca="1">(((C16+1)^((T16+$L$2)/252))/((1+$B$2)^($L$2/252)))^(252/T16)-1</f>
        <v>7.2284818170367471E-2</v>
      </c>
      <c r="AH16" s="127">
        <f ca="1">IF(ISERROR(IF(B16="",AH15,VLOOKUP(S16,AuxilioDados!$M$1:$P$65524,3,FALSE))),VLOOKUP(S16,AuxilioDados!$Y$58:$AA$98,3,FALSE),(IF(B16="",AH15,VLOOKUP(S16,AuxilioDados!$M$1:$P$65524,3,FALSE))))</f>
        <v>7.2350002398469448E-2</v>
      </c>
      <c r="AI16" s="114">
        <f t="shared" ca="1" si="11"/>
        <v>7.2317468513646066E-2</v>
      </c>
      <c r="AJ16" s="312"/>
      <c r="AK16" s="132"/>
      <c r="AL16" s="5"/>
      <c r="AM16" s="8"/>
      <c r="AN16" s="8"/>
      <c r="AO16" s="8"/>
      <c r="AP16" s="8"/>
      <c r="AQ16" s="8"/>
      <c r="AR16" s="8"/>
      <c r="AS16" s="312">
        <f t="shared" ca="1" si="15"/>
        <v>3.1006029571144609</v>
      </c>
      <c r="AT16" s="132" t="str">
        <f t="shared" si="16"/>
        <v>DI1X18</v>
      </c>
      <c r="AU16" s="55">
        <f t="shared" ca="1" si="17"/>
        <v>7.2319255913514707E-2</v>
      </c>
      <c r="AV16" s="114">
        <f ca="1">_xll.Interpolate($AL$4:$AL$13,$AM$4:$AM$13,T16)-_xll.Interpolate($AL$4:$AL$13,$AN$4:$AN$13,T16)</f>
        <v>-9.2348767288377709E-5</v>
      </c>
      <c r="AW16" s="55">
        <f t="shared" ca="1" si="18"/>
        <v>0</v>
      </c>
      <c r="AX16" s="55">
        <f t="shared" ca="1" si="19"/>
        <v>0</v>
      </c>
      <c r="AY16" s="8">
        <f t="shared" ca="1" si="20"/>
        <v>0</v>
      </c>
      <c r="AZ16" s="99">
        <f t="shared" ca="1" si="37"/>
        <v>7.2225119746357688E-2</v>
      </c>
      <c r="BA16" s="99">
        <f t="shared" ca="1" si="21"/>
        <v>0</v>
      </c>
      <c r="BB16" s="55">
        <f t="shared" ca="1" si="22"/>
        <v>0</v>
      </c>
      <c r="BC16" s="134">
        <f t="shared" ca="1" si="39"/>
        <v>7.2225119746357688E-2</v>
      </c>
      <c r="BD16" s="135">
        <f t="shared" ca="1" si="23"/>
        <v>0</v>
      </c>
      <c r="BE16" s="208">
        <f t="shared" ca="1" si="24"/>
        <v>0.22163306457320245</v>
      </c>
      <c r="BF16" s="312">
        <f>IF(ISERROR(_xll.BDP(CONCATENATE("OD",RIGHT(W16,3)," COMDTY"),"volume")+1-1),0,(_xll.BDP(CONCATENATE("OD",RIGHT(W16,3)," COMDTY"),"volume")+1-1))</f>
        <v>0</v>
      </c>
      <c r="BG16" s="312">
        <f t="shared" ca="1" si="25"/>
        <v>0</v>
      </c>
      <c r="BH16" s="5">
        <f t="shared" ca="1" si="26"/>
        <v>9.4934528698213398</v>
      </c>
      <c r="BI16" s="5"/>
      <c r="BJ16" s="312">
        <f ca="1">(_xll.Spline($T$3:$T$35, $AH$3:$AH$35,T16-1)-AH16)*-10000</f>
        <v>0.28031366284847481</v>
      </c>
      <c r="BK16" s="312">
        <f t="shared" ca="1" si="27"/>
        <v>-0.32533884823382486</v>
      </c>
      <c r="BL16" s="308">
        <f t="shared" ca="1" si="28"/>
        <v>-4.5025185385350053E-2</v>
      </c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</row>
    <row r="17" spans="1:72" s="188" customFormat="1" ht="13.5" customHeight="1" thickBot="1" x14ac:dyDescent="0.25">
      <c r="A17" s="382">
        <v>14</v>
      </c>
      <c r="B17" s="47" t="str">
        <f t="shared" si="29"/>
        <v>DI1F19</v>
      </c>
      <c r="C17" s="48">
        <f t="shared" si="0"/>
        <v>7.2973606708275129E-2</v>
      </c>
      <c r="D17" s="48">
        <f t="shared" si="30"/>
        <v>7.2900000000000006E-2</v>
      </c>
      <c r="E17" s="48">
        <f t="shared" si="31"/>
        <v>7.2800000000000004E-2</v>
      </c>
      <c r="F17" s="48">
        <f t="shared" si="31"/>
        <v>7.2900000000000006E-2</v>
      </c>
      <c r="G17" s="136">
        <v>7.2973606708275129E-2</v>
      </c>
      <c r="H17" s="137">
        <v>6.5613819462906342E-4</v>
      </c>
      <c r="I17" s="138">
        <f t="shared" si="32"/>
        <v>6.5613819462906342E-4</v>
      </c>
      <c r="J17" s="138">
        <f t="shared" si="1"/>
        <v>0</v>
      </c>
      <c r="K17" s="139">
        <f t="shared" ca="1" si="33"/>
        <v>7.7528393851158617E-2</v>
      </c>
      <c r="L17" s="383">
        <v>10000</v>
      </c>
      <c r="M17" s="384">
        <f t="shared" ca="1" si="2"/>
        <v>107297.75065548893</v>
      </c>
      <c r="N17" s="361">
        <f t="shared" ca="1" si="3"/>
        <v>1.1723834710077257</v>
      </c>
      <c r="O17" s="361">
        <f t="shared" ca="1" si="4"/>
        <v>1.233565952563132</v>
      </c>
      <c r="P17" s="40">
        <f t="shared" ca="1" si="5"/>
        <v>91521.036682017366</v>
      </c>
      <c r="Q17" s="139">
        <f t="shared" ca="1" si="6"/>
        <v>9.2644965850224414E-2</v>
      </c>
      <c r="R17" s="385">
        <f t="shared" ca="1" si="7"/>
        <v>931.98598655697356</v>
      </c>
      <c r="S17" s="52">
        <f>AuxilioDados!Y71</f>
        <v>43467</v>
      </c>
      <c r="T17" s="37">
        <f ca="1">AuxilioDados!T71-$L$2</f>
        <v>317</v>
      </c>
      <c r="U17" s="386">
        <f t="shared" ca="1" si="34"/>
        <v>40</v>
      </c>
      <c r="V17" s="376">
        <f t="shared" si="8"/>
        <v>14</v>
      </c>
      <c r="W17" s="385" t="str">
        <f>IF(ISERROR(VLOOKUP(A17,AuxilioDados!$R$1:$S$1810,2,FALSE)),"",(VLOOKUP(A17,AuxilioDados!$R$1:$S$1810,2,FALSE)))</f>
        <v>DI1F19</v>
      </c>
      <c r="X17" s="98">
        <f t="shared" si="9"/>
        <v>7.2973606708275129E-2</v>
      </c>
      <c r="Y17" s="385">
        <f>_xll.BDP(CONCATENATE("OD",RIGHT(W17,3)," COMDTY"),"last_price")</f>
        <v>7.29</v>
      </c>
      <c r="Z17" s="385">
        <f>_xll.BDP(CONCATENATE("OD",RIGHT(W17,3)," COMDTY"),"BID")</f>
        <v>7.28</v>
      </c>
      <c r="AA17" s="385">
        <f>_xll.BDP(CONCATENATE("OD",RIGHT(W17,3)," COMDTY"),"ASK")</f>
        <v>7.29</v>
      </c>
      <c r="AB17" s="385">
        <f>_xll.BDP(CONCATENATE("OD",RIGHT(W17,3)," COMDTY"),"PREV_CLOSE_VAL")</f>
        <v>7.3</v>
      </c>
      <c r="AC17" s="385">
        <f>_xll.BDP(CONCATENATE("OD",RIGHT(W17,3)," COMDTY"),"PX_LAST")</f>
        <v>7.29</v>
      </c>
      <c r="AD17" s="387">
        <f>_xll.BDP(CONCATENATE("OD",RIGHT(W17,3)," COMDTY"),"time")+1-1</f>
        <v>0.58590277777777766</v>
      </c>
      <c r="AE17" s="385">
        <f t="shared" ca="1" si="40"/>
        <v>26.184666664293204</v>
      </c>
      <c r="AF17" s="5">
        <f ca="1">T17-'NTN-F'!$E$3</f>
        <v>316</v>
      </c>
      <c r="AG17" s="380">
        <f t="shared" ca="1" si="10"/>
        <v>7.2947129186472948E-2</v>
      </c>
      <c r="AH17" s="127">
        <f ca="1">IF(ISERROR(IF(B17="",AH16,VLOOKUP(S17,AuxilioDados!$M$1:$P$65524,3,FALSE))),VLOOKUP(S17,AuxilioDados!$Y$58:$AA$98,3,FALSE),(IF(B17="",AH16,VLOOKUP(S17,AuxilioDados!$M$1:$P$65524,3,FALSE))))</f>
        <v>7.3000001617747223E-2</v>
      </c>
      <c r="AI17" s="114">
        <f t="shared" ca="1" si="11"/>
        <v>7.2973606708275129E-2</v>
      </c>
      <c r="AJ17" s="312"/>
      <c r="AK17" s="5"/>
      <c r="AL17" s="5"/>
      <c r="AM17" s="8"/>
      <c r="AN17" s="5"/>
      <c r="AO17" s="5"/>
      <c r="AP17" s="5"/>
      <c r="AQ17" s="5"/>
      <c r="AR17" s="5"/>
      <c r="AS17" s="312">
        <f t="shared" ca="1" si="15"/>
        <v>2.8418518368998775</v>
      </c>
      <c r="AT17" s="132" t="str">
        <f t="shared" si="16"/>
        <v>DI1F19</v>
      </c>
      <c r="AU17" s="55">
        <f t="shared" ca="1" si="17"/>
        <v>7.2900000000000006E-2</v>
      </c>
      <c r="AV17" s="114">
        <f ca="1">_xll.Interpolate($AL$4:$AL$13,$AM$4:$AM$13,T17)-_xll.Interpolate($AL$4:$AL$13,$AN$4:$AN$13,T17)</f>
        <v>-7.3606708275122945E-5</v>
      </c>
      <c r="AW17" s="55">
        <f t="shared" ca="1" si="18"/>
        <v>0</v>
      </c>
      <c r="AX17" s="55">
        <f t="shared" ca="1" si="19"/>
        <v>7.2900000000000006E-2</v>
      </c>
      <c r="AY17" s="8">
        <f t="shared" ca="1" si="20"/>
        <v>7.2900000000000006E-2</v>
      </c>
      <c r="AZ17" s="99">
        <f t="shared" ca="1" si="37"/>
        <v>7.2900000000000006E-2</v>
      </c>
      <c r="BA17" s="99">
        <f t="shared" ca="1" si="21"/>
        <v>0</v>
      </c>
      <c r="BB17" s="55">
        <f t="shared" ca="1" si="22"/>
        <v>0</v>
      </c>
      <c r="BC17" s="134">
        <f t="shared" ca="1" si="39"/>
        <v>7.2900000000000006E-2</v>
      </c>
      <c r="BD17" s="135">
        <f t="shared" ca="1" si="23"/>
        <v>0</v>
      </c>
      <c r="BE17" s="208">
        <f t="shared" ca="1" si="24"/>
        <v>0.25436889953947922</v>
      </c>
      <c r="BF17" s="312">
        <f>IF(ISERROR(_xll.BDP(CONCATENATE("OD",RIGHT(W17,3)," COMDTY"),"volume")+1-1),0,(_xll.BDP(CONCATENATE("OD",RIGHT(W17,3)," COMDTY"),"volume")+1-1))</f>
        <v>71610</v>
      </c>
      <c r="BG17" s="312">
        <f t="shared" ca="1" si="25"/>
        <v>768359.19244395616</v>
      </c>
      <c r="BH17" s="5">
        <f t="shared" ca="1" si="26"/>
        <v>10.729775065548893</v>
      </c>
      <c r="BI17" s="5"/>
      <c r="BJ17" s="312">
        <f ca="1">(_xll.Spline($T$3:$T$35, $AH$3:$AH$35,T17-1)-AH17)*-10000</f>
        <v>0.16308894714642252</v>
      </c>
      <c r="BK17" s="312">
        <f t="shared" ca="1" si="27"/>
        <v>-0.26394909472093886</v>
      </c>
      <c r="BL17" s="308">
        <f t="shared" ca="1" si="28"/>
        <v>-0.10086014757451633</v>
      </c>
      <c r="BM17" s="5"/>
      <c r="BN17" s="5"/>
      <c r="BO17" s="5"/>
      <c r="BP17" s="5"/>
      <c r="BQ17" s="5"/>
      <c r="BR17" s="5"/>
      <c r="BS17" s="5"/>
      <c r="BT17" s="5"/>
    </row>
    <row r="18" spans="1:72" s="188" customFormat="1" ht="13.5" customHeight="1" thickBot="1" x14ac:dyDescent="0.25">
      <c r="A18" s="388">
        <v>15</v>
      </c>
      <c r="B18" s="49" t="str">
        <f t="shared" si="29"/>
        <v>DI1J19</v>
      </c>
      <c r="C18" s="50">
        <f t="shared" si="0"/>
        <v>7.4682321761070369E-2</v>
      </c>
      <c r="D18" s="50">
        <f t="shared" si="30"/>
        <v>7.46E-2</v>
      </c>
      <c r="E18" s="50">
        <f t="shared" si="31"/>
        <v>7.4499999999999997E-2</v>
      </c>
      <c r="F18" s="50">
        <f t="shared" si="31"/>
        <v>7.4700000000000003E-2</v>
      </c>
      <c r="G18" s="140">
        <v>7.4682321761070369E-2</v>
      </c>
      <c r="H18" s="141">
        <v>1.7087150527952399E-3</v>
      </c>
      <c r="I18" s="142">
        <f t="shared" si="32"/>
        <v>1.7087150527952399E-3</v>
      </c>
      <c r="J18" s="142">
        <f t="shared" si="1"/>
        <v>0</v>
      </c>
      <c r="K18" s="143">
        <f t="shared" ca="1" si="33"/>
        <v>8.3605949295796789E-2</v>
      </c>
      <c r="L18" s="389">
        <v>10000</v>
      </c>
      <c r="M18" s="390">
        <f t="shared" ca="1" si="2"/>
        <v>125282.67053661693</v>
      </c>
      <c r="N18" s="391">
        <f t="shared" ca="1" si="3"/>
        <v>1.3957613227346499</v>
      </c>
      <c r="O18" s="391">
        <f t="shared" ca="1" si="4"/>
        <v>1.623458029718692</v>
      </c>
      <c r="P18" s="144">
        <f t="shared" ca="1" si="5"/>
        <v>89759.379699070938</v>
      </c>
      <c r="Q18" s="143">
        <f t="shared" ca="1" si="6"/>
        <v>0.11408969553111858</v>
      </c>
      <c r="R18" s="377">
        <f t="shared" ca="1" si="7"/>
        <v>798.19499035002252</v>
      </c>
      <c r="S18" s="53">
        <f>AuxilioDados!Y72</f>
        <v>43556</v>
      </c>
      <c r="T18" s="54">
        <f ca="1">AuxilioDados!T72-$L$2</f>
        <v>378</v>
      </c>
      <c r="U18" s="392">
        <f t="shared" ca="1" si="34"/>
        <v>61</v>
      </c>
      <c r="V18" s="376">
        <f t="shared" si="8"/>
        <v>15</v>
      </c>
      <c r="W18" s="377" t="str">
        <f>IF(ISERROR(VLOOKUP(A18,AuxilioDados!$R$1:$S$1810,2,FALSE)),"",(VLOOKUP(A18,AuxilioDados!$R$1:$S$1810,2,FALSE)))</f>
        <v>DI1J19</v>
      </c>
      <c r="X18" s="145">
        <f t="shared" si="9"/>
        <v>7.4682321761070369E-2</v>
      </c>
      <c r="Y18" s="377">
        <f>_xll.BDP(CONCATENATE("OD",RIGHT(W18,3)," COMDTY"),"last_price")</f>
        <v>7.46</v>
      </c>
      <c r="Z18" s="377">
        <f>_xll.BDP(CONCATENATE("OD",RIGHT(W18,3)," COMDTY"),"BID")</f>
        <v>7.45</v>
      </c>
      <c r="AA18" s="377">
        <f>_xll.BDP(CONCATENATE("OD",RIGHT(W18,3)," COMDTY"),"ASK")</f>
        <v>7.47</v>
      </c>
      <c r="AB18" s="377">
        <f>_xll.BDP(CONCATENATE("OD",RIGHT(W18,3)," COMDTY"),"PREV_CLOSE_VAL")</f>
        <v>7.47</v>
      </c>
      <c r="AC18" s="377">
        <f>_xll.BDP(CONCATENATE("OD",RIGHT(W18,3)," COMDTY"),"PX_LAST")</f>
        <v>7.46</v>
      </c>
      <c r="AD18" s="379">
        <f>_xll.BDP(CONCATENATE("OD",RIGHT(W18,3)," COMDTY"),"time")+1-1</f>
        <v>0.53495370370370354</v>
      </c>
      <c r="AE18" s="377">
        <f t="shared" ca="1" si="40"/>
        <v>99.551333330959935</v>
      </c>
      <c r="AF18" s="5">
        <f ca="1">T18-'NTN-F'!$E$3</f>
        <v>377</v>
      </c>
      <c r="AG18" s="380">
        <f t="shared" ca="1" si="10"/>
        <v>7.4664605585076593E-2</v>
      </c>
      <c r="AH18" s="127">
        <f ca="1">IF(ISERROR(IF(B18="",AH17,VLOOKUP(S18,AuxilioDados!$M$1:$P$65524,3,FALSE))),VLOOKUP(S18,AuxilioDados!$Y$58:$AA$98,3,FALSE),(IF(B18="",AH17,VLOOKUP(S18,AuxilioDados!$M$1:$P$65524,3,FALSE))))</f>
        <v>7.4699991483438533E-2</v>
      </c>
      <c r="AI18" s="114">
        <f t="shared" ca="1" si="11"/>
        <v>7.4682321761070369E-2</v>
      </c>
      <c r="AJ18" s="312"/>
      <c r="AK18" s="278"/>
      <c r="AL18" s="398"/>
      <c r="AM18" s="278"/>
      <c r="AN18" s="278"/>
      <c r="AO18" s="278"/>
      <c r="AP18" s="278"/>
      <c r="AQ18" s="246"/>
      <c r="AR18" s="5"/>
      <c r="AS18" s="312">
        <f t="shared" ca="1" si="15"/>
        <v>2.2202100255672121</v>
      </c>
      <c r="AT18" s="132" t="str">
        <f t="shared" si="16"/>
        <v>DI1J19</v>
      </c>
      <c r="AU18" s="55">
        <f t="shared" ca="1" si="17"/>
        <v>7.4608715052795246E-2</v>
      </c>
      <c r="AV18" s="114">
        <f ca="1">_xll.Interpolate($AL$4:$AL$13,$AM$4:$AM$13,T18)-_xll.Interpolate($AL$4:$AL$13,$AN$4:$AN$13,T18)</f>
        <v>-1.8589183235467877E-5</v>
      </c>
      <c r="AW18" s="55">
        <f t="shared" ca="1" si="18"/>
        <v>0</v>
      </c>
      <c r="AX18" s="55">
        <f t="shared" ca="1" si="19"/>
        <v>0</v>
      </c>
      <c r="AY18" s="8">
        <f t="shared" ca="1" si="20"/>
        <v>0</v>
      </c>
      <c r="AZ18" s="99">
        <f t="shared" ca="1" si="37"/>
        <v>7.4663732577834901E-2</v>
      </c>
      <c r="BA18" s="99">
        <f t="shared" ca="1" si="21"/>
        <v>0</v>
      </c>
      <c r="BB18" s="55">
        <f t="shared" ca="1" si="22"/>
        <v>0</v>
      </c>
      <c r="BC18" s="134">
        <f t="shared" ca="1" si="39"/>
        <v>7.4663732577834901E-2</v>
      </c>
      <c r="BD18" s="135">
        <f t="shared" ca="1" si="23"/>
        <v>0</v>
      </c>
      <c r="BE18" s="208">
        <f t="shared" ca="1" si="24"/>
        <v>0.30721860902787212</v>
      </c>
      <c r="BF18" s="312">
        <f>IF(ISERROR(_xll.BDP(CONCATENATE("OD",RIGHT(W18,3)," COMDTY"),"volume")+1-1),0,(_xll.BDP(CONCATENATE("OD",RIGHT(W18,3)," COMDTY"),"volume")+1-1))</f>
        <v>175</v>
      </c>
      <c r="BG18" s="312">
        <f t="shared" ca="1" si="25"/>
        <v>2192.4467343907963</v>
      </c>
      <c r="BH18" s="5">
        <f t="shared" ca="1" si="26"/>
        <v>12.528267053661693</v>
      </c>
      <c r="BI18" s="5"/>
      <c r="BJ18" s="312">
        <f ca="1">(_xll.Spline($T$3:$T$35, $AH$3:$AH$35,T18-1)-AH18)*-10000</f>
        <v>0.32249395706090977</v>
      </c>
      <c r="BK18" s="312">
        <f t="shared" ca="1" si="27"/>
        <v>-0.17669722368163221</v>
      </c>
      <c r="BL18" s="308">
        <f t="shared" ca="1" si="28"/>
        <v>0.14579673337927757</v>
      </c>
      <c r="BM18" s="5"/>
      <c r="BN18" s="5"/>
      <c r="BO18" s="5"/>
      <c r="BP18" s="5"/>
      <c r="BQ18" s="5"/>
      <c r="BR18" s="5"/>
      <c r="BS18" s="5"/>
      <c r="BT18" s="5"/>
    </row>
    <row r="19" spans="1:72" s="188" customFormat="1" ht="13.5" customHeight="1" thickBot="1" x14ac:dyDescent="0.25">
      <c r="A19" s="382">
        <v>16</v>
      </c>
      <c r="B19" s="47" t="str">
        <f t="shared" si="29"/>
        <v>DI1N19</v>
      </c>
      <c r="C19" s="48">
        <f t="shared" si="0"/>
        <v>7.6689343730161674E-2</v>
      </c>
      <c r="D19" s="48">
        <f t="shared" si="30"/>
        <v>7.6600000000000001E-2</v>
      </c>
      <c r="E19" s="48">
        <f t="shared" si="31"/>
        <v>7.6600000000000001E-2</v>
      </c>
      <c r="F19" s="48">
        <f t="shared" si="31"/>
        <v>7.6700000000000004E-2</v>
      </c>
      <c r="G19" s="136">
        <v>7.6689343730161674E-2</v>
      </c>
      <c r="H19" s="137">
        <v>2.0070219690913049E-3</v>
      </c>
      <c r="I19" s="138">
        <f t="shared" si="32"/>
        <v>2.0070219690913049E-3</v>
      </c>
      <c r="J19" s="138">
        <f t="shared" si="1"/>
        <v>0</v>
      </c>
      <c r="K19" s="139">
        <f t="shared" ca="1" si="33"/>
        <v>8.900704899705536E-2</v>
      </c>
      <c r="L19" s="383">
        <v>10000</v>
      </c>
      <c r="M19" s="384">
        <f t="shared" ca="1" si="2"/>
        <v>142538.06029519183</v>
      </c>
      <c r="N19" s="361">
        <f t="shared" ca="1" si="3"/>
        <v>1.6216671800659463</v>
      </c>
      <c r="O19" s="361">
        <f t="shared" ca="1" si="4"/>
        <v>2.067982553474971</v>
      </c>
      <c r="P19" s="40">
        <f t="shared" ca="1" si="5"/>
        <v>87896.001132239355</v>
      </c>
      <c r="Q19" s="139">
        <f t="shared" ca="1" si="6"/>
        <v>0.13770818594523093</v>
      </c>
      <c r="R19" s="385">
        <f t="shared" ca="1" si="7"/>
        <v>701.5670045804128</v>
      </c>
      <c r="S19" s="52">
        <f>AuxilioDados!Y73</f>
        <v>43647</v>
      </c>
      <c r="T19" s="37">
        <f ca="1">AuxilioDados!T73-$L$2</f>
        <v>440</v>
      </c>
      <c r="U19" s="386">
        <f t="shared" ca="1" si="34"/>
        <v>62</v>
      </c>
      <c r="V19" s="376">
        <f t="shared" si="8"/>
        <v>16</v>
      </c>
      <c r="W19" s="385" t="str">
        <f>IF(ISERROR(VLOOKUP(A19,AuxilioDados!$R$1:$S$1810,2,FALSE)),"",(VLOOKUP(A19,AuxilioDados!$R$1:$S$1810,2,FALSE)))</f>
        <v>DI1N19</v>
      </c>
      <c r="X19" s="98">
        <f t="shared" si="9"/>
        <v>7.6689343730161674E-2</v>
      </c>
      <c r="Y19" s="385">
        <f>_xll.BDP(CONCATENATE("OD",RIGHT(W19,3)," COMDTY"),"last_price")</f>
        <v>7.66</v>
      </c>
      <c r="Z19" s="385">
        <f>_xll.BDP(CONCATENATE("OD",RIGHT(W19,3)," COMDTY"),"BID")</f>
        <v>7.66</v>
      </c>
      <c r="AA19" s="385">
        <f>_xll.BDP(CONCATENATE("OD",RIGHT(W19,3)," COMDTY"),"ASK")</f>
        <v>7.67</v>
      </c>
      <c r="AB19" s="385">
        <f>_xll.BDP(CONCATENATE("OD",RIGHT(W19,3)," COMDTY"),"PREV_CLOSE_VAL")</f>
        <v>7.67</v>
      </c>
      <c r="AC19" s="385">
        <f>_xll.BDP(CONCATENATE("OD",RIGHT(W19,3)," COMDTY"),"PX_LAST")</f>
        <v>7.66</v>
      </c>
      <c r="AD19" s="387">
        <f>_xll.BDP(CONCATENATE("OD",RIGHT(W19,3)," COMDTY"),"time")+1-1</f>
        <v>0.58732638888888888</v>
      </c>
      <c r="AE19" s="385">
        <f t="shared" ca="1" si="40"/>
        <v>24.134666664293043</v>
      </c>
      <c r="AF19" s="5">
        <f ca="1">T19-'NTN-F'!$E$3</f>
        <v>439</v>
      </c>
      <c r="AG19" s="380">
        <f t="shared" ca="1" si="10"/>
        <v>7.6678661098246614E-2</v>
      </c>
      <c r="AH19" s="127">
        <f ca="1">IF(ISERROR(IF(B19="",AH18,VLOOKUP(S19,AuxilioDados!$M$1:$P$65524,3,FALSE))),VLOOKUP(S19,AuxilioDados!$Y$58:$AA$98,3,FALSE),(IF(B19="",AH18,VLOOKUP(S19,AuxilioDados!$M$1:$P$65524,3,FALSE))))</f>
        <v>7.6700002244052712E-2</v>
      </c>
      <c r="AI19" s="114">
        <f t="shared" ca="1" si="11"/>
        <v>7.6689343730161674E-2</v>
      </c>
      <c r="AJ19" s="312"/>
      <c r="AK19" s="399"/>
      <c r="AL19" s="398"/>
      <c r="AM19" s="96"/>
      <c r="AN19" s="95"/>
      <c r="AO19" s="95"/>
      <c r="AP19" s="95"/>
      <c r="AQ19" s="400"/>
      <c r="AR19" s="8"/>
      <c r="AS19" s="312">
        <f t="shared" ca="1" si="15"/>
        <v>1.5231489018624416</v>
      </c>
      <c r="AT19" s="132" t="str">
        <f t="shared" si="16"/>
        <v>DI1N19</v>
      </c>
      <c r="AU19" s="55">
        <f t="shared" ca="1" si="17"/>
        <v>7.6600000000000001E-2</v>
      </c>
      <c r="AV19" s="114">
        <f ca="1">_xll.Interpolate($AL$4:$AL$13,$AM$4:$AM$13,T19)-_xll.Interpolate($AL$4:$AL$13,$AN$4:$AN$13,T19)</f>
        <v>6.5292451278037289E-5</v>
      </c>
      <c r="AW19" s="55">
        <f t="shared" ca="1" si="18"/>
        <v>0</v>
      </c>
      <c r="AX19" s="55">
        <f t="shared" ca="1" si="19"/>
        <v>7.6600000000000001E-2</v>
      </c>
      <c r="AY19" s="8">
        <f t="shared" ca="1" si="20"/>
        <v>7.6600000000000001E-2</v>
      </c>
      <c r="AZ19" s="99">
        <f t="shared" ca="1" si="37"/>
        <v>7.6600000000000001E-2</v>
      </c>
      <c r="BA19" s="99">
        <f t="shared" ca="1" si="21"/>
        <v>0</v>
      </c>
      <c r="BB19" s="55">
        <f t="shared" ca="1" si="22"/>
        <v>0</v>
      </c>
      <c r="BC19" s="134">
        <f t="shared" ca="1" si="39"/>
        <v>7.6600000000000001E-2</v>
      </c>
      <c r="BD19" s="135">
        <f t="shared" ca="1" si="23"/>
        <v>0</v>
      </c>
      <c r="BE19" s="208">
        <f t="shared" ca="1" si="24"/>
        <v>0.36311996603281965</v>
      </c>
      <c r="BF19" s="312">
        <f>IF(ISERROR(_xll.BDP(CONCATENATE("OD",RIGHT(W19,3)," COMDTY"),"volume")+1-1),0,(_xll.BDP(CONCATENATE("OD",RIGHT(W19,3)," COMDTY"),"volume")+1-1))</f>
        <v>10515</v>
      </c>
      <c r="BG19" s="312">
        <f t="shared" ca="1" si="25"/>
        <v>149878.77040039419</v>
      </c>
      <c r="BH19" s="5">
        <f t="shared" ca="1" si="26"/>
        <v>14.253806029519183</v>
      </c>
      <c r="BI19" s="5"/>
      <c r="BJ19" s="312">
        <f ca="1">(_xll.Spline($T$3:$T$35, $AH$3:$AH$35,T19-1)-AH19)*-10000</f>
        <v>0.34901377020085667</v>
      </c>
      <c r="BK19" s="312">
        <f t="shared" ca="1" si="27"/>
        <v>-0.10658513891037558</v>
      </c>
      <c r="BL19" s="308">
        <f t="shared" ca="1" si="28"/>
        <v>0.24242863129048109</v>
      </c>
      <c r="BM19" s="5"/>
      <c r="BN19" s="5"/>
      <c r="BO19" s="5"/>
      <c r="BP19" s="5"/>
      <c r="BQ19" s="5"/>
      <c r="BR19" s="5"/>
      <c r="BS19" s="5"/>
      <c r="BT19" s="5"/>
    </row>
    <row r="20" spans="1:72" s="188" customFormat="1" ht="13.5" customHeight="1" thickBot="1" x14ac:dyDescent="0.25">
      <c r="A20" s="388">
        <v>17</v>
      </c>
      <c r="B20" s="49" t="str">
        <f t="shared" si="29"/>
        <v>DI1V19</v>
      </c>
      <c r="C20" s="50">
        <f t="shared" si="0"/>
        <v>7.8995239483740765E-2</v>
      </c>
      <c r="D20" s="50">
        <f t="shared" si="30"/>
        <v>7.9100000000000004E-2</v>
      </c>
      <c r="E20" s="50">
        <f t="shared" si="31"/>
        <v>7.8899999999999998E-2</v>
      </c>
      <c r="F20" s="50">
        <f t="shared" si="31"/>
        <v>7.9000000000000001E-2</v>
      </c>
      <c r="G20" s="140">
        <v>7.8995239483740765E-2</v>
      </c>
      <c r="H20" s="141">
        <v>2.3058957535790903E-3</v>
      </c>
      <c r="I20" s="142">
        <f t="shared" si="32"/>
        <v>2.3058957535790903E-3</v>
      </c>
      <c r="J20" s="142">
        <f t="shared" si="1"/>
        <v>0</v>
      </c>
      <c r="K20" s="143">
        <f t="shared" ca="1" si="33"/>
        <v>9.4494593987386466E-2</v>
      </c>
      <c r="L20" s="389">
        <v>10000</v>
      </c>
      <c r="M20" s="390">
        <f t="shared" ca="1" si="2"/>
        <v>159745.75933316373</v>
      </c>
      <c r="N20" s="391">
        <f t="shared" ca="1" si="3"/>
        <v>1.8609317901631885</v>
      </c>
      <c r="O20" s="391">
        <f t="shared" ca="1" si="4"/>
        <v>2.5938782750545633</v>
      </c>
      <c r="P20" s="144">
        <f t="shared" ca="1" si="5"/>
        <v>85841.813320387912</v>
      </c>
      <c r="Q20" s="143">
        <f t="shared" ca="1" si="6"/>
        <v>0.16493345296387685</v>
      </c>
      <c r="R20" s="377">
        <f t="shared" ca="1" si="7"/>
        <v>625.99470820030513</v>
      </c>
      <c r="S20" s="53">
        <f>AuxilioDados!Y74</f>
        <v>43739</v>
      </c>
      <c r="T20" s="54">
        <f ca="1">AuxilioDados!T74-$L$2</f>
        <v>506</v>
      </c>
      <c r="U20" s="392">
        <f t="shared" ca="1" si="34"/>
        <v>66</v>
      </c>
      <c r="V20" s="376">
        <f t="shared" si="8"/>
        <v>17</v>
      </c>
      <c r="W20" s="377" t="str">
        <f>IF(ISERROR(VLOOKUP(A20,AuxilioDados!$R$1:$S$1810,2,FALSE)),"",(VLOOKUP(A20,AuxilioDados!$R$1:$S$1810,2,FALSE)))</f>
        <v>DI1V19</v>
      </c>
      <c r="X20" s="145">
        <f t="shared" si="9"/>
        <v>7.8995239483740765E-2</v>
      </c>
      <c r="Y20" s="377">
        <f>_xll.BDP(CONCATENATE("OD",RIGHT(W20,3)," COMDTY"),"last_price")</f>
        <v>7.91</v>
      </c>
      <c r="Z20" s="377">
        <f>_xll.BDP(CONCATENATE("OD",RIGHT(W20,3)," COMDTY"),"BID")</f>
        <v>7.89</v>
      </c>
      <c r="AA20" s="377">
        <f>_xll.BDP(CONCATENATE("OD",RIGHT(W20,3)," COMDTY"),"ASK")</f>
        <v>7.9</v>
      </c>
      <c r="AB20" s="377">
        <f>_xll.BDP(CONCATENATE("OD",RIGHT(W20,3)," COMDTY"),"PREV_CLOSE_VAL")</f>
        <v>7.9</v>
      </c>
      <c r="AC20" s="377">
        <f>_xll.BDP(CONCATENATE("OD",RIGHT(W20,3)," COMDTY"),"PX_LAST")</f>
        <v>7.91</v>
      </c>
      <c r="AD20" s="379">
        <f>_xll.BDP(CONCATENATE("OD",RIGHT(W20,3)," COMDTY"),"time")+1-1</f>
        <v>0.56540509259259242</v>
      </c>
      <c r="AE20" s="377">
        <f t="shared" ca="1" si="40"/>
        <v>55.701333330959955</v>
      </c>
      <c r="AF20" s="5">
        <f ca="1">T20-'NTN-F'!$E$3</f>
        <v>505</v>
      </c>
      <c r="AG20" s="380">
        <f t="shared" ca="1" si="10"/>
        <v>7.8990492291136194E-2</v>
      </c>
      <c r="AH20" s="127">
        <f ca="1">IF(ISERROR(IF(B20="",AH19,VLOOKUP(S20,AuxilioDados!$M$1:$P$65524,3,FALSE))),VLOOKUP(S20,AuxilioDados!$Y$58:$AA$98,3,FALSE),(IF(B20="",AH19,VLOOKUP(S20,AuxilioDados!$M$1:$P$65524,3,FALSE))))</f>
        <v>7.8999977333870541E-2</v>
      </c>
      <c r="AI20" s="114">
        <f t="shared" ca="1" si="11"/>
        <v>7.8995239483740765E-2</v>
      </c>
      <c r="AJ20" s="312"/>
      <c r="AK20" s="399"/>
      <c r="AL20" s="398"/>
      <c r="AM20" s="96"/>
      <c r="AN20" s="95"/>
      <c r="AO20" s="95"/>
      <c r="AP20" s="95"/>
      <c r="AQ20" s="400"/>
      <c r="AR20" s="5"/>
      <c r="AS20" s="312">
        <f t="shared" ca="1" si="15"/>
        <v>0.75857772618473973</v>
      </c>
      <c r="AT20" s="132" t="str">
        <f t="shared" si="16"/>
        <v>DI1V19</v>
      </c>
      <c r="AU20" s="55">
        <f t="shared" ca="1" si="17"/>
        <v>7.8905895753579092E-2</v>
      </c>
      <c r="AV20" s="114">
        <f ca="1">_xll.Interpolate($AL$4:$AL$13,$AM$4:$AM$13,T20)-_xll.Interpolate($AL$4:$AL$13,$AN$4:$AN$13,T20)</f>
        <v>1.524175051777904E-4</v>
      </c>
      <c r="AW20" s="55">
        <f t="shared" ca="1" si="18"/>
        <v>0</v>
      </c>
      <c r="AX20" s="55">
        <f t="shared" ca="1" si="19"/>
        <v>0</v>
      </c>
      <c r="AY20" s="8">
        <f t="shared" ca="1" si="20"/>
        <v>0</v>
      </c>
      <c r="AZ20" s="99">
        <f t="shared" ca="1" si="37"/>
        <v>7.9147656988918555E-2</v>
      </c>
      <c r="BA20" s="99">
        <f t="shared" ca="1" si="21"/>
        <v>7.9000000000000001E-2</v>
      </c>
      <c r="BB20" s="55">
        <f t="shared" ca="1" si="22"/>
        <v>0</v>
      </c>
      <c r="BC20" s="134">
        <f t="shared" ca="1" si="39"/>
        <v>7.9000000000000001E-2</v>
      </c>
      <c r="BD20" s="135">
        <f t="shared" ca="1" si="23"/>
        <v>-1.4765698891855417E-4</v>
      </c>
      <c r="BE20" s="208">
        <f t="shared" ca="1" si="24"/>
        <v>0.42474560038836301</v>
      </c>
      <c r="BF20" s="312">
        <f>IF(ISERROR(_xll.BDP(CONCATENATE("OD",RIGHT(W20,3)," COMDTY"),"volume")+1-1),0,(_xll.BDP(CONCATENATE("OD",RIGHT(W20,3)," COMDTY"),"volume")+1-1))</f>
        <v>9175</v>
      </c>
      <c r="BG20" s="312">
        <f t="shared" ca="1" si="25"/>
        <v>146566.73418817774</v>
      </c>
      <c r="BH20" s="5">
        <f t="shared" ca="1" si="26"/>
        <v>15.974575933316373</v>
      </c>
      <c r="BI20" s="5"/>
      <c r="BJ20" s="312">
        <f ca="1">(_xll.Spline($T$3:$T$35, $AH$3:$AH$35,T20-1)-AH20)*-10000</f>
        <v>0.28988947927230391</v>
      </c>
      <c r="BK20" s="312">
        <f t="shared" ca="1" si="27"/>
        <v>-4.7378501297767883E-2</v>
      </c>
      <c r="BL20" s="308">
        <f t="shared" ca="1" si="28"/>
        <v>0.24251097797453602</v>
      </c>
      <c r="BM20" s="5"/>
      <c r="BN20" s="5"/>
      <c r="BO20" s="5"/>
      <c r="BP20" s="5"/>
      <c r="BQ20" s="5"/>
      <c r="BR20" s="5"/>
      <c r="BS20" s="5"/>
      <c r="BT20" s="5"/>
    </row>
    <row r="21" spans="1:72" s="188" customFormat="1" ht="13.5" customHeight="1" thickBot="1" x14ac:dyDescent="0.25">
      <c r="A21" s="382">
        <v>18</v>
      </c>
      <c r="B21" s="47" t="str">
        <f t="shared" si="29"/>
        <v>DI1F20</v>
      </c>
      <c r="C21" s="48">
        <f t="shared" si="0"/>
        <v>8.049839348405774E-2</v>
      </c>
      <c r="D21" s="48">
        <f t="shared" si="30"/>
        <v>8.0700000000000008E-2</v>
      </c>
      <c r="E21" s="48">
        <f t="shared" ref="E21:F43" si="41">IF(ISERROR(IF(Z21=0,"",Z21/100)),"",IF(Z21=0,"",Z21/100))</f>
        <v>8.0600000000000005E-2</v>
      </c>
      <c r="F21" s="48">
        <f t="shared" si="41"/>
        <v>8.0700000000000008E-2</v>
      </c>
      <c r="G21" s="136">
        <v>8.049839348405774E-2</v>
      </c>
      <c r="H21" s="137">
        <v>1.5031540003169752E-3</v>
      </c>
      <c r="I21" s="138">
        <f t="shared" si="32"/>
        <v>1.5031540003169752E-3</v>
      </c>
      <c r="J21" s="138">
        <f t="shared" si="1"/>
        <v>0</v>
      </c>
      <c r="K21" s="139">
        <f t="shared" ca="1" si="33"/>
        <v>9.2456668100318717E-2</v>
      </c>
      <c r="L21" s="383">
        <v>10000</v>
      </c>
      <c r="M21" s="384">
        <f t="shared" ca="1" si="2"/>
        <v>175709.65597362374</v>
      </c>
      <c r="N21" s="361">
        <f t="shared" ca="1" si="3"/>
        <v>2.0933902543818825</v>
      </c>
      <c r="O21" s="361">
        <f t="shared" ca="1" si="4"/>
        <v>3.1598564408840715</v>
      </c>
      <c r="P21" s="40">
        <f t="shared" ca="1" si="5"/>
        <v>83935.451407509157</v>
      </c>
      <c r="Q21" s="139">
        <f t="shared" ca="1" si="6"/>
        <v>0.19139169830036384</v>
      </c>
      <c r="R21" s="385">
        <f t="shared" ca="1" si="7"/>
        <v>569.1206863156757</v>
      </c>
      <c r="S21" s="52">
        <f>AuxilioDados!Y75</f>
        <v>43832</v>
      </c>
      <c r="T21" s="37">
        <f ca="1">AuxilioDados!T75-$L$2</f>
        <v>570</v>
      </c>
      <c r="U21" s="386">
        <f t="shared" ca="1" si="34"/>
        <v>64</v>
      </c>
      <c r="V21" s="376">
        <f t="shared" si="8"/>
        <v>18</v>
      </c>
      <c r="W21" s="385" t="str">
        <f>IF(ISERROR(VLOOKUP(A21,AuxilioDados!$R$1:$S$1810,2,FALSE)),"",(VLOOKUP(A21,AuxilioDados!$R$1:$S$1810,2,FALSE)))</f>
        <v>DI1F20</v>
      </c>
      <c r="X21" s="98">
        <f t="shared" si="9"/>
        <v>8.049839348405774E-2</v>
      </c>
      <c r="Y21" s="385">
        <f>_xll.BDP(CONCATENATE("OD",RIGHT(W21,3)," COMDTY"),"last_price")</f>
        <v>8.07</v>
      </c>
      <c r="Z21" s="385">
        <f>_xll.BDP(CONCATENATE("OD",RIGHT(W21,3)," COMDTY"),"BID")</f>
        <v>8.06</v>
      </c>
      <c r="AA21" s="385">
        <f>_xll.BDP(CONCATENATE("OD",RIGHT(W21,3)," COMDTY"),"ASK")</f>
        <v>8.07</v>
      </c>
      <c r="AB21" s="385">
        <f>_xll.BDP(CONCATENATE("OD",RIGHT(W21,3)," COMDTY"),"PREV_CLOSE_VAL")</f>
        <v>8.0500000000000007</v>
      </c>
      <c r="AC21" s="385">
        <f>_xll.BDP(CONCATENATE("OD",RIGHT(W21,3)," COMDTY"),"PX_LAST")</f>
        <v>8.07</v>
      </c>
      <c r="AD21" s="387">
        <f>_xll.BDP(CONCATENATE("OD",RIGHT(W21,3)," COMDTY"),"time")+1-1</f>
        <v>0.5918055555555557</v>
      </c>
      <c r="AE21" s="385">
        <f t="shared" ca="1" si="40"/>
        <v>17.684666664292834</v>
      </c>
      <c r="AF21" s="5">
        <f ca="1">T21-'NTN-F'!$E$3</f>
        <v>569</v>
      </c>
      <c r="AG21" s="380">
        <f t="shared" ca="1" si="10"/>
        <v>8.0496812378971327E-2</v>
      </c>
      <c r="AH21" s="127">
        <f ca="1">IF(ISERROR(IF(B21="",AH20,VLOOKUP(S21,AuxilioDados!$M$1:$P$65524,3,FALSE))),VLOOKUP(S21,AuxilioDados!$Y$58:$AA$98,3,FALSE),(IF(B21="",AH20,VLOOKUP(S21,AuxilioDados!$M$1:$P$65524,3,FALSE))))</f>
        <v>8.0499971822441285E-2</v>
      </c>
      <c r="AI21" s="114">
        <f t="shared" ca="1" si="11"/>
        <v>8.049839348405774E-2</v>
      </c>
      <c r="AJ21" s="393"/>
      <c r="AK21" s="399"/>
      <c r="AL21" s="398"/>
      <c r="AM21" s="96"/>
      <c r="AN21" s="95"/>
      <c r="AO21" s="95"/>
      <c r="AP21" s="95"/>
      <c r="AQ21" s="400"/>
      <c r="AR21" s="5"/>
      <c r="AS21" s="312">
        <f t="shared" ca="1" si="15"/>
        <v>0.27790145538165234</v>
      </c>
      <c r="AT21" s="132" t="str">
        <f t="shared" si="16"/>
        <v>DI1F20</v>
      </c>
      <c r="AU21" s="55">
        <f t="shared" ca="1" si="17"/>
        <v>8.0700000000000008E-2</v>
      </c>
      <c r="AV21" s="114">
        <f ca="1">_xll.Interpolate($AL$4:$AL$13,$AM$4:$AM$13,T21)-_xll.Interpolate($AL$4:$AL$13,$AN$4:$AN$13,T21)</f>
        <v>2.0160651594226808E-4</v>
      </c>
      <c r="AW21" s="55">
        <f t="shared" ca="1" si="18"/>
        <v>0</v>
      </c>
      <c r="AX21" s="55">
        <f t="shared" ca="1" si="19"/>
        <v>8.0700000000000008E-2</v>
      </c>
      <c r="AY21" s="8">
        <f t="shared" ca="1" si="20"/>
        <v>8.0700000000000008E-2</v>
      </c>
      <c r="AZ21" s="99">
        <f t="shared" ca="1" si="37"/>
        <v>8.0700000000000008E-2</v>
      </c>
      <c r="BA21" s="99">
        <f t="shared" ca="1" si="21"/>
        <v>0</v>
      </c>
      <c r="BB21" s="55">
        <f t="shared" ca="1" si="22"/>
        <v>0</v>
      </c>
      <c r="BC21" s="134">
        <f t="shared" ca="1" si="39"/>
        <v>8.0700000000000008E-2</v>
      </c>
      <c r="BD21" s="135">
        <f t="shared" ca="1" si="23"/>
        <v>0</v>
      </c>
      <c r="BE21" s="208">
        <f t="shared" ca="1" si="24"/>
        <v>0.48193645777472571</v>
      </c>
      <c r="BF21" s="312">
        <f>IF(ISERROR(_xll.BDP(CONCATENATE("OD",RIGHT(W21,3)," COMDTY"),"volume")+1-1),0,(_xll.BDP(CONCATENATE("OD",RIGHT(W21,3)," COMDTY"),"volume")+1-1))</f>
        <v>86765</v>
      </c>
      <c r="BG21" s="312">
        <f t="shared" ca="1" si="25"/>
        <v>1524544.8300551465</v>
      </c>
      <c r="BH21" s="5">
        <f t="shared" ca="1" si="26"/>
        <v>17.570965597362374</v>
      </c>
      <c r="BI21" s="5"/>
      <c r="BJ21" s="312">
        <f ca="1">(_xll.Spline($T$3:$T$35, $AH$3:$AH$35,T21-1)-AH21)*-10000</f>
        <v>0.24160745741699796</v>
      </c>
      <c r="BK21" s="312">
        <f t="shared" ca="1" si="27"/>
        <v>-1.5783383835454856E-2</v>
      </c>
      <c r="BL21" s="308">
        <f t="shared" ca="1" si="28"/>
        <v>0.22582407358154311</v>
      </c>
      <c r="BM21" s="5"/>
      <c r="BN21" s="5"/>
      <c r="BO21" s="5"/>
      <c r="BP21" s="5"/>
      <c r="BQ21" s="5"/>
      <c r="BR21" s="5"/>
      <c r="BS21" s="5"/>
      <c r="BT21" s="5"/>
    </row>
    <row r="22" spans="1:72" s="188" customFormat="1" ht="13.5" customHeight="1" thickBot="1" x14ac:dyDescent="0.25">
      <c r="A22" s="388">
        <v>19</v>
      </c>
      <c r="B22" s="49" t="str">
        <f t="shared" si="29"/>
        <v>DI1J20</v>
      </c>
      <c r="C22" s="50">
        <f t="shared" si="0"/>
        <v>8.2301425521321914E-2</v>
      </c>
      <c r="D22" s="50">
        <f t="shared" si="30"/>
        <v>8.2599999999999993E-2</v>
      </c>
      <c r="E22" s="50">
        <f t="shared" si="41"/>
        <v>8.2500000000000004E-2</v>
      </c>
      <c r="F22" s="50">
        <f t="shared" si="41"/>
        <v>8.2599999999999993E-2</v>
      </c>
      <c r="G22" s="140">
        <v>8.2301425521321914E-2</v>
      </c>
      <c r="H22" s="141">
        <v>1.8030320372641739E-3</v>
      </c>
      <c r="I22" s="142">
        <f t="shared" si="32"/>
        <v>1.8030320372641739E-3</v>
      </c>
      <c r="J22" s="142">
        <f t="shared" si="1"/>
        <v>0</v>
      </c>
      <c r="K22" s="143">
        <f t="shared" ca="1" si="33"/>
        <v>9.901931349696258E-2</v>
      </c>
      <c r="L22" s="389">
        <v>10000</v>
      </c>
      <c r="M22" s="390">
        <f t="shared" ca="1" si="2"/>
        <v>190031.29837139568</v>
      </c>
      <c r="N22" s="391">
        <f t="shared" ca="1" si="3"/>
        <v>2.3172255946692002</v>
      </c>
      <c r="O22" s="391">
        <f t="shared" ca="1" si="4"/>
        <v>3.7552755950917587</v>
      </c>
      <c r="P22" s="144">
        <f t="shared" ca="1" si="5"/>
        <v>82008.112981560567</v>
      </c>
      <c r="Q22" s="143">
        <f t="shared" ca="1" si="6"/>
        <v>0.21939154998585186</v>
      </c>
      <c r="R22" s="377">
        <f t="shared" ca="1" si="7"/>
        <v>526.22910466338442</v>
      </c>
      <c r="S22" s="53">
        <f>AuxilioDados!Y76</f>
        <v>43922</v>
      </c>
      <c r="T22" s="54">
        <f ca="1">AuxilioDados!T76-$L$2</f>
        <v>632</v>
      </c>
      <c r="U22" s="392">
        <f t="shared" ca="1" si="34"/>
        <v>62</v>
      </c>
      <c r="V22" s="376">
        <f t="shared" si="8"/>
        <v>19</v>
      </c>
      <c r="W22" s="377" t="str">
        <f>IF(ISERROR(VLOOKUP(A22,AuxilioDados!$R$1:$S$1810,2,FALSE)),"",(VLOOKUP(A22,AuxilioDados!$R$1:$S$1810,2,FALSE)))</f>
        <v>DI1J20</v>
      </c>
      <c r="X22" s="145">
        <f t="shared" si="9"/>
        <v>8.2301425521321914E-2</v>
      </c>
      <c r="Y22" s="377">
        <f>_xll.BDP(CONCATENATE("OD",RIGHT(W22,3)," COMDTY"),"last_price")</f>
        <v>8.26</v>
      </c>
      <c r="Z22" s="377">
        <f>_xll.BDP(CONCATENATE("OD",RIGHT(W22,3)," COMDTY"),"BID")</f>
        <v>8.25</v>
      </c>
      <c r="AA22" s="377">
        <f>_xll.BDP(CONCATENATE("OD",RIGHT(W22,3)," COMDTY"),"ASK")</f>
        <v>8.26</v>
      </c>
      <c r="AB22" s="377">
        <f>_xll.BDP(CONCATENATE("OD",RIGHT(W22,3)," COMDTY"),"PREV_CLOSE_VAL")</f>
        <v>8.23</v>
      </c>
      <c r="AC22" s="377">
        <f>_xll.BDP(CONCATENATE("OD",RIGHT(W22,3)," COMDTY"),"PX_LAST")</f>
        <v>8.26</v>
      </c>
      <c r="AD22" s="379">
        <f>_xll.BDP(CONCATENATE("OD",RIGHT(W22,3)," COMDTY"),"time")+1-1</f>
        <v>0.59174768518518528</v>
      </c>
      <c r="AE22" s="377">
        <f t="shared" ca="1" si="40"/>
        <v>17.767999997626234</v>
      </c>
      <c r="AF22" s="5">
        <f ca="1">T22-'NTN-F'!$E$3</f>
        <v>631</v>
      </c>
      <c r="AG22" s="380">
        <f t="shared" ca="1" si="10"/>
        <v>8.2302852422766914E-2</v>
      </c>
      <c r="AH22" s="127">
        <f ca="1">IF(ISERROR(IF(B22="",AH21,VLOOKUP(S22,AuxilioDados!$M$1:$P$65524,3,FALSE))),VLOOKUP(S22,AuxilioDados!$Y$58:$AA$98,3,FALSE),(IF(B22="",AH21,VLOOKUP(S22,AuxilioDados!$M$1:$P$65524,3,FALSE))))</f>
        <v>8.2300000875942247E-2</v>
      </c>
      <c r="AI22" s="114">
        <f t="shared" ca="1" si="11"/>
        <v>8.2301425521321914E-2</v>
      </c>
      <c r="AJ22" s="312"/>
      <c r="AK22" s="399"/>
      <c r="AL22" s="398"/>
      <c r="AM22" s="96"/>
      <c r="AN22" s="95"/>
      <c r="AO22" s="95"/>
      <c r="AP22" s="95"/>
      <c r="AQ22" s="400"/>
      <c r="AR22" s="5"/>
      <c r="AS22" s="312">
        <f t="shared" ca="1" si="15"/>
        <v>-0.27124041605566163</v>
      </c>
      <c r="AT22" s="132" t="str">
        <f t="shared" si="16"/>
        <v>DI1J20</v>
      </c>
      <c r="AU22" s="55">
        <f t="shared" ca="1" si="17"/>
        <v>8.2599999999999993E-2</v>
      </c>
      <c r="AV22" s="114">
        <f ca="1">_xll.Interpolate($AL$4:$AL$13,$AM$4:$AM$13,T22)-_xll.Interpolate($AL$4:$AL$13,$AN$4:$AN$13,T22)</f>
        <v>1.9897032525587055E-4</v>
      </c>
      <c r="AW22" s="55">
        <f t="shared" ca="1" si="18"/>
        <v>0</v>
      </c>
      <c r="AX22" s="55">
        <f t="shared" ca="1" si="19"/>
        <v>8.2599999999999993E-2</v>
      </c>
      <c r="AY22" s="8">
        <f t="shared" ca="1" si="20"/>
        <v>8.2599999999999993E-2</v>
      </c>
      <c r="AZ22" s="99">
        <f t="shared" ca="1" si="37"/>
        <v>8.2599999999999993E-2</v>
      </c>
      <c r="BA22" s="99">
        <f t="shared" ca="1" si="21"/>
        <v>0</v>
      </c>
      <c r="BB22" s="55">
        <f t="shared" ca="1" si="22"/>
        <v>0</v>
      </c>
      <c r="BC22" s="134">
        <f t="shared" ca="1" si="39"/>
        <v>8.2599999999999993E-2</v>
      </c>
      <c r="BD22" s="135">
        <f t="shared" ca="1" si="23"/>
        <v>0</v>
      </c>
      <c r="BE22" s="208">
        <f t="shared" ca="1" si="24"/>
        <v>0.53975661055318347</v>
      </c>
      <c r="BF22" s="312">
        <f>IF(ISERROR(_xll.BDP(CONCATENATE("OD",RIGHT(W22,3)," COMDTY"),"volume")+1-1),0,(_xll.BDP(CONCATENATE("OD",RIGHT(W22,3)," COMDTY"),"volume")+1-1))</f>
        <v>1790</v>
      </c>
      <c r="BG22" s="312">
        <f t="shared" ca="1" si="25"/>
        <v>34015.602408479826</v>
      </c>
      <c r="BH22" s="5">
        <f t="shared" ca="1" si="26"/>
        <v>19.003129837139568</v>
      </c>
      <c r="BI22" s="5"/>
      <c r="BJ22" s="312">
        <f ca="1">(_xll.Spline($T$3:$T$35, $AH$3:$AH$35,T22-1)-AH22)*-10000</f>
        <v>0.31733037555783938</v>
      </c>
      <c r="BK22" s="312">
        <f t="shared" ca="1" si="27"/>
        <v>1.424645379666245E-2</v>
      </c>
      <c r="BL22" s="308">
        <f t="shared" ca="1" si="28"/>
        <v>0.33157682935450183</v>
      </c>
      <c r="BM22" s="5"/>
      <c r="BN22" s="5"/>
      <c r="BO22" s="5"/>
      <c r="BP22" s="5"/>
      <c r="BQ22" s="5"/>
      <c r="BR22" s="5"/>
      <c r="BS22" s="5"/>
      <c r="BT22" s="5"/>
    </row>
    <row r="23" spans="1:72" s="188" customFormat="1" ht="13.5" customHeight="1" thickBot="1" x14ac:dyDescent="0.25">
      <c r="A23" s="382">
        <v>20</v>
      </c>
      <c r="B23" s="47" t="str">
        <f t="shared" si="29"/>
        <v>DI1N20</v>
      </c>
      <c r="C23" s="48">
        <f t="shared" si="0"/>
        <v>8.4204069181988084E-2</v>
      </c>
      <c r="D23" s="48">
        <f t="shared" si="30"/>
        <v>8.4399999999999989E-2</v>
      </c>
      <c r="E23" s="48">
        <f t="shared" si="41"/>
        <v>8.4399999999999989E-2</v>
      </c>
      <c r="F23" s="48">
        <f t="shared" si="41"/>
        <v>8.4499999999999992E-2</v>
      </c>
      <c r="G23" s="136">
        <v>8.4204069181988084E-2</v>
      </c>
      <c r="H23" s="137">
        <v>1.9026436606661701E-3</v>
      </c>
      <c r="I23" s="138">
        <f t="shared" si="32"/>
        <v>1.9026436606661701E-3</v>
      </c>
      <c r="J23" s="138">
        <f t="shared" si="1"/>
        <v>0</v>
      </c>
      <c r="K23" s="139">
        <f t="shared" ca="1" si="33"/>
        <v>0.10411463520052111</v>
      </c>
      <c r="L23" s="383">
        <v>10000</v>
      </c>
      <c r="M23" s="384">
        <f t="shared" ca="1" si="2"/>
        <v>203079.6149775415</v>
      </c>
      <c r="N23" s="361">
        <f t="shared" ca="1" si="3"/>
        <v>2.5364229369902906</v>
      </c>
      <c r="O23" s="361">
        <f t="shared" ca="1" si="4"/>
        <v>4.3864371155486257</v>
      </c>
      <c r="P23" s="40">
        <f t="shared" ca="1" si="5"/>
        <v>80065.359769421964</v>
      </c>
      <c r="Q23" s="139">
        <f t="shared" ca="1" si="6"/>
        <v>0.24897958727703551</v>
      </c>
      <c r="R23" s="385">
        <f t="shared" ca="1" si="7"/>
        <v>492.41771514614584</v>
      </c>
      <c r="S23" s="52">
        <f>AuxilioDados!Y77</f>
        <v>44013</v>
      </c>
      <c r="T23" s="37">
        <f ca="1">AuxilioDados!T77-$L$2</f>
        <v>693</v>
      </c>
      <c r="U23" s="386">
        <f t="shared" ca="1" si="34"/>
        <v>61</v>
      </c>
      <c r="V23" s="376">
        <f t="shared" si="8"/>
        <v>20</v>
      </c>
      <c r="W23" s="385" t="str">
        <f>IF(ISERROR(VLOOKUP(A23,AuxilioDados!$R$1:$S$1810,2,FALSE)),"",(VLOOKUP(A23,AuxilioDados!$R$1:$S$1810,2,FALSE)))</f>
        <v>DI1N20</v>
      </c>
      <c r="X23" s="98">
        <f t="shared" si="9"/>
        <v>8.4204069181988084E-2</v>
      </c>
      <c r="Y23" s="385">
        <f>_xll.BDP(CONCATENATE("OD",RIGHT(W23,3)," COMDTY"),"last_price")</f>
        <v>8.44</v>
      </c>
      <c r="Z23" s="385">
        <f>_xll.BDP(CONCATENATE("OD",RIGHT(W23,3)," COMDTY"),"BID")</f>
        <v>8.44</v>
      </c>
      <c r="AA23" s="385">
        <f>_xll.BDP(CONCATENATE("OD",RIGHT(W23,3)," COMDTY"),"ASK")</f>
        <v>8.4499999999999993</v>
      </c>
      <c r="AB23" s="385">
        <f>_xll.BDP(CONCATENATE("OD",RIGHT(W23,3)," COMDTY"),"PREV_CLOSE_VAL")</f>
        <v>8.42</v>
      </c>
      <c r="AC23" s="385">
        <f>_xll.BDP(CONCATENATE("OD",RIGHT(W23,3)," COMDTY"),"PX_LAST")</f>
        <v>8.44</v>
      </c>
      <c r="AD23" s="387">
        <f>_xll.BDP(CONCATENATE("OD",RIGHT(W23,3)," COMDTY"),"time")+1-1</f>
        <v>0.58938657407407424</v>
      </c>
      <c r="AE23" s="385">
        <f t="shared" ca="1" si="40"/>
        <v>21.167999997626126</v>
      </c>
      <c r="AF23" s="5">
        <f ca="1">T23-'NTN-F'!$E$3</f>
        <v>692</v>
      </c>
      <c r="AG23" s="380">
        <f ca="1">(((C23+1)^((T23+$L$2)/252))/((1+$B$2)^($L$2/252)))^(252/T23)-1</f>
        <v>8.4208120706900313E-2</v>
      </c>
      <c r="AH23" s="127">
        <f ca="1">IF(ISERROR(IF(B23="",AH22,VLOOKUP(S23,AuxilioDados!$M$1:$P$65524,3,FALSE))),VLOOKUP(S23,AuxilioDados!$Y$58:$AA$98,3,FALSE),(IF(B23="",AH22,VLOOKUP(S23,AuxilioDados!$M$1:$P$65524,3,FALSE))))</f>
        <v>8.4200023510115241E-2</v>
      </c>
      <c r="AI23" s="114">
        <f t="shared" ca="1" si="11"/>
        <v>8.4204069181988084E-2</v>
      </c>
      <c r="AJ23" s="312"/>
      <c r="AK23" s="399"/>
      <c r="AL23" s="398"/>
      <c r="AM23" s="96"/>
      <c r="AN23" s="95"/>
      <c r="AO23" s="95"/>
      <c r="AP23" s="95"/>
      <c r="AQ23" s="400"/>
      <c r="AR23" s="8"/>
      <c r="AS23" s="312">
        <f t="shared" ca="1" si="15"/>
        <v>-0.82304033737455029</v>
      </c>
      <c r="AT23" s="132" t="str">
        <f t="shared" si="16"/>
        <v>DI1N20</v>
      </c>
      <c r="AU23" s="55">
        <f t="shared" ca="1" si="17"/>
        <v>8.4399999999999989E-2</v>
      </c>
      <c r="AV23" s="114">
        <f ca="1">_xll.Interpolate($AL$4:$AL$13,$AM$4:$AM$13,T23)-_xll.Interpolate($AL$4:$AL$13,$AN$4:$AN$13,T23)</f>
        <v>1.661380737595225E-4</v>
      </c>
      <c r="AW23" s="55">
        <f t="shared" ca="1" si="18"/>
        <v>0</v>
      </c>
      <c r="AX23" s="55">
        <f t="shared" ca="1" si="19"/>
        <v>8.4399999999999989E-2</v>
      </c>
      <c r="AY23" s="8">
        <f t="shared" ca="1" si="20"/>
        <v>8.4399999999999989E-2</v>
      </c>
      <c r="AZ23" s="99">
        <f t="shared" ca="1" si="37"/>
        <v>8.4399999999999989E-2</v>
      </c>
      <c r="BA23" s="99">
        <f t="shared" ca="1" si="21"/>
        <v>0</v>
      </c>
      <c r="BB23" s="55">
        <f t="shared" ca="1" si="22"/>
        <v>0</v>
      </c>
      <c r="BC23" s="134">
        <f t="shared" ca="1" si="39"/>
        <v>8.4399999999999989E-2</v>
      </c>
      <c r="BD23" s="135">
        <f t="shared" ca="1" si="23"/>
        <v>0</v>
      </c>
      <c r="BE23" s="208">
        <f t="shared" ca="1" si="24"/>
        <v>0.59803920691734158</v>
      </c>
      <c r="BF23" s="312">
        <f>IF(ISERROR(_xll.BDP(CONCATENATE("OD",RIGHT(W23,3)," COMDTY"),"volume")+1-1),0,(_xll.BDP(CONCATENATE("OD",RIGHT(W23,3)," COMDTY"),"volume")+1-1))</f>
        <v>25595</v>
      </c>
      <c r="BG23" s="312">
        <f t="shared" ca="1" si="25"/>
        <v>519782.2745350175</v>
      </c>
      <c r="BH23" s="5">
        <f t="shared" ca="1" si="26"/>
        <v>20.30796149775415</v>
      </c>
      <c r="BI23" s="5"/>
      <c r="BJ23" s="312">
        <f ca="1">(_xll.Spline($T$3:$T$35, $AH$3:$AH$35,T23-1)-AH23)*-10000</f>
        <v>0.29356825491322347</v>
      </c>
      <c r="BK23" s="312">
        <f t="shared" ca="1" si="27"/>
        <v>4.0456718728432151E-2</v>
      </c>
      <c r="BL23" s="308">
        <f t="shared" ca="1" si="28"/>
        <v>0.33402497364165562</v>
      </c>
      <c r="BM23" s="5"/>
      <c r="BN23" s="5"/>
      <c r="BO23" s="5"/>
      <c r="BP23" s="5"/>
      <c r="BQ23" s="5"/>
      <c r="BR23" s="5"/>
      <c r="BS23" s="5"/>
      <c r="BT23" s="5"/>
    </row>
    <row r="24" spans="1:72" s="188" customFormat="1" ht="13.5" customHeight="1" thickBot="1" x14ac:dyDescent="0.25">
      <c r="A24" s="388">
        <v>21</v>
      </c>
      <c r="B24" s="49" t="str">
        <f t="shared" si="29"/>
        <v>DI1V20</v>
      </c>
      <c r="C24" s="50">
        <f t="shared" si="0"/>
        <v>8.5905939170620282E-2</v>
      </c>
      <c r="D24" s="50">
        <f t="shared" si="30"/>
        <v>8.5900000000000004E-2</v>
      </c>
      <c r="E24" s="50">
        <f t="shared" si="41"/>
        <v>8.6199999999999999E-2</v>
      </c>
      <c r="F24" s="50">
        <f t="shared" si="41"/>
        <v>8.6300000000000002E-2</v>
      </c>
      <c r="G24" s="140">
        <v>8.5905939170620282E-2</v>
      </c>
      <c r="H24" s="141">
        <v>1.7018699886321986E-3</v>
      </c>
      <c r="I24" s="142">
        <f t="shared" si="32"/>
        <v>1.7018699886321986E-3</v>
      </c>
      <c r="J24" s="142">
        <f t="shared" si="1"/>
        <v>0</v>
      </c>
      <c r="K24" s="143">
        <f t="shared" ca="1" si="33"/>
        <v>0.10421740245974576</v>
      </c>
      <c r="L24" s="389">
        <v>10000</v>
      </c>
      <c r="M24" s="390">
        <f t="shared" ca="1" si="2"/>
        <v>216180.13230494398</v>
      </c>
      <c r="N24" s="391">
        <f t="shared" ca="1" si="3"/>
        <v>2.7699789500785346</v>
      </c>
      <c r="O24" s="391">
        <f t="shared" ca="1" si="4"/>
        <v>5.1118146216991232</v>
      </c>
      <c r="P24" s="144">
        <f t="shared" ca="1" si="5"/>
        <v>78043.962138706804</v>
      </c>
      <c r="Q24" s="143">
        <f t="shared" ca="1" si="6"/>
        <v>0.28132910297751068</v>
      </c>
      <c r="R24" s="377">
        <f t="shared" ca="1" si="7"/>
        <v>462.57719862498681</v>
      </c>
      <c r="S24" s="53">
        <f>AuxilioDados!Y78</f>
        <v>44105</v>
      </c>
      <c r="T24" s="54">
        <f ca="1">AuxilioDados!T78-$L$2</f>
        <v>758</v>
      </c>
      <c r="U24" s="392">
        <f t="shared" ca="1" si="34"/>
        <v>65</v>
      </c>
      <c r="V24" s="376">
        <f t="shared" si="8"/>
        <v>21</v>
      </c>
      <c r="W24" s="377" t="str">
        <f>IF(ISERROR(VLOOKUP(A24,AuxilioDados!$R$1:$S$1810,2,FALSE)),"",(VLOOKUP(A24,AuxilioDados!$R$1:$S$1810,2,FALSE)))</f>
        <v>DI1V20</v>
      </c>
      <c r="X24" s="145">
        <f t="shared" si="9"/>
        <v>8.5905939170620282E-2</v>
      </c>
      <c r="Y24" s="377">
        <f>_xll.BDP(CONCATENATE("OD",RIGHT(W24,3)," COMDTY"),"last_price")</f>
        <v>8.59</v>
      </c>
      <c r="Z24" s="377">
        <f>_xll.BDP(CONCATENATE("OD",RIGHT(W24,3)," COMDTY"),"BID")</f>
        <v>8.6199999999999992</v>
      </c>
      <c r="AA24" s="377">
        <f>_xll.BDP(CONCATENATE("OD",RIGHT(W24,3)," COMDTY"),"ASK")</f>
        <v>8.6300000000000008</v>
      </c>
      <c r="AB24" s="377">
        <f>_xll.BDP(CONCATENATE("OD",RIGHT(W24,3)," COMDTY"),"PREV_CLOSE_VAL")</f>
        <v>8.59</v>
      </c>
      <c r="AC24" s="377">
        <f>_xll.BDP(CONCATENATE("OD",RIGHT(W24,3)," COMDTY"),"PX_LAST")</f>
        <v>8.59</v>
      </c>
      <c r="AD24" s="379">
        <f>_xll.BDP(CONCATENATE("OD",RIGHT(W24,3)," COMDTY"),"time")+1-1</f>
        <v>42999</v>
      </c>
      <c r="AE24" s="377">
        <f t="shared" ca="1" si="40"/>
        <v>2309.884666664293</v>
      </c>
      <c r="AF24" s="5">
        <f ca="1">T24-'NTN-F'!$E$3</f>
        <v>757</v>
      </c>
      <c r="AG24" s="380">
        <f t="shared" ca="1" si="10"/>
        <v>8.5911896065260951E-2</v>
      </c>
      <c r="AH24" s="127">
        <f ca="1">IF(ISERROR(IF(B24="",AH23,VLOOKUP(S24,AuxilioDados!$M$1:$P$65524,3,FALSE))),VLOOKUP(S24,AuxilioDados!$Y$58:$AA$98,3,FALSE),(IF(B24="",AH23,VLOOKUP(S24,AuxilioDados!$M$1:$P$65524,3,FALSE))))</f>
        <v>8.5899990156938388E-2</v>
      </c>
      <c r="AI24" s="114">
        <f t="shared" ca="1" si="11"/>
        <v>8.5905939170620282E-2</v>
      </c>
      <c r="AJ24" s="312"/>
      <c r="AK24" s="399"/>
      <c r="AL24" s="398"/>
      <c r="AM24" s="96"/>
      <c r="AN24" s="95"/>
      <c r="AO24" s="95"/>
      <c r="AP24" s="95"/>
      <c r="AQ24" s="400"/>
      <c r="AR24" s="5"/>
      <c r="AS24" s="312">
        <f t="shared" ca="1" si="15"/>
        <v>-1.2881692953669699</v>
      </c>
      <c r="AT24" s="132" t="str">
        <f t="shared" si="16"/>
        <v>DI1V20</v>
      </c>
      <c r="AU24" s="55">
        <f t="shared" ca="1" si="17"/>
        <v>8.6101869988632188E-2</v>
      </c>
      <c r="AV24" s="114">
        <f ca="1">_xll.Interpolate($AL$4:$AL$13,$AM$4:$AM$13,T24)-_xll.Interpolate($AL$4:$AL$13,$AN$4:$AN$13,T24)</f>
        <v>1.2176988406080447E-4</v>
      </c>
      <c r="AW24" s="55">
        <f t="shared" ca="1" si="18"/>
        <v>0</v>
      </c>
      <c r="AX24" s="55">
        <f t="shared" ca="1" si="19"/>
        <v>0</v>
      </c>
      <c r="AY24" s="8">
        <f t="shared" ca="1" si="20"/>
        <v>0</v>
      </c>
      <c r="AZ24" s="99">
        <f t="shared" ca="1" si="37"/>
        <v>8.6027709054681087E-2</v>
      </c>
      <c r="BA24" s="99">
        <f t="shared" ca="1" si="21"/>
        <v>0</v>
      </c>
      <c r="BB24" s="55">
        <f t="shared" ca="1" si="22"/>
        <v>8.6199999999999999E-2</v>
      </c>
      <c r="BC24" s="134">
        <f t="shared" ca="1" si="39"/>
        <v>8.6199999999999999E-2</v>
      </c>
      <c r="BD24" s="135">
        <f t="shared" ca="1" si="23"/>
        <v>1.7229094531891198E-4</v>
      </c>
      <c r="BE24" s="208">
        <f t="shared" ca="1" si="24"/>
        <v>0.65868113583879639</v>
      </c>
      <c r="BF24" s="312">
        <f>IF(ISERROR(_xll.BDP(CONCATENATE("OD",RIGHT(W24,3)," COMDTY"),"volume")+1-1),0,(_xll.BDP(CONCATENATE("OD",RIGHT(W24,3)," COMDTY"),"volume")+1-1))</f>
        <v>3185</v>
      </c>
      <c r="BG24" s="312">
        <f t="shared" ca="1" si="25"/>
        <v>68853.372139124651</v>
      </c>
      <c r="BH24" s="5">
        <f t="shared" ca="1" si="26"/>
        <v>21.618013230494398</v>
      </c>
      <c r="BI24" s="5"/>
      <c r="BJ24" s="312">
        <f ca="1">(_xll.Spline($T$3:$T$35, $AH$3:$AH$35,T24-1)-AH24)*-10000</f>
        <v>0.23180034404671201</v>
      </c>
      <c r="BK24" s="312">
        <f t="shared" ca="1" si="27"/>
        <v>5.9490136818940442E-2</v>
      </c>
      <c r="BL24" s="308">
        <f t="shared" ca="1" si="28"/>
        <v>0.29129048086565246</v>
      </c>
      <c r="BM24" s="5"/>
      <c r="BN24" s="5"/>
      <c r="BO24" s="5"/>
      <c r="BP24" s="5"/>
      <c r="BQ24" s="5"/>
      <c r="BR24" s="5"/>
      <c r="BS24" s="5"/>
      <c r="BT24" s="5"/>
    </row>
    <row r="25" spans="1:72" s="188" customFormat="1" ht="13.5" customHeight="1" thickBot="1" x14ac:dyDescent="0.25">
      <c r="A25" s="382">
        <v>22</v>
      </c>
      <c r="B25" s="47" t="str">
        <f t="shared" si="29"/>
        <v>DI1F21</v>
      </c>
      <c r="C25" s="48">
        <f t="shared" si="0"/>
        <v>8.720708718065695E-2</v>
      </c>
      <c r="D25" s="48">
        <f t="shared" si="30"/>
        <v>8.7300000000000003E-2</v>
      </c>
      <c r="E25" s="48">
        <f t="shared" si="41"/>
        <v>8.7300000000000003E-2</v>
      </c>
      <c r="F25" s="48">
        <f t="shared" si="41"/>
        <v>8.7400000000000005E-2</v>
      </c>
      <c r="G25" s="136">
        <v>8.720708718065695E-2</v>
      </c>
      <c r="H25" s="137">
        <v>1.3011480100366679E-3</v>
      </c>
      <c r="I25" s="138">
        <f t="shared" si="32"/>
        <v>1.3011480100366679E-3</v>
      </c>
      <c r="J25" s="138">
        <f t="shared" si="1"/>
        <v>0</v>
      </c>
      <c r="K25" s="139">
        <f t="shared" ca="1" si="33"/>
        <v>0.10298493543182663</v>
      </c>
      <c r="L25" s="383">
        <v>10000</v>
      </c>
      <c r="M25" s="384">
        <f t="shared" ca="1" si="2"/>
        <v>228206.11081901006</v>
      </c>
      <c r="N25" s="361">
        <f t="shared" ca="1" si="3"/>
        <v>2.9966109025546879</v>
      </c>
      <c r="O25" s="361">
        <f t="shared" ca="1" si="4"/>
        <v>5.8679615971843999</v>
      </c>
      <c r="P25" s="40">
        <f t="shared" ca="1" si="5"/>
        <v>76154.73554623274</v>
      </c>
      <c r="Q25" s="139">
        <f t="shared" ca="1" si="6"/>
        <v>0.31311597739435459</v>
      </c>
      <c r="R25" s="385">
        <f t="shared" ca="1" si="7"/>
        <v>438.20036037207547</v>
      </c>
      <c r="S25" s="52">
        <f>AuxilioDados!Y79</f>
        <v>44200</v>
      </c>
      <c r="T25" s="37">
        <f ca="1">AuxilioDados!T79-$L$2</f>
        <v>821</v>
      </c>
      <c r="U25" s="386">
        <f t="shared" ca="1" si="34"/>
        <v>63</v>
      </c>
      <c r="V25" s="376">
        <f t="shared" si="8"/>
        <v>22</v>
      </c>
      <c r="W25" s="385" t="str">
        <f>IF(ISERROR(VLOOKUP(A25,AuxilioDados!$R$1:$S$1810,2,FALSE)),"",(VLOOKUP(A25,AuxilioDados!$R$1:$S$1810,2,FALSE)))</f>
        <v>DI1F21</v>
      </c>
      <c r="X25" s="98">
        <f t="shared" si="9"/>
        <v>8.720708718065695E-2</v>
      </c>
      <c r="Y25" s="385">
        <f>_xll.BDP(CONCATENATE("OD",RIGHT(W25,3)," COMDTY"),"last_price")</f>
        <v>8.73</v>
      </c>
      <c r="Z25" s="385">
        <f>_xll.BDP(CONCATENATE("OD",RIGHT(W25,3)," COMDTY"),"BID")</f>
        <v>8.73</v>
      </c>
      <c r="AA25" s="385">
        <f>_xll.BDP(CONCATENATE("OD",RIGHT(W25,3)," COMDTY"),"ASK")</f>
        <v>8.74</v>
      </c>
      <c r="AB25" s="385">
        <f>_xll.BDP(CONCATENATE("OD",RIGHT(W25,3)," COMDTY"),"PREV_CLOSE_VAL")</f>
        <v>8.7200000000000006</v>
      </c>
      <c r="AC25" s="385">
        <f>_xll.BDP(CONCATENATE("OD",RIGHT(W25,3)," COMDTY"),"PX_LAST")</f>
        <v>8.73</v>
      </c>
      <c r="AD25" s="387">
        <f>_xll.BDP(CONCATENATE("OD",RIGHT(W25,3)," COMDTY"),"time")+1-1</f>
        <v>0.59256944444444448</v>
      </c>
      <c r="AE25" s="385">
        <f t="shared" ca="1" si="40"/>
        <v>16.584666664292982</v>
      </c>
      <c r="AF25" s="5">
        <f ca="1">T25-'NTN-F'!$E$3</f>
        <v>820</v>
      </c>
      <c r="AG25" s="380">
        <f t="shared" ca="1" si="10"/>
        <v>8.7214179349090148E-2</v>
      </c>
      <c r="AH25" s="127">
        <f ca="1">IF(ISERROR(IF(B25="",AH24,VLOOKUP(S25,AuxilioDados!$M$1:$P$65524,3,FALSE))),VLOOKUP(S25,AuxilioDados!$Y$58:$AA$98,3,FALSE),(IF(B25="",AH24,VLOOKUP(S25,AuxilioDados!$M$1:$P$65524,3,FALSE))))</f>
        <v>8.7200003686345395E-2</v>
      </c>
      <c r="AI25" s="114">
        <f t="shared" ca="1" si="11"/>
        <v>8.720708718065695E-2</v>
      </c>
      <c r="AJ25" s="401"/>
      <c r="AK25" s="399"/>
      <c r="AL25" s="398"/>
      <c r="AM25" s="96"/>
      <c r="AN25" s="95"/>
      <c r="AO25" s="95"/>
      <c r="AP25" s="95"/>
      <c r="AQ25" s="400"/>
      <c r="AR25" s="8"/>
      <c r="AS25" s="312">
        <f t="shared" ca="1" si="15"/>
        <v>-1.618990729766665</v>
      </c>
      <c r="AT25" s="132" t="str">
        <f t="shared" si="16"/>
        <v>DI1F21</v>
      </c>
      <c r="AU25" s="55">
        <f t="shared" ca="1" si="17"/>
        <v>8.7300000000000003E-2</v>
      </c>
      <c r="AV25" s="114">
        <f ca="1">_xll.Interpolate($AL$4:$AL$13,$AM$4:$AM$13,T25)-_xll.Interpolate($AL$4:$AL$13,$AN$4:$AN$13,T25)</f>
        <v>9.2912819343052289E-5</v>
      </c>
      <c r="AW25" s="55">
        <f t="shared" ca="1" si="18"/>
        <v>0</v>
      </c>
      <c r="AX25" s="55">
        <f t="shared" ca="1" si="19"/>
        <v>8.7300000000000003E-2</v>
      </c>
      <c r="AY25" s="8">
        <f t="shared" ca="1" si="20"/>
        <v>8.7300000000000003E-2</v>
      </c>
      <c r="AZ25" s="99">
        <f t="shared" ca="1" si="37"/>
        <v>8.7300000000000003E-2</v>
      </c>
      <c r="BA25" s="99">
        <f t="shared" ca="1" si="21"/>
        <v>0</v>
      </c>
      <c r="BB25" s="55">
        <f t="shared" ca="1" si="22"/>
        <v>0</v>
      </c>
      <c r="BC25" s="134">
        <f t="shared" ca="1" si="39"/>
        <v>8.7300000000000003E-2</v>
      </c>
      <c r="BD25" s="135">
        <f t="shared" ca="1" si="23"/>
        <v>0</v>
      </c>
      <c r="BE25" s="208">
        <f t="shared" ca="1" si="24"/>
        <v>0.71535793361301836</v>
      </c>
      <c r="BF25" s="312">
        <f>IF(ISERROR(_xll.BDP(CONCATENATE("OD",RIGHT(W25,3)," COMDTY"),"volume")+1-1),0,(_xll.BDP(CONCATENATE("OD",RIGHT(W25,3)," COMDTY"),"volume")+1-1))</f>
        <v>85595</v>
      </c>
      <c r="BG25" s="312">
        <f t="shared" ca="1" si="25"/>
        <v>1953330.2055553165</v>
      </c>
      <c r="BH25" s="5">
        <f t="shared" ca="1" si="26"/>
        <v>22.820611081901006</v>
      </c>
      <c r="BI25" s="5"/>
      <c r="BJ25" s="312">
        <f ca="1">(_xll.Spline($T$3:$T$35, $AH$3:$AH$35,T25-1)-AH25)*-10000</f>
        <v>0.18457979140226732</v>
      </c>
      <c r="BK25" s="312">
        <f t="shared" ca="1" si="27"/>
        <v>7.083494311554972E-2</v>
      </c>
      <c r="BL25" s="308">
        <f t="shared" ca="1" si="28"/>
        <v>0.25541473451781704</v>
      </c>
      <c r="BM25" s="5"/>
      <c r="BN25" s="5"/>
      <c r="BO25" s="5"/>
      <c r="BP25" s="5"/>
      <c r="BQ25" s="5"/>
      <c r="BR25" s="5"/>
      <c r="BS25" s="5"/>
      <c r="BT25" s="5"/>
    </row>
    <row r="26" spans="1:72" s="188" customFormat="1" ht="13.5" customHeight="1" thickBot="1" x14ac:dyDescent="0.25">
      <c r="A26" s="388">
        <v>23</v>
      </c>
      <c r="B26" s="49" t="str">
        <f t="shared" si="29"/>
        <v>DI1J21</v>
      </c>
      <c r="C26" s="50">
        <f t="shared" si="0"/>
        <v>8.8357892914469716E-2</v>
      </c>
      <c r="D26" s="50">
        <f t="shared" si="30"/>
        <v>8.8399999999999992E-2</v>
      </c>
      <c r="E26" s="50">
        <f t="shared" si="41"/>
        <v>8.8499999999999995E-2</v>
      </c>
      <c r="F26" s="50">
        <f t="shared" si="41"/>
        <v>8.8699999999999987E-2</v>
      </c>
      <c r="G26" s="140">
        <v>8.8357892914469716E-2</v>
      </c>
      <c r="H26" s="141">
        <v>1.1508057338127653E-3</v>
      </c>
      <c r="I26" s="142">
        <f t="shared" si="32"/>
        <v>1.1508057338127653E-3</v>
      </c>
      <c r="J26" s="142">
        <f t="shared" si="1"/>
        <v>0</v>
      </c>
      <c r="K26" s="143">
        <f t="shared" ca="1" si="33"/>
        <v>0.10396565482570619</v>
      </c>
      <c r="L26" s="389">
        <v>10000</v>
      </c>
      <c r="M26" s="390">
        <f t="shared" ca="1" si="2"/>
        <v>239108.63995784894</v>
      </c>
      <c r="N26" s="391">
        <f t="shared" ca="1" si="3"/>
        <v>3.2158540353950515</v>
      </c>
      <c r="O26" s="391">
        <f t="shared" ca="1" si="4"/>
        <v>6.6482464574494147</v>
      </c>
      <c r="P26" s="144">
        <f t="shared" ca="1" si="5"/>
        <v>74353.076142796897</v>
      </c>
      <c r="Q26" s="143">
        <f t="shared" ca="1" si="6"/>
        <v>0.34493426752038547</v>
      </c>
      <c r="R26" s="377">
        <f t="shared" ca="1" si="7"/>
        <v>418.21993558086575</v>
      </c>
      <c r="S26" s="53">
        <f>AuxilioDados!Y80</f>
        <v>44287</v>
      </c>
      <c r="T26" s="54">
        <f ca="1">AuxilioDados!T80-$L$2</f>
        <v>882</v>
      </c>
      <c r="U26" s="392">
        <f t="shared" ca="1" si="34"/>
        <v>61</v>
      </c>
      <c r="V26" s="376">
        <f t="shared" si="8"/>
        <v>23</v>
      </c>
      <c r="W26" s="377" t="str">
        <f>IF(ISERROR(VLOOKUP(A26,AuxilioDados!$R$1:$S$1810,2,FALSE)),"",(VLOOKUP(A26,AuxilioDados!$R$1:$S$1810,2,FALSE)))</f>
        <v>DI1J21</v>
      </c>
      <c r="X26" s="145">
        <f t="shared" si="9"/>
        <v>8.8357892914469716E-2</v>
      </c>
      <c r="Y26" s="377">
        <f>_xll.BDP(CONCATENATE("OD",RIGHT(W26,3)," COMDTY"),"last_price")</f>
        <v>8.84</v>
      </c>
      <c r="Z26" s="377">
        <f>_xll.BDP(CONCATENATE("OD",RIGHT(W26,3)," COMDTY"),"BID")</f>
        <v>8.85</v>
      </c>
      <c r="AA26" s="377">
        <f>_xll.BDP(CONCATENATE("OD",RIGHT(W26,3)," COMDTY"),"ASK")</f>
        <v>8.8699999999999992</v>
      </c>
      <c r="AB26" s="377">
        <f>_xll.BDP(CONCATENATE("OD",RIGHT(W26,3)," COMDTY"),"PREV_CLOSE_VAL")</f>
        <v>8.8350000000000009</v>
      </c>
      <c r="AC26" s="377">
        <f>_xll.BDP(CONCATENATE("OD",RIGHT(W26,3)," COMDTY"),"PX_LAST")</f>
        <v>8.8350000000000009</v>
      </c>
      <c r="AD26" s="379">
        <f>_xll.BDP(CONCATENATE("OD",RIGHT(W26,3)," COMDTY"),"time")+1-1</f>
        <v>42999</v>
      </c>
      <c r="AE26" s="377">
        <f t="shared" ca="1" si="40"/>
        <v>2309.884666664293</v>
      </c>
      <c r="AF26" s="5">
        <f ca="1">T26-'NTN-F'!$E$3</f>
        <v>881</v>
      </c>
      <c r="AG26" s="380">
        <f t="shared" ca="1" si="10"/>
        <v>8.8365807035232669E-2</v>
      </c>
      <c r="AH26" s="127">
        <f ca="1">IF(ISERROR(IF(B26="",AH25,VLOOKUP(S26,AuxilioDados!$M$1:$P$65524,3,FALSE))),VLOOKUP(S26,AuxilioDados!$Y$58:$AA$98,3,FALSE),(IF(B26="",AH25,VLOOKUP(S26,AuxilioDados!$M$1:$P$65524,3,FALSE))))</f>
        <v>8.8349987813921338E-2</v>
      </c>
      <c r="AI26" s="114">
        <f t="shared" ca="1" si="11"/>
        <v>8.8357892914469716E-2</v>
      </c>
      <c r="AJ26" s="312"/>
      <c r="AK26" s="399"/>
      <c r="AL26" s="398"/>
      <c r="AM26" s="96"/>
      <c r="AN26" s="95"/>
      <c r="AO26" s="95"/>
      <c r="AP26" s="95"/>
      <c r="AQ26" s="400"/>
      <c r="AR26" s="8"/>
      <c r="AS26" s="312">
        <f t="shared" ca="1" si="15"/>
        <v>-1.8929395319573814</v>
      </c>
      <c r="AT26" s="132" t="str">
        <f t="shared" si="16"/>
        <v>DI1J21</v>
      </c>
      <c r="AU26" s="55">
        <f t="shared" ca="1" si="17"/>
        <v>8.8450805733812768E-2</v>
      </c>
      <c r="AV26" s="114">
        <f ca="1">_xll.Interpolate($AL$4:$AL$13,$AM$4:$AM$13,T26)-_xll.Interpolate($AL$4:$AL$13,$AN$4:$AN$13,T26)</f>
        <v>8.5069926142461449E-5</v>
      </c>
      <c r="AW26" s="55">
        <f t="shared" ca="1" si="18"/>
        <v>0</v>
      </c>
      <c r="AX26" s="55">
        <f t="shared" ca="1" si="19"/>
        <v>0</v>
      </c>
      <c r="AY26" s="8">
        <f t="shared" ca="1" si="20"/>
        <v>0</v>
      </c>
      <c r="AZ26" s="99">
        <f t="shared" ca="1" si="37"/>
        <v>8.8442962840612177E-2</v>
      </c>
      <c r="BA26" s="99">
        <f t="shared" ca="1" si="21"/>
        <v>0</v>
      </c>
      <c r="BB26" s="55">
        <f t="shared" ca="1" si="22"/>
        <v>8.8499999999999995E-2</v>
      </c>
      <c r="BC26" s="134">
        <f t="shared" ca="1" si="39"/>
        <v>8.8499999999999995E-2</v>
      </c>
      <c r="BD26" s="135">
        <f t="shared" ca="1" si="23"/>
        <v>5.7037159387818281E-5</v>
      </c>
      <c r="BE26" s="208">
        <f t="shared" ca="1" si="24"/>
        <v>0.76940771571609379</v>
      </c>
      <c r="BF26" s="312">
        <f>IF(ISERROR(_xll.BDP(CONCATENATE("OD",RIGHT(W26,3)," COMDTY"),"volume")+1-1),0,(_xll.BDP(CONCATENATE("OD",RIGHT(W26,3)," COMDTY"),"volume")+1-1))</f>
        <v>895</v>
      </c>
      <c r="BG26" s="312">
        <f t="shared" ca="1" si="25"/>
        <v>21400.22327622748</v>
      </c>
      <c r="BH26" s="5">
        <f t="shared" ca="1" si="26"/>
        <v>23.910863995784894</v>
      </c>
      <c r="BI26" s="5"/>
      <c r="BJ26" s="312">
        <f ca="1">(_xll.Spline($T$3:$T$35, $AH$3:$AH$35,T26-1)-AH26)*-10000</f>
        <v>0.21474445267954945</v>
      </c>
      <c r="BK26" s="312">
        <f t="shared" ca="1" si="27"/>
        <v>7.9051005483776748E-2</v>
      </c>
      <c r="BL26" s="308">
        <f t="shared" ca="1" si="28"/>
        <v>0.2937954581633262</v>
      </c>
      <c r="BM26" s="5"/>
      <c r="BN26" s="5"/>
      <c r="BO26" s="5"/>
      <c r="BP26" s="5"/>
      <c r="BQ26" s="5"/>
      <c r="BR26" s="5"/>
      <c r="BS26" s="5"/>
      <c r="BT26" s="5"/>
    </row>
    <row r="27" spans="1:72" s="188" customFormat="1" ht="13.5" customHeight="1" thickBot="1" x14ac:dyDescent="0.25">
      <c r="A27" s="382">
        <v>24</v>
      </c>
      <c r="B27" s="47" t="str">
        <f t="shared" si="29"/>
        <v>DI1N21</v>
      </c>
      <c r="C27" s="48">
        <f t="shared" si="0"/>
        <v>8.9708829467223916E-2</v>
      </c>
      <c r="D27" s="48">
        <f t="shared" si="30"/>
        <v>8.9900000000000008E-2</v>
      </c>
      <c r="E27" s="48">
        <f t="shared" si="41"/>
        <v>8.9900000000000008E-2</v>
      </c>
      <c r="F27" s="48">
        <f t="shared" si="41"/>
        <v>0.09</v>
      </c>
      <c r="G27" s="136">
        <v>8.9708829467223916E-2</v>
      </c>
      <c r="H27" s="137">
        <v>1.3509365527542005E-3</v>
      </c>
      <c r="I27" s="138">
        <f t="shared" si="32"/>
        <v>1.3509365527542005E-3</v>
      </c>
      <c r="J27" s="138">
        <f t="shared" si="1"/>
        <v>0</v>
      </c>
      <c r="K27" s="139">
        <f t="shared" ca="1" si="33"/>
        <v>0.10910959294121203</v>
      </c>
      <c r="L27" s="383">
        <v>10000</v>
      </c>
      <c r="M27" s="384">
        <f t="shared" ca="1" si="2"/>
        <v>249169.45133969421</v>
      </c>
      <c r="N27" s="361">
        <f t="shared" ca="1" si="3"/>
        <v>3.4376447984232468</v>
      </c>
      <c r="O27" s="361">
        <f t="shared" ca="1" si="4"/>
        <v>7.4860232044972372</v>
      </c>
      <c r="P27" s="40">
        <f t="shared" ca="1" si="5"/>
        <v>72482.605373883125</v>
      </c>
      <c r="Q27" s="139">
        <f t="shared" ca="1" si="6"/>
        <v>0.37964135649064179</v>
      </c>
      <c r="R27" s="385">
        <f t="shared" ca="1" si="7"/>
        <v>401.33330736306596</v>
      </c>
      <c r="S27" s="52">
        <f>AuxilioDados!Y81</f>
        <v>44378</v>
      </c>
      <c r="T27" s="37">
        <f ca="1">AuxilioDados!T81-$L$2</f>
        <v>944</v>
      </c>
      <c r="U27" s="386">
        <f t="shared" ca="1" si="34"/>
        <v>62</v>
      </c>
      <c r="V27" s="376">
        <f t="shared" si="8"/>
        <v>24</v>
      </c>
      <c r="W27" s="385" t="str">
        <f>IF(ISERROR(VLOOKUP(A27,AuxilioDados!$R$1:$S$1810,2,FALSE)),"",(VLOOKUP(A27,AuxilioDados!$R$1:$S$1810,2,FALSE)))</f>
        <v>DI1N21</v>
      </c>
      <c r="X27" s="98">
        <f t="shared" si="9"/>
        <v>8.9708829467223916E-2</v>
      </c>
      <c r="Y27" s="385">
        <f>_xll.BDP(CONCATENATE("OD",RIGHT(W27,3)," COMDTY"),"last_price")</f>
        <v>8.99</v>
      </c>
      <c r="Z27" s="385">
        <f>_xll.BDP(CONCATENATE("OD",RIGHT(W27,3)," COMDTY"),"BID")</f>
        <v>8.99</v>
      </c>
      <c r="AA27" s="385">
        <f>_xll.BDP(CONCATENATE("OD",RIGHT(W27,3)," COMDTY"),"ASK")</f>
        <v>9</v>
      </c>
      <c r="AB27" s="385">
        <f>_xll.BDP(CONCATENATE("OD",RIGHT(W27,3)," COMDTY"),"PREV_CLOSE_VAL")</f>
        <v>8.9700000000000006</v>
      </c>
      <c r="AC27" s="385">
        <f>_xll.BDP(CONCATENATE("OD",RIGHT(W27,3)," COMDTY"),"PX_LAST")</f>
        <v>8.99</v>
      </c>
      <c r="AD27" s="387">
        <f>_xll.BDP(CONCATENATE("OD",RIGHT(W27,3)," COMDTY"),"time")+1-1</f>
        <v>0.53724537037037035</v>
      </c>
      <c r="AE27" s="385">
        <f t="shared" ca="1" si="40"/>
        <v>96.251333330959739</v>
      </c>
      <c r="AF27" s="5">
        <f ca="1">T27-'NTN-F'!$E$3</f>
        <v>943</v>
      </c>
      <c r="AG27" s="380">
        <f t="shared" ca="1" si="10"/>
        <v>8.9717664956498133E-2</v>
      </c>
      <c r="AH27" s="127">
        <f ca="1">IF(ISERROR(IF(B27="",AH26,VLOOKUP(S27,AuxilioDados!$M$1:$P$65524,3,FALSE))),VLOOKUP(S27,AuxilioDados!$Y$58:$AA$98,3,FALSE),(IF(B27="",AH26,VLOOKUP(S27,AuxilioDados!$M$1:$P$65524,3,FALSE))))</f>
        <v>8.9700003399198813E-2</v>
      </c>
      <c r="AI27" s="114">
        <f t="shared" ca="1" si="11"/>
        <v>8.9708829467223916E-2</v>
      </c>
      <c r="AJ27" s="312"/>
      <c r="AK27" s="399"/>
      <c r="AL27" s="398"/>
      <c r="AM27" s="96"/>
      <c r="AN27" s="95"/>
      <c r="AO27" s="95"/>
      <c r="AP27" s="95"/>
      <c r="AQ27" s="400"/>
      <c r="AR27" s="8"/>
      <c r="AS27" s="312">
        <f t="shared" ca="1" si="15"/>
        <v>-2.202242221130291</v>
      </c>
      <c r="AT27" s="132" t="str">
        <f t="shared" si="16"/>
        <v>DI1N21</v>
      </c>
      <c r="AU27" s="55">
        <f t="shared" ca="1" si="17"/>
        <v>8.9801742286566968E-2</v>
      </c>
      <c r="AV27" s="114">
        <f ca="1">_xll.Interpolate($AL$4:$AL$13,$AM$4:$AM$13,T27)-_xll.Interpolate($AL$4:$AL$13,$AN$4:$AN$13,T27)</f>
        <v>8.7456626375811974E-5</v>
      </c>
      <c r="AW27" s="55">
        <f t="shared" ca="1" si="18"/>
        <v>0</v>
      </c>
      <c r="AX27" s="55">
        <f t="shared" ca="1" si="19"/>
        <v>0</v>
      </c>
      <c r="AY27" s="8">
        <f t="shared" ca="1" si="20"/>
        <v>0</v>
      </c>
      <c r="AZ27" s="99">
        <f t="shared" ca="1" si="37"/>
        <v>8.9796286093599728E-2</v>
      </c>
      <c r="BA27" s="99">
        <f t="shared" ca="1" si="21"/>
        <v>0</v>
      </c>
      <c r="BB27" s="55">
        <f t="shared" ca="1" si="22"/>
        <v>8.9900000000000008E-2</v>
      </c>
      <c r="BC27" s="134">
        <f t="shared" ca="1" si="39"/>
        <v>8.9900000000000008E-2</v>
      </c>
      <c r="BD27" s="135">
        <f t="shared" ca="1" si="23"/>
        <v>1.0371390640027955E-4</v>
      </c>
      <c r="BE27" s="208">
        <f t="shared" ca="1" si="24"/>
        <v>0.82552183878350704</v>
      </c>
      <c r="BF27" s="312">
        <f>IF(ISERROR(_xll.BDP(CONCATENATE("OD",RIGHT(W27,3)," COMDTY"),"volume")+1-1),0,(_xll.BDP(CONCATENATE("OD",RIGHT(W27,3)," COMDTY"),"volume")+1-1))</f>
        <v>6035</v>
      </c>
      <c r="BG27" s="312">
        <f t="shared" ca="1" si="25"/>
        <v>150373.76388350545</v>
      </c>
      <c r="BH27" s="5">
        <f t="shared" ca="1" si="26"/>
        <v>24.916945133969421</v>
      </c>
      <c r="BI27" s="5"/>
      <c r="BJ27" s="312">
        <f ca="1">(_xll.Spline($T$3:$T$35, $AH$3:$AH$35,T27-1)-AH27)*-10000</f>
        <v>0.17300219711149922</v>
      </c>
      <c r="BK27" s="312">
        <f t="shared" ca="1" si="27"/>
        <v>8.8260680251028845E-2</v>
      </c>
      <c r="BL27" s="308">
        <f t="shared" ca="1" si="28"/>
        <v>0.26126287736252807</v>
      </c>
      <c r="BM27" s="5"/>
      <c r="BN27" s="5"/>
      <c r="BO27" s="5"/>
      <c r="BP27" s="5"/>
      <c r="BQ27" s="5"/>
      <c r="BR27" s="5"/>
      <c r="BS27" s="5"/>
      <c r="BT27" s="5"/>
    </row>
    <row r="28" spans="1:72" s="188" customFormat="1" ht="13.5" customHeight="1" thickBot="1" x14ac:dyDescent="0.25">
      <c r="A28" s="388">
        <v>25</v>
      </c>
      <c r="B28" s="49" t="str">
        <f t="shared" si="29"/>
        <v>DI1V21</v>
      </c>
      <c r="C28" s="50">
        <f t="shared" si="0"/>
        <v>9.0509053455403832E-2</v>
      </c>
      <c r="D28" s="50">
        <f t="shared" si="30"/>
        <v>9.0899999999999995E-2</v>
      </c>
      <c r="E28" s="50">
        <f t="shared" si="41"/>
        <v>9.0899999999999995E-2</v>
      </c>
      <c r="F28" s="50">
        <f t="shared" si="41"/>
        <v>9.0999999999999998E-2</v>
      </c>
      <c r="G28" s="140">
        <v>9.0509053455403832E-2</v>
      </c>
      <c r="H28" s="141">
        <v>8.0022398817991558E-4</v>
      </c>
      <c r="I28" s="142">
        <f t="shared" si="32"/>
        <v>8.0022398817991558E-4</v>
      </c>
      <c r="J28" s="142">
        <f t="shared" si="1"/>
        <v>0</v>
      </c>
      <c r="K28" s="143">
        <f t="shared" ca="1" si="33"/>
        <v>0.10219722757945227</v>
      </c>
      <c r="L28" s="389">
        <v>10000</v>
      </c>
      <c r="M28" s="390">
        <f t="shared" ca="1" si="2"/>
        <v>259534.40856123052</v>
      </c>
      <c r="N28" s="391">
        <f t="shared" ca="1" si="3"/>
        <v>3.6716507853563511</v>
      </c>
      <c r="O28" s="391">
        <f t="shared" ca="1" si="4"/>
        <v>8.4239666290998958</v>
      </c>
      <c r="P28" s="144">
        <f t="shared" ca="1" si="5"/>
        <v>70686.027548243932</v>
      </c>
      <c r="Q28" s="143">
        <f t="shared" ca="1" si="6"/>
        <v>0.41470674571079824</v>
      </c>
      <c r="R28" s="377">
        <f t="shared" ca="1" si="7"/>
        <v>385.30536492007207</v>
      </c>
      <c r="S28" s="53">
        <f>AuxilioDados!Y82</f>
        <v>44470</v>
      </c>
      <c r="T28" s="54">
        <f ca="1">AuxilioDados!T82-$L$2</f>
        <v>1009</v>
      </c>
      <c r="U28" s="392">
        <f t="shared" ca="1" si="34"/>
        <v>65</v>
      </c>
      <c r="V28" s="376">
        <f t="shared" si="8"/>
        <v>25</v>
      </c>
      <c r="W28" s="377" t="str">
        <f>IF(ISERROR(VLOOKUP(A28,AuxilioDados!$R$1:$S$1810,2,FALSE)),"",(VLOOKUP(A28,AuxilioDados!$R$1:$S$1810,2,FALSE)))</f>
        <v>DI1V21</v>
      </c>
      <c r="X28" s="145">
        <f t="shared" si="9"/>
        <v>9.0509053455403832E-2</v>
      </c>
      <c r="Y28" s="377">
        <f>_xll.BDP(CONCATENATE("OD",RIGHT(W28,3)," COMDTY"),"last_price")</f>
        <v>9.09</v>
      </c>
      <c r="Z28" s="377">
        <f>_xll.BDP(CONCATENATE("OD",RIGHT(W28,3)," COMDTY"),"BID")</f>
        <v>9.09</v>
      </c>
      <c r="AA28" s="377">
        <f>_xll.BDP(CONCATENATE("OD",RIGHT(W28,3)," COMDTY"),"ASK")</f>
        <v>9.1</v>
      </c>
      <c r="AB28" s="377">
        <f>_xll.BDP(CONCATENATE("OD",RIGHT(W28,3)," COMDTY"),"PREV_CLOSE_VAL")</f>
        <v>9.0500000000000007</v>
      </c>
      <c r="AC28" s="377">
        <f>_xll.BDP(CONCATENATE("OD",RIGHT(W28,3)," COMDTY"),"PX_LAST")</f>
        <v>9.09</v>
      </c>
      <c r="AD28" s="379">
        <f>_xll.BDP(CONCATENATE("OD",RIGHT(W28,3)," COMDTY"),"time")+1-1</f>
        <v>0.58016203703703706</v>
      </c>
      <c r="AE28" s="377">
        <f t="shared" ca="1" si="40"/>
        <v>34.45133333095967</v>
      </c>
      <c r="AF28" s="5">
        <f ca="1">T28-'NTN-F'!$E$3</f>
        <v>1008</v>
      </c>
      <c r="AG28" s="380">
        <f t="shared" ca="1" si="10"/>
        <v>9.0518119212353199E-2</v>
      </c>
      <c r="AH28" s="127">
        <f ca="1">IF(ISERROR(IF(B28="",AH27,VLOOKUP(S28,AuxilioDados!$M$1:$P$65524,3,FALSE))),VLOOKUP(S28,AuxilioDados!$Y$58:$AA$98,3,FALSE),(IF(B28="",AH27,VLOOKUP(S28,AuxilioDados!$M$1:$P$65524,3,FALSE))))</f>
        <v>9.0499996749705547E-2</v>
      </c>
      <c r="AI28" s="114">
        <f t="shared" ca="1" si="11"/>
        <v>9.0509053455403832E-2</v>
      </c>
      <c r="AJ28" s="312"/>
      <c r="AK28" s="132"/>
      <c r="AL28" s="5"/>
      <c r="AM28" s="165"/>
      <c r="AN28" s="165"/>
      <c r="AO28" s="165"/>
      <c r="AP28" s="165"/>
      <c r="AQ28" s="8"/>
      <c r="AR28" s="8"/>
      <c r="AS28" s="312">
        <f t="shared" ca="1" si="15"/>
        <v>-2.3536359368154081</v>
      </c>
      <c r="AT28" s="132" t="str">
        <f t="shared" si="16"/>
        <v>DI1V21</v>
      </c>
      <c r="AU28" s="55">
        <f t="shared" ca="1" si="17"/>
        <v>9.0899999999999995E-2</v>
      </c>
      <c r="AV28" s="114">
        <f ca="1">_xll.Interpolate($AL$4:$AL$13,$AM$4:$AM$13,T28)-_xll.Interpolate($AL$4:$AL$13,$AN$4:$AN$13,T28)</f>
        <v>9.8610846522642626E-5</v>
      </c>
      <c r="AW28" s="55">
        <f t="shared" ca="1" si="18"/>
        <v>0</v>
      </c>
      <c r="AX28" s="55">
        <f t="shared" ca="1" si="19"/>
        <v>9.0899999999999995E-2</v>
      </c>
      <c r="AY28" s="8">
        <f t="shared" ca="1" si="20"/>
        <v>0</v>
      </c>
      <c r="AZ28" s="99">
        <f t="shared" ca="1" si="37"/>
        <v>9.0899999999999995E-2</v>
      </c>
      <c r="BA28" s="99">
        <f t="shared" ca="1" si="21"/>
        <v>0</v>
      </c>
      <c r="BB28" s="55">
        <f t="shared" ca="1" si="22"/>
        <v>0</v>
      </c>
      <c r="BC28" s="134">
        <f t="shared" ca="1" si="39"/>
        <v>9.0899999999999995E-2</v>
      </c>
      <c r="BD28" s="135">
        <f t="shared" ca="1" si="23"/>
        <v>0</v>
      </c>
      <c r="BE28" s="208">
        <f t="shared" ca="1" si="24"/>
        <v>0.87941917355268273</v>
      </c>
      <c r="BF28" s="312">
        <f>IF(ISERROR(_xll.BDP(CONCATENATE("OD",RIGHT(W28,3)," COMDTY"),"volume")+1-1),0,(_xll.BDP(CONCATENATE("OD",RIGHT(W28,3)," COMDTY"),"volume")+1-1))</f>
        <v>70</v>
      </c>
      <c r="BG28" s="312">
        <f t="shared" ca="1" si="25"/>
        <v>1816.7408599286134</v>
      </c>
      <c r="BH28" s="5">
        <f t="shared" ca="1" si="26"/>
        <v>25.953440856123052</v>
      </c>
      <c r="BI28" s="5"/>
      <c r="BJ28" s="312">
        <f ca="1">(_xll.Spline($T$3:$T$35, $AH$3:$AH$35,T28-1)-AH28)*-10000</f>
        <v>0.12473061608717084</v>
      </c>
      <c r="BK28" s="312">
        <f t="shared" ca="1" si="27"/>
        <v>9.0567056982848726E-2</v>
      </c>
      <c r="BL28" s="308">
        <f t="shared" ca="1" si="28"/>
        <v>0.21529767307001957</v>
      </c>
      <c r="BM28" s="5"/>
      <c r="BN28" s="5"/>
      <c r="BO28" s="5"/>
      <c r="BP28" s="5"/>
      <c r="BQ28" s="5"/>
      <c r="BR28" s="5"/>
      <c r="BS28" s="5"/>
      <c r="BT28" s="5"/>
    </row>
    <row r="29" spans="1:72" s="188" customFormat="1" ht="13.5" customHeight="1" thickBot="1" x14ac:dyDescent="0.25">
      <c r="A29" s="382">
        <v>26</v>
      </c>
      <c r="B29" s="47" t="str">
        <f t="shared" si="29"/>
        <v>DI1F22</v>
      </c>
      <c r="C29" s="48">
        <f t="shared" si="0"/>
        <v>9.1409376749426841E-2</v>
      </c>
      <c r="D29" s="48">
        <f t="shared" si="30"/>
        <v>9.1600000000000001E-2</v>
      </c>
      <c r="E29" s="48">
        <f t="shared" si="41"/>
        <v>9.1600000000000001E-2</v>
      </c>
      <c r="F29" s="48">
        <f t="shared" si="41"/>
        <v>9.1700000000000004E-2</v>
      </c>
      <c r="G29" s="136">
        <v>9.1409376749426841E-2</v>
      </c>
      <c r="H29" s="137">
        <v>9.0032329402300881E-4</v>
      </c>
      <c r="I29" s="138">
        <f t="shared" si="32"/>
        <v>9.0032329402300881E-4</v>
      </c>
      <c r="J29" s="138">
        <f t="shared" si="1"/>
        <v>0</v>
      </c>
      <c r="K29" s="139">
        <f t="shared" ca="1" si="33"/>
        <v>0.105930544456035</v>
      </c>
      <c r="L29" s="383">
        <v>10000</v>
      </c>
      <c r="M29" s="384">
        <f t="shared" ca="1" si="2"/>
        <v>268663.20805900614</v>
      </c>
      <c r="N29" s="361">
        <f t="shared" ca="1" si="3"/>
        <v>3.8976836191489412</v>
      </c>
      <c r="O29" s="361">
        <f t="shared" ca="1" si="4"/>
        <v>9.3815877643670635</v>
      </c>
      <c r="P29" s="40">
        <f t="shared" ca="1" si="5"/>
        <v>68928.941984693127</v>
      </c>
      <c r="Q29" s="139">
        <f t="shared" ca="1" si="6"/>
        <v>0.45076940281785771</v>
      </c>
      <c r="R29" s="385">
        <f t="shared" ca="1" si="7"/>
        <v>372.21322831087883</v>
      </c>
      <c r="S29" s="52">
        <f>AuxilioDados!Y83</f>
        <v>44564</v>
      </c>
      <c r="T29" s="37">
        <f ca="1">AuxilioDados!T83-$L$2</f>
        <v>1072</v>
      </c>
      <c r="U29" s="386">
        <f t="shared" ca="1" si="34"/>
        <v>63</v>
      </c>
      <c r="V29" s="376">
        <f t="shared" si="8"/>
        <v>26</v>
      </c>
      <c r="W29" s="385" t="str">
        <f>IF(ISERROR(VLOOKUP(A29,AuxilioDados!$R$1:$S$1810,2,FALSE)),"",(VLOOKUP(A29,AuxilioDados!$R$1:$S$1810,2,FALSE)))</f>
        <v>DI1F22</v>
      </c>
      <c r="X29" s="98">
        <f t="shared" si="9"/>
        <v>9.1409376749426841E-2</v>
      </c>
      <c r="Y29" s="385">
        <f>_xll.BDP(CONCATENATE("OD",RIGHT(W29,3)," COMDTY"),"last_price")</f>
        <v>9.16</v>
      </c>
      <c r="Z29" s="385">
        <f>_xll.BDP(CONCATENATE("OD",RIGHT(W29,3)," COMDTY"),"BID")</f>
        <v>9.16</v>
      </c>
      <c r="AA29" s="385">
        <f>_xll.BDP(CONCATENATE("OD",RIGHT(W29,3)," COMDTY"),"ASK")</f>
        <v>9.17</v>
      </c>
      <c r="AB29" s="385">
        <f>_xll.BDP(CONCATENATE("OD",RIGHT(W29,3)," COMDTY"),"PREV_CLOSE_VAL")</f>
        <v>9.14</v>
      </c>
      <c r="AC29" s="385">
        <f>_xll.BDP(CONCATENATE("OD",RIGHT(W29,3)," COMDTY"),"PX_LAST")</f>
        <v>9.16</v>
      </c>
      <c r="AD29" s="387">
        <f>_xll.BDP(CONCATENATE("OD",RIGHT(W29,3)," COMDTY"),"time")+1-1</f>
        <v>0.5888310185185186</v>
      </c>
      <c r="AE29" s="385">
        <f t="shared" ca="1" si="40"/>
        <v>21.967999997626251</v>
      </c>
      <c r="AF29" s="5">
        <f ca="1">T29-'NTN-F'!$E$3</f>
        <v>1071</v>
      </c>
      <c r="AG29" s="380">
        <f t="shared" ca="1" si="10"/>
        <v>9.1418756974060988E-2</v>
      </c>
      <c r="AH29" s="127">
        <f ca="1">IF(ISERROR(IF(B29="",AH28,VLOOKUP(S29,AuxilioDados!$M$1:$P$65524,3,FALSE))),VLOOKUP(S29,AuxilioDados!$Y$58:$AA$98,3,FALSE),(IF(B29="",AH28,VLOOKUP(S29,AuxilioDados!$M$1:$P$65524,3,FALSE))))</f>
        <v>9.1400005347353153E-2</v>
      </c>
      <c r="AI29" s="114">
        <f t="shared" ca="1" si="11"/>
        <v>9.1409376749426841E-2</v>
      </c>
      <c r="AJ29" s="312"/>
      <c r="AK29" s="5"/>
      <c r="AL29" s="5"/>
      <c r="AM29" s="5"/>
      <c r="AN29" s="5"/>
      <c r="AO29" s="5"/>
      <c r="AP29" s="5"/>
      <c r="AQ29" s="5"/>
      <c r="AR29" s="5"/>
      <c r="AS29" s="312">
        <f t="shared" ca="1" si="15"/>
        <v>-2.5209391015087022</v>
      </c>
      <c r="AT29" s="132" t="str">
        <f t="shared" si="16"/>
        <v>DI1F22</v>
      </c>
      <c r="AU29" s="55">
        <f t="shared" ca="1" si="17"/>
        <v>9.1600000000000001E-2</v>
      </c>
      <c r="AV29" s="114">
        <f ca="1">_xll.Interpolate($AL$4:$AL$13,$AM$4:$AM$13,T29)-_xll.Interpolate($AL$4:$AL$13,$AN$4:$AN$13,T29)</f>
        <v>1.1534585941515296E-4</v>
      </c>
      <c r="AW29" s="55">
        <f t="shared" ca="1" si="18"/>
        <v>0</v>
      </c>
      <c r="AX29" s="55">
        <f t="shared" ca="1" si="19"/>
        <v>9.1600000000000001E-2</v>
      </c>
      <c r="AY29" s="8">
        <f t="shared" ca="1" si="20"/>
        <v>9.1600000000000001E-2</v>
      </c>
      <c r="AZ29" s="99">
        <f t="shared" ca="1" si="37"/>
        <v>9.1600000000000001E-2</v>
      </c>
      <c r="BA29" s="99">
        <f t="shared" ca="1" si="21"/>
        <v>0</v>
      </c>
      <c r="BB29" s="55">
        <f t="shared" ca="1" si="22"/>
        <v>0</v>
      </c>
      <c r="BC29" s="134">
        <f t="shared" ca="1" si="39"/>
        <v>9.1600000000000001E-2</v>
      </c>
      <c r="BD29" s="135">
        <f t="shared" ca="1" si="23"/>
        <v>0</v>
      </c>
      <c r="BE29" s="208">
        <f t="shared" ca="1" si="24"/>
        <v>0.93213174045920699</v>
      </c>
      <c r="BF29" s="312">
        <f>IF(ISERROR(_xll.BDP(CONCATENATE("OD",RIGHT(W29,3)," COMDTY"),"volume")+1-1),0,(_xll.BDP(CONCATENATE("OD",RIGHT(W29,3)," COMDTY"),"volume")+1-1))</f>
        <v>6215</v>
      </c>
      <c r="BG29" s="312">
        <f t="shared" ca="1" si="25"/>
        <v>166974.1838086723</v>
      </c>
      <c r="BH29" s="5">
        <f t="shared" ca="1" si="26"/>
        <v>26.866320805900614</v>
      </c>
      <c r="BI29" s="5"/>
      <c r="BJ29" s="402">
        <f ca="1">(_xll.Spline($T$3:$T$35, $AH$3:$AH$35,T29-1)-AH29)*-10000</f>
        <v>0.12660820977686282</v>
      </c>
      <c r="BK29" s="402">
        <f t="shared" ca="1" si="27"/>
        <v>9.3714020736879178E-2</v>
      </c>
      <c r="BL29" s="308">
        <f t="shared" ca="1" si="28"/>
        <v>0.220322230513742</v>
      </c>
      <c r="BM29" s="5"/>
      <c r="BN29" s="5"/>
      <c r="BO29" s="5"/>
      <c r="BP29" s="5"/>
      <c r="BQ29" s="5"/>
      <c r="BR29" s="5"/>
      <c r="BS29" s="5"/>
      <c r="BT29" s="5"/>
    </row>
    <row r="30" spans="1:72" s="188" customFormat="1" ht="13.5" customHeight="1" thickBot="1" x14ac:dyDescent="0.25">
      <c r="A30" s="388">
        <v>27</v>
      </c>
      <c r="B30" s="49" t="str">
        <f t="shared" si="29"/>
        <v>DI1J22</v>
      </c>
      <c r="C30" s="50">
        <f t="shared" si="0"/>
        <v>9.2019406822543059E-2</v>
      </c>
      <c r="D30" s="50">
        <f t="shared" si="30"/>
        <v>9.2010000000000008E-2</v>
      </c>
      <c r="E30" s="50" t="str">
        <f t="shared" si="41"/>
        <v/>
      </c>
      <c r="F30" s="50" t="str">
        <f t="shared" si="41"/>
        <v/>
      </c>
      <c r="G30" s="140">
        <v>9.2019406822543059E-2</v>
      </c>
      <c r="H30" s="141">
        <v>6.1003007311621893E-4</v>
      </c>
      <c r="I30" s="142">
        <f t="shared" si="32"/>
        <v>6.1003007311621893E-4</v>
      </c>
      <c r="J30" s="142">
        <f t="shared" si="1"/>
        <v>0</v>
      </c>
      <c r="K30" s="143">
        <f t="shared" ca="1" si="33"/>
        <v>0.10262110251619627</v>
      </c>
      <c r="L30" s="389">
        <v>10000</v>
      </c>
      <c r="M30" s="390">
        <f t="shared" ca="1" si="2"/>
        <v>277297.25771496305</v>
      </c>
      <c r="N30" s="391">
        <f t="shared" ca="1" si="3"/>
        <v>4.120806092571411</v>
      </c>
      <c r="O30" s="391">
        <f t="shared" ca="1" si="4"/>
        <v>10.377303272306451</v>
      </c>
      <c r="P30" s="144">
        <f t="shared" ca="1" si="5"/>
        <v>67291.993722987259</v>
      </c>
      <c r="Q30" s="143">
        <f t="shared" ca="1" si="6"/>
        <v>0.48606088878355713</v>
      </c>
      <c r="R30" s="377">
        <f t="shared" ca="1" si="7"/>
        <v>360.62383315305311</v>
      </c>
      <c r="S30" s="53">
        <f>AuxilioDados!Y84</f>
        <v>44652</v>
      </c>
      <c r="T30" s="54">
        <f ca="1">AuxilioDados!T84-$L$2</f>
        <v>1134</v>
      </c>
      <c r="U30" s="180">
        <f t="shared" ca="1" si="34"/>
        <v>62</v>
      </c>
      <c r="V30" s="376">
        <f t="shared" si="8"/>
        <v>27</v>
      </c>
      <c r="W30" s="377" t="str">
        <f>IF(ISERROR(VLOOKUP(A30,AuxilioDados!$R$1:$S$1810,2,FALSE)),"",(VLOOKUP(A30,AuxilioDados!$R$1:$S$1810,2,FALSE)))</f>
        <v>DI1J22</v>
      </c>
      <c r="X30" s="145">
        <f t="shared" si="9"/>
        <v>9.2019406822543059E-2</v>
      </c>
      <c r="Y30" s="377">
        <f>_xll.BDP(CONCATENATE("OD",RIGHT(W30,3)," COMDTY"),"last_price")</f>
        <v>9.2010000000000005</v>
      </c>
      <c r="Z30" s="377" t="str">
        <f>_xll.BDP(CONCATENATE("OD",RIGHT(W30,3)," COMDTY"),"BID")</f>
        <v>#N/A N/A</v>
      </c>
      <c r="AA30" s="377" t="str">
        <f>_xll.BDP(CONCATENATE("OD",RIGHT(W30,3)," COMDTY"),"ASK")</f>
        <v>#N/A N/A</v>
      </c>
      <c r="AB30" s="377">
        <f>_xll.BDP(CONCATENATE("OD",RIGHT(W30,3)," COMDTY"),"PREV_CLOSE_VAL")</f>
        <v>9.2010000000000005</v>
      </c>
      <c r="AC30" s="377">
        <f>_xll.BDP(CONCATENATE("OD",RIGHT(W30,3)," COMDTY"),"PX_LAST")</f>
        <v>9.2010000000000005</v>
      </c>
      <c r="AD30" s="379">
        <f>_xll.BDP(CONCATENATE("OD",RIGHT(W30,3)," COMDTY"),"time")+1-1</f>
        <v>42999</v>
      </c>
      <c r="AE30" s="377">
        <f t="shared" ca="1" si="40"/>
        <v>2309.884666664293</v>
      </c>
      <c r="AF30" s="5">
        <f ca="1">T30-'NTN-F'!$E$3</f>
        <v>1133</v>
      </c>
      <c r="AG30" s="380">
        <f t="shared" ca="1" si="10"/>
        <v>9.2028817249822037E-2</v>
      </c>
      <c r="AH30" s="127">
        <f ca="1">IF(ISERROR(IF(B30="",AH29,VLOOKUP(S30,AuxilioDados!$M$1:$P$65524,3,FALSE))),VLOOKUP(S30,AuxilioDados!$Y$58:$AA$98,3,FALSE),(IF(B30="",AH29,VLOOKUP(S30,AuxilioDados!$M$1:$P$65524,3,FALSE))))</f>
        <v>9.2010004767375531E-2</v>
      </c>
      <c r="AI30" s="114">
        <f t="shared" ca="1" si="11"/>
        <v>9.2019406822543059E-2</v>
      </c>
      <c r="AJ30" s="312"/>
      <c r="AK30" s="132"/>
      <c r="AL30" s="5"/>
      <c r="AM30" s="8"/>
      <c r="AN30" s="8"/>
      <c r="AO30" s="8"/>
      <c r="AP30" s="8"/>
      <c r="AQ30" s="8"/>
      <c r="AR30" s="8"/>
      <c r="AS30" s="312">
        <f t="shared" ca="1" si="15"/>
        <v>-2.6103353927610442</v>
      </c>
      <c r="AT30" s="132" t="str">
        <f t="shared" si="16"/>
        <v>DI1J22</v>
      </c>
      <c r="AU30" s="55">
        <f t="shared" ca="1" si="17"/>
        <v>9.221003007311622E-2</v>
      </c>
      <c r="AV30" s="114">
        <f ca="1">_xll.Interpolate($AL$4:$AL$13,$AM$4:$AM$13,T30)-_xll.Interpolate($AL$4:$AL$13,$AN$4:$AN$13,T30)</f>
        <v>1.3507914718502434E-4</v>
      </c>
      <c r="AW30" s="55">
        <f t="shared" ca="1" si="18"/>
        <v>0</v>
      </c>
      <c r="AX30" s="55">
        <f t="shared" ca="1" si="19"/>
        <v>0</v>
      </c>
      <c r="AY30" s="8">
        <f t="shared" ca="1" si="20"/>
        <v>0</v>
      </c>
      <c r="AZ30" s="99">
        <f t="shared" ca="1" si="37"/>
        <v>9.2154485969728084E-2</v>
      </c>
      <c r="BA30" s="99">
        <f t="shared" ca="1" si="21"/>
        <v>0</v>
      </c>
      <c r="BB30" s="55">
        <f t="shared" ca="1" si="22"/>
        <v>0</v>
      </c>
      <c r="BC30" s="134">
        <f t="shared" ca="1" si="39"/>
        <v>9.2154485969728084E-2</v>
      </c>
      <c r="BD30" s="135">
        <f t="shared" ca="1" si="23"/>
        <v>0</v>
      </c>
      <c r="BE30" s="208">
        <f t="shared" ca="1" si="24"/>
        <v>0.98124018831038307</v>
      </c>
      <c r="BF30" s="312">
        <f>IF(ISERROR(_xll.BDP(CONCATENATE("OD",RIGHT(W30,3)," COMDTY"),"volume")+1-1),0,(_xll.BDP(CONCATENATE("OD",RIGHT(W30,3)," COMDTY"),"volume")+1-1))</f>
        <v>0</v>
      </c>
      <c r="BG30" s="312">
        <f t="shared" ca="1" si="25"/>
        <v>0</v>
      </c>
      <c r="BH30" s="5">
        <f t="shared" ca="1" si="26"/>
        <v>27.729725771496305</v>
      </c>
      <c r="BI30" s="5"/>
      <c r="BJ30" s="312">
        <f ca="1">(_xll.Spline($T$3:$T$35, $AH$3:$AH$35,T30-1)-AH30)*-10000</f>
        <v>9.3878818566289768E-2</v>
      </c>
      <c r="BK30" s="312">
        <f t="shared" ca="1" si="27"/>
        <v>9.4020551675288999E-2</v>
      </c>
      <c r="BL30" s="308">
        <f t="shared" ca="1" si="28"/>
        <v>0.18789937024157877</v>
      </c>
      <c r="BM30" s="5"/>
      <c r="BN30" s="5"/>
      <c r="BO30" s="5"/>
      <c r="BP30" s="5"/>
      <c r="BQ30" s="5"/>
      <c r="BR30" s="5"/>
      <c r="BS30" s="5"/>
      <c r="BT30" s="5"/>
    </row>
    <row r="31" spans="1:72" s="188" customFormat="1" ht="13.5" customHeight="1" thickBot="1" x14ac:dyDescent="0.25">
      <c r="A31" s="382">
        <v>28</v>
      </c>
      <c r="B31" s="47" t="str">
        <f t="shared" si="29"/>
        <v>DI1N22</v>
      </c>
      <c r="C31" s="48">
        <f t="shared" si="0"/>
        <v>9.2659472668885412E-2</v>
      </c>
      <c r="D31" s="48">
        <f t="shared" si="30"/>
        <v>9.265000000000001E-2</v>
      </c>
      <c r="E31" s="48">
        <f t="shared" si="41"/>
        <v>9.2699999999999991E-2</v>
      </c>
      <c r="F31" s="48">
        <f t="shared" si="41"/>
        <v>9.3000000000000013E-2</v>
      </c>
      <c r="G31" s="136">
        <v>9.2659472668885412E-2</v>
      </c>
      <c r="H31" s="137">
        <v>6.4006584634235253E-4</v>
      </c>
      <c r="I31" s="138">
        <f t="shared" si="32"/>
        <v>6.4006584634235253E-4</v>
      </c>
      <c r="J31" s="138">
        <f t="shared" si="1"/>
        <v>0</v>
      </c>
      <c r="K31" s="139">
        <f t="shared" ca="1" si="33"/>
        <v>0.10443289109469278</v>
      </c>
      <c r="L31" s="383">
        <v>10000</v>
      </c>
      <c r="M31" s="384">
        <f t="shared" ca="1" si="2"/>
        <v>285230.24686874123</v>
      </c>
      <c r="N31" s="361">
        <f t="shared" ca="1" si="3"/>
        <v>4.3435600217317347</v>
      </c>
      <c r="O31" s="361">
        <f t="shared" ca="1" si="4"/>
        <v>11.420865312756582</v>
      </c>
      <c r="P31" s="40">
        <f t="shared" ca="1" si="5"/>
        <v>65667.38929396047</v>
      </c>
      <c r="Q31" s="139">
        <f t="shared" ca="1" si="6"/>
        <v>0.52282588169219557</v>
      </c>
      <c r="R31" s="385">
        <f t="shared" ca="1" si="7"/>
        <v>350.59395382432399</v>
      </c>
      <c r="S31" s="52">
        <f>AuxilioDados!Y85</f>
        <v>44743</v>
      </c>
      <c r="T31" s="37">
        <f ca="1">AuxilioDados!T85-$L$2</f>
        <v>1196</v>
      </c>
      <c r="U31" s="386">
        <f t="shared" ca="1" si="34"/>
        <v>62</v>
      </c>
      <c r="V31" s="376">
        <f t="shared" si="8"/>
        <v>28</v>
      </c>
      <c r="W31" s="385" t="str">
        <f>IF(ISERROR(VLOOKUP(A31,AuxilioDados!$R$1:$S$1810,2,FALSE)),"",(VLOOKUP(A31,AuxilioDados!$R$1:$S$1810,2,FALSE)))</f>
        <v>DI1N22</v>
      </c>
      <c r="X31" s="98">
        <f t="shared" si="9"/>
        <v>9.2659472668885412E-2</v>
      </c>
      <c r="Y31" s="385">
        <f>_xll.BDP(CONCATENATE("OD",RIGHT(W31,3)," COMDTY"),"last_price")</f>
        <v>9.2650000000000006</v>
      </c>
      <c r="Z31" s="385">
        <f>_xll.BDP(CONCATENATE("OD",RIGHT(W31,3)," COMDTY"),"BID")</f>
        <v>9.27</v>
      </c>
      <c r="AA31" s="385">
        <f>_xll.BDP(CONCATENATE("OD",RIGHT(W31,3)," COMDTY"),"ASK")</f>
        <v>9.3000000000000007</v>
      </c>
      <c r="AB31" s="385">
        <f>_xll.BDP(CONCATENATE("OD",RIGHT(W31,3)," COMDTY"),"PREV_CLOSE_VAL")</f>
        <v>9.2650000000000006</v>
      </c>
      <c r="AC31" s="385">
        <f>_xll.BDP(CONCATENATE("OD",RIGHT(W31,3)," COMDTY"),"PX_LAST")</f>
        <v>9.2650000000000006</v>
      </c>
      <c r="AD31" s="387">
        <f>_xll.BDP(CONCATENATE("OD",RIGHT(W31,3)," COMDTY"),"time")+1-1</f>
        <v>42999</v>
      </c>
      <c r="AE31" s="385">
        <f t="shared" ca="1" si="40"/>
        <v>2309.884666664293</v>
      </c>
      <c r="AF31" s="5">
        <f ca="1">T31-'NTN-F'!$E$3</f>
        <v>1195</v>
      </c>
      <c r="AG31" s="380">
        <f t="shared" ca="1" si="10"/>
        <v>9.2668935825888088E-2</v>
      </c>
      <c r="AH31" s="127">
        <f ca="1">IF(ISERROR(IF(B31="",AH30,VLOOKUP(S31,AuxilioDados!$M$1:$P$65524,3,FALSE))),VLOOKUP(S31,AuxilioDados!$Y$58:$AA$98,3,FALSE),(IF(B31="",AH30,VLOOKUP(S31,AuxilioDados!$M$1:$P$65524,3,FALSE))))</f>
        <v>9.2650017499465109E-2</v>
      </c>
      <c r="AI31" s="114">
        <f t="shared" ca="1" si="11"/>
        <v>9.2659472668885412E-2</v>
      </c>
      <c r="AJ31" s="312"/>
      <c r="AK31" s="132"/>
      <c r="AL31" s="5"/>
      <c r="AM31" s="8"/>
      <c r="AN31" s="8"/>
      <c r="AO31" s="8"/>
      <c r="AP31" s="8"/>
      <c r="AQ31" s="8"/>
      <c r="AR31" s="8"/>
      <c r="AS31" s="312">
        <f t="shared" ca="1" si="15"/>
        <v>-2.7000605983339483</v>
      </c>
      <c r="AT31" s="132" t="str">
        <f t="shared" si="16"/>
        <v>DI1N22</v>
      </c>
      <c r="AU31" s="55">
        <f t="shared" ca="1" si="17"/>
        <v>9.2850095919458572E-2</v>
      </c>
      <c r="AV31" s="114">
        <f ca="1">_xll.Interpolate($AL$4:$AL$13,$AM$4:$AM$13,T31)-_xll.Interpolate($AL$4:$AL$13,$AN$4:$AN$13,T31)</f>
        <v>1.5567830346854827E-4</v>
      </c>
      <c r="AW31" s="55">
        <f t="shared" ca="1" si="18"/>
        <v>0</v>
      </c>
      <c r="AX31" s="55">
        <f t="shared" ca="1" si="19"/>
        <v>0</v>
      </c>
      <c r="AY31" s="8">
        <f t="shared" ca="1" si="20"/>
        <v>0</v>
      </c>
      <c r="AZ31" s="99">
        <f t="shared" ca="1" si="37"/>
        <v>9.281515097235396E-2</v>
      </c>
      <c r="BA31" s="99">
        <f t="shared" ca="1" si="21"/>
        <v>0</v>
      </c>
      <c r="BB31" s="55">
        <f t="shared" ca="1" si="22"/>
        <v>0</v>
      </c>
      <c r="BC31" s="134">
        <f t="shared" ca="1" si="39"/>
        <v>9.281515097235396E-2</v>
      </c>
      <c r="BD31" s="135">
        <f t="shared" ca="1" si="23"/>
        <v>0</v>
      </c>
      <c r="BE31" s="208">
        <f t="shared" ca="1" si="24"/>
        <v>1.0299783211811868</v>
      </c>
      <c r="BF31" s="312">
        <f>IF(ISERROR(_xll.BDP(CONCATENATE("OD",RIGHT(W31,3)," COMDTY"),"volume")+1-1),0,(_xll.BDP(CONCATENATE("OD",RIGHT(W31,3)," COMDTY"),"volume")+1-1))</f>
        <v>5</v>
      </c>
      <c r="BG31" s="312">
        <f t="shared" ca="1" si="25"/>
        <v>142.61512343437062</v>
      </c>
      <c r="BH31" s="5">
        <f t="shared" ca="1" si="26"/>
        <v>28.523024686874123</v>
      </c>
      <c r="BI31" s="5"/>
      <c r="BJ31" s="312">
        <f ca="1">(_xll.Spline($T$3:$T$35, $AH$3:$AH$35,T31-1)-AH31)*-10000</f>
        <v>0.10249976834492136</v>
      </c>
      <c r="BK31" s="312">
        <f t="shared" ca="1" si="27"/>
        <v>9.455169420302667E-2</v>
      </c>
      <c r="BL31" s="308">
        <f t="shared" ca="1" si="28"/>
        <v>0.19705146254794803</v>
      </c>
      <c r="BM31" s="5"/>
      <c r="BN31" s="5"/>
      <c r="BO31" s="5"/>
      <c r="BP31" s="5"/>
      <c r="BQ31" s="5"/>
      <c r="BR31" s="5"/>
      <c r="BS31" s="5"/>
      <c r="BT31" s="5"/>
    </row>
    <row r="32" spans="1:72" s="188" customFormat="1" ht="13.5" customHeight="1" thickBot="1" x14ac:dyDescent="0.25">
      <c r="A32" s="388">
        <v>29</v>
      </c>
      <c r="B32" s="49" t="str">
        <f t="shared" si="29"/>
        <v>DI1F23</v>
      </c>
      <c r="C32" s="50">
        <f t="shared" si="0"/>
        <v>9.3709363284394831E-2</v>
      </c>
      <c r="D32" s="50">
        <f t="shared" si="30"/>
        <v>9.3900000000000011E-2</v>
      </c>
      <c r="E32" s="50">
        <f t="shared" si="41"/>
        <v>9.3900000000000011E-2</v>
      </c>
      <c r="F32" s="50">
        <f t="shared" si="41"/>
        <v>9.4E-2</v>
      </c>
      <c r="G32" s="140">
        <v>9.3709363284394831E-2</v>
      </c>
      <c r="H32" s="141">
        <v>1.049890615509419E-3</v>
      </c>
      <c r="I32" s="142">
        <f t="shared" si="32"/>
        <v>1.049890615509419E-3</v>
      </c>
      <c r="J32" s="142">
        <f t="shared" si="1"/>
        <v>0</v>
      </c>
      <c r="K32" s="143">
        <f t="shared" ca="1" si="33"/>
        <v>0.10364613888904928</v>
      </c>
      <c r="L32" s="389">
        <v>10000</v>
      </c>
      <c r="M32" s="390">
        <f t="shared" ca="1" si="2"/>
        <v>299931.62980481429</v>
      </c>
      <c r="N32" s="391">
        <f t="shared" ca="1" si="3"/>
        <v>4.8001786468092806</v>
      </c>
      <c r="O32" s="391">
        <f t="shared" ca="1" si="4"/>
        <v>13.715305403337926</v>
      </c>
      <c r="P32" s="144">
        <f t="shared" ca="1" si="5"/>
        <v>62483.43069568491</v>
      </c>
      <c r="Q32" s="143">
        <f t="shared" ca="1" si="6"/>
        <v>0.60042428667262615</v>
      </c>
      <c r="R32" s="377">
        <f t="shared" ca="1" si="7"/>
        <v>333.40931753372172</v>
      </c>
      <c r="S32" s="53">
        <f>AuxilioDados!Y86</f>
        <v>44928</v>
      </c>
      <c r="T32" s="54">
        <f ca="1">AuxilioDados!T86-$L$2</f>
        <v>1323</v>
      </c>
      <c r="U32" s="180">
        <f t="shared" ca="1" si="34"/>
        <v>127</v>
      </c>
      <c r="V32" s="376">
        <f t="shared" si="8"/>
        <v>29</v>
      </c>
      <c r="W32" s="377" t="str">
        <f>IF(ISERROR(VLOOKUP(A32,AuxilioDados!$R$1:$S$1810,2,FALSE)),"",(VLOOKUP(A32,AuxilioDados!$R$1:$S$1810,2,FALSE)))</f>
        <v>DI1F23</v>
      </c>
      <c r="X32" s="145">
        <f t="shared" si="9"/>
        <v>9.3709363284394831E-2</v>
      </c>
      <c r="Y32" s="377">
        <f>_xll.BDP(CONCATENATE("OD",RIGHT(W32,3)," COMDTY"),"last_price")</f>
        <v>9.39</v>
      </c>
      <c r="Z32" s="377">
        <f>_xll.BDP(CONCATENATE("OD",RIGHT(W32,3)," COMDTY"),"BID")</f>
        <v>9.39</v>
      </c>
      <c r="AA32" s="377">
        <f>_xll.BDP(CONCATENATE("OD",RIGHT(W32,3)," COMDTY"),"ASK")</f>
        <v>9.4</v>
      </c>
      <c r="AB32" s="377">
        <f>_xll.BDP(CONCATENATE("OD",RIGHT(W32,3)," COMDTY"),"PREV_CLOSE_VAL")</f>
        <v>9.3699999999999992</v>
      </c>
      <c r="AC32" s="377">
        <f>_xll.BDP(CONCATENATE("OD",RIGHT(W32,3)," COMDTY"),"PX_LAST")</f>
        <v>9.39</v>
      </c>
      <c r="AD32" s="379">
        <f>_xll.BDP(CONCATENATE("OD",RIGHT(W32,3)," COMDTY"),"time")+1-1</f>
        <v>0.58957175925925931</v>
      </c>
      <c r="AE32" s="377">
        <f t="shared" ca="1" si="40"/>
        <v>20.901333330959631</v>
      </c>
      <c r="AF32" s="5">
        <f ca="1">T32-'NTN-F'!$E$3</f>
        <v>1322</v>
      </c>
      <c r="AG32" s="380">
        <f t="shared" ca="1" si="10"/>
        <v>9.3718720207639272E-2</v>
      </c>
      <c r="AH32" s="127">
        <f ca="1">IF(ISERROR(IF(B32="",AH31,VLOOKUP(S32,AuxilioDados!$M$1:$P$65524,3,FALSE))),VLOOKUP(S32,AuxilioDados!$Y$58:$AA$98,3,FALSE),(IF(B32="",AH31,VLOOKUP(S32,AuxilioDados!$M$1:$P$65524,3,FALSE))))</f>
        <v>9.3700013508272173E-2</v>
      </c>
      <c r="AI32" s="114">
        <f t="shared" ca="1" si="11"/>
        <v>9.3709363284394831E-2</v>
      </c>
      <c r="AJ32" s="403"/>
      <c r="AK32" s="5"/>
      <c r="AL32" s="99"/>
      <c r="AM32" s="5"/>
      <c r="AN32" s="5"/>
      <c r="AO32" s="5"/>
      <c r="AP32" s="5"/>
      <c r="AQ32" s="5"/>
      <c r="AR32" s="5"/>
      <c r="AS32" s="312">
        <f t="shared" ca="1" si="15"/>
        <v>-2.8073597493494162</v>
      </c>
      <c r="AT32" s="132" t="str">
        <f t="shared" si="16"/>
        <v>DI1F23</v>
      </c>
      <c r="AU32" s="55">
        <f t="shared" ca="1" si="17"/>
        <v>9.3900000000000011E-2</v>
      </c>
      <c r="AV32" s="114">
        <f ca="1">_xll.Interpolate($AL$4:$AL$13,$AM$4:$AM$13,T32)-_xll.Interpolate($AL$4:$AL$13,$AN$4:$AN$13,T32)</f>
        <v>1.9063671560518025E-4</v>
      </c>
      <c r="AW32" s="55">
        <f t="shared" ca="1" si="18"/>
        <v>0</v>
      </c>
      <c r="AX32" s="55">
        <f t="shared" ca="1" si="19"/>
        <v>9.3900000000000011E-2</v>
      </c>
      <c r="AY32" s="8">
        <f t="shared" ca="1" si="20"/>
        <v>9.3900000000000011E-2</v>
      </c>
      <c r="AZ32" s="99">
        <f t="shared" ca="1" si="37"/>
        <v>9.3900000000000011E-2</v>
      </c>
      <c r="BA32" s="99">
        <f t="shared" ca="1" si="21"/>
        <v>0</v>
      </c>
      <c r="BB32" s="55">
        <f t="shared" ca="1" si="22"/>
        <v>0</v>
      </c>
      <c r="BC32" s="134">
        <f t="shared" ca="1" si="39"/>
        <v>9.3900000000000011E-2</v>
      </c>
      <c r="BD32" s="135">
        <f t="shared" ca="1" si="23"/>
        <v>0</v>
      </c>
      <c r="BE32" s="208">
        <f t="shared" ca="1" si="24"/>
        <v>1.1254970791294536</v>
      </c>
      <c r="BF32" s="312">
        <f>IF(ISERROR(_xll.BDP(CONCATENATE("OD",RIGHT(W32,3)," COMDTY"),"volume")+1-1),0,(_xll.BDP(CONCATENATE("OD",RIGHT(W32,3)," COMDTY"),"volume")+1-1))</f>
        <v>20015</v>
      </c>
      <c r="BG32" s="312">
        <f t="shared" ca="1" si="25"/>
        <v>600313.15705433581</v>
      </c>
      <c r="BH32" s="5">
        <f t="shared" ca="1" si="26"/>
        <v>29.993162980481429</v>
      </c>
      <c r="BI32" s="5"/>
      <c r="BJ32" s="312">
        <f ca="1">(_xll.Spline($T$3:$T$35, $AH$3:$AH$35,T32-1)-AH32)*-10000</f>
        <v>6.5714483716144967E-2</v>
      </c>
      <c r="BK32" s="312">
        <f t="shared" ca="1" si="27"/>
        <v>9.3497761226579712E-2</v>
      </c>
      <c r="BL32" s="308">
        <f t="shared" ca="1" si="28"/>
        <v>0.15921224494272468</v>
      </c>
      <c r="BM32" s="5"/>
      <c r="BN32" s="5"/>
      <c r="BO32" s="5"/>
      <c r="BP32" s="5"/>
      <c r="BQ32" s="5"/>
      <c r="BR32" s="5"/>
      <c r="BS32" s="5"/>
      <c r="BT32" s="5"/>
    </row>
    <row r="33" spans="1:120" s="188" customFormat="1" ht="13.5" customHeight="1" thickBot="1" x14ac:dyDescent="0.25">
      <c r="A33" s="382">
        <v>30</v>
      </c>
      <c r="B33" s="47" t="str">
        <f>W33</f>
        <v>DI1N23</v>
      </c>
      <c r="C33" s="48">
        <f t="shared" si="0"/>
        <v>9.4529123979565144E-2</v>
      </c>
      <c r="D33" s="48">
        <f>IF(ISERROR(Y33/100),"",Y33/100)</f>
        <v>9.4519999999999993E-2</v>
      </c>
      <c r="E33" s="48">
        <f t="shared" si="41"/>
        <v>9.4800000000000009E-2</v>
      </c>
      <c r="F33" s="48">
        <f t="shared" si="41"/>
        <v>9.5199999999999993E-2</v>
      </c>
      <c r="G33" s="136">
        <v>9.4529123979565144E-2</v>
      </c>
      <c r="H33" s="137">
        <v>8.1976069517031291E-4</v>
      </c>
      <c r="I33" s="138">
        <f t="shared" si="32"/>
        <v>8.1976069517031291E-4</v>
      </c>
      <c r="J33" s="138">
        <f t="shared" si="1"/>
        <v>0</v>
      </c>
      <c r="K33" s="139">
        <f t="shared" ca="1" si="33"/>
        <v>0.10331378390508394</v>
      </c>
      <c r="L33" s="383">
        <v>10000</v>
      </c>
      <c r="M33" s="384">
        <f t="shared" ca="1" si="2"/>
        <v>312316.49773428217</v>
      </c>
      <c r="N33" s="361">
        <f t="shared" ca="1" si="3"/>
        <v>5.246149950000139</v>
      </c>
      <c r="O33" s="361">
        <f t="shared" ca="1" si="4"/>
        <v>16.157576072223769</v>
      </c>
      <c r="P33" s="40">
        <f t="shared" ca="1" si="5"/>
        <v>59532.514455533979</v>
      </c>
      <c r="Q33" s="139">
        <f t="shared" ca="1" si="6"/>
        <v>0.67975434793186817</v>
      </c>
      <c r="R33" s="385">
        <f t="shared" ca="1" si="7"/>
        <v>320.18801672487911</v>
      </c>
      <c r="S33" s="52">
        <f>AuxilioDados!Y87</f>
        <v>45110</v>
      </c>
      <c r="T33" s="37">
        <f ca="1">AuxilioDados!T87-$L$2</f>
        <v>1447</v>
      </c>
      <c r="U33" s="181">
        <f t="shared" ca="1" si="34"/>
        <v>124</v>
      </c>
      <c r="V33" s="376">
        <f t="shared" si="8"/>
        <v>30</v>
      </c>
      <c r="W33" s="385" t="str">
        <f>IF(ISERROR(VLOOKUP(A33,AuxilioDados!$R$1:$S$1810,2,FALSE)),"",(VLOOKUP(A33,AuxilioDados!$R$1:$S$1810,2,FALSE)))</f>
        <v>DI1N23</v>
      </c>
      <c r="X33" s="98">
        <f t="shared" si="9"/>
        <v>9.4529123979565144E-2</v>
      </c>
      <c r="Y33" s="385">
        <f>_xll.BDP(CONCATENATE("OD",RIGHT(W33,3)," COMDTY"),"last_price")</f>
        <v>9.452</v>
      </c>
      <c r="Z33" s="385">
        <f>_xll.BDP(CONCATENATE("OD",RIGHT(W33,3)," COMDTY"),"BID")</f>
        <v>9.48</v>
      </c>
      <c r="AA33" s="385">
        <f>_xll.BDP(CONCATENATE("OD",RIGHT(W33,3)," COMDTY"),"ASK")</f>
        <v>9.52</v>
      </c>
      <c r="AB33" s="385">
        <f>_xll.BDP(CONCATENATE("OD",RIGHT(W33,3)," COMDTY"),"PREV_CLOSE_VAL")</f>
        <v>9.452</v>
      </c>
      <c r="AC33" s="385">
        <f>_xll.BDP(CONCATENATE("OD",RIGHT(W33,3)," COMDTY"),"PX_LAST")</f>
        <v>9.452</v>
      </c>
      <c r="AD33" s="387">
        <f>_xll.BDP(CONCATENATE("OD",RIGHT(W33,3)," COMDTY"),"time")+1-1</f>
        <v>42999</v>
      </c>
      <c r="AE33" s="385">
        <f t="shared" ca="1" si="40"/>
        <v>2309.884666664293</v>
      </c>
      <c r="AF33" s="5">
        <f ca="1">T33-'NTN-F'!$E$3</f>
        <v>1446</v>
      </c>
      <c r="AG33" s="380">
        <f t="shared" ca="1" si="10"/>
        <v>9.4538252215831786E-2</v>
      </c>
      <c r="AH33" s="127">
        <f ca="1">IF(ISERROR(IF(B33="",AH32,VLOOKUP(S33,AuxilioDados!$M$1:$P$65524,3,FALSE))),VLOOKUP(S33,AuxilioDados!$Y$58:$AA$98,3,FALSE),(IF(B33="",AH32,VLOOKUP(S33,AuxilioDados!$M$1:$P$65524,3,FALSE))))</f>
        <v>9.4520002123377855E-2</v>
      </c>
      <c r="AI33" s="114">
        <f t="shared" ca="1" si="11"/>
        <v>9.4529123979565144E-2</v>
      </c>
      <c r="AJ33" s="312"/>
      <c r="AK33" s="5"/>
      <c r="AL33" s="5"/>
      <c r="AM33" s="5"/>
      <c r="AN33" s="5"/>
      <c r="AO33" s="5"/>
      <c r="AP33" s="5"/>
      <c r="AQ33" s="5"/>
      <c r="AR33" s="5"/>
      <c r="AS33" s="312">
        <f t="shared" ca="1" si="15"/>
        <v>-2.851840426621493</v>
      </c>
      <c r="AT33" s="132" t="str">
        <f t="shared" si="16"/>
        <v>DI1N23</v>
      </c>
      <c r="AU33" s="55">
        <f t="shared" ca="1" si="17"/>
        <v>9.4719760695170324E-2</v>
      </c>
      <c r="AV33" s="114">
        <f ca="1">_xll.Interpolate($AL$4:$AL$13,$AM$4:$AM$13,T33)-_xll.Interpolate($AL$4:$AL$13,$AN$4:$AN$13,T33)</f>
        <v>2.1754289050608666E-4</v>
      </c>
      <c r="AW33" s="55">
        <f t="shared" ca="1" si="18"/>
        <v>0</v>
      </c>
      <c r="AX33" s="55">
        <f t="shared" ca="1" si="19"/>
        <v>0</v>
      </c>
      <c r="AY33" s="8">
        <f t="shared" ca="1" si="20"/>
        <v>0</v>
      </c>
      <c r="AZ33" s="99">
        <f t="shared" ca="1" si="37"/>
        <v>9.4746666870071231E-2</v>
      </c>
      <c r="BA33" s="99">
        <f t="shared" ca="1" si="21"/>
        <v>0</v>
      </c>
      <c r="BB33" s="55">
        <f t="shared" ca="1" si="22"/>
        <v>9.4800000000000009E-2</v>
      </c>
      <c r="BC33" s="134">
        <f t="shared" ca="1" si="39"/>
        <v>9.4800000000000009E-2</v>
      </c>
      <c r="BD33" s="135">
        <f t="shared" ca="1" si="23"/>
        <v>5.33331299287787E-5</v>
      </c>
      <c r="BE33" s="208">
        <f t="shared" ca="1" si="24"/>
        <v>1.2140245663339817</v>
      </c>
      <c r="BF33" s="312">
        <f>IF(ISERROR(_xll.BDP(CONCATENATE("OD",RIGHT(W33,3)," COMDTY"),"volume")+1-1),0,(_xll.BDP(CONCATENATE("OD",RIGHT(W33,3)," COMDTY"),"volume")+1-1))</f>
        <v>0</v>
      </c>
      <c r="BG33" s="312">
        <f t="shared" ca="1" si="25"/>
        <v>0</v>
      </c>
      <c r="BH33" s="5">
        <f t="shared" ca="1" si="26"/>
        <v>31.231649773428217</v>
      </c>
      <c r="BI33" s="5"/>
      <c r="BJ33" s="312">
        <f ca="1">(_xll.Spline($T$3:$T$35, $AH$3:$AH$35,T33-1)-AH33)*-10000</f>
        <v>8.1104222034583673E-2</v>
      </c>
      <c r="BK33" s="312">
        <f t="shared" ca="1" si="27"/>
        <v>9.1218561872885573E-2</v>
      </c>
      <c r="BL33" s="308">
        <f t="shared" ca="1" si="28"/>
        <v>0.17232278390746925</v>
      </c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</row>
    <row r="34" spans="1:120" s="188" customFormat="1" ht="13.5" customHeight="1" thickBot="1" x14ac:dyDescent="0.25">
      <c r="A34" s="388">
        <v>31</v>
      </c>
      <c r="B34" s="49" t="str">
        <f>W34</f>
        <v>DI1F24</v>
      </c>
      <c r="C34" s="50">
        <f t="shared" si="0"/>
        <v>9.5659112388554401E-2</v>
      </c>
      <c r="D34" s="50">
        <f>IF(ISERROR(Y34/100),"",Y34/100)</f>
        <v>9.5399999999999985E-2</v>
      </c>
      <c r="E34" s="50">
        <f t="shared" si="41"/>
        <v>9.5799999999999996E-2</v>
      </c>
      <c r="F34" s="50">
        <f t="shared" si="41"/>
        <v>9.5899999999999999E-2</v>
      </c>
      <c r="G34" s="140">
        <v>9.5659112388554401E-2</v>
      </c>
      <c r="H34" s="141">
        <v>1.1299884089892576E-3</v>
      </c>
      <c r="I34" s="142">
        <f t="shared" si="32"/>
        <v>1.1299884089892576E-3</v>
      </c>
      <c r="J34" s="145">
        <f t="shared" si="1"/>
        <v>0</v>
      </c>
      <c r="K34" s="143">
        <f t="shared" ca="1" si="33"/>
        <v>0.10882508445907124</v>
      </c>
      <c r="L34" s="389">
        <v>10000</v>
      </c>
      <c r="M34" s="390">
        <f t="shared" ca="1" si="2"/>
        <v>322015.89898377279</v>
      </c>
      <c r="N34" s="391">
        <f t="shared" ca="1" si="3"/>
        <v>5.6934640382011619</v>
      </c>
      <c r="O34" s="391">
        <f t="shared" ca="1" si="4"/>
        <v>18.805955822267375</v>
      </c>
      <c r="P34" s="144">
        <f t="shared" ca="1" si="5"/>
        <v>56558.871158781047</v>
      </c>
      <c r="Q34" s="143">
        <f t="shared" ca="1" si="6"/>
        <v>0.76806923390079906</v>
      </c>
      <c r="R34" s="404">
        <f t="shared" ca="1" si="7"/>
        <v>310.54367289187564</v>
      </c>
      <c r="S34" s="53">
        <f>AuxilioDados!Y88</f>
        <v>45293</v>
      </c>
      <c r="T34" s="54">
        <f ca="1">AuxilioDados!T88-$L$2</f>
        <v>1572</v>
      </c>
      <c r="U34" s="180">
        <f t="shared" ca="1" si="34"/>
        <v>125</v>
      </c>
      <c r="V34" s="376">
        <f t="shared" si="8"/>
        <v>31</v>
      </c>
      <c r="W34" s="377" t="str">
        <f>IF(ISERROR(VLOOKUP(A34,AuxilioDados!$R$1:$S$1810,2,FALSE)),"",(VLOOKUP(A34,AuxilioDados!$R$1:$S$1810,2,FALSE)))</f>
        <v>DI1F24</v>
      </c>
      <c r="X34" s="145">
        <f t="shared" si="9"/>
        <v>9.5659112388554401E-2</v>
      </c>
      <c r="Y34" s="377">
        <f>_xll.BDP(CONCATENATE("OD",RIGHT(W34,3)," COMDTY"),"last_price")</f>
        <v>9.5399999999999991</v>
      </c>
      <c r="Z34" s="377">
        <f>_xll.BDP(CONCATENATE("OD",RIGHT(W34,3)," COMDTY"),"BID")</f>
        <v>9.58</v>
      </c>
      <c r="AA34" s="377">
        <f>_xll.BDP(CONCATENATE("OD",RIGHT(W34,3)," COMDTY"),"ASK")</f>
        <v>9.59</v>
      </c>
      <c r="AB34" s="377">
        <f>_xll.BDP(CONCATENATE("OD",RIGHT(W34,3)," COMDTY"),"PREV_CLOSE_VAL")</f>
        <v>9.5649999999999995</v>
      </c>
      <c r="AC34" s="377">
        <f>_xll.BDP(CONCATENATE("OD",RIGHT(W34,3)," COMDTY"),"PX_LAST")</f>
        <v>9.5400000000000009</v>
      </c>
      <c r="AD34" s="379">
        <f>_xll.BDP(CONCATENATE("OD",RIGHT(W34,3)," COMDTY"),"time")+1-1</f>
        <v>0.38996527777777779</v>
      </c>
      <c r="AE34" s="377">
        <f t="shared" ca="1" si="40"/>
        <v>308.33466666429302</v>
      </c>
      <c r="AF34" s="5">
        <f ca="1">T34-'NTN-F'!$E$3</f>
        <v>1571</v>
      </c>
      <c r="AG34" s="380">
        <f t="shared" ca="1" si="10"/>
        <v>9.5668242649701973E-2</v>
      </c>
      <c r="AH34" s="127">
        <f ca="1">IF(ISERROR(IF(B34="",AH33,VLOOKUP(S34,AuxilioDados!$M$1:$P$65524,3,FALSE))),VLOOKUP(S34,AuxilioDados!$Y$58:$AA$98,3,FALSE),(IF(B34="",AH33,VLOOKUP(S34,AuxilioDados!$M$1:$P$65524,3,FALSE))))</f>
        <v>9.5649988007779019E-2</v>
      </c>
      <c r="AI34" s="114">
        <f t="shared" ca="1" si="11"/>
        <v>9.5659112388554401E-2</v>
      </c>
      <c r="AJ34" s="312"/>
      <c r="AK34" s="5"/>
      <c r="AL34" s="5"/>
      <c r="AM34" s="5"/>
      <c r="AN34" s="5"/>
      <c r="AO34" s="5"/>
      <c r="AP34" s="5"/>
      <c r="AQ34" s="5"/>
      <c r="AR34" s="5"/>
      <c r="AS34" s="312">
        <f t="shared" ca="1" si="15"/>
        <v>-2.9410663575399667</v>
      </c>
      <c r="AT34" s="132" t="str">
        <f t="shared" si="16"/>
        <v>DI1F24</v>
      </c>
      <c r="AU34" s="55">
        <f t="shared" ca="1" si="17"/>
        <v>9.5849749104159582E-2</v>
      </c>
      <c r="AV34" s="114">
        <f ca="1">_xll.Interpolate($AL$4:$AL$13,$AM$4:$AM$13,T34)-_xll.Interpolate($AL$4:$AL$13,$AN$4:$AN$13,T34)</f>
        <v>2.4646479141640643E-4</v>
      </c>
      <c r="AW34" s="55">
        <f t="shared" ca="1" si="18"/>
        <v>0</v>
      </c>
      <c r="AX34" s="55">
        <f t="shared" ca="1" si="19"/>
        <v>0</v>
      </c>
      <c r="AY34" s="8">
        <f t="shared" ca="1" si="20"/>
        <v>0</v>
      </c>
      <c r="AZ34" s="99">
        <f t="shared" ca="1" si="37"/>
        <v>9.5905577179970808E-2</v>
      </c>
      <c r="BA34" s="99">
        <f t="shared" ca="1" si="21"/>
        <v>9.5899999999999999E-2</v>
      </c>
      <c r="BB34" s="55">
        <f t="shared" ca="1" si="22"/>
        <v>0</v>
      </c>
      <c r="BC34" s="134">
        <f t="shared" ca="1" si="39"/>
        <v>9.5899999999999999E-2</v>
      </c>
      <c r="BD34" s="135">
        <f t="shared" ca="1" si="23"/>
        <v>-5.5771799708087544E-6</v>
      </c>
      <c r="BE34" s="208">
        <f t="shared" ca="1" si="24"/>
        <v>1.3032338652365698</v>
      </c>
      <c r="BF34" s="312">
        <f>IF(ISERROR(_xll.BDP(CONCATENATE("OD",RIGHT(W34,3)," COMDTY"),"volume")+1-1),0,(_xll.BDP(CONCATENATE("OD",RIGHT(W34,3)," COMDTY"),"volume")+1-1))</f>
        <v>40</v>
      </c>
      <c r="BG34" s="312">
        <f t="shared" ca="1" si="25"/>
        <v>1288.0635959350911</v>
      </c>
      <c r="BH34" s="5">
        <f t="shared" ca="1" si="26"/>
        <v>32.201589898377279</v>
      </c>
      <c r="BI34" s="5"/>
      <c r="BJ34" s="312">
        <f ca="1">(_xll.Spline($T$3:$T$35, $AH$3:$AH$35,T34-1)-AH34)*-10000</f>
        <v>7.8625603796705912E-2</v>
      </c>
      <c r="BK34" s="312">
        <f t="shared" ca="1" si="27"/>
        <v>9.12438077538269E-2</v>
      </c>
      <c r="BL34" s="308">
        <f t="shared" ca="1" si="28"/>
        <v>0.16986941155053281</v>
      </c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</row>
    <row r="35" spans="1:120" s="188" customFormat="1" ht="13.5" customHeight="1" thickBot="1" x14ac:dyDescent="0.25">
      <c r="A35" s="382">
        <v>32</v>
      </c>
      <c r="B35" s="47" t="str">
        <f t="shared" ref="B35:B43" si="42">W35</f>
        <v>DI1N24</v>
      </c>
      <c r="C35" s="48">
        <f t="shared" si="0"/>
        <v>9.635888152127392E-2</v>
      </c>
      <c r="D35" s="48">
        <f t="shared" ref="D35:D43" si="43">IF(ISERROR(Y35/100),"",Y35/100)</f>
        <v>9.6349999999999991E-2</v>
      </c>
      <c r="E35" s="48">
        <f t="shared" si="41"/>
        <v>9.6600000000000005E-2</v>
      </c>
      <c r="F35" s="48">
        <f t="shared" si="41"/>
        <v>9.69E-2</v>
      </c>
      <c r="G35" s="136">
        <v>9.635888152127392E-2</v>
      </c>
      <c r="H35" s="137">
        <v>6.9976913271951879E-4</v>
      </c>
      <c r="I35" s="138">
        <f t="shared" si="32"/>
        <v>6.9976913271951879E-4</v>
      </c>
      <c r="J35" s="138">
        <f t="shared" si="1"/>
        <v>0</v>
      </c>
      <c r="K35" s="139">
        <f t="shared" ca="1" si="33"/>
        <v>0.10526899185246541</v>
      </c>
      <c r="L35" s="383">
        <v>10000</v>
      </c>
      <c r="M35" s="384">
        <f t="shared" ca="1" si="2"/>
        <v>330509.79327548703</v>
      </c>
      <c r="N35" s="361">
        <f t="shared" ca="1" si="3"/>
        <v>6.1386462711783549</v>
      </c>
      <c r="O35" s="361">
        <f t="shared" ca="1" si="4"/>
        <v>21.641047125999098</v>
      </c>
      <c r="P35" s="40">
        <f t="shared" ca="1" si="5"/>
        <v>53840.827223954606</v>
      </c>
      <c r="Q35" s="139">
        <f t="shared" ca="1" si="6"/>
        <v>0.85732658943078932</v>
      </c>
      <c r="R35" s="385">
        <f t="shared" ca="1" si="7"/>
        <v>302.5628953652452</v>
      </c>
      <c r="S35" s="52">
        <f>AuxilioDados!Y89</f>
        <v>45474</v>
      </c>
      <c r="T35" s="37">
        <f ca="1">AuxilioDados!T89-$L$2</f>
        <v>1696</v>
      </c>
      <c r="U35" s="181">
        <f t="shared" ca="1" si="34"/>
        <v>124</v>
      </c>
      <c r="V35" s="376">
        <f t="shared" si="8"/>
        <v>32</v>
      </c>
      <c r="W35" s="385" t="str">
        <f>IF(ISERROR(VLOOKUP(A35,AuxilioDados!$R$1:$S$1810,2,FALSE)),"",(VLOOKUP(A35,AuxilioDados!$R$1:$S$1810,2,FALSE)))</f>
        <v>DI1N24</v>
      </c>
      <c r="X35" s="98">
        <f t="shared" si="9"/>
        <v>9.635888152127392E-2</v>
      </c>
      <c r="Y35" s="385">
        <f>_xll.BDP(CONCATENATE("OD",RIGHT(W35,3)," COMDTY"),"last_price")</f>
        <v>9.6349999999999998</v>
      </c>
      <c r="Z35" s="385">
        <f>_xll.BDP(CONCATENATE("OD",RIGHT(W35,3)," COMDTY"),"BID")</f>
        <v>9.66</v>
      </c>
      <c r="AA35" s="385">
        <f>_xll.BDP(CONCATENATE("OD",RIGHT(W35,3)," COMDTY"),"ASK")</f>
        <v>9.69</v>
      </c>
      <c r="AB35" s="385">
        <f>_xll.BDP(CONCATENATE("OD",RIGHT(W35,3)," COMDTY"),"PREV_CLOSE_VAL")</f>
        <v>9.6349999999999998</v>
      </c>
      <c r="AC35" s="385">
        <f>_xll.BDP(CONCATENATE("OD",RIGHT(W35,3)," COMDTY"),"PX_LAST")</f>
        <v>9.6349999999999998</v>
      </c>
      <c r="AD35" s="387">
        <f>_xll.BDP(CONCATENATE("OD",RIGHT(W35,3)," COMDTY"),"time")+1-1</f>
        <v>42999</v>
      </c>
      <c r="AE35" s="385">
        <f t="shared" ca="1" si="40"/>
        <v>2309.884666664293</v>
      </c>
      <c r="AF35" s="5">
        <f ca="1">T35-'NTN-F'!$E$3</f>
        <v>1695</v>
      </c>
      <c r="AG35" s="380">
        <f t="shared" ca="1" si="10"/>
        <v>9.6367762376803334E-2</v>
      </c>
      <c r="AH35" s="127">
        <f ca="1">IF(ISERROR(IF(B35="",AH34,VLOOKUP(S35,AuxilioDados!$M$1:$P$65524,3,FALSE))),VLOOKUP(S35,AuxilioDados!$Y$58:$AA$98,3,FALSE),(IF(B35="",AH34,VLOOKUP(S35,AuxilioDados!$M$1:$P$65524,3,FALSE))))</f>
        <v>9.6350005970885944E-2</v>
      </c>
      <c r="AI35" s="114">
        <f t="shared" ca="1" si="11"/>
        <v>9.635888152127392E-2</v>
      </c>
      <c r="AJ35" s="312"/>
      <c r="AK35" s="5"/>
      <c r="AL35" s="5"/>
      <c r="AM35" s="5"/>
      <c r="AN35" s="5"/>
      <c r="AO35" s="5"/>
      <c r="AP35" s="5"/>
      <c r="AQ35" s="5"/>
      <c r="AR35" s="5"/>
      <c r="AS35" s="312">
        <f t="shared" ca="1" si="15"/>
        <v>-2.9361892393571907</v>
      </c>
      <c r="AT35" s="132" t="str">
        <f t="shared" si="16"/>
        <v>DI1N24</v>
      </c>
      <c r="AU35" s="55">
        <f t="shared" ca="1" si="17"/>
        <v>9.6549518236879101E-2</v>
      </c>
      <c r="AV35" s="114">
        <f ca="1">_xll.Interpolate($AL$4:$AL$13,$AM$4:$AM$13,T35)-_xll.Interpolate($AL$4:$AL$13,$AN$4:$AN$13,T35)</f>
        <v>2.7229702336686867E-4</v>
      </c>
      <c r="AW35" s="55">
        <f t="shared" ca="1" si="18"/>
        <v>0</v>
      </c>
      <c r="AX35" s="55">
        <f t="shared" ca="1" si="19"/>
        <v>0</v>
      </c>
      <c r="AY35" s="8">
        <f t="shared" ca="1" si="20"/>
        <v>0</v>
      </c>
      <c r="AZ35" s="99">
        <f t="shared" ca="1" si="37"/>
        <v>9.6631178544640789E-2</v>
      </c>
      <c r="BA35" s="99">
        <f t="shared" ca="1" si="21"/>
        <v>0</v>
      </c>
      <c r="BB35" s="55">
        <f t="shared" ca="1" si="22"/>
        <v>0</v>
      </c>
      <c r="BC35" s="134">
        <f t="shared" ca="1" si="39"/>
        <v>9.6631178544640789E-2</v>
      </c>
      <c r="BD35" s="135">
        <f t="shared" ca="1" si="23"/>
        <v>0</v>
      </c>
      <c r="BE35" s="208">
        <f t="shared" ca="1" si="24"/>
        <v>1.3847751832813628</v>
      </c>
      <c r="BF35" s="312">
        <f>IF(ISERROR(_xll.BDP(CONCATENATE("OD",RIGHT(W35,3)," COMDTY"),"volume")+1-1),0,(_xll.BDP(CONCATENATE("OD",RIGHT(W35,3)," COMDTY"),"volume")+1-1))</f>
        <v>0</v>
      </c>
      <c r="BG35" s="312">
        <f t="shared" ca="1" si="25"/>
        <v>0</v>
      </c>
      <c r="BH35" s="5">
        <f t="shared" ca="1" si="26"/>
        <v>33.050979327548703</v>
      </c>
      <c r="BI35" s="5"/>
      <c r="BJ35" s="312">
        <f ca="1">(_xll.Spline($T$3:$T$35, $AH$3:$AH$35,T35-1)-AH35)*-10000</f>
        <v>4.5499341225219148E-2</v>
      </c>
      <c r="BK35" s="312">
        <f t="shared" ca="1" si="27"/>
        <v>8.8755503879767161E-2</v>
      </c>
      <c r="BL35" s="308">
        <f t="shared" ca="1" si="28"/>
        <v>0.13425484510498631</v>
      </c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</row>
    <row r="36" spans="1:120" s="188" customFormat="1" ht="13.5" customHeight="1" thickBot="1" x14ac:dyDescent="0.25">
      <c r="A36" s="388">
        <v>33</v>
      </c>
      <c r="B36" s="49" t="str">
        <f t="shared" si="42"/>
        <v>DI1F25</v>
      </c>
      <c r="C36" s="50">
        <f t="shared" si="0"/>
        <v>9.720872246064638E-2</v>
      </c>
      <c r="D36" s="50">
        <f t="shared" si="43"/>
        <v>9.7500000000000003E-2</v>
      </c>
      <c r="E36" s="50">
        <f t="shared" si="41"/>
        <v>9.7500000000000003E-2</v>
      </c>
      <c r="F36" s="50">
        <f t="shared" si="41"/>
        <v>9.7599999999999992E-2</v>
      </c>
      <c r="G36" s="140">
        <v>9.720872246064638E-2</v>
      </c>
      <c r="H36" s="141">
        <v>8.498409393724593E-4</v>
      </c>
      <c r="I36" s="142">
        <f t="shared" si="32"/>
        <v>8.498409393724593E-4</v>
      </c>
      <c r="J36" s="145">
        <f t="shared" si="1"/>
        <v>0</v>
      </c>
      <c r="K36" s="143">
        <f t="shared" ca="1" si="33"/>
        <v>0.10835642403938306</v>
      </c>
      <c r="L36" s="389">
        <v>10000</v>
      </c>
      <c r="M36" s="390">
        <f t="shared" ca="1" si="2"/>
        <v>337189.33652384294</v>
      </c>
      <c r="N36" s="391">
        <f t="shared" ca="1" si="3"/>
        <v>6.6040602508354596</v>
      </c>
      <c r="O36" s="391">
        <f t="shared" ca="1" si="4"/>
        <v>24.816284809809193</v>
      </c>
      <c r="P36" s="144">
        <f t="shared" ca="1" si="5"/>
        <v>51057.883138056794</v>
      </c>
      <c r="Q36" s="143">
        <f t="shared" ca="1" si="6"/>
        <v>0.95856141802054906</v>
      </c>
      <c r="R36" s="377">
        <f t="shared" ca="1" si="7"/>
        <v>296.5692836876795</v>
      </c>
      <c r="S36" s="53">
        <f>AuxilioDados!Y90</f>
        <v>45659</v>
      </c>
      <c r="T36" s="54">
        <f ca="1">AuxilioDados!T90-$L$2</f>
        <v>1826</v>
      </c>
      <c r="U36" s="180">
        <f t="shared" ca="1" si="34"/>
        <v>130</v>
      </c>
      <c r="V36" s="376">
        <f t="shared" si="8"/>
        <v>33</v>
      </c>
      <c r="W36" s="385" t="str">
        <f>IF(ISERROR(VLOOKUP(A36,AuxilioDados!$R$1:$S$1810,2,FALSE)),"",(VLOOKUP(A36,AuxilioDados!$R$1:$S$1810,2,FALSE)))</f>
        <v>DI1F25</v>
      </c>
      <c r="X36" s="98">
        <f t="shared" si="9"/>
        <v>9.720872246064638E-2</v>
      </c>
      <c r="Y36" s="385">
        <f>_xll.BDP(CONCATENATE("OD",RIGHT(W36,3)," COMDTY"),"last_price")</f>
        <v>9.75</v>
      </c>
      <c r="Z36" s="385">
        <f>_xll.BDP(CONCATENATE("OD",RIGHT(W36,3)," COMDTY"),"BID")</f>
        <v>9.75</v>
      </c>
      <c r="AA36" s="385">
        <f>_xll.BDP(CONCATENATE("OD",RIGHT(W36,3)," COMDTY"),"ASK")</f>
        <v>9.76</v>
      </c>
      <c r="AB36" s="385">
        <f>_xll.BDP(CONCATENATE("OD",RIGHT(W36,3)," COMDTY"),"PREV_CLOSE_VAL")</f>
        <v>9.7200000000000006</v>
      </c>
      <c r="AC36" s="385">
        <f>_xll.BDP(CONCATENATE("OD",RIGHT(W36,3)," COMDTY"),"PX_LAST")</f>
        <v>9.75</v>
      </c>
      <c r="AD36" s="387">
        <f>_xll.BDP(CONCATENATE("OD",RIGHT(W36,3)," COMDTY"),"time")+1-1</f>
        <v>0.57983796296296308</v>
      </c>
      <c r="AE36" s="385">
        <f t="shared" ca="1" si="40"/>
        <v>34.917999997626197</v>
      </c>
      <c r="AF36" s="5">
        <f ca="1">T36-'NTN-F'!$E$3</f>
        <v>1825</v>
      </c>
      <c r="AG36" s="380">
        <f t="shared" ca="1" si="10"/>
        <v>9.7217443040422902E-2</v>
      </c>
      <c r="AH36" s="127">
        <f ca="1">IF(ISERROR(IF(B36="",AH35,VLOOKUP(S36,AuxilioDados!$M$1:$P$65524,3,FALSE))),VLOOKUP(S36,AuxilioDados!$Y$58:$AA$98,3,FALSE),(IF(B36="",AH35,VLOOKUP(S36,AuxilioDados!$M$1:$P$65524,3,FALSE))))</f>
        <v>9.720000672329232E-2</v>
      </c>
      <c r="AI36" s="114">
        <f t="shared" ca="1" si="11"/>
        <v>9.720872246064638E-2</v>
      </c>
      <c r="AJ36" s="312"/>
      <c r="AK36" s="5"/>
      <c r="AL36" s="5"/>
      <c r="AM36" s="5"/>
      <c r="AN36" s="5"/>
      <c r="AO36" s="5"/>
      <c r="AP36" s="5"/>
      <c r="AQ36" s="5"/>
      <c r="AR36" s="5"/>
      <c r="AS36" s="312">
        <f t="shared" ca="1" si="15"/>
        <v>-2.941472495207563</v>
      </c>
      <c r="AT36" s="132" t="str">
        <f t="shared" si="16"/>
        <v>DI1F25</v>
      </c>
      <c r="AU36" s="55">
        <f t="shared" ca="1" si="17"/>
        <v>9.7500000000000003E-2</v>
      </c>
      <c r="AV36" s="114">
        <f ca="1">_xll.Interpolate($AL$4:$AL$13,$AM$4:$AM$13,T36)-_xll.Interpolate($AL$4:$AL$13,$AN$4:$AN$13,T36)</f>
        <v>2.9127753935362377E-4</v>
      </c>
      <c r="AW36" s="55">
        <f t="shared" ca="1" si="18"/>
        <v>0</v>
      </c>
      <c r="AX36" s="55">
        <f t="shared" ca="1" si="19"/>
        <v>9.7500000000000003E-2</v>
      </c>
      <c r="AY36" s="8">
        <f t="shared" ca="1" si="20"/>
        <v>0</v>
      </c>
      <c r="AZ36" s="99">
        <f t="shared" ca="1" si="37"/>
        <v>9.7500000000000003E-2</v>
      </c>
      <c r="BA36" s="99">
        <f t="shared" ca="1" si="21"/>
        <v>0</v>
      </c>
      <c r="BB36" s="55">
        <f t="shared" ca="1" si="22"/>
        <v>0</v>
      </c>
      <c r="BC36" s="134">
        <f t="shared" ca="1" si="39"/>
        <v>9.7500000000000003E-2</v>
      </c>
      <c r="BD36" s="135">
        <f t="shared" ca="1" si="23"/>
        <v>0</v>
      </c>
      <c r="BE36" s="208">
        <f t="shared" ca="1" si="24"/>
        <v>1.4682635058582976</v>
      </c>
      <c r="BF36" s="312">
        <f>IF(ISERROR(_xll.BDP(CONCATENATE("OD",RIGHT(W36,3)," COMDTY"),"volume")+1-1),0,(_xll.BDP(CONCATENATE("OD",RIGHT(W36,3)," COMDTY"),"volume")+1-1))</f>
        <v>16190</v>
      </c>
      <c r="BG36" s="312">
        <f t="shared" ca="1" si="25"/>
        <v>545909.53583210171</v>
      </c>
      <c r="BH36" s="5">
        <f t="shared" ca="1" si="26"/>
        <v>33.718933652384294</v>
      </c>
      <c r="BI36" s="5"/>
      <c r="BJ36" s="312" t="e">
        <f ca="1">(_xll.Spline($T$3:$T$35, $AH$3:$AH$35,T36-1)-AH36)*-10000</f>
        <v>#NUM!</v>
      </c>
      <c r="BK36" s="312">
        <f t="shared" ref="BK36:BK43" ca="1" si="44">(AI36-AH36)*10000</f>
        <v>8.715737354059172E-2</v>
      </c>
      <c r="BL36" s="308" t="e">
        <f t="shared" ref="BL36:BL43" ca="1" si="45">BK36+BJ36</f>
        <v>#NUM!</v>
      </c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</row>
    <row r="37" spans="1:120" s="188" customFormat="1" ht="12.75" customHeight="1" thickBot="1" x14ac:dyDescent="0.25">
      <c r="A37" s="382">
        <v>34</v>
      </c>
      <c r="B37" s="47" t="str">
        <f t="shared" si="42"/>
        <v>DI1N25</v>
      </c>
      <c r="C37" s="48">
        <f t="shared" si="0"/>
        <v>9.7883519386857243E-2</v>
      </c>
      <c r="D37" s="48" t="str">
        <f t="shared" si="43"/>
        <v/>
      </c>
      <c r="E37" s="48" t="str">
        <f t="shared" si="41"/>
        <v/>
      </c>
      <c r="F37" s="48" t="str">
        <f t="shared" si="41"/>
        <v/>
      </c>
      <c r="G37" s="136">
        <v>9.7883519386857243E-2</v>
      </c>
      <c r="H37" s="137">
        <v>6.7479692621086329E-4</v>
      </c>
      <c r="I37" s="138">
        <f t="shared" si="32"/>
        <v>6.7479692621086329E-4</v>
      </c>
      <c r="J37" s="138">
        <f t="shared" si="1"/>
        <v>0</v>
      </c>
      <c r="K37" s="139">
        <f t="shared" ca="1" si="33"/>
        <v>0.10803308139911749</v>
      </c>
      <c r="L37" s="383">
        <v>10000</v>
      </c>
      <c r="M37" s="384">
        <f t="shared" ca="1" si="2"/>
        <v>342078.53580715891</v>
      </c>
      <c r="N37" s="361">
        <f t="shared" ca="1" si="3"/>
        <v>7.0409651858465505</v>
      </c>
      <c r="O37" s="361">
        <f t="shared" ca="1" si="4"/>
        <v>27.994199676748707</v>
      </c>
      <c r="P37" s="40">
        <f t="shared" ca="1" si="5"/>
        <v>48584.040224313379</v>
      </c>
      <c r="Q37" s="139">
        <f t="shared" ca="1" si="6"/>
        <v>1.0582890911974019</v>
      </c>
      <c r="R37" s="385">
        <f t="shared" ca="1" si="7"/>
        <v>292.33053095261533</v>
      </c>
      <c r="S37" s="52">
        <f>AuxilioDados!Y91</f>
        <v>45839</v>
      </c>
      <c r="T37" s="37">
        <f ca="1">AuxilioDados!T91-$L$2</f>
        <v>1948</v>
      </c>
      <c r="U37" s="181">
        <f t="shared" ca="1" si="34"/>
        <v>122</v>
      </c>
      <c r="V37" s="376">
        <f t="shared" si="8"/>
        <v>34</v>
      </c>
      <c r="W37" s="405" t="str">
        <f>IF(ISERROR(VLOOKUP(A37,AuxilioDados!$R$1:$S$1810,2,FALSE)),"",(VLOOKUP(A37,AuxilioDados!$R$1:$S$1810,2,FALSE)))</f>
        <v>DI1N25</v>
      </c>
      <c r="X37" s="98">
        <f t="shared" si="9"/>
        <v>9.7883519386857243E-2</v>
      </c>
      <c r="Y37" s="405" t="str">
        <f>_xll.BDP(CONCATENATE("OD",RIGHT(W37,3)," COMDTY"),"last_price")</f>
        <v>#N/A Invalid Security</v>
      </c>
      <c r="Z37" s="405" t="str">
        <f>_xll.BDP(CONCATENATE("OD",RIGHT(W37,3)," COMDTY"),"BID")</f>
        <v>#N/A Invalid Security</v>
      </c>
      <c r="AA37" s="405" t="str">
        <f>_xll.BDP(CONCATENATE("OD",RIGHT(W37,3)," COMDTY"),"ASK")</f>
        <v>#N/A Invalid Security</v>
      </c>
      <c r="AB37" s="405" t="str">
        <f>_xll.BDP(CONCATENATE("OD",RIGHT(W37,3)," COMDTY"),"PREV_CLOSE_VAL")</f>
        <v>#N/A Invalid Security</v>
      </c>
      <c r="AC37" s="405" t="str">
        <f>_xll.BDP(CONCATENATE("OD",RIGHT(W37,3)," COMDTY"),"PX_LAST")</f>
        <v>#N/A Invalid Security</v>
      </c>
      <c r="AD37" s="406" t="e">
        <f>_xll.BDP(CONCATENATE("OD",RIGHT(W37,3)," COMDTY"),"time")+1-1</f>
        <v>#VALUE!</v>
      </c>
      <c r="AE37" s="151">
        <f t="shared" ca="1" si="40"/>
        <v>1440</v>
      </c>
      <c r="AF37" s="5">
        <f ca="1">T37-'NTN-F'!$E$3</f>
        <v>1947</v>
      </c>
      <c r="AG37" s="380">
        <f t="shared" ca="1" si="10"/>
        <v>9.7892045350692181E-2</v>
      </c>
      <c r="AH37" s="127">
        <f ca="1">IF(ISERROR(IF(B37="",AH36,VLOOKUP(S37,AuxilioDados!$M$1:$P$65524,3,FALSE))),VLOOKUP(S37,AuxilioDados!$Y$58:$AA$98,3,FALSE),(IF(B37="",AH36,VLOOKUP(S37,AuxilioDados!$M$1:$P$65524,3,FALSE))))</f>
        <v>9.787499786371423E-2</v>
      </c>
      <c r="AI37" s="114">
        <f t="shared" ca="1" si="11"/>
        <v>9.7883519386857243E-2</v>
      </c>
      <c r="AJ37" s="5"/>
      <c r="AK37" s="5"/>
      <c r="AL37" s="5"/>
      <c r="AM37" s="5"/>
      <c r="AN37" s="5"/>
      <c r="AO37" s="5"/>
      <c r="AP37" s="5"/>
      <c r="AQ37" s="5"/>
      <c r="AR37" s="5"/>
      <c r="AS37" s="312">
        <f t="shared" ca="1" si="15"/>
        <v>-2.9175309748097789</v>
      </c>
      <c r="AT37" s="132" t="str">
        <f t="shared" si="16"/>
        <v>DI1N25</v>
      </c>
      <c r="AU37" s="55">
        <f t="shared" ca="1" si="17"/>
        <v>9.8174796926210867E-2</v>
      </c>
      <c r="AV37" s="114">
        <f ca="1">_xll.Interpolate($AL$4:$AL$13,$AM$4:$AM$13,T37)-_xll.Interpolate($AL$4:$AL$13,$AN$4:$AN$13,T37)</f>
        <v>2.9842514428370104E-4</v>
      </c>
      <c r="AW37" s="55">
        <f t="shared" ca="1" si="18"/>
        <v>0</v>
      </c>
      <c r="AX37" s="55">
        <f t="shared" ca="1" si="19"/>
        <v>0</v>
      </c>
      <c r="AY37" s="8">
        <f t="shared" ca="1" si="20"/>
        <v>0</v>
      </c>
      <c r="AZ37" s="99">
        <f t="shared" ca="1" si="37"/>
        <v>9.8181944531140944E-2</v>
      </c>
      <c r="BA37" s="99">
        <f t="shared" ca="1" si="21"/>
        <v>0</v>
      </c>
      <c r="BB37" s="55">
        <f t="shared" ca="1" si="22"/>
        <v>0</v>
      </c>
      <c r="BC37" s="134">
        <f t="shared" ca="1" si="39"/>
        <v>9.8181944531140944E-2</v>
      </c>
      <c r="BD37" s="135">
        <f t="shared" ca="1" si="23"/>
        <v>0</v>
      </c>
      <c r="BE37" s="208">
        <f t="shared" ca="1" si="24"/>
        <v>1.5424787932705999</v>
      </c>
      <c r="BF37" s="312">
        <f>IF(ISERROR(_xll.BDP(CONCATENATE("OD",RIGHT(W37,3)," COMDTY"),"volume")+1-1),0,(_xll.BDP(CONCATENATE("OD",RIGHT(W37,3)," COMDTY"),"volume")+1-1))</f>
        <v>0</v>
      </c>
      <c r="BG37" s="312">
        <f t="shared" ca="1" si="25"/>
        <v>0</v>
      </c>
      <c r="BH37" s="5">
        <f t="shared" ca="1" si="26"/>
        <v>34.207853580715891</v>
      </c>
      <c r="BI37" s="5"/>
      <c r="BJ37" s="312" t="e">
        <f ca="1">(_xll.Spline($T$3:$T$35, $AH$3:$AH$35,T37-1)-AH37)*-10000</f>
        <v>#NUM!</v>
      </c>
      <c r="BK37" s="312">
        <f t="shared" ca="1" si="44"/>
        <v>8.5215231430124661E-2</v>
      </c>
      <c r="BL37" s="308" t="e">
        <f t="shared" ca="1" si="45"/>
        <v>#NUM!</v>
      </c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</row>
    <row r="38" spans="1:120" s="188" customFormat="1" ht="12.75" customHeight="1" thickBot="1" x14ac:dyDescent="0.25">
      <c r="A38" s="388">
        <v>35</v>
      </c>
      <c r="B38" s="49" t="str">
        <f t="shared" si="42"/>
        <v>DI1F26</v>
      </c>
      <c r="C38" s="50">
        <f t="shared" si="0"/>
        <v>9.8558303257396229E-2</v>
      </c>
      <c r="D38" s="50">
        <f t="shared" si="43"/>
        <v>9.849999999999999E-2</v>
      </c>
      <c r="E38" s="50">
        <f t="shared" si="41"/>
        <v>9.8599999999999993E-2</v>
      </c>
      <c r="F38" s="50">
        <f t="shared" si="41"/>
        <v>9.8800000000000013E-2</v>
      </c>
      <c r="G38" s="140">
        <v>9.8558303257396229E-2</v>
      </c>
      <c r="H38" s="141">
        <v>6.7478387053898636E-4</v>
      </c>
      <c r="I38" s="142">
        <f t="shared" si="32"/>
        <v>6.7478387053898636E-4</v>
      </c>
      <c r="J38" s="142">
        <f t="shared" si="1"/>
        <v>0</v>
      </c>
      <c r="K38" s="143">
        <f t="shared" ca="1" si="33"/>
        <v>0.10864157102982386</v>
      </c>
      <c r="L38" s="389">
        <v>10000</v>
      </c>
      <c r="M38" s="390">
        <f t="shared" ca="1" si="2"/>
        <v>345812.13481695158</v>
      </c>
      <c r="N38" s="391">
        <f t="shared" ca="1" si="3"/>
        <v>7.5098436339519363</v>
      </c>
      <c r="O38" s="391">
        <f t="shared" ca="1" si="4"/>
        <v>31.616915489550141</v>
      </c>
      <c r="P38" s="144">
        <f t="shared" ca="1" si="5"/>
        <v>46047.847554846281</v>
      </c>
      <c r="Q38" s="143">
        <f t="shared" ca="1" si="6"/>
        <v>1.171654166481785</v>
      </c>
      <c r="R38" s="377">
        <f t="shared" ca="1" si="7"/>
        <v>289.17435200165232</v>
      </c>
      <c r="S38" s="53">
        <f>AuxilioDados!Y92</f>
        <v>46024</v>
      </c>
      <c r="T38" s="54">
        <f ca="1">AuxilioDados!T92-$L$2</f>
        <v>2079</v>
      </c>
      <c r="U38" s="180">
        <f t="shared" ca="1" si="34"/>
        <v>131</v>
      </c>
      <c r="V38" s="376">
        <f t="shared" si="8"/>
        <v>35</v>
      </c>
      <c r="W38" s="377" t="str">
        <f>IF(ISERROR(VLOOKUP(A38,AuxilioDados!$R$1:$S$1810,2,FALSE)),"",(VLOOKUP(A38,AuxilioDados!$R$1:$S$1810,2,FALSE)))</f>
        <v>DI1F26</v>
      </c>
      <c r="X38" s="145">
        <f t="shared" si="9"/>
        <v>9.8558303257396229E-2</v>
      </c>
      <c r="Y38" s="377">
        <f>_xll.BDP(CONCATENATE("OD",RIGHT(W38,3)," COMDTY"),"last_price")</f>
        <v>9.85</v>
      </c>
      <c r="Z38" s="377">
        <f>_xll.BDP(CONCATENATE("OD",RIGHT(W38,3)," COMDTY"),"BID")</f>
        <v>9.86</v>
      </c>
      <c r="AA38" s="377">
        <f>_xll.BDP(CONCATENATE("OD",RIGHT(W38,3)," COMDTY"),"ASK")</f>
        <v>9.8800000000000008</v>
      </c>
      <c r="AB38" s="377">
        <f>_xll.BDP(CONCATENATE("OD",RIGHT(W38,3)," COMDTY"),"PREV_CLOSE_VAL")</f>
        <v>9.8550000000000004</v>
      </c>
      <c r="AC38" s="377">
        <f>_xll.BDP(CONCATENATE("OD",RIGHT(W38,3)," COMDTY"),"PX_LAST")</f>
        <v>9.85</v>
      </c>
      <c r="AD38" s="379">
        <f>_xll.BDP(CONCATENATE("OD",RIGHT(W38,3)," COMDTY"),"time")+1-1</f>
        <v>0.49693287037037037</v>
      </c>
      <c r="AE38" s="377">
        <f t="shared" ca="1" si="40"/>
        <v>154.30133333095969</v>
      </c>
      <c r="AF38" s="5">
        <f ca="1">T38-'NTN-F'!$E$3</f>
        <v>2078</v>
      </c>
      <c r="AG38" s="380">
        <f t="shared" ca="1" si="10"/>
        <v>9.856662157278695E-2</v>
      </c>
      <c r="AH38" s="127">
        <f ca="1">IF(ISERROR(IF(B38="",AH37,VLOOKUP(S38,AuxilioDados!$M$1:$P$65524,3,FALSE))),VLOOKUP(S38,AuxilioDados!$Y$58:$AA$98,3,FALSE),(IF(B38="",AH37,VLOOKUP(S38,AuxilioDados!$M$1:$P$65524,3,FALSE))))</f>
        <v>9.854998900413614E-2</v>
      </c>
      <c r="AI38" s="114">
        <f t="shared" ca="1" si="11"/>
        <v>9.8558303257396229E-2</v>
      </c>
      <c r="AJ38" s="312"/>
      <c r="AK38" s="132"/>
      <c r="AL38" s="5"/>
      <c r="AM38" s="8"/>
      <c r="AN38" s="8"/>
      <c r="AO38" s="8"/>
      <c r="AP38" s="8"/>
      <c r="AQ38" s="8"/>
      <c r="AR38" s="8"/>
      <c r="AS38" s="312">
        <f t="shared" ca="1" si="15"/>
        <v>-2.8775464452119195</v>
      </c>
      <c r="AT38" s="132" t="str">
        <f t="shared" si="16"/>
        <v>DI1F26</v>
      </c>
      <c r="AU38" s="55">
        <f t="shared" ca="1" si="17"/>
        <v>9.8849580796749853E-2</v>
      </c>
      <c r="AV38" s="114">
        <f ca="1">_xll.Interpolate($AL$4:$AL$13,$AM$4:$AM$13,T38)-_xll.Interpolate($AL$4:$AL$13,$AN$4:$AN$13,T38)</f>
        <v>2.9790353998049302E-4</v>
      </c>
      <c r="AW38" s="55">
        <f t="shared" ca="1" si="18"/>
        <v>0</v>
      </c>
      <c r="AX38" s="55">
        <f t="shared" ca="1" si="19"/>
        <v>0</v>
      </c>
      <c r="AY38" s="8">
        <f t="shared" ca="1" si="20"/>
        <v>0</v>
      </c>
      <c r="AZ38" s="99">
        <f t="shared" ca="1" si="37"/>
        <v>9.8856206797376722E-2</v>
      </c>
      <c r="BA38" s="99">
        <f t="shared" ca="1" si="21"/>
        <v>9.8800000000000013E-2</v>
      </c>
      <c r="BB38" s="55">
        <f t="shared" ca="1" si="22"/>
        <v>0</v>
      </c>
      <c r="BC38" s="134">
        <f t="shared" ca="1" si="39"/>
        <v>9.8800000000000013E-2</v>
      </c>
      <c r="BD38" s="135">
        <f t="shared" ca="1" si="23"/>
        <v>-5.6206797376709416E-5</v>
      </c>
      <c r="BE38" s="208">
        <f t="shared" ca="1" si="24"/>
        <v>1.6185645733546128</v>
      </c>
      <c r="BF38" s="312">
        <f>IF(ISERROR(_xll.BDP(CONCATENATE("OD",RIGHT(W38,3)," COMDTY"),"volume")+1-1),0,(_xll.BDP(CONCATENATE("OD",RIGHT(W38,3)," COMDTY"),"volume")+1-1))</f>
        <v>100</v>
      </c>
      <c r="BG38" s="312">
        <f t="shared" ca="1" si="25"/>
        <v>3458.1213481695158</v>
      </c>
      <c r="BH38" s="5">
        <f t="shared" ca="1" si="26"/>
        <v>34.581213481695158</v>
      </c>
      <c r="BI38" s="5"/>
      <c r="BJ38" s="312" t="e">
        <f ca="1">(_xll.Spline($T$3:$T$35, $AH$3:$AH$35,T38-1)-AH38)*-10000</f>
        <v>#NUM!</v>
      </c>
      <c r="BK38" s="312">
        <f t="shared" ca="1" si="44"/>
        <v>8.314253260088833E-2</v>
      </c>
      <c r="BL38" s="308" t="e">
        <f t="shared" ca="1" si="45"/>
        <v>#NUM!</v>
      </c>
      <c r="BM38" s="5"/>
      <c r="BN38" s="5"/>
      <c r="BO38" s="5"/>
      <c r="BP38" s="5"/>
      <c r="BQ38" s="5"/>
      <c r="BR38" s="5"/>
      <c r="BS38" s="5"/>
      <c r="BT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</row>
    <row r="39" spans="1:120" s="188" customFormat="1" ht="12.75" customHeight="1" thickBot="1" x14ac:dyDescent="0.25">
      <c r="A39" s="382">
        <v>36</v>
      </c>
      <c r="B39" s="47" t="str">
        <f t="shared" si="42"/>
        <v>DI1N26</v>
      </c>
      <c r="C39" s="48">
        <f t="shared" si="0"/>
        <v>9.9183133743010909E-2</v>
      </c>
      <c r="D39" s="48" t="str">
        <f t="shared" si="43"/>
        <v/>
      </c>
      <c r="E39" s="48" t="str">
        <f t="shared" si="41"/>
        <v/>
      </c>
      <c r="F39" s="48" t="str">
        <f t="shared" si="41"/>
        <v/>
      </c>
      <c r="G39" s="136">
        <v>9.9183133743010909E-2</v>
      </c>
      <c r="H39" s="137">
        <v>6.2483048561468024E-4</v>
      </c>
      <c r="I39" s="138">
        <f t="shared" si="32"/>
        <v>6.2483048561468024E-4</v>
      </c>
      <c r="J39" s="138">
        <f t="shared" si="1"/>
        <v>0</v>
      </c>
      <c r="K39" s="139">
        <f t="shared" ca="1" si="33"/>
        <v>0.10988565567059938</v>
      </c>
      <c r="L39" s="383">
        <v>10000</v>
      </c>
      <c r="M39" s="384">
        <f t="shared" ca="1" si="2"/>
        <v>347887.18091771443</v>
      </c>
      <c r="N39" s="361">
        <f t="shared" ca="1" si="3"/>
        <v>7.9460173422473508</v>
      </c>
      <c r="O39" s="361">
        <f t="shared" ca="1" si="4"/>
        <v>35.18409946114943</v>
      </c>
      <c r="P39" s="40">
        <f t="shared" ca="1" si="5"/>
        <v>43781.326661353902</v>
      </c>
      <c r="Q39" s="139">
        <f t="shared" ca="1" si="6"/>
        <v>1.2840787985593578</v>
      </c>
      <c r="R39" s="385">
        <f t="shared" ca="1" si="7"/>
        <v>287.44951089086823</v>
      </c>
      <c r="S39" s="52">
        <f>AuxilioDados!Y93</f>
        <v>46204</v>
      </c>
      <c r="T39" s="37">
        <f ca="1">AuxilioDados!T93-$L$2</f>
        <v>2201</v>
      </c>
      <c r="U39" s="386">
        <f t="shared" ca="1" si="34"/>
        <v>122</v>
      </c>
      <c r="V39" s="376">
        <f t="shared" si="8"/>
        <v>36</v>
      </c>
      <c r="W39" s="385" t="str">
        <f>IF(ISERROR(VLOOKUP(A39,AuxilioDados!$R$1:$S$1810,2,FALSE)),"",(VLOOKUP(A39,AuxilioDados!$R$1:$S$1810,2,FALSE)))</f>
        <v>DI1N26</v>
      </c>
      <c r="X39" s="98">
        <f t="shared" si="9"/>
        <v>9.9183133743010909E-2</v>
      </c>
      <c r="Y39" s="385" t="str">
        <f>_xll.BDP(CONCATENATE("OD",RIGHT(W39,3)," COMDTY"),"last_price")</f>
        <v>#N/A Invalid Security</v>
      </c>
      <c r="Z39" s="385" t="str">
        <f>_xll.BDP(CONCATENATE("OD",RIGHT(W39,3)," COMDTY"),"BID")</f>
        <v>#N/A Invalid Security</v>
      </c>
      <c r="AA39" s="385" t="str">
        <f>_xll.BDP(CONCATENATE("OD",RIGHT(W39,3)," COMDTY"),"ASK")</f>
        <v>#N/A Invalid Security</v>
      </c>
      <c r="AB39" s="385" t="str">
        <f>_xll.BDP(CONCATENATE("OD",RIGHT(W39,3)," COMDTY"),"PREV_CLOSE_VAL")</f>
        <v>#N/A Invalid Security</v>
      </c>
      <c r="AC39" s="385" t="str">
        <f>_xll.BDP(CONCATENATE("OD",RIGHT(W39,3)," COMDTY"),"PX_LAST")</f>
        <v>#N/A Invalid Security</v>
      </c>
      <c r="AD39" s="387" t="e">
        <f>_xll.BDP(CONCATENATE("OD",RIGHT(W39,3)," COMDTY"),"time")+1-1</f>
        <v>#VALUE!</v>
      </c>
      <c r="AE39" s="385">
        <f t="shared" ca="1" si="40"/>
        <v>1440</v>
      </c>
      <c r="AF39" s="5">
        <f ca="1">T39-'NTN-F'!$E$3</f>
        <v>2200</v>
      </c>
      <c r="AG39" s="380">
        <f t="shared" ca="1" si="10"/>
        <v>9.9191279414523548E-2</v>
      </c>
      <c r="AH39" s="127">
        <f ca="1">IF(ISERROR(IF(B39="",AH38,VLOOKUP(S39,AuxilioDados!$M$1:$P$65524,3,FALSE))),VLOOKUP(S39,AuxilioDados!$Y$58:$AA$98,3,FALSE),(IF(B39="",AH38,VLOOKUP(S39,AuxilioDados!$M$1:$P$65524,3,FALSE))))</f>
        <v>9.9174991831036619E-2</v>
      </c>
      <c r="AI39" s="114">
        <f t="shared" ca="1" si="11"/>
        <v>9.9183133743010909E-2</v>
      </c>
      <c r="AJ39" s="312"/>
      <c r="AK39" s="132"/>
      <c r="AL39" s="5"/>
      <c r="AM39" s="8"/>
      <c r="AN39" s="8"/>
      <c r="AO39" s="8"/>
      <c r="AP39" s="8"/>
      <c r="AQ39" s="8"/>
      <c r="AR39" s="8"/>
      <c r="AS39" s="312">
        <f t="shared" ca="1" si="15"/>
        <v>-2.8347356678059441</v>
      </c>
      <c r="AT39" s="132" t="str">
        <f t="shared" si="16"/>
        <v>DI1N26</v>
      </c>
      <c r="AU39" s="55">
        <f t="shared" ca="1" si="17"/>
        <v>9.9474411282364533E-2</v>
      </c>
      <c r="AV39" s="114">
        <f ca="1">_xll.Interpolate($AL$4:$AL$13,$AM$4:$AM$13,T39)-_xll.Interpolate($AL$4:$AL$13,$AN$4:$AN$13,T39)</f>
        <v>2.9429873566905185E-4</v>
      </c>
      <c r="AW39" s="55">
        <f t="shared" ca="1" si="18"/>
        <v>0</v>
      </c>
      <c r="AX39" s="55">
        <f t="shared" ca="1" si="19"/>
        <v>0</v>
      </c>
      <c r="AY39" s="8">
        <f t="shared" ca="1" si="20"/>
        <v>0</v>
      </c>
      <c r="AZ39" s="99">
        <f t="shared" ca="1" si="37"/>
        <v>9.9477432478679961E-2</v>
      </c>
      <c r="BA39" s="99">
        <f t="shared" ca="1" si="21"/>
        <v>0</v>
      </c>
      <c r="BB39" s="55">
        <f t="shared" ca="1" si="22"/>
        <v>0</v>
      </c>
      <c r="BC39" s="134">
        <f t="shared" ca="1" si="39"/>
        <v>9.9477432478679961E-2</v>
      </c>
      <c r="BD39" s="135">
        <f t="shared" ca="1" si="23"/>
        <v>0</v>
      </c>
      <c r="BE39" s="208">
        <f t="shared" ca="1" si="24"/>
        <v>1.6865602001593845</v>
      </c>
      <c r="BF39" s="312">
        <f>IF(ISERROR(_xll.BDP(CONCATENATE("OD",RIGHT(W39,3)," COMDTY"),"volume")+1-1),0,(_xll.BDP(CONCATENATE("OD",RIGHT(W39,3)," COMDTY"),"volume")+1-1))</f>
        <v>0</v>
      </c>
      <c r="BG39" s="312">
        <f t="shared" ca="1" si="25"/>
        <v>0</v>
      </c>
      <c r="BH39" s="5">
        <f t="shared" ca="1" si="26"/>
        <v>34.788718091771443</v>
      </c>
      <c r="BI39" s="5"/>
      <c r="BJ39" s="312" t="e">
        <f ca="1">(_xll.Spline($T$3:$T$35, $AH$3:$AH$35,T39-1)-AH39)*-10000</f>
        <v>#NUM!</v>
      </c>
      <c r="BK39" s="312">
        <f t="shared" ca="1" si="44"/>
        <v>8.1419119742909274E-2</v>
      </c>
      <c r="BL39" s="308" t="e">
        <f t="shared" ca="1" si="45"/>
        <v>#NUM!</v>
      </c>
      <c r="BM39" s="5"/>
      <c r="BN39" s="5"/>
      <c r="BO39" s="5"/>
      <c r="BP39" s="5"/>
      <c r="BQ39" s="5"/>
      <c r="BR39" s="5"/>
      <c r="BS39" s="5"/>
      <c r="BT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</row>
    <row r="40" spans="1:120" s="188" customFormat="1" ht="12.75" customHeight="1" thickBot="1" x14ac:dyDescent="0.25">
      <c r="A40" s="388">
        <v>37</v>
      </c>
      <c r="B40" s="49" t="str">
        <f t="shared" si="42"/>
        <v>DI1F27</v>
      </c>
      <c r="C40" s="50">
        <f t="shared" si="0"/>
        <v>9.9807961905359788E-2</v>
      </c>
      <c r="D40" s="50">
        <f t="shared" si="43"/>
        <v>0.10009999999999999</v>
      </c>
      <c r="E40" s="50">
        <f t="shared" si="41"/>
        <v>0.10009999999999999</v>
      </c>
      <c r="F40" s="50">
        <f t="shared" si="41"/>
        <v>0.1002</v>
      </c>
      <c r="G40" s="140">
        <v>9.9807961905359788E-2</v>
      </c>
      <c r="H40" s="141">
        <v>6.2482816234887828E-4</v>
      </c>
      <c r="I40" s="142">
        <f t="shared" si="32"/>
        <v>6.2482816234887828E-4</v>
      </c>
      <c r="J40" s="142">
        <f t="shared" si="1"/>
        <v>0</v>
      </c>
      <c r="K40" s="143">
        <f t="shared" ca="1" si="33"/>
        <v>0.11060781193989033</v>
      </c>
      <c r="L40" s="389">
        <v>10000</v>
      </c>
      <c r="M40" s="390">
        <f t="shared" ca="1" si="2"/>
        <v>348818.18635043601</v>
      </c>
      <c r="N40" s="391">
        <f t="shared" ca="1" si="3"/>
        <v>8.4033442914278744</v>
      </c>
      <c r="O40" s="391">
        <f t="shared" ca="1" si="4"/>
        <v>39.128458448195971</v>
      </c>
      <c r="P40" s="144">
        <f t="shared" ca="1" si="5"/>
        <v>41509.448411659178</v>
      </c>
      <c r="Q40" s="143">
        <f t="shared" ca="1" si="6"/>
        <v>1.4090900704889151</v>
      </c>
      <c r="R40" s="377">
        <f t="shared" ca="1" si="7"/>
        <v>286.68230015833007</v>
      </c>
      <c r="S40" s="53">
        <f>AuxilioDados!Y94</f>
        <v>46391</v>
      </c>
      <c r="T40" s="54">
        <f ca="1">AuxilioDados!T94-$L$2</f>
        <v>2329</v>
      </c>
      <c r="U40" s="180">
        <f t="shared" ca="1" si="34"/>
        <v>128</v>
      </c>
      <c r="V40" s="376">
        <f t="shared" si="8"/>
        <v>37</v>
      </c>
      <c r="W40" s="377" t="str">
        <f>IF(ISERROR(VLOOKUP(A40,AuxilioDados!$R$1:$S$1810,2,FALSE)),"",(VLOOKUP(A40,AuxilioDados!$R$1:$S$1810,2,FALSE)))</f>
        <v>DI1F27</v>
      </c>
      <c r="X40" s="145">
        <f t="shared" si="9"/>
        <v>9.9807961905359788E-2</v>
      </c>
      <c r="Y40" s="377">
        <f>_xll.BDP(CONCATENATE("OD",RIGHT(W40,3)," COMDTY"),"last_price")</f>
        <v>10.01</v>
      </c>
      <c r="Z40" s="377">
        <f>_xll.BDP(CONCATENATE("OD",RIGHT(W40,3)," COMDTY"),"BID")</f>
        <v>10.01</v>
      </c>
      <c r="AA40" s="377">
        <f>_xll.BDP(CONCATENATE("OD",RIGHT(W40,3)," COMDTY"),"ASK")</f>
        <v>10.02</v>
      </c>
      <c r="AB40" s="377">
        <f>_xll.BDP(CONCATENATE("OD",RIGHT(W40,3)," COMDTY"),"PREV_CLOSE_VAL")</f>
        <v>9.98</v>
      </c>
      <c r="AC40" s="377">
        <f>_xll.BDP(CONCATENATE("OD",RIGHT(W40,3)," COMDTY"),"PX_LAST")</f>
        <v>10.01</v>
      </c>
      <c r="AD40" s="379">
        <f>_xll.BDP(CONCATENATE("OD",RIGHT(W40,3)," COMDTY"),"time")+1-1</f>
        <v>0.59261574074074064</v>
      </c>
      <c r="AE40" s="377">
        <f t="shared" ca="1" si="40"/>
        <v>16.517999997626518</v>
      </c>
      <c r="AF40" s="5">
        <f ca="1">T40-'NTN-F'!$E$3</f>
        <v>2328</v>
      </c>
      <c r="AG40" s="380">
        <f t="shared" ca="1" si="10"/>
        <v>9.9815932631424298E-2</v>
      </c>
      <c r="AH40" s="127">
        <f ca="1">IF(ISERROR(IF(B40="",AH39,VLOOKUP(S40,AuxilioDados!$M$1:$P$65524,3,FALSE))),VLOOKUP(S40,AuxilioDados!$Y$58:$AA$98,3,FALSE),(IF(B40="",AH39,VLOOKUP(S40,AuxilioDados!$M$1:$P$65524,3,FALSE))))</f>
        <v>9.9799994657937097E-2</v>
      </c>
      <c r="AI40" s="114">
        <f t="shared" ca="1" si="11"/>
        <v>9.9807961905359788E-2</v>
      </c>
      <c r="AJ40" s="403"/>
      <c r="AK40" s="5"/>
      <c r="AL40" s="99"/>
      <c r="AM40" s="5"/>
      <c r="AN40" s="5"/>
      <c r="AO40" s="5"/>
      <c r="AP40" s="5"/>
      <c r="AQ40" s="5"/>
      <c r="AR40" s="5"/>
      <c r="AS40" s="312">
        <f t="shared" ca="1" si="15"/>
        <v>-2.7812803787601297</v>
      </c>
      <c r="AT40" s="132" t="str">
        <f t="shared" si="16"/>
        <v>DI1F27</v>
      </c>
      <c r="AU40" s="55">
        <f ca="1">IF(ISERROR(VLOOKUP(AT40,$AK$4:$AM$14,3,FALSE)),IF(AW40=0,IF(AX40=0,IF(AY40=0,AU39+H40,AY40),AX40),AW40),((VLOOKUP(AT40,$AK$4:$AM$14,3,FALSE))))</f>
        <v>0.10009999999999999</v>
      </c>
      <c r="AV40" s="114">
        <f ca="1">_xll.Interpolate($AL$4:$AL$13,$AM$4:$AM$13,T40)-_xll.Interpolate($AL$4:$AL$13,$AN$4:$AN$13,T40)</f>
        <v>2.920380946402068E-4</v>
      </c>
      <c r="AW40" s="55">
        <f t="shared" ca="1" si="18"/>
        <v>0</v>
      </c>
      <c r="AX40" s="55">
        <f t="shared" ca="1" si="19"/>
        <v>0.10009999999999999</v>
      </c>
      <c r="AY40" s="8">
        <f t="shared" ca="1" si="20"/>
        <v>0.10009999999999999</v>
      </c>
      <c r="AZ40" s="99">
        <f t="shared" ca="1" si="37"/>
        <v>0.10009999999999999</v>
      </c>
      <c r="BA40" s="99">
        <f t="shared" ca="1" si="21"/>
        <v>0</v>
      </c>
      <c r="BB40" s="55">
        <f t="shared" ca="1" si="22"/>
        <v>0</v>
      </c>
      <c r="BC40" s="134">
        <f t="shared" ca="1" si="39"/>
        <v>0.10009999999999999</v>
      </c>
      <c r="BD40" s="135">
        <f t="shared" ca="1" si="23"/>
        <v>0</v>
      </c>
      <c r="BE40" s="208">
        <f t="shared" ca="1" si="24"/>
        <v>1.7547165476502262</v>
      </c>
      <c r="BF40" s="312">
        <f>IF(ISERROR(_xll.BDP(CONCATENATE("OD",RIGHT(W40,3)," COMDTY"),"volume")+1-1),0,(_xll.BDP(CONCATENATE("OD",RIGHT(W40,3)," COMDTY"),"volume")+1-1))</f>
        <v>12250</v>
      </c>
      <c r="BG40" s="312">
        <f t="shared" ca="1" si="25"/>
        <v>427302.27827928407</v>
      </c>
      <c r="BH40" s="5">
        <f t="shared" ca="1" si="26"/>
        <v>34.881818635043601</v>
      </c>
      <c r="BI40" s="5"/>
      <c r="BJ40" s="312" t="e">
        <f ca="1">(_xll.Spline($T$3:$T$35, $AH$3:$AH$35,T40-1)-AH40)*-10000</f>
        <v>#NUM!</v>
      </c>
      <c r="BK40" s="312">
        <f t="shared" ca="1" si="44"/>
        <v>7.9672474226910595E-2</v>
      </c>
      <c r="BL40" s="308" t="e">
        <f t="shared" ca="1" si="45"/>
        <v>#NUM!</v>
      </c>
      <c r="BM40" s="5"/>
      <c r="BN40" s="5"/>
      <c r="BO40" s="5"/>
      <c r="BP40" s="5"/>
      <c r="BQ40" s="5"/>
      <c r="BR40" s="5"/>
      <c r="BS40" s="5"/>
      <c r="BT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</row>
    <row r="41" spans="1:120" s="188" customFormat="1" ht="12.75" customHeight="1" thickBot="1" x14ac:dyDescent="0.25">
      <c r="A41" s="382">
        <v>38</v>
      </c>
      <c r="B41" s="47" t="str">
        <f t="shared" si="42"/>
        <v>DI1F28</v>
      </c>
      <c r="C41" s="48">
        <f t="shared" si="0"/>
        <v>0.1004074285413834</v>
      </c>
      <c r="D41" s="48">
        <f t="shared" si="43"/>
        <v>0.10039999999999999</v>
      </c>
      <c r="E41" s="48">
        <f t="shared" si="41"/>
        <v>0.10050000000000001</v>
      </c>
      <c r="F41" s="48">
        <f t="shared" si="41"/>
        <v>0.1012</v>
      </c>
      <c r="G41" s="136">
        <v>0.1004074285413834</v>
      </c>
      <c r="H41" s="137">
        <v>5.9946663602361561E-4</v>
      </c>
      <c r="I41" s="138">
        <f t="shared" si="32"/>
        <v>5.9946663602361561E-4</v>
      </c>
      <c r="J41" s="138">
        <f t="shared" si="1"/>
        <v>0</v>
      </c>
      <c r="K41" s="139">
        <f t="shared" ca="1" si="33"/>
        <v>0.10598541571947817</v>
      </c>
      <c r="L41" s="383">
        <v>10000</v>
      </c>
      <c r="M41" s="384">
        <f t="shared" ca="1" si="2"/>
        <v>349330.82126735826</v>
      </c>
      <c r="N41" s="361">
        <f t="shared" ca="1" si="3"/>
        <v>9.3039149960352958</v>
      </c>
      <c r="O41" s="361">
        <f t="shared" ca="1" si="4"/>
        <v>47.508891688680514</v>
      </c>
      <c r="P41" s="40">
        <f t="shared" ca="1" si="5"/>
        <v>37546.647988101744</v>
      </c>
      <c r="Q41" s="139">
        <f t="shared" ca="1" si="6"/>
        <v>1.6633535976817226</v>
      </c>
      <c r="R41" s="385">
        <f t="shared" ca="1" si="7"/>
        <v>286.2616005000761</v>
      </c>
      <c r="S41" s="52">
        <f>AuxilioDados!Y95</f>
        <v>46755</v>
      </c>
      <c r="T41" s="37">
        <f ca="1">AuxilioDados!T95-$L$2</f>
        <v>2580</v>
      </c>
      <c r="U41" s="181">
        <f t="shared" ca="1" si="34"/>
        <v>251</v>
      </c>
      <c r="V41" s="376">
        <f t="shared" si="8"/>
        <v>38</v>
      </c>
      <c r="W41" s="385" t="str">
        <f>IF(ISERROR(VLOOKUP(A41,AuxilioDados!$R$1:$S$1810,2,FALSE)),"",(VLOOKUP(A41,AuxilioDados!$R$1:$S$1810,2,FALSE)))</f>
        <v>DI1F28</v>
      </c>
      <c r="X41" s="98">
        <f t="shared" si="9"/>
        <v>0.1004074285413834</v>
      </c>
      <c r="Y41" s="385">
        <f>_xll.BDP(CONCATENATE("OD",RIGHT(W41,3)," COMDTY"),"last_price")</f>
        <v>10.039999999999999</v>
      </c>
      <c r="Z41" s="385">
        <f>_xll.BDP(CONCATENATE("OD",RIGHT(W41,3)," COMDTY"),"BID")</f>
        <v>10.050000000000001</v>
      </c>
      <c r="AA41" s="385">
        <f>_xll.BDP(CONCATENATE("OD",RIGHT(W41,3)," COMDTY"),"ASK")</f>
        <v>10.119999999999999</v>
      </c>
      <c r="AB41" s="385">
        <f>_xll.BDP(CONCATENATE("OD",RIGHT(W41,3)," COMDTY"),"PREV_CLOSE_VAL")</f>
        <v>10.039999999999999</v>
      </c>
      <c r="AC41" s="385">
        <f>_xll.BDP(CONCATENATE("OD",RIGHT(W41,3)," COMDTY"),"PX_LAST")</f>
        <v>10.039999999999999</v>
      </c>
      <c r="AD41" s="387">
        <f>_xll.BDP(CONCATENATE("OD",RIGHT(W41,3)," COMDTY"),"time")+1-1</f>
        <v>42999</v>
      </c>
      <c r="AE41" s="385">
        <f t="shared" ca="1" si="40"/>
        <v>2309.884666664293</v>
      </c>
      <c r="AF41" s="5">
        <f ca="1">T41-'NTN-F'!$E$3</f>
        <v>2579</v>
      </c>
      <c r="AG41" s="380">
        <f t="shared" ca="1" si="10"/>
        <v>0.1004148601564645</v>
      </c>
      <c r="AH41" s="127">
        <f ca="1">IF(ISERROR(IF(B41="",AH40,VLOOKUP(S41,AuxilioDados!$M$1:$P$65524,3,FALSE))),VLOOKUP(S41,AuxilioDados!$Y$58:$AA$98,3,FALSE),(IF(B41="",AH40,VLOOKUP(S41,AuxilioDados!$M$1:$P$65524,3,FALSE))))</f>
        <v>0.10039999985581738</v>
      </c>
      <c r="AI41" s="114">
        <f t="shared" ca="1" si="11"/>
        <v>0.1004074285413834</v>
      </c>
      <c r="AJ41" s="312"/>
      <c r="AK41" s="5"/>
      <c r="AL41" s="5"/>
      <c r="AM41" s="5"/>
      <c r="AN41" s="5"/>
      <c r="AO41" s="5"/>
      <c r="AP41" s="5"/>
      <c r="AQ41" s="5"/>
      <c r="AR41" s="5"/>
      <c r="AS41" s="312">
        <f t="shared" ca="1" si="15"/>
        <v>-2.5969790391682182</v>
      </c>
      <c r="AT41" s="132" t="str">
        <f t="shared" si="16"/>
        <v>DI1F28</v>
      </c>
      <c r="AU41" s="55">
        <f ca="1">IF(ISERROR(VLOOKUP(AT41,$AK$4:$AM$14,3,FALSE)),IF(AW41=0,IF(AX41=0,IF(AY41=0,AU40+H41,AY41),AX41),AW41),((VLOOKUP(AT41,$AK$4:$AM$14,3,FALSE))))</f>
        <v>0.10069946663602361</v>
      </c>
      <c r="AV41" s="114">
        <f ca="1">_xll.Interpolate($AL$4:$AL$13,$AM$4:$AM$13,T41)-_xll.Interpolate($AL$4:$AL$13,$AN$4:$AN$13,T41)</f>
        <v>2.9218923693105636E-4</v>
      </c>
      <c r="AW41" s="55">
        <f t="shared" ca="1" si="18"/>
        <v>0</v>
      </c>
      <c r="AX41" s="55">
        <f t="shared" ca="1" si="19"/>
        <v>0</v>
      </c>
      <c r="AY41" s="8">
        <f t="shared" ca="1" si="20"/>
        <v>0</v>
      </c>
      <c r="AZ41" s="99">
        <f t="shared" ca="1" si="37"/>
        <v>0.10069961777831446</v>
      </c>
      <c r="BA41" s="99">
        <f t="shared" ca="1" si="21"/>
        <v>0</v>
      </c>
      <c r="BB41" s="55">
        <f t="shared" ca="1" si="22"/>
        <v>0</v>
      </c>
      <c r="BC41" s="134">
        <f t="shared" ca="1" si="39"/>
        <v>0.10069961777831446</v>
      </c>
      <c r="BD41" s="135">
        <f t="shared" ca="1" si="23"/>
        <v>0</v>
      </c>
      <c r="BE41" s="208">
        <f t="shared" ca="1" si="24"/>
        <v>1.8736005603569492</v>
      </c>
      <c r="BF41" s="312">
        <f>IF(ISERROR(_xll.BDP(CONCATENATE("OD",RIGHT(W41,3)," COMDTY"),"volume")+1-1),0,(_xll.BDP(CONCATENATE("OD",RIGHT(W41,3)," COMDTY"),"volume")+1-1))</f>
        <v>0</v>
      </c>
      <c r="BG41" s="312">
        <f t="shared" ca="1" si="25"/>
        <v>0</v>
      </c>
      <c r="BH41" s="5">
        <f t="shared" ca="1" si="26"/>
        <v>34.933082126735826</v>
      </c>
      <c r="BI41" s="5"/>
      <c r="BJ41" s="312" t="e">
        <f ca="1">(_xll.Spline($T$3:$T$35, $AH$3:$AH$35,T41-1)-AH41)*-10000</f>
        <v>#NUM!</v>
      </c>
      <c r="BK41" s="312">
        <f t="shared" ca="1" si="44"/>
        <v>7.4286855660243845E-2</v>
      </c>
      <c r="BL41" s="308" t="e">
        <f t="shared" ca="1" si="45"/>
        <v>#NUM!</v>
      </c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</row>
    <row r="42" spans="1:120" s="188" customFormat="1" ht="12.75" customHeight="1" thickBot="1" x14ac:dyDescent="0.25">
      <c r="A42" s="388">
        <v>39</v>
      </c>
      <c r="B42" s="49" t="str">
        <f t="shared" si="42"/>
        <v>DI1F29</v>
      </c>
      <c r="C42" s="50">
        <f t="shared" si="0"/>
        <v>0.10080692589711782</v>
      </c>
      <c r="D42" s="50">
        <f t="shared" si="43"/>
        <v>0.1008</v>
      </c>
      <c r="E42" s="50">
        <f t="shared" si="41"/>
        <v>0.10099999999999999</v>
      </c>
      <c r="F42" s="50">
        <f t="shared" si="41"/>
        <v>0.1014</v>
      </c>
      <c r="G42" s="140">
        <v>0.10080692589711782</v>
      </c>
      <c r="H42" s="141">
        <v>3.9949735573441281E-4</v>
      </c>
      <c r="I42" s="142">
        <f t="shared" si="32"/>
        <v>3.9949735573441281E-4</v>
      </c>
      <c r="J42" s="145">
        <f t="shared" si="1"/>
        <v>0</v>
      </c>
      <c r="K42" s="143">
        <f t="shared" ca="1" si="33"/>
        <v>0.10495484262974797</v>
      </c>
      <c r="L42" s="389">
        <v>10000</v>
      </c>
      <c r="M42" s="390">
        <f t="shared" ca="1" si="2"/>
        <v>346947.68791094248</v>
      </c>
      <c r="N42" s="391">
        <f t="shared" ca="1" si="3"/>
        <v>10.198148929564912</v>
      </c>
      <c r="O42" s="391">
        <f t="shared" ca="1" si="4"/>
        <v>56.633228213493588</v>
      </c>
      <c r="P42" s="144">
        <f t="shared" ca="1" si="5"/>
        <v>34020.653189827899</v>
      </c>
      <c r="Q42" s="143">
        <f t="shared" ca="1" si="6"/>
        <v>1.9393909470821029</v>
      </c>
      <c r="R42" s="404">
        <f t="shared" ca="1" si="7"/>
        <v>288.22788992232415</v>
      </c>
      <c r="S42" s="53">
        <f>AuxilioDados!Y96</f>
        <v>47120</v>
      </c>
      <c r="T42" s="54">
        <f ca="1">AuxilioDados!T96-$L$2</f>
        <v>2829</v>
      </c>
      <c r="U42" s="180">
        <f t="shared" ca="1" si="34"/>
        <v>249</v>
      </c>
      <c r="V42" s="376">
        <f t="shared" si="8"/>
        <v>39</v>
      </c>
      <c r="W42" s="377" t="str">
        <f>IF(ISERROR(VLOOKUP(A42,AuxilioDados!$R$1:$S$1810,2,FALSE)),"",(VLOOKUP(A42,AuxilioDados!$R$1:$S$1810,2,FALSE)))</f>
        <v>DI1F29</v>
      </c>
      <c r="X42" s="145">
        <f t="shared" si="9"/>
        <v>0.10080692589711782</v>
      </c>
      <c r="Y42" s="377">
        <f>_xll.BDP(CONCATENATE("OD",RIGHT(W42,3)," COMDTY"),"last_price")</f>
        <v>10.08</v>
      </c>
      <c r="Z42" s="377">
        <f>_xll.BDP(CONCATENATE("OD",RIGHT(W42,3)," COMDTY"),"BID")</f>
        <v>10.1</v>
      </c>
      <c r="AA42" s="377">
        <f>_xll.BDP(CONCATENATE("OD",RIGHT(W42,3)," COMDTY"),"ASK")</f>
        <v>10.14</v>
      </c>
      <c r="AB42" s="377">
        <f>_xll.BDP(CONCATENATE("OD",RIGHT(W42,3)," COMDTY"),"PREV_CLOSE_VAL")</f>
        <v>10.08</v>
      </c>
      <c r="AC42" s="377">
        <f>_xll.BDP(CONCATENATE("OD",RIGHT(W42,3)," COMDTY"),"PX_LAST")</f>
        <v>10.08</v>
      </c>
      <c r="AD42" s="379">
        <f>_xll.BDP(CONCATENATE("OD",RIGHT(W42,3)," COMDTY"),"time")+1-1</f>
        <v>42999</v>
      </c>
      <c r="AE42" s="377">
        <f t="shared" ca="1" si="40"/>
        <v>2309.884666664293</v>
      </c>
      <c r="AF42" s="5">
        <f ca="1">T42-'NTN-F'!$E$3</f>
        <v>2828</v>
      </c>
      <c r="AG42" s="380">
        <f t="shared" ca="1" si="10"/>
        <v>0.10081384710405539</v>
      </c>
      <c r="AH42" s="127">
        <f ca="1">IF(ISERROR(IF(B42="",AH41,VLOOKUP(S42,AuxilioDados!$M$1:$P$65524,3,FALSE))),VLOOKUP(S42,AuxilioDados!$Y$58:$AA$98,3,FALSE),(IF(B42="",AH41,VLOOKUP(S42,AuxilioDados!$M$1:$P$65524,3,FALSE))))</f>
        <v>0.10080000717932958</v>
      </c>
      <c r="AI42" s="114">
        <f t="shared" ca="1" si="11"/>
        <v>0.10080692589711782</v>
      </c>
      <c r="AJ42" s="312"/>
      <c r="AK42" s="5"/>
      <c r="AL42" s="5"/>
      <c r="AM42" s="5"/>
      <c r="AN42" s="5"/>
      <c r="AO42" s="5"/>
      <c r="AP42" s="5"/>
      <c r="AQ42" s="5"/>
      <c r="AR42" s="5"/>
      <c r="AS42" s="312">
        <f t="shared" ca="1" si="15"/>
        <v>-2.4021192512082052</v>
      </c>
      <c r="AT42" s="132" t="str">
        <f t="shared" si="16"/>
        <v>DI1F29</v>
      </c>
      <c r="AU42" s="55">
        <f t="shared" ca="1" si="17"/>
        <v>0.10109896399175802</v>
      </c>
      <c r="AV42" s="114">
        <f ca="1">_xll.Interpolate($AL$4:$AL$13,$AM$4:$AM$13,T42)-_xll.Interpolate($AL$4:$AL$13,$AN$4:$AN$13,T42)</f>
        <v>2.9218893645417687E-4</v>
      </c>
      <c r="AW42" s="55">
        <f t="shared" ca="1" si="18"/>
        <v>0</v>
      </c>
      <c r="AX42" s="55">
        <f t="shared" ca="1" si="19"/>
        <v>0</v>
      </c>
      <c r="AY42" s="8">
        <f t="shared" ca="1" si="20"/>
        <v>0</v>
      </c>
      <c r="AZ42" s="99">
        <f t="shared" ca="1" si="37"/>
        <v>0.10109911483357199</v>
      </c>
      <c r="BA42" s="99">
        <f t="shared" ca="1" si="21"/>
        <v>0</v>
      </c>
      <c r="BB42" s="55">
        <f t="shared" ca="1" si="22"/>
        <v>0</v>
      </c>
      <c r="BC42" s="134">
        <f t="shared" ca="1" si="39"/>
        <v>0.10109911483357199</v>
      </c>
      <c r="BD42" s="135">
        <f t="shared" ca="1" si="23"/>
        <v>0</v>
      </c>
      <c r="BE42" s="208">
        <f t="shared" ca="1" si="24"/>
        <v>1.979380404305165</v>
      </c>
      <c r="BF42" s="312">
        <f>IF(ISERROR(_xll.BDP(CONCATENATE("OD",RIGHT(W42,3)," COMDTY"),"volume")+1-1),0,(_xll.BDP(CONCATENATE("OD",RIGHT(W42,3)," COMDTY"),"volume")+1-1))</f>
        <v>0</v>
      </c>
      <c r="BG42" s="312">
        <f t="shared" ca="1" si="25"/>
        <v>0</v>
      </c>
      <c r="BH42" s="5">
        <f t="shared" ca="1" si="26"/>
        <v>34.694768791094248</v>
      </c>
      <c r="BI42" s="5"/>
      <c r="BJ42" s="312" t="e">
        <f ca="1">(_xll.Spline($T$3:$T$35, $AH$3:$AH$35,T42-1)-AH42)*-10000</f>
        <v>#NUM!</v>
      </c>
      <c r="BK42" s="312">
        <f t="shared" ca="1" si="44"/>
        <v>6.9187177882401585E-2</v>
      </c>
      <c r="BL42" s="308" t="e">
        <f t="shared" ca="1" si="45"/>
        <v>#NUM!</v>
      </c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</row>
    <row r="43" spans="1:120" s="188" customFormat="1" ht="12.75" customHeight="1" thickBot="1" x14ac:dyDescent="0.25">
      <c r="A43" s="382">
        <v>40</v>
      </c>
      <c r="B43" s="47" t="str">
        <f t="shared" si="42"/>
        <v>DI1F30</v>
      </c>
      <c r="C43" s="48">
        <f t="shared" si="0"/>
        <v>0.10118647585956553</v>
      </c>
      <c r="D43" s="48">
        <f t="shared" si="43"/>
        <v>0.10118000000000001</v>
      </c>
      <c r="E43" s="48">
        <f t="shared" si="41"/>
        <v>0.1011</v>
      </c>
      <c r="F43" s="48">
        <f t="shared" si="41"/>
        <v>0.1026</v>
      </c>
      <c r="G43" s="136">
        <v>0.10118647585956553</v>
      </c>
      <c r="H43" s="137">
        <v>3.7954996244771166E-4</v>
      </c>
      <c r="I43" s="138">
        <f t="shared" si="32"/>
        <v>3.7954996244771166E-4</v>
      </c>
      <c r="J43" s="138">
        <f t="shared" si="1"/>
        <v>0</v>
      </c>
      <c r="K43" s="139">
        <f t="shared" ca="1" si="33"/>
        <v>0.10549059331067001</v>
      </c>
      <c r="L43" s="383">
        <v>10000</v>
      </c>
      <c r="M43" s="384">
        <f t="shared" ca="1" si="2"/>
        <v>341728.86375195958</v>
      </c>
      <c r="N43" s="361">
        <f t="shared" ca="1" si="3"/>
        <v>11.09553866874159</v>
      </c>
      <c r="O43" s="361">
        <f t="shared" ca="1" si="4"/>
        <v>66.593458609504452</v>
      </c>
      <c r="P43" s="40">
        <f t="shared" ca="1" si="5"/>
        <v>30798.762813983962</v>
      </c>
      <c r="Q43" s="139">
        <f t="shared" ca="1" si="6"/>
        <v>2.2468836688009981</v>
      </c>
      <c r="R43" s="385">
        <f t="shared" ca="1" si="7"/>
        <v>292.62965645355604</v>
      </c>
      <c r="S43" s="52">
        <f>AuxilioDados!Y97</f>
        <v>47485</v>
      </c>
      <c r="T43" s="37">
        <f ca="1">AuxilioDados!T97-$L$2</f>
        <v>3079</v>
      </c>
      <c r="U43" s="181">
        <f t="shared" ca="1" si="34"/>
        <v>250</v>
      </c>
      <c r="V43" s="376">
        <f t="shared" si="8"/>
        <v>40</v>
      </c>
      <c r="W43" s="385" t="str">
        <f>IF(ISERROR(VLOOKUP(A43,AuxilioDados!$R$1:$S$1810,2,FALSE)),"",(VLOOKUP(A43,AuxilioDados!$R$1:$S$1810,2,FALSE)))</f>
        <v>DI1F30</v>
      </c>
      <c r="X43" s="98">
        <f t="shared" si="9"/>
        <v>0.10118647585956553</v>
      </c>
      <c r="Y43" s="385">
        <f>_xll.BDP(CONCATENATE("OD",RIGHT(W43,3)," COMDTY"),"last_price")</f>
        <v>10.118</v>
      </c>
      <c r="Z43" s="385">
        <f>_xll.BDP(CONCATENATE("OD",RIGHT(W43,3)," COMDTY"),"BID")</f>
        <v>10.11</v>
      </c>
      <c r="AA43" s="385">
        <f>_xll.BDP(CONCATENATE("OD",RIGHT(W43,3)," COMDTY"),"ASK")</f>
        <v>10.26</v>
      </c>
      <c r="AB43" s="385">
        <f>_xll.BDP(CONCATENATE("OD",RIGHT(W43,3)," COMDTY"),"PREV_CLOSE_VAL")</f>
        <v>10.118</v>
      </c>
      <c r="AC43" s="385">
        <f>_xll.BDP(CONCATENATE("OD",RIGHT(W43,3)," COMDTY"),"PX_LAST")</f>
        <v>10.118</v>
      </c>
      <c r="AD43" s="387">
        <f>_xll.BDP(CONCATENATE("OD",RIGHT(W43,3)," COMDTY"),"time")+1-1</f>
        <v>42999</v>
      </c>
      <c r="AE43" s="385">
        <f t="shared" ca="1" si="40"/>
        <v>2309.884666664293</v>
      </c>
      <c r="AF43" s="5">
        <f ca="1">T43-'NTN-F'!$E$3</f>
        <v>3078</v>
      </c>
      <c r="AG43" s="380">
        <f t="shared" ca="1" si="10"/>
        <v>0.10119296058126026</v>
      </c>
      <c r="AH43" s="127">
        <f ca="1">IF(ISERROR(IF(B43="",AH42,VLOOKUP(S43,AuxilioDados!$M$1:$P$65524,3,FALSE))),VLOOKUP(S43,AuxilioDados!$Y$58:$AA$98,3,FALSE),(IF(B43="",AH42,VLOOKUP(S43,AuxilioDados!$M$1:$P$65524,3,FALSE))))</f>
        <v>0.10117999328146854</v>
      </c>
      <c r="AI43" s="114">
        <f t="shared" ca="1" si="11"/>
        <v>0.10118647585956553</v>
      </c>
      <c r="AJ43" s="312"/>
      <c r="AK43" s="5"/>
      <c r="AL43" s="5"/>
      <c r="AM43" s="5"/>
      <c r="AN43" s="5"/>
      <c r="AO43" s="5"/>
      <c r="AP43" s="5"/>
      <c r="AQ43" s="5"/>
      <c r="AR43" s="5"/>
      <c r="AS43" s="312">
        <f t="shared" ca="1" si="15"/>
        <v>-2.216777498346346</v>
      </c>
      <c r="AT43" s="132" t="str">
        <f t="shared" si="16"/>
        <v>DI1F30</v>
      </c>
      <c r="AU43" s="55">
        <f t="shared" ca="1" si="17"/>
        <v>0.10147851395420573</v>
      </c>
      <c r="AV43" s="114">
        <f ca="1">_xll.Interpolate($AL$4:$AL$13,$AM$4:$AM$13,T43)-_xll.Interpolate($AL$4:$AL$13,$AN$4:$AN$13,T43)</f>
        <v>2.920380946402068E-4</v>
      </c>
      <c r="AW43" s="55">
        <f t="shared" ca="1" si="18"/>
        <v>0</v>
      </c>
      <c r="AX43" s="55">
        <f t="shared" ca="1" si="19"/>
        <v>0</v>
      </c>
      <c r="AY43" s="8">
        <f t="shared" ca="1" si="20"/>
        <v>0</v>
      </c>
      <c r="AZ43" s="99">
        <f t="shared" ca="1" si="37"/>
        <v>0.10147851395420573</v>
      </c>
      <c r="BA43" s="99">
        <f t="shared" ca="1" si="21"/>
        <v>0</v>
      </c>
      <c r="BB43" s="55">
        <f t="shared" ca="1" si="22"/>
        <v>0</v>
      </c>
      <c r="BC43" s="134">
        <f t="shared" ca="1" si="39"/>
        <v>0.10147851395420573</v>
      </c>
      <c r="BD43" s="135">
        <f t="shared" ca="1" si="23"/>
        <v>0</v>
      </c>
      <c r="BE43" s="208">
        <f t="shared" ca="1" si="24"/>
        <v>2.0760371155804829</v>
      </c>
      <c r="BF43" s="312">
        <f>IF(ISERROR(_xll.BDP(CONCATENATE("OD",RIGHT(W43,3)," COMDTY"),"volume")+1-1),0,(_xll.BDP(CONCATENATE("OD",RIGHT(W43,3)," COMDTY"),"volume")+1-1))</f>
        <v>0</v>
      </c>
      <c r="BG43" s="312">
        <f t="shared" ca="1" si="25"/>
        <v>0</v>
      </c>
      <c r="BH43" s="5">
        <f t="shared" ca="1" si="26"/>
        <v>34.172886375195958</v>
      </c>
      <c r="BI43" s="5"/>
      <c r="BJ43" s="312" t="e">
        <f ca="1">(_xll.Spline($T$3:$T$35, $AH$3:$AH$35,T43-1)-AH43)*-10000</f>
        <v>#NUM!</v>
      </c>
      <c r="BK43" s="312">
        <f t="shared" ca="1" si="44"/>
        <v>6.4825780969890445E-2</v>
      </c>
      <c r="BL43" s="308" t="e">
        <f t="shared" ca="1" si="45"/>
        <v>#NUM!</v>
      </c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</row>
    <row r="44" spans="1:120" s="188" customFormat="1" ht="12.75" customHeight="1" thickBot="1" x14ac:dyDescent="0.25">
      <c r="A44" s="382">
        <v>42</v>
      </c>
      <c r="B44" s="47"/>
      <c r="C44" s="48">
        <f>C43+H44</f>
        <v>0.10118647585956553</v>
      </c>
      <c r="D44" s="48"/>
      <c r="E44" s="48"/>
      <c r="F44" s="48"/>
      <c r="G44" s="136">
        <v>0.10118598183636895</v>
      </c>
      <c r="H44" s="429">
        <v>0</v>
      </c>
      <c r="I44" s="138">
        <f>C44-C43</f>
        <v>0</v>
      </c>
      <c r="J44" s="138">
        <f>C44-G44</f>
        <v>4.9402319657332328E-7</v>
      </c>
      <c r="K44" s="139">
        <f ca="1">(1+(1+Q44)/(1+Q43)-1)^(252/U44)-1</f>
        <v>0.10118647585956531</v>
      </c>
      <c r="L44" s="383">
        <v>10000</v>
      </c>
      <c r="M44" s="384">
        <f ca="1">((((100000/((1+C44-$P$2)^(T44/252)))-(100000/((1+C44+$P$2)^(T44/252))))/2)*L44)/IF($F$2="X",1,$C$1)</f>
        <v>335671.29674114764</v>
      </c>
      <c r="N44" s="361">
        <f ca="1">((100000/((1+C44-$Q$2)^(T44/252)))-(100000/((1+C44+$Q$2)^(T44/252))))/(2*P44*$Q$2)</f>
        <v>12.010858018899503</v>
      </c>
      <c r="O44" s="361">
        <f ca="1">(((100000/((1+C44-$P$2)^(T44/252)))+(100000/((1+C44+$P$2)^(T44/252))))-2*P44)/(2*P44*$P$2^2)</f>
        <v>77.583922366729695</v>
      </c>
      <c r="P44" s="40">
        <f ca="1">100000/((1+C44)^(T44/252))</f>
        <v>27947.32035071576</v>
      </c>
      <c r="Q44" s="139">
        <f ca="1">100000/P44-1</f>
        <v>2.5781605801587664</v>
      </c>
      <c r="R44" s="385">
        <f t="shared" ca="1" si="7"/>
        <v>297.91048853698931</v>
      </c>
      <c r="S44" s="52">
        <v>47850</v>
      </c>
      <c r="T44" s="37">
        <f ca="1">NETWORKDAYS($B$1,S44,FERIADOS!$A$1:$A$830)</f>
        <v>3333</v>
      </c>
      <c r="U44" s="407">
        <f t="shared" ca="1" si="34"/>
        <v>254</v>
      </c>
      <c r="V44" s="376">
        <f t="shared" si="8"/>
        <v>42</v>
      </c>
      <c r="W44" s="405"/>
      <c r="X44" s="98">
        <f t="shared" si="9"/>
        <v>0.10118647585956553</v>
      </c>
      <c r="Y44" s="405"/>
      <c r="Z44" s="405"/>
      <c r="AA44" s="405"/>
      <c r="AB44" s="405"/>
      <c r="AC44" s="405"/>
      <c r="AD44" s="406"/>
      <c r="AE44" s="151"/>
      <c r="AF44" s="5">
        <f ca="1">T44-'NTN-F'!$E$3</f>
        <v>3332</v>
      </c>
      <c r="AG44" s="380">
        <f t="shared" ca="1" si="10"/>
        <v>0.10119246639470458</v>
      </c>
      <c r="AH44" s="127">
        <f ca="1">IF(ISERROR(IF(B44="",AH43,VLOOKUP(S44,AuxilioDados!$M$1:$P$65524,3,FALSE))),VLOOKUP(S44,AuxilioDados!$Y$58:$AA$98,3,FALSE),(IF(B44="",AH43,VLOOKUP(S44,AuxilioDados!$M$1:$P$65524,3,FALSE))))</f>
        <v>0.10117999328146854</v>
      </c>
      <c r="AI44" s="114">
        <f t="shared" ca="1" si="11"/>
        <v>0.10118598183636895</v>
      </c>
      <c r="AJ44" s="5"/>
      <c r="AK44" s="5"/>
      <c r="AL44" s="5"/>
      <c r="AM44" s="5"/>
      <c r="AN44" s="5"/>
      <c r="AO44" s="5"/>
      <c r="AP44" s="5"/>
      <c r="AQ44" s="5"/>
      <c r="AR44" s="5"/>
      <c r="AS44" s="312"/>
      <c r="AT44" s="132"/>
      <c r="AU44" s="55"/>
      <c r="AV44" s="114"/>
      <c r="AW44" s="55"/>
      <c r="AX44" s="55"/>
      <c r="AY44" s="8"/>
      <c r="AZ44" s="99"/>
      <c r="BA44" s="99"/>
      <c r="BB44" s="55"/>
      <c r="BC44" s="134"/>
      <c r="BD44" s="135"/>
      <c r="BE44" s="208"/>
      <c r="BF44" s="312"/>
      <c r="BG44" s="312"/>
      <c r="BH44" s="5"/>
      <c r="BI44" s="5"/>
      <c r="BJ44" s="312"/>
      <c r="BK44" s="312"/>
      <c r="BL44" s="308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</row>
    <row r="45" spans="1:120" s="188" customFormat="1" ht="12.75" customHeight="1" thickBot="1" x14ac:dyDescent="0.25">
      <c r="A45" s="388">
        <v>43</v>
      </c>
      <c r="B45" s="49"/>
      <c r="C45" s="50">
        <f>C44+H45</f>
        <v>0.10118647585956553</v>
      </c>
      <c r="D45" s="50"/>
      <c r="E45" s="50"/>
      <c r="F45" s="50"/>
      <c r="G45" s="140">
        <v>0.10118340813692761</v>
      </c>
      <c r="H45" s="429">
        <v>0</v>
      </c>
      <c r="I45" s="142">
        <f>C45-C44</f>
        <v>0</v>
      </c>
      <c r="J45" s="145">
        <f>C45-G45</f>
        <v>3.067722637917214E-6</v>
      </c>
      <c r="K45" s="143">
        <f ca="1">(1+(1+Q45)/(1+Q44)-1)^(252/U45)-1</f>
        <v>0.10118647585956553</v>
      </c>
      <c r="L45" s="389">
        <v>10000</v>
      </c>
      <c r="M45" s="390">
        <f ca="1">((((100000/((1+C45-$P$2)^(T45/252)))-(100000/((1+C45+$P$2)^(T45/252))))/2)*L45)/IF($F$2="X",1,$C$1)</f>
        <v>225208.0287399349</v>
      </c>
      <c r="N45" s="391">
        <f ca="1">((100000/((1+C45-$Q$2)^(T45/252)))-(100000/((1+C45+$Q$2)^(T45/252))))/(2*P45*$Q$2)</f>
        <v>21.063157226814127</v>
      </c>
      <c r="O45" s="391">
        <f ca="1">(((100000/((1+C45-$P$2)^(T45/252)))+(100000/((1+C45+$P$2)^(T45/252))))-2*P45)/(2*P45*$P$2^2)</f>
        <v>231.39186807696123</v>
      </c>
      <c r="P45" s="144">
        <f ca="1">100000/((1+C45)^(T45/252))</f>
        <v>10692.035686522686</v>
      </c>
      <c r="Q45" s="143">
        <f ca="1">100000/P45-1</f>
        <v>8.352755914016452</v>
      </c>
      <c r="R45" s="377">
        <f t="shared" ca="1" si="7"/>
        <v>444.03390305182114</v>
      </c>
      <c r="S45" s="53">
        <v>51503</v>
      </c>
      <c r="T45" s="54">
        <f ca="1">NETWORKDAYS($B$1,S45,FERIADOS!$A$1:$A$830)</f>
        <v>5845</v>
      </c>
      <c r="U45" s="180">
        <f t="shared" ca="1" si="34"/>
        <v>2512</v>
      </c>
      <c r="V45" s="376">
        <f t="shared" si="8"/>
        <v>43</v>
      </c>
      <c r="W45" s="385" t="str">
        <f>IF(ISERROR(VLOOKUP(A45,AuxilioDados!$R$1:$S$1810,2,FALSE)),"",(VLOOKUP(A45,AuxilioDados!$R$1:$S$1810,2,FALSE)))</f>
        <v/>
      </c>
      <c r="X45" s="98">
        <f t="shared" si="9"/>
        <v>0.10118647585956553</v>
      </c>
      <c r="Y45" s="385"/>
      <c r="Z45" s="385"/>
      <c r="AA45" s="385"/>
      <c r="AB45" s="385"/>
      <c r="AC45" s="385"/>
      <c r="AD45" s="387"/>
      <c r="AE45" s="385"/>
      <c r="AF45" s="5">
        <f ca="1">T45-'NTN-F'!$E$3</f>
        <v>5844</v>
      </c>
      <c r="AG45" s="380">
        <f t="shared" ca="1" si="10"/>
        <v>0.10118989184421534</v>
      </c>
      <c r="AH45" s="127">
        <f ca="1">IF(ISERROR(IF(B45="",AH44,VLOOKUP(S45,AuxilioDados!$M$1:$P$65524,3,FALSE))),VLOOKUP(S45,AuxilioDados!$Y$58:$AA$98,3,FALSE),(IF(B45="",AH44,VLOOKUP(S45,AuxilioDados!$M$1:$P$65524,3,FALSE))))</f>
        <v>0.10117999328146854</v>
      </c>
      <c r="AI45" s="114">
        <f t="shared" ca="1" si="11"/>
        <v>0.10118340813692761</v>
      </c>
      <c r="AJ45" s="312"/>
      <c r="AK45" s="5"/>
      <c r="AL45" s="5"/>
      <c r="AM45" s="5"/>
      <c r="AN45" s="5"/>
      <c r="AO45" s="5"/>
      <c r="AP45" s="5"/>
      <c r="AQ45" s="5"/>
      <c r="AR45" s="5"/>
      <c r="AS45" s="312"/>
      <c r="AT45" s="132"/>
      <c r="AU45" s="55"/>
      <c r="AV45" s="114"/>
      <c r="AW45" s="55"/>
      <c r="AX45" s="55"/>
      <c r="AY45" s="8"/>
      <c r="AZ45" s="99"/>
      <c r="BA45" s="99"/>
      <c r="BB45" s="55"/>
      <c r="BC45" s="134"/>
      <c r="BD45" s="135"/>
      <c r="BE45" s="208"/>
      <c r="BF45" s="312"/>
      <c r="BG45" s="312"/>
      <c r="BH45" s="5"/>
      <c r="BI45" s="5"/>
      <c r="BJ45" s="312"/>
      <c r="BK45" s="312"/>
      <c r="BL45" s="308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</row>
    <row r="46" spans="1:120" s="188" customFormat="1" ht="12.75" customHeight="1" thickBot="1" x14ac:dyDescent="0.25">
      <c r="A46" s="383">
        <v>44</v>
      </c>
      <c r="B46" s="47"/>
      <c r="C46" s="48">
        <f>C45+H46</f>
        <v>0.10118647585956553</v>
      </c>
      <c r="D46" s="48"/>
      <c r="E46" s="48"/>
      <c r="F46" s="48"/>
      <c r="G46" s="136">
        <v>0.10118206940150443</v>
      </c>
      <c r="H46" s="429">
        <v>0</v>
      </c>
      <c r="I46" s="138">
        <f>C46-C45</f>
        <v>0</v>
      </c>
      <c r="J46" s="138">
        <f>C46-G46</f>
        <v>4.4064580611014037E-6</v>
      </c>
      <c r="K46" s="139">
        <f ca="1">(1+(1+Q46)/(1+Q45)-1)^(252/U46)-1</f>
        <v>0.10118647585956553</v>
      </c>
      <c r="L46" s="383">
        <v>10000</v>
      </c>
      <c r="M46" s="384">
        <f ca="1">((((100000/((1+C46-$P$2)^(T46/252)))-(100000/((1+C46+$P$2)^(T46/252))))/2)*L46)/IF($F$2="X",1,$C$1)</f>
        <v>87623.030834633944</v>
      </c>
      <c r="N46" s="361">
        <f ca="1">((100000/((1+C46-$Q$2)^(T46/252)))-(100000/((1+C46+$Q$2)^(T46/252))))/(2*P46*$Q$2)</f>
        <v>34.645245753924847</v>
      </c>
      <c r="O46" s="361">
        <f ca="1">(((100000/((1+C46-$P$2)^(T46/252)))+(100000/((1+C46+$P$2)^(T46/252))))-2*P46)/(2*P46*$P$2^2)</f>
        <v>615.87547013434528</v>
      </c>
      <c r="P46" s="40">
        <f ca="1">100000/((1+C46)^(T46/252))</f>
        <v>2529.150217521762</v>
      </c>
      <c r="Q46" s="139">
        <f ca="1">100000/P46-1</f>
        <v>38.538972144559679</v>
      </c>
      <c r="R46" s="385">
        <f t="shared" ca="1" si="7"/>
        <v>1141.2524657897811</v>
      </c>
      <c r="S46" s="52">
        <v>56982</v>
      </c>
      <c r="T46" s="37">
        <f ca="1">NETWORKDAYS($B$1,S46,FERIADOS!$A$1:$A$830)</f>
        <v>9614</v>
      </c>
      <c r="U46" s="407">
        <f t="shared" ca="1" si="34"/>
        <v>3769</v>
      </c>
      <c r="V46" s="376">
        <f t="shared" si="8"/>
        <v>44</v>
      </c>
      <c r="W46" s="377"/>
      <c r="X46" s="98"/>
      <c r="Y46" s="377"/>
      <c r="Z46" s="377"/>
      <c r="AA46" s="377"/>
      <c r="AB46" s="377"/>
      <c r="AC46" s="377"/>
      <c r="AD46" s="379"/>
      <c r="AE46" s="54"/>
      <c r="AF46" s="5">
        <f ca="1">T46-'NTN-F'!$E$3</f>
        <v>9613</v>
      </c>
      <c r="AG46" s="380">
        <f ca="1">(((C46+1)^((T46+$L$2)/252))/((1+$B$2)^($L$2/252)))^(252/T46)-1</f>
        <v>0.10118855266611182</v>
      </c>
      <c r="AH46" s="127">
        <f ca="1">IF(ISERROR(IF(B46="",AH45,VLOOKUP(S46,AuxilioDados!$M$1:$P$65524,3,FALSE))),VLOOKUP(S46,AuxilioDados!$Y$58:$AA$98,3,FALSE),(IF(B46="",AH45,VLOOKUP(S46,AuxilioDados!$M$1:$P$65524,3,FALSE))))</f>
        <v>0.10117999328146854</v>
      </c>
      <c r="AI46" s="114">
        <f t="shared" ca="1" si="11"/>
        <v>0.10118206940150443</v>
      </c>
      <c r="AJ46" s="5"/>
      <c r="AK46" s="5"/>
      <c r="AL46" s="5"/>
      <c r="AM46" s="5"/>
      <c r="AN46" s="5"/>
      <c r="AO46" s="5"/>
      <c r="AP46" s="5"/>
      <c r="AQ46" s="5"/>
      <c r="AR46" s="5"/>
      <c r="AS46" s="312"/>
      <c r="AT46" s="132"/>
      <c r="AU46" s="55"/>
      <c r="AV46" s="114"/>
      <c r="AW46" s="55"/>
      <c r="AX46" s="55"/>
      <c r="AY46" s="8"/>
      <c r="AZ46" s="99"/>
      <c r="BA46" s="99"/>
      <c r="BB46" s="55"/>
      <c r="BC46" s="134"/>
      <c r="BD46" s="135"/>
      <c r="BE46" s="208"/>
      <c r="BF46" s="312"/>
      <c r="BG46" s="312"/>
      <c r="BH46" s="5"/>
      <c r="BI46" s="5"/>
      <c r="BJ46" s="312"/>
      <c r="BK46" s="312"/>
      <c r="BL46" s="308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</row>
    <row r="47" spans="1:120" s="188" customFormat="1" ht="12.75" customHeight="1" x14ac:dyDescent="0.2">
      <c r="A47" s="408"/>
      <c r="B47" s="5"/>
      <c r="C47" s="5"/>
      <c r="D47" s="5"/>
      <c r="E47" s="5"/>
      <c r="F47" s="5"/>
      <c r="G47" s="5"/>
      <c r="H47" s="5"/>
      <c r="I47" s="5"/>
      <c r="J47" s="5"/>
      <c r="K47" s="308"/>
      <c r="L47" s="308"/>
      <c r="M47" s="308"/>
      <c r="N47" s="308"/>
      <c r="O47" s="170"/>
      <c r="P47" s="312"/>
      <c r="Q47" s="5"/>
      <c r="R47" s="5"/>
      <c r="S47" s="5"/>
      <c r="T47" s="308"/>
      <c r="U47" s="5"/>
      <c r="V47" s="409"/>
      <c r="W47" s="410"/>
      <c r="X47" s="410"/>
      <c r="Y47" s="410"/>
      <c r="Z47" s="385"/>
      <c r="AA47" s="410"/>
      <c r="AB47" s="385"/>
      <c r="AC47" s="410"/>
      <c r="AD47" s="385"/>
      <c r="AE47"/>
      <c r="AF47" s="5"/>
      <c r="AG47" s="5"/>
      <c r="AH47" s="5"/>
      <c r="AI47" s="5"/>
      <c r="AJ47" s="5"/>
      <c r="AK47" s="246"/>
      <c r="AL47" s="246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</row>
    <row r="48" spans="1:120" s="5" customFormat="1" ht="13.5" customHeight="1" x14ac:dyDescent="0.2">
      <c r="G48" s="188"/>
      <c r="H48" s="188"/>
      <c r="I48" s="188"/>
      <c r="J48" s="188"/>
      <c r="K48" s="188"/>
      <c r="L48" s="188"/>
    </row>
    <row r="49" spans="7:12" s="5" customFormat="1" ht="33" customHeight="1" x14ac:dyDescent="0.2">
      <c r="G49" s="188"/>
      <c r="H49" s="188"/>
      <c r="I49" s="188"/>
      <c r="J49" s="188"/>
      <c r="K49" s="188"/>
      <c r="L49" s="188"/>
    </row>
    <row r="50" spans="7:12" s="5" customFormat="1" ht="19.5" customHeight="1" x14ac:dyDescent="0.2">
      <c r="G50" s="188"/>
      <c r="H50" s="345"/>
      <c r="I50" s="218"/>
      <c r="J50" s="346"/>
      <c r="K50" s="347"/>
      <c r="L50" s="188"/>
    </row>
    <row r="51" spans="7:12" s="5" customFormat="1" ht="18" customHeight="1" x14ac:dyDescent="0.2">
      <c r="G51" s="188"/>
      <c r="H51" s="345"/>
      <c r="I51" s="218"/>
      <c r="J51" s="346"/>
      <c r="K51" s="347"/>
      <c r="L51" s="188"/>
    </row>
    <row r="52" spans="7:12" s="5" customFormat="1" ht="20.25" customHeight="1" x14ac:dyDescent="0.2">
      <c r="G52" s="188"/>
      <c r="H52" s="345"/>
      <c r="I52" s="218"/>
      <c r="J52" s="346"/>
      <c r="K52" s="347"/>
      <c r="L52" s="188"/>
    </row>
    <row r="53" spans="7:12" s="5" customFormat="1" ht="19.5" customHeight="1" x14ac:dyDescent="0.2">
      <c r="G53" s="188"/>
      <c r="H53" s="188"/>
      <c r="I53" s="188"/>
      <c r="J53" s="188"/>
      <c r="K53" s="188"/>
      <c r="L53" s="188"/>
    </row>
    <row r="54" spans="7:12" s="5" customFormat="1" ht="19.5" customHeight="1" x14ac:dyDescent="0.2">
      <c r="G54" s="188"/>
      <c r="H54" s="188"/>
      <c r="I54" s="188"/>
      <c r="J54" s="188"/>
      <c r="K54" s="188"/>
      <c r="L54" s="188"/>
    </row>
    <row r="55" spans="7:12" s="5" customFormat="1" ht="17.25" customHeight="1" x14ac:dyDescent="0.2">
      <c r="G55" s="188"/>
      <c r="H55" s="188"/>
      <c r="I55" s="188"/>
      <c r="J55" s="188"/>
      <c r="K55" s="188"/>
      <c r="L55" s="188"/>
    </row>
    <row r="56" spans="7:12" s="5" customFormat="1" ht="13.5" customHeight="1" x14ac:dyDescent="0.2">
      <c r="G56" s="188"/>
      <c r="H56" s="188"/>
      <c r="I56" s="188"/>
      <c r="J56" s="188"/>
      <c r="K56" s="188"/>
      <c r="L56" s="188"/>
    </row>
    <row r="57" spans="7:12" s="5" customFormat="1" ht="16.5" customHeight="1" x14ac:dyDescent="0.2">
      <c r="G57" s="188"/>
      <c r="H57" s="188"/>
      <c r="I57" s="188"/>
      <c r="J57" s="188"/>
      <c r="K57" s="188"/>
      <c r="L57" s="188"/>
    </row>
    <row r="58" spans="7:12" s="5" customFormat="1" ht="15" customHeight="1" x14ac:dyDescent="0.2">
      <c r="G58" s="188"/>
      <c r="H58" s="188"/>
      <c r="I58" s="188"/>
      <c r="J58" s="188"/>
      <c r="K58" s="188"/>
      <c r="L58" s="188"/>
    </row>
    <row r="59" spans="7:12" s="5" customFormat="1" ht="13.5" customHeight="1" x14ac:dyDescent="0.2">
      <c r="G59" s="188"/>
      <c r="H59" s="188"/>
      <c r="I59" s="188"/>
      <c r="J59" s="188"/>
      <c r="K59" s="188"/>
      <c r="L59" s="188"/>
    </row>
    <row r="60" spans="7:12" s="5" customFormat="1" ht="21.75" customHeight="1" x14ac:dyDescent="0.2"/>
    <row r="61" spans="7:12" s="5" customFormat="1" ht="39.75" customHeight="1" x14ac:dyDescent="0.2"/>
    <row r="62" spans="7:12" s="5" customFormat="1" ht="13.5" customHeight="1" x14ac:dyDescent="0.2"/>
    <row r="63" spans="7:12" s="5" customFormat="1" ht="13.5" customHeight="1" x14ac:dyDescent="0.2"/>
    <row r="64" spans="7:12" s="5" customFormat="1" ht="13.5" customHeight="1" x14ac:dyDescent="0.2"/>
    <row r="65" s="5" customFormat="1" ht="13.5" customHeight="1" x14ac:dyDescent="0.2"/>
    <row r="66" s="5" customFormat="1" ht="13.5" customHeight="1" x14ac:dyDescent="0.2"/>
    <row r="67" s="5" customFormat="1" ht="13.5" customHeight="1" x14ac:dyDescent="0.2"/>
    <row r="68" s="5" customFormat="1" ht="13.5" customHeight="1" x14ac:dyDescent="0.2"/>
    <row r="69" s="5" customFormat="1" ht="13.5" customHeight="1" x14ac:dyDescent="0.2"/>
    <row r="70" s="5" customFormat="1" ht="13.5" customHeight="1" x14ac:dyDescent="0.2"/>
    <row r="71" s="5" customFormat="1" ht="13.5" customHeight="1" x14ac:dyDescent="0.2"/>
    <row r="72" s="5" customFormat="1" ht="13.5" customHeight="1" x14ac:dyDescent="0.2"/>
    <row r="73" s="5" customFormat="1" ht="13.5" customHeight="1" x14ac:dyDescent="0.2"/>
    <row r="74" s="5" customFormat="1" ht="13.5" customHeight="1" x14ac:dyDescent="0.2"/>
    <row r="75" s="5" customFormat="1" ht="13.5" customHeight="1" x14ac:dyDescent="0.2"/>
    <row r="76" s="5" customFormat="1" ht="13.5" customHeight="1" x14ac:dyDescent="0.2"/>
    <row r="77" s="5" customFormat="1" ht="13.5" customHeight="1" x14ac:dyDescent="0.2"/>
    <row r="78" s="5" customFormat="1" ht="13.5" customHeight="1" x14ac:dyDescent="0.2"/>
    <row r="79" s="5" customFormat="1" ht="13.5" customHeight="1" x14ac:dyDescent="0.2"/>
    <row r="80" s="5" customFormat="1" ht="13.5" customHeight="1" x14ac:dyDescent="0.2"/>
    <row r="81" s="5" customFormat="1" ht="13.5" customHeight="1" x14ac:dyDescent="0.2"/>
    <row r="82" s="5" customFormat="1" ht="13.5" customHeight="1" x14ac:dyDescent="0.2"/>
    <row r="83" s="5" customFormat="1" ht="13.5" customHeight="1" x14ac:dyDescent="0.2"/>
    <row r="84" s="5" customFormat="1" ht="13.5" customHeight="1" x14ac:dyDescent="0.2"/>
    <row r="85" s="5" customFormat="1" ht="13.5" customHeight="1" x14ac:dyDescent="0.2"/>
    <row r="86" s="5" customFormat="1" ht="13.5" customHeight="1" x14ac:dyDescent="0.2"/>
    <row r="87" s="5" customFormat="1" ht="13.5" customHeight="1" x14ac:dyDescent="0.2"/>
    <row r="88" s="5" customFormat="1" ht="13.5" customHeight="1" x14ac:dyDescent="0.2"/>
    <row r="89" s="5" customFormat="1" ht="13.5" customHeight="1" x14ac:dyDescent="0.2"/>
    <row r="90" s="5" customFormat="1" ht="13.5" customHeight="1" x14ac:dyDescent="0.2"/>
    <row r="91" s="5" customFormat="1" ht="13.5" customHeight="1" x14ac:dyDescent="0.2"/>
    <row r="92" s="5" customFormat="1" ht="13.5" customHeight="1" x14ac:dyDescent="0.2"/>
    <row r="93" s="5" customFormat="1" ht="13.5" customHeight="1" x14ac:dyDescent="0.2"/>
    <row r="94" s="5" customFormat="1" ht="13.5" customHeight="1" x14ac:dyDescent="0.2"/>
    <row r="95" s="5" customFormat="1" ht="13.5" customHeight="1" x14ac:dyDescent="0.2"/>
    <row r="96" s="5" customFormat="1" ht="13.5" customHeight="1" x14ac:dyDescent="0.2"/>
    <row r="97" s="5" customFormat="1" ht="13.5" customHeight="1" x14ac:dyDescent="0.2"/>
    <row r="98" s="5" customFormat="1" ht="13.5" customHeight="1" x14ac:dyDescent="0.2"/>
    <row r="99" s="5" customFormat="1" ht="13.5" customHeight="1" x14ac:dyDescent="0.2"/>
    <row r="100" s="5" customFormat="1" ht="13.5" customHeight="1" x14ac:dyDescent="0.2"/>
    <row r="101" s="5" customFormat="1" ht="13.5" customHeight="1" x14ac:dyDescent="0.2"/>
    <row r="102" s="5" customFormat="1" ht="13.5" customHeight="1" x14ac:dyDescent="0.2"/>
    <row r="103" s="5" customFormat="1" ht="13.5" customHeight="1" x14ac:dyDescent="0.2"/>
    <row r="104" s="5" customFormat="1" ht="13.5" customHeight="1" x14ac:dyDescent="0.2"/>
    <row r="105" s="5" customFormat="1" ht="13.5" customHeight="1" x14ac:dyDescent="0.2"/>
    <row r="106" s="5" customFormat="1" ht="13.5" customHeight="1" x14ac:dyDescent="0.2"/>
    <row r="107" s="5" customFormat="1" ht="13.5" customHeight="1" x14ac:dyDescent="0.2"/>
    <row r="108" s="5" customFormat="1" ht="13.5" customHeight="1" x14ac:dyDescent="0.2"/>
    <row r="109" s="5" customFormat="1" ht="13.5" customHeight="1" x14ac:dyDescent="0.2"/>
    <row r="110" s="5" customFormat="1" ht="13.5" customHeight="1" x14ac:dyDescent="0.2"/>
    <row r="111" s="5" customFormat="1" ht="13.5" customHeight="1" x14ac:dyDescent="0.2"/>
    <row r="112" s="5" customFormat="1" ht="13.5" customHeight="1" x14ac:dyDescent="0.2"/>
    <row r="113" s="5" customFormat="1" ht="13.5" customHeight="1" x14ac:dyDescent="0.2"/>
    <row r="114" s="5" customFormat="1" ht="13.5" customHeight="1" x14ac:dyDescent="0.2"/>
    <row r="115" s="5" customFormat="1" ht="13.5" customHeight="1" x14ac:dyDescent="0.2"/>
    <row r="116" s="5" customFormat="1" ht="13.5" customHeight="1" x14ac:dyDescent="0.2"/>
    <row r="117" s="5" customFormat="1" ht="13.5" customHeight="1" x14ac:dyDescent="0.2"/>
    <row r="118" s="5" customFormat="1" ht="13.5" customHeight="1" x14ac:dyDescent="0.2"/>
    <row r="119" s="5" customFormat="1" ht="13.5" customHeight="1" x14ac:dyDescent="0.2"/>
    <row r="120" s="5" customFormat="1" ht="13.5" customHeight="1" x14ac:dyDescent="0.2"/>
    <row r="121" s="5" customFormat="1" ht="13.5" customHeight="1" x14ac:dyDescent="0.2"/>
    <row r="122" s="5" customFormat="1" ht="13.5" customHeight="1" x14ac:dyDescent="0.2"/>
    <row r="123" s="5" customFormat="1" ht="13.5" customHeight="1" x14ac:dyDescent="0.2"/>
    <row r="124" s="5" customFormat="1" ht="13.5" customHeight="1" x14ac:dyDescent="0.2"/>
    <row r="125" s="5" customFormat="1" ht="13.5" customHeight="1" x14ac:dyDescent="0.2"/>
    <row r="126" s="5" customFormat="1" ht="13.5" customHeight="1" x14ac:dyDescent="0.2"/>
    <row r="127" s="5" customFormat="1" ht="13.5" customHeight="1" x14ac:dyDescent="0.2"/>
    <row r="128" s="5" customFormat="1" ht="13.5" customHeight="1" x14ac:dyDescent="0.2"/>
    <row r="129" s="5" customFormat="1" ht="13.5" customHeight="1" x14ac:dyDescent="0.2"/>
    <row r="130" s="5" customFormat="1" ht="13.5" customHeight="1" x14ac:dyDescent="0.2"/>
    <row r="131" s="5" customFormat="1" ht="13.5" customHeight="1" x14ac:dyDescent="0.2"/>
    <row r="132" s="5" customFormat="1" ht="13.5" customHeight="1" x14ac:dyDescent="0.2"/>
    <row r="133" s="5" customFormat="1" ht="13.5" customHeight="1" x14ac:dyDescent="0.2"/>
    <row r="134" s="5" customFormat="1" ht="13.5" customHeight="1" x14ac:dyDescent="0.2"/>
    <row r="135" s="5" customFormat="1" ht="13.5" customHeight="1" x14ac:dyDescent="0.2"/>
    <row r="136" s="5" customFormat="1" ht="13.5" customHeight="1" x14ac:dyDescent="0.2"/>
    <row r="137" s="5" customFormat="1" ht="13.5" customHeight="1" x14ac:dyDescent="0.2"/>
    <row r="138" s="5" customFormat="1" ht="13.5" customHeight="1" x14ac:dyDescent="0.2"/>
    <row r="139" s="5" customFormat="1" ht="13.5" customHeight="1" x14ac:dyDescent="0.2"/>
    <row r="140" s="5" customFormat="1" ht="13.5" customHeight="1" x14ac:dyDescent="0.2"/>
    <row r="141" s="5" customFormat="1" ht="13.5" customHeight="1" x14ac:dyDescent="0.2"/>
    <row r="142" s="5" customFormat="1" ht="13.5" customHeight="1" x14ac:dyDescent="0.2"/>
    <row r="143" s="5" customFormat="1" ht="13.5" customHeight="1" x14ac:dyDescent="0.2"/>
    <row r="144" s="5" customFormat="1" ht="13.5" customHeight="1" x14ac:dyDescent="0.2"/>
    <row r="145" s="5" customFormat="1" ht="13.5" customHeight="1" x14ac:dyDescent="0.2"/>
    <row r="146" s="5" customFormat="1" ht="13.5" customHeight="1" x14ac:dyDescent="0.2"/>
    <row r="147" s="5" customFormat="1" ht="13.5" customHeight="1" x14ac:dyDescent="0.2"/>
    <row r="148" s="5" customFormat="1" ht="13.5" customHeight="1" x14ac:dyDescent="0.2"/>
    <row r="149" s="5" customFormat="1" ht="13.5" customHeight="1" x14ac:dyDescent="0.2"/>
    <row r="150" s="5" customFormat="1" ht="13.5" customHeight="1" x14ac:dyDescent="0.2"/>
    <row r="151" s="5" customFormat="1" ht="13.5" customHeight="1" x14ac:dyDescent="0.2"/>
    <row r="152" s="5" customFormat="1" ht="13.5" customHeight="1" x14ac:dyDescent="0.2"/>
    <row r="153" s="5" customFormat="1" ht="13.5" customHeight="1" x14ac:dyDescent="0.2"/>
    <row r="154" s="5" customFormat="1" ht="13.5" customHeight="1" x14ac:dyDescent="0.2"/>
    <row r="155" s="5" customFormat="1" ht="13.5" customHeight="1" x14ac:dyDescent="0.2"/>
    <row r="156" s="5" customFormat="1" ht="13.5" customHeight="1" x14ac:dyDescent="0.2"/>
    <row r="157" s="5" customFormat="1" ht="13.5" customHeight="1" x14ac:dyDescent="0.2"/>
    <row r="158" s="5" customFormat="1" ht="13.5" customHeight="1" x14ac:dyDescent="0.2"/>
    <row r="159" s="5" customFormat="1" ht="13.5" customHeight="1" x14ac:dyDescent="0.2"/>
    <row r="160" s="5" customFormat="1" ht="13.5" customHeight="1" x14ac:dyDescent="0.2"/>
    <row r="161" s="5" customFormat="1" ht="13.5" customHeight="1" x14ac:dyDescent="0.2"/>
    <row r="162" s="5" customFormat="1" ht="13.5" customHeight="1" x14ac:dyDescent="0.2"/>
    <row r="163" s="5" customFormat="1" ht="13.5" customHeight="1" x14ac:dyDescent="0.2"/>
    <row r="164" s="5" customFormat="1" ht="13.5" customHeight="1" x14ac:dyDescent="0.2"/>
    <row r="165" s="5" customFormat="1" ht="13.5" customHeight="1" x14ac:dyDescent="0.2"/>
    <row r="166" s="5" customFormat="1" ht="13.5" customHeight="1" x14ac:dyDescent="0.2"/>
    <row r="167" s="5" customFormat="1" ht="13.5" customHeight="1" x14ac:dyDescent="0.2"/>
    <row r="168" s="5" customFormat="1" ht="13.5" customHeight="1" x14ac:dyDescent="0.2"/>
    <row r="169" s="5" customFormat="1" ht="13.5" customHeight="1" x14ac:dyDescent="0.2"/>
    <row r="170" s="5" customFormat="1" ht="13.5" customHeight="1" x14ac:dyDescent="0.2"/>
    <row r="171" s="5" customFormat="1" ht="13.5" customHeight="1" x14ac:dyDescent="0.2"/>
    <row r="172" s="5" customFormat="1" ht="13.5" customHeight="1" x14ac:dyDescent="0.2"/>
    <row r="173" s="5" customFormat="1" ht="13.5" customHeight="1" x14ac:dyDescent="0.2"/>
    <row r="174" s="5" customFormat="1" ht="13.5" customHeight="1" x14ac:dyDescent="0.2"/>
    <row r="175" s="5" customFormat="1" ht="13.5" customHeight="1" x14ac:dyDescent="0.2"/>
    <row r="176" s="5" customFormat="1" ht="13.5" customHeight="1" x14ac:dyDescent="0.2"/>
    <row r="177" s="5" customFormat="1" ht="13.5" customHeight="1" x14ac:dyDescent="0.2"/>
    <row r="178" s="5" customFormat="1" ht="13.5" customHeight="1" x14ac:dyDescent="0.2"/>
    <row r="179" s="5" customFormat="1" ht="13.5" customHeight="1" x14ac:dyDescent="0.2"/>
    <row r="180" s="5" customFormat="1" ht="13.5" customHeight="1" x14ac:dyDescent="0.2"/>
    <row r="181" s="5" customFormat="1" ht="13.5" customHeight="1" x14ac:dyDescent="0.2"/>
    <row r="182" s="5" customFormat="1" ht="13.5" customHeight="1" x14ac:dyDescent="0.2"/>
    <row r="183" s="5" customFormat="1" ht="13.5" customHeight="1" x14ac:dyDescent="0.2"/>
    <row r="184" s="5" customFormat="1" ht="13.5" customHeight="1" x14ac:dyDescent="0.2"/>
    <row r="185" s="5" customFormat="1" ht="13.5" customHeight="1" x14ac:dyDescent="0.2"/>
    <row r="186" s="5" customFormat="1" ht="13.5" customHeight="1" x14ac:dyDescent="0.2"/>
    <row r="187" s="5" customFormat="1" ht="13.5" customHeight="1" x14ac:dyDescent="0.2"/>
    <row r="188" s="5" customFormat="1" ht="13.5" customHeight="1" x14ac:dyDescent="0.2"/>
    <row r="189" s="5" customFormat="1" ht="13.5" customHeight="1" x14ac:dyDescent="0.2"/>
    <row r="190" s="5" customFormat="1" ht="13.5" customHeight="1" x14ac:dyDescent="0.2"/>
    <row r="191" s="5" customFormat="1" ht="13.5" customHeight="1" x14ac:dyDescent="0.2"/>
    <row r="192" s="5" customFormat="1" ht="13.5" customHeight="1" x14ac:dyDescent="0.2"/>
    <row r="193" s="5" customFormat="1" ht="13.5" customHeight="1" x14ac:dyDescent="0.2"/>
    <row r="194" s="5" customFormat="1" ht="13.5" customHeight="1" x14ac:dyDescent="0.2"/>
    <row r="195" s="5" customFormat="1" ht="13.5" customHeight="1" x14ac:dyDescent="0.2"/>
    <row r="196" s="5" customFormat="1" ht="13.5" customHeight="1" x14ac:dyDescent="0.2"/>
    <row r="197" s="5" customFormat="1" ht="13.5" customHeight="1" x14ac:dyDescent="0.2"/>
    <row r="198" s="5" customFormat="1" ht="13.5" customHeight="1" x14ac:dyDescent="0.2"/>
    <row r="199" s="5" customFormat="1" ht="13.5" customHeight="1" x14ac:dyDescent="0.2"/>
    <row r="200" s="5" customFormat="1" ht="13.5" customHeight="1" x14ac:dyDescent="0.2"/>
    <row r="201" s="5" customFormat="1" ht="13.5" customHeight="1" x14ac:dyDescent="0.2"/>
    <row r="202" s="5" customFormat="1" ht="13.5" customHeight="1" x14ac:dyDescent="0.2"/>
    <row r="203" s="5" customFormat="1" ht="13.5" customHeight="1" x14ac:dyDescent="0.2"/>
    <row r="204" s="5" customFormat="1" ht="13.5" customHeight="1" x14ac:dyDescent="0.2"/>
    <row r="205" s="5" customFormat="1" ht="13.5" customHeight="1" x14ac:dyDescent="0.2"/>
    <row r="206" s="5" customFormat="1" ht="13.5" customHeight="1" x14ac:dyDescent="0.2"/>
    <row r="207" s="5" customFormat="1" ht="13.5" customHeight="1" x14ac:dyDescent="0.2"/>
    <row r="208" s="5" customFormat="1" ht="13.5" customHeight="1" x14ac:dyDescent="0.2"/>
    <row r="209" s="5" customFormat="1" ht="13.5" customHeight="1" x14ac:dyDescent="0.2"/>
    <row r="210" s="5" customFormat="1" ht="13.5" customHeight="1" x14ac:dyDescent="0.2"/>
    <row r="211" s="5" customFormat="1" ht="13.5" customHeight="1" x14ac:dyDescent="0.2"/>
    <row r="212" s="5" customFormat="1" ht="13.5" customHeight="1" x14ac:dyDescent="0.2"/>
    <row r="213" s="5" customFormat="1" ht="13.5" customHeight="1" x14ac:dyDescent="0.2"/>
    <row r="214" s="5" customFormat="1" ht="13.5" customHeight="1" x14ac:dyDescent="0.2"/>
    <row r="215" s="5" customFormat="1" ht="13.5" customHeight="1" x14ac:dyDescent="0.2"/>
    <row r="216" s="5" customFormat="1" ht="13.5" customHeight="1" x14ac:dyDescent="0.2"/>
    <row r="217" s="5" customFormat="1" ht="13.5" customHeight="1" x14ac:dyDescent="0.2"/>
    <row r="218" s="5" customFormat="1" ht="13.5" customHeight="1" x14ac:dyDescent="0.2"/>
    <row r="219" s="5" customFormat="1" ht="13.5" customHeight="1" x14ac:dyDescent="0.2"/>
    <row r="220" s="5" customFormat="1" ht="13.5" customHeight="1" x14ac:dyDescent="0.2"/>
    <row r="221" s="5" customFormat="1" ht="13.5" customHeight="1" x14ac:dyDescent="0.2"/>
    <row r="222" s="5" customFormat="1" ht="13.5" customHeight="1" x14ac:dyDescent="0.2"/>
    <row r="223" s="5" customFormat="1" ht="13.5" customHeight="1" x14ac:dyDescent="0.2"/>
    <row r="224" s="5" customFormat="1" ht="13.5" customHeight="1" x14ac:dyDescent="0.2"/>
    <row r="225" s="5" customFormat="1" ht="13.5" customHeight="1" x14ac:dyDescent="0.2"/>
    <row r="226" s="5" customFormat="1" ht="13.5" customHeight="1" x14ac:dyDescent="0.2"/>
    <row r="227" s="5" customFormat="1" ht="13.5" customHeight="1" x14ac:dyDescent="0.2"/>
    <row r="228" s="5" customFormat="1" ht="13.5" customHeight="1" x14ac:dyDescent="0.2"/>
    <row r="229" s="5" customFormat="1" ht="13.5" customHeight="1" x14ac:dyDescent="0.2"/>
    <row r="230" s="5" customFormat="1" ht="13.5" customHeight="1" x14ac:dyDescent="0.2"/>
    <row r="231" s="5" customFormat="1" ht="13.5" customHeight="1" x14ac:dyDescent="0.2"/>
    <row r="232" s="5" customFormat="1" ht="13.5" customHeight="1" x14ac:dyDescent="0.2"/>
    <row r="233" s="5" customFormat="1" ht="13.5" customHeight="1" x14ac:dyDescent="0.2"/>
    <row r="234" s="5" customFormat="1" ht="13.5" customHeight="1" x14ac:dyDescent="0.2"/>
    <row r="235" s="5" customFormat="1" ht="13.5" customHeight="1" x14ac:dyDescent="0.2"/>
    <row r="236" s="5" customFormat="1" ht="13.5" customHeight="1" x14ac:dyDescent="0.2"/>
    <row r="237" s="5" customFormat="1" ht="13.5" customHeight="1" x14ac:dyDescent="0.2"/>
    <row r="238" s="5" customFormat="1" ht="13.5" customHeight="1" x14ac:dyDescent="0.2"/>
    <row r="239" s="5" customFormat="1" ht="13.5" customHeight="1" x14ac:dyDescent="0.2"/>
    <row r="240" s="5" customFormat="1" ht="13.5" customHeight="1" x14ac:dyDescent="0.2"/>
    <row r="241" s="5" customFormat="1" ht="13.5" customHeight="1" x14ac:dyDescent="0.2"/>
    <row r="242" s="5" customFormat="1" ht="13.5" customHeight="1" x14ac:dyDescent="0.2"/>
    <row r="243" s="5" customFormat="1" ht="13.5" customHeight="1" x14ac:dyDescent="0.2"/>
    <row r="244" s="5" customFormat="1" ht="13.5" customHeight="1" x14ac:dyDescent="0.2"/>
    <row r="245" s="5" customFormat="1" ht="13.5" customHeight="1" x14ac:dyDescent="0.2"/>
    <row r="246" s="5" customFormat="1" ht="13.5" customHeight="1" x14ac:dyDescent="0.2"/>
    <row r="247" s="5" customFormat="1" ht="13.5" customHeight="1" x14ac:dyDescent="0.2"/>
    <row r="248" s="5" customFormat="1" ht="13.5" customHeight="1" x14ac:dyDescent="0.2"/>
    <row r="249" s="5" customFormat="1" ht="13.5" customHeight="1" x14ac:dyDescent="0.2"/>
    <row r="250" s="5" customFormat="1" ht="13.5" customHeight="1" x14ac:dyDescent="0.2"/>
    <row r="251" s="5" customFormat="1" ht="13.5" customHeight="1" x14ac:dyDescent="0.2"/>
    <row r="252" s="5" customFormat="1" ht="13.5" customHeight="1" x14ac:dyDescent="0.2"/>
    <row r="253" s="5" customFormat="1" ht="13.5" customHeight="1" x14ac:dyDescent="0.2"/>
    <row r="254" s="5" customFormat="1" ht="13.5" customHeight="1" x14ac:dyDescent="0.2"/>
    <row r="255" s="5" customFormat="1" ht="13.5" customHeight="1" x14ac:dyDescent="0.2"/>
    <row r="256" s="5" customFormat="1" ht="13.5" customHeight="1" x14ac:dyDescent="0.2"/>
    <row r="257" s="5" customFormat="1" ht="13.5" customHeight="1" x14ac:dyDescent="0.2"/>
    <row r="258" s="5" customFormat="1" ht="13.5" customHeight="1" x14ac:dyDescent="0.2"/>
    <row r="259" s="5" customFormat="1" ht="13.5" customHeight="1" x14ac:dyDescent="0.2"/>
    <row r="260" s="5" customFormat="1" ht="13.5" customHeight="1" x14ac:dyDescent="0.2"/>
    <row r="261" s="5" customFormat="1" ht="13.5" customHeight="1" x14ac:dyDescent="0.2"/>
    <row r="262" s="5" customFormat="1" ht="13.5" customHeight="1" x14ac:dyDescent="0.2"/>
    <row r="263" s="5" customFormat="1" ht="13.5" customHeight="1" x14ac:dyDescent="0.2"/>
    <row r="264" s="5" customFormat="1" ht="13.5" customHeight="1" x14ac:dyDescent="0.2"/>
    <row r="265" s="5" customFormat="1" ht="13.5" customHeight="1" x14ac:dyDescent="0.2"/>
    <row r="266" s="5" customFormat="1" ht="13.5" customHeight="1" x14ac:dyDescent="0.2"/>
    <row r="267" s="5" customFormat="1" ht="13.5" customHeight="1" x14ac:dyDescent="0.2"/>
    <row r="268" s="5" customFormat="1" ht="13.5" customHeight="1" x14ac:dyDescent="0.2"/>
    <row r="269" s="5" customFormat="1" ht="13.5" customHeight="1" x14ac:dyDescent="0.2"/>
    <row r="270" s="5" customFormat="1" ht="13.5" customHeight="1" x14ac:dyDescent="0.2"/>
    <row r="271" s="5" customFormat="1" ht="13.5" customHeight="1" x14ac:dyDescent="0.2"/>
    <row r="272" s="5" customFormat="1" ht="13.5" customHeight="1" x14ac:dyDescent="0.2"/>
    <row r="273" s="5" customFormat="1" ht="13.5" customHeight="1" x14ac:dyDescent="0.2"/>
    <row r="274" s="5" customFormat="1" ht="13.5" customHeight="1" x14ac:dyDescent="0.2"/>
    <row r="275" s="5" customFormat="1" ht="13.5" customHeight="1" x14ac:dyDescent="0.2"/>
    <row r="276" s="5" customFormat="1" ht="13.5" customHeight="1" x14ac:dyDescent="0.2"/>
    <row r="277" s="5" customFormat="1" ht="13.5" customHeight="1" x14ac:dyDescent="0.2"/>
    <row r="278" s="5" customFormat="1" ht="13.5" customHeight="1" x14ac:dyDescent="0.2"/>
    <row r="279" s="5" customFormat="1" ht="13.5" customHeight="1" x14ac:dyDescent="0.2"/>
    <row r="280" s="5" customFormat="1" ht="13.5" customHeight="1" x14ac:dyDescent="0.2"/>
    <row r="281" s="5" customFormat="1" ht="13.5" customHeight="1" x14ac:dyDescent="0.2"/>
    <row r="282" s="5" customFormat="1" ht="13.5" customHeight="1" x14ac:dyDescent="0.2"/>
    <row r="283" s="5" customFormat="1" ht="13.5" customHeight="1" x14ac:dyDescent="0.2"/>
    <row r="284" s="5" customFormat="1" ht="13.5" customHeight="1" x14ac:dyDescent="0.2"/>
    <row r="285" s="5" customFormat="1" ht="13.5" customHeight="1" x14ac:dyDescent="0.2"/>
    <row r="286" s="5" customFormat="1" ht="13.5" customHeight="1" x14ac:dyDescent="0.2"/>
    <row r="287" s="5" customFormat="1" ht="13.5" customHeight="1" x14ac:dyDescent="0.2"/>
    <row r="288" s="5" customFormat="1" ht="13.5" customHeight="1" x14ac:dyDescent="0.2"/>
    <row r="289" s="5" customFormat="1" ht="13.5" customHeight="1" x14ac:dyDescent="0.2"/>
    <row r="290" s="5" customFormat="1" ht="13.5" customHeight="1" x14ac:dyDescent="0.2"/>
    <row r="291" s="5" customFormat="1" ht="13.5" customHeight="1" x14ac:dyDescent="0.2"/>
    <row r="292" s="5" customFormat="1" ht="13.5" customHeight="1" x14ac:dyDescent="0.2"/>
    <row r="293" s="5" customFormat="1" ht="13.5" customHeight="1" x14ac:dyDescent="0.2"/>
    <row r="294" s="5" customFormat="1" ht="13.5" customHeight="1" x14ac:dyDescent="0.2"/>
    <row r="295" s="5" customFormat="1" ht="13.5" customHeight="1" x14ac:dyDescent="0.2"/>
    <row r="296" s="5" customFormat="1" ht="13.5" customHeight="1" x14ac:dyDescent="0.2"/>
    <row r="297" s="5" customFormat="1" ht="13.5" customHeight="1" x14ac:dyDescent="0.2"/>
    <row r="298" s="5" customFormat="1" ht="13.5" customHeight="1" x14ac:dyDescent="0.2"/>
    <row r="299" s="5" customFormat="1" ht="13.5" customHeight="1" x14ac:dyDescent="0.2"/>
    <row r="300" s="5" customFormat="1" ht="13.5" customHeight="1" x14ac:dyDescent="0.2"/>
    <row r="301" s="5" customFormat="1" ht="13.5" customHeight="1" x14ac:dyDescent="0.2"/>
    <row r="302" s="5" customFormat="1" ht="13.5" customHeight="1" x14ac:dyDescent="0.2"/>
    <row r="303" s="5" customFormat="1" ht="13.5" customHeight="1" x14ac:dyDescent="0.2"/>
    <row r="304" s="5" customFormat="1" ht="13.5" customHeight="1" x14ac:dyDescent="0.2"/>
    <row r="305" s="5" customFormat="1" ht="13.5" customHeight="1" x14ac:dyDescent="0.2"/>
    <row r="306" s="5" customFormat="1" ht="13.5" customHeight="1" x14ac:dyDescent="0.2"/>
    <row r="307" s="5" customFormat="1" ht="13.5" customHeight="1" x14ac:dyDescent="0.2"/>
    <row r="308" s="5" customFormat="1" ht="13.5" customHeight="1" x14ac:dyDescent="0.2"/>
    <row r="309" s="5" customFormat="1" ht="13.5" customHeight="1" x14ac:dyDescent="0.2"/>
    <row r="310" s="5" customFormat="1" ht="13.5" customHeight="1" x14ac:dyDescent="0.2"/>
    <row r="311" s="5" customFormat="1" ht="13.5" customHeight="1" x14ac:dyDescent="0.2"/>
    <row r="312" s="5" customFormat="1" ht="13.5" customHeight="1" x14ac:dyDescent="0.2"/>
    <row r="313" s="5" customFormat="1" ht="13.5" customHeight="1" x14ac:dyDescent="0.2"/>
    <row r="314" s="5" customFormat="1" ht="13.5" customHeight="1" x14ac:dyDescent="0.2"/>
    <row r="315" s="5" customFormat="1" ht="13.5" customHeight="1" x14ac:dyDescent="0.2"/>
    <row r="316" s="5" customFormat="1" ht="13.5" customHeight="1" x14ac:dyDescent="0.2"/>
    <row r="317" s="5" customFormat="1" ht="13.5" customHeight="1" x14ac:dyDescent="0.2"/>
    <row r="318" s="5" customFormat="1" ht="13.5" customHeight="1" x14ac:dyDescent="0.2"/>
    <row r="319" s="5" customFormat="1" ht="13.5" customHeight="1" x14ac:dyDescent="0.2"/>
    <row r="320" s="5" customFormat="1" ht="13.5" customHeight="1" x14ac:dyDescent="0.2"/>
    <row r="321" s="5" customFormat="1" ht="13.5" customHeight="1" x14ac:dyDescent="0.2"/>
    <row r="322" s="5" customFormat="1" ht="13.5" customHeight="1" x14ac:dyDescent="0.2"/>
    <row r="323" s="5" customFormat="1" ht="13.5" customHeight="1" x14ac:dyDescent="0.2"/>
    <row r="324" s="5" customFormat="1" ht="13.5" customHeight="1" x14ac:dyDescent="0.2"/>
    <row r="325" s="5" customFormat="1" ht="13.5" customHeight="1" x14ac:dyDescent="0.2"/>
    <row r="326" s="5" customFormat="1" ht="13.5" customHeight="1" x14ac:dyDescent="0.2"/>
    <row r="327" s="5" customFormat="1" ht="13.5" customHeight="1" x14ac:dyDescent="0.2"/>
    <row r="328" s="5" customFormat="1" ht="13.5" customHeight="1" x14ac:dyDescent="0.2"/>
    <row r="329" s="5" customFormat="1" ht="13.5" customHeight="1" x14ac:dyDescent="0.2"/>
    <row r="330" s="5" customFormat="1" ht="13.5" customHeight="1" x14ac:dyDescent="0.2"/>
    <row r="331" s="5" customFormat="1" ht="13.5" customHeight="1" x14ac:dyDescent="0.2"/>
    <row r="332" s="5" customFormat="1" ht="13.5" customHeight="1" x14ac:dyDescent="0.2"/>
    <row r="333" s="5" customFormat="1" ht="13.5" customHeight="1" x14ac:dyDescent="0.2"/>
    <row r="334" s="5" customFormat="1" ht="13.5" customHeight="1" x14ac:dyDescent="0.2"/>
    <row r="335" s="5" customFormat="1" ht="13.5" customHeight="1" x14ac:dyDescent="0.2"/>
    <row r="336" s="5" customFormat="1" ht="13.5" customHeight="1" x14ac:dyDescent="0.2"/>
    <row r="337" s="5" customFormat="1" ht="13.5" customHeight="1" x14ac:dyDescent="0.2"/>
    <row r="338" s="5" customFormat="1" ht="13.5" customHeight="1" x14ac:dyDescent="0.2"/>
    <row r="339" s="5" customFormat="1" ht="13.5" customHeight="1" x14ac:dyDescent="0.2"/>
    <row r="340" s="5" customFormat="1" ht="13.5" customHeight="1" x14ac:dyDescent="0.2"/>
    <row r="341" s="5" customFormat="1" ht="13.5" customHeight="1" x14ac:dyDescent="0.2"/>
    <row r="342" s="5" customFormat="1" ht="13.5" customHeight="1" x14ac:dyDescent="0.2"/>
    <row r="343" s="5" customFormat="1" ht="13.5" customHeight="1" x14ac:dyDescent="0.2"/>
    <row r="344" s="5" customFormat="1" ht="13.5" customHeight="1" x14ac:dyDescent="0.2"/>
    <row r="345" s="5" customFormat="1" ht="13.5" customHeight="1" x14ac:dyDescent="0.2"/>
    <row r="346" s="5" customFormat="1" ht="13.5" customHeight="1" x14ac:dyDescent="0.2"/>
    <row r="347" s="5" customFormat="1" ht="13.5" customHeight="1" x14ac:dyDescent="0.2"/>
    <row r="348" s="5" customFormat="1" ht="13.5" customHeight="1" x14ac:dyDescent="0.2"/>
    <row r="349" s="5" customFormat="1" ht="13.5" customHeight="1" x14ac:dyDescent="0.2"/>
    <row r="350" s="5" customFormat="1" ht="13.5" customHeight="1" x14ac:dyDescent="0.2"/>
    <row r="351" s="5" customFormat="1" ht="13.5" customHeight="1" x14ac:dyDescent="0.2"/>
    <row r="352" s="5" customFormat="1" ht="13.5" customHeight="1" x14ac:dyDescent="0.2"/>
    <row r="353" s="5" customFormat="1" ht="13.5" customHeight="1" x14ac:dyDescent="0.2"/>
    <row r="354" s="5" customFormat="1" ht="13.5" customHeight="1" x14ac:dyDescent="0.2"/>
    <row r="355" s="5" customFormat="1" ht="13.5" customHeight="1" x14ac:dyDescent="0.2"/>
    <row r="356" s="5" customFormat="1" ht="13.5" customHeight="1" x14ac:dyDescent="0.2"/>
    <row r="357" s="5" customFormat="1" ht="13.5" customHeight="1" x14ac:dyDescent="0.2"/>
    <row r="358" s="5" customFormat="1" ht="13.5" customHeight="1" x14ac:dyDescent="0.2"/>
    <row r="359" s="5" customFormat="1" ht="13.5" customHeight="1" x14ac:dyDescent="0.2"/>
    <row r="360" s="5" customFormat="1" ht="13.5" customHeight="1" x14ac:dyDescent="0.2"/>
    <row r="361" s="5" customFormat="1" ht="13.5" customHeight="1" x14ac:dyDescent="0.2"/>
    <row r="362" s="5" customFormat="1" ht="13.5" customHeight="1" x14ac:dyDescent="0.2"/>
    <row r="363" s="5" customFormat="1" ht="13.5" customHeight="1" x14ac:dyDescent="0.2"/>
    <row r="364" s="5" customFormat="1" ht="13.5" customHeight="1" x14ac:dyDescent="0.2"/>
    <row r="365" s="5" customFormat="1" ht="13.5" customHeight="1" x14ac:dyDescent="0.2"/>
    <row r="366" s="5" customFormat="1" ht="13.5" customHeight="1" x14ac:dyDescent="0.2"/>
    <row r="367" s="5" customFormat="1" ht="13.5" customHeight="1" x14ac:dyDescent="0.2"/>
    <row r="368" s="5" customFormat="1" ht="13.5" customHeight="1" x14ac:dyDescent="0.2"/>
    <row r="369" s="5" customFormat="1" ht="13.5" customHeight="1" x14ac:dyDescent="0.2"/>
    <row r="370" s="5" customFormat="1" ht="13.5" customHeight="1" x14ac:dyDescent="0.2"/>
    <row r="371" s="5" customFormat="1" ht="13.5" customHeight="1" x14ac:dyDescent="0.2"/>
    <row r="372" s="5" customFormat="1" ht="13.5" customHeight="1" x14ac:dyDescent="0.2"/>
    <row r="373" s="5" customFormat="1" ht="13.5" customHeight="1" x14ac:dyDescent="0.2"/>
    <row r="374" s="5" customFormat="1" ht="13.5" customHeight="1" x14ac:dyDescent="0.2"/>
    <row r="375" s="5" customFormat="1" ht="13.5" customHeight="1" x14ac:dyDescent="0.2"/>
    <row r="376" s="5" customFormat="1" ht="13.5" customHeight="1" x14ac:dyDescent="0.2"/>
    <row r="377" s="5" customFormat="1" ht="13.5" customHeight="1" x14ac:dyDescent="0.2"/>
    <row r="378" s="5" customFormat="1" ht="13.5" customHeight="1" x14ac:dyDescent="0.2"/>
    <row r="379" s="5" customFormat="1" ht="13.5" customHeight="1" x14ac:dyDescent="0.2"/>
    <row r="380" s="5" customFormat="1" ht="13.5" customHeight="1" x14ac:dyDescent="0.2"/>
    <row r="381" s="5" customFormat="1" ht="13.5" customHeight="1" x14ac:dyDescent="0.2"/>
    <row r="382" s="5" customFormat="1" ht="13.5" customHeight="1" x14ac:dyDescent="0.2"/>
    <row r="383" s="5" customFormat="1" ht="13.5" customHeight="1" x14ac:dyDescent="0.2"/>
    <row r="384" s="5" customFormat="1" ht="13.5" customHeight="1" x14ac:dyDescent="0.2"/>
    <row r="385" s="5" customFormat="1" ht="13.5" customHeight="1" x14ac:dyDescent="0.2"/>
    <row r="386" s="5" customFormat="1" ht="13.5" customHeight="1" x14ac:dyDescent="0.2"/>
    <row r="387" s="5" customFormat="1" ht="13.5" customHeight="1" x14ac:dyDescent="0.2"/>
    <row r="388" s="5" customFormat="1" ht="13.5" customHeight="1" x14ac:dyDescent="0.2"/>
    <row r="389" s="5" customFormat="1" ht="13.5" customHeight="1" x14ac:dyDescent="0.2"/>
    <row r="390" s="5" customFormat="1" ht="13.5" customHeight="1" x14ac:dyDescent="0.2"/>
    <row r="391" s="5" customFormat="1" ht="13.5" customHeight="1" x14ac:dyDescent="0.2"/>
    <row r="392" s="5" customFormat="1" ht="13.5" customHeight="1" x14ac:dyDescent="0.2"/>
    <row r="393" s="5" customFormat="1" ht="13.5" customHeight="1" x14ac:dyDescent="0.2"/>
    <row r="394" s="5" customFormat="1" ht="13.5" customHeight="1" x14ac:dyDescent="0.2"/>
    <row r="395" s="5" customFormat="1" ht="13.5" customHeight="1" x14ac:dyDescent="0.2"/>
    <row r="396" s="5" customFormat="1" ht="13.5" customHeight="1" x14ac:dyDescent="0.2"/>
    <row r="397" s="5" customFormat="1" ht="13.5" customHeight="1" x14ac:dyDescent="0.2"/>
    <row r="398" s="5" customFormat="1" ht="13.5" customHeight="1" x14ac:dyDescent="0.2"/>
    <row r="399" s="5" customFormat="1" ht="13.5" customHeight="1" x14ac:dyDescent="0.2"/>
    <row r="400" s="5" customFormat="1" ht="13.5" customHeight="1" x14ac:dyDescent="0.2"/>
    <row r="401" s="5" customFormat="1" ht="13.5" customHeight="1" x14ac:dyDescent="0.2"/>
    <row r="402" s="5" customFormat="1" ht="13.5" customHeight="1" x14ac:dyDescent="0.2"/>
    <row r="403" s="5" customFormat="1" ht="13.5" customHeight="1" x14ac:dyDescent="0.2"/>
    <row r="404" s="5" customFormat="1" ht="13.5" customHeight="1" x14ac:dyDescent="0.2"/>
    <row r="405" s="5" customFormat="1" ht="13.5" customHeight="1" x14ac:dyDescent="0.2"/>
    <row r="406" s="5" customFormat="1" ht="13.5" customHeight="1" x14ac:dyDescent="0.2"/>
    <row r="407" s="5" customFormat="1" ht="13.5" customHeight="1" x14ac:dyDescent="0.2"/>
    <row r="408" s="5" customFormat="1" ht="13.5" customHeight="1" x14ac:dyDescent="0.2"/>
    <row r="409" s="5" customFormat="1" ht="13.5" customHeight="1" x14ac:dyDescent="0.2"/>
    <row r="410" s="5" customFormat="1" ht="13.5" customHeight="1" x14ac:dyDescent="0.2"/>
    <row r="411" s="5" customFormat="1" ht="13.5" customHeight="1" x14ac:dyDescent="0.2"/>
    <row r="412" s="5" customFormat="1" ht="13.5" customHeight="1" x14ac:dyDescent="0.2"/>
    <row r="413" s="5" customFormat="1" ht="13.5" customHeight="1" x14ac:dyDescent="0.2"/>
    <row r="414" s="5" customFormat="1" ht="13.5" customHeight="1" x14ac:dyDescent="0.2"/>
    <row r="415" s="5" customFormat="1" ht="13.5" customHeight="1" x14ac:dyDescent="0.2"/>
    <row r="416" s="5" customFormat="1" ht="13.5" customHeight="1" x14ac:dyDescent="0.2"/>
    <row r="417" s="5" customFormat="1" ht="13.5" customHeight="1" x14ac:dyDescent="0.2"/>
    <row r="418" s="5" customFormat="1" ht="13.5" customHeight="1" x14ac:dyDescent="0.2"/>
    <row r="419" s="5" customFormat="1" ht="13.5" customHeight="1" x14ac:dyDescent="0.2"/>
    <row r="420" s="5" customFormat="1" ht="13.5" customHeight="1" x14ac:dyDescent="0.2"/>
    <row r="421" s="5" customFormat="1" ht="13.5" customHeight="1" x14ac:dyDescent="0.2"/>
    <row r="422" s="5" customFormat="1" ht="13.5" customHeight="1" x14ac:dyDescent="0.2"/>
    <row r="423" s="5" customFormat="1" ht="13.5" customHeight="1" x14ac:dyDescent="0.2"/>
    <row r="424" s="5" customFormat="1" ht="13.5" customHeight="1" x14ac:dyDescent="0.2"/>
    <row r="425" s="5" customFormat="1" ht="13.5" customHeight="1" x14ac:dyDescent="0.2"/>
    <row r="426" s="5" customFormat="1" ht="13.5" customHeight="1" x14ac:dyDescent="0.2"/>
    <row r="427" s="5" customFormat="1" ht="13.5" customHeight="1" x14ac:dyDescent="0.2"/>
    <row r="428" s="5" customFormat="1" ht="13.5" customHeight="1" x14ac:dyDescent="0.2"/>
    <row r="429" s="5" customFormat="1" ht="13.5" customHeight="1" x14ac:dyDescent="0.2"/>
    <row r="430" s="5" customFormat="1" ht="13.5" customHeight="1" x14ac:dyDescent="0.2"/>
    <row r="431" s="5" customFormat="1" ht="13.5" customHeight="1" x14ac:dyDescent="0.2"/>
    <row r="432" s="5" customFormat="1" ht="13.5" customHeight="1" x14ac:dyDescent="0.2"/>
    <row r="433" s="5" customFormat="1" ht="13.5" customHeight="1" x14ac:dyDescent="0.2"/>
    <row r="434" s="5" customFormat="1" ht="13.5" customHeight="1" x14ac:dyDescent="0.2"/>
    <row r="435" s="5" customFormat="1" ht="13.5" customHeight="1" x14ac:dyDescent="0.2"/>
    <row r="436" s="5" customFormat="1" ht="13.5" customHeight="1" x14ac:dyDescent="0.2"/>
    <row r="437" s="5" customFormat="1" ht="13.5" customHeight="1" x14ac:dyDescent="0.2"/>
    <row r="438" s="5" customFormat="1" ht="13.5" customHeight="1" x14ac:dyDescent="0.2"/>
    <row r="439" s="5" customFormat="1" ht="13.5" customHeight="1" x14ac:dyDescent="0.2"/>
    <row r="440" s="5" customFormat="1" ht="13.5" customHeight="1" x14ac:dyDescent="0.2"/>
    <row r="441" s="5" customFormat="1" ht="13.5" customHeight="1" x14ac:dyDescent="0.2"/>
    <row r="442" s="5" customFormat="1" ht="13.5" customHeight="1" x14ac:dyDescent="0.2"/>
    <row r="443" s="5" customFormat="1" ht="13.5" customHeight="1" x14ac:dyDescent="0.2"/>
    <row r="444" s="5" customFormat="1" ht="13.5" customHeight="1" x14ac:dyDescent="0.2"/>
    <row r="445" s="5" customFormat="1" ht="13.5" customHeight="1" x14ac:dyDescent="0.2"/>
    <row r="446" s="5" customFormat="1" ht="13.5" customHeight="1" x14ac:dyDescent="0.2"/>
    <row r="447" s="5" customFormat="1" ht="13.5" customHeight="1" x14ac:dyDescent="0.2"/>
    <row r="448" s="5" customFormat="1" ht="13.5" customHeight="1" x14ac:dyDescent="0.2"/>
    <row r="449" s="5" customFormat="1" ht="13.5" customHeight="1" x14ac:dyDescent="0.2"/>
    <row r="450" s="5" customFormat="1" ht="13.5" customHeight="1" x14ac:dyDescent="0.2"/>
    <row r="451" s="5" customFormat="1" ht="13.5" customHeight="1" x14ac:dyDescent="0.2"/>
    <row r="452" s="5" customFormat="1" ht="13.5" customHeight="1" x14ac:dyDescent="0.2"/>
    <row r="453" s="5" customFormat="1" ht="13.5" customHeight="1" x14ac:dyDescent="0.2"/>
    <row r="454" s="5" customFormat="1" ht="13.5" customHeight="1" x14ac:dyDescent="0.2"/>
    <row r="455" s="5" customFormat="1" ht="13.5" customHeight="1" x14ac:dyDescent="0.2"/>
    <row r="456" s="5" customFormat="1" ht="13.5" customHeight="1" x14ac:dyDescent="0.2"/>
    <row r="457" s="5" customFormat="1" ht="13.5" customHeight="1" x14ac:dyDescent="0.2"/>
    <row r="458" s="5" customFormat="1" ht="13.5" customHeight="1" x14ac:dyDescent="0.2"/>
    <row r="459" s="5" customFormat="1" ht="13.5" customHeight="1" x14ac:dyDescent="0.2"/>
    <row r="460" s="5" customFormat="1" ht="13.5" customHeight="1" x14ac:dyDescent="0.2"/>
    <row r="461" s="5" customFormat="1" ht="13.5" customHeight="1" x14ac:dyDescent="0.2"/>
    <row r="462" s="5" customFormat="1" ht="13.5" customHeight="1" x14ac:dyDescent="0.2"/>
    <row r="463" s="5" customFormat="1" ht="13.5" customHeight="1" x14ac:dyDescent="0.2"/>
    <row r="464" s="5" customFormat="1" ht="13.5" customHeight="1" x14ac:dyDescent="0.2"/>
    <row r="465" s="5" customFormat="1" ht="13.5" customHeight="1" x14ac:dyDescent="0.2"/>
    <row r="466" s="5" customFormat="1" ht="13.5" customHeight="1" x14ac:dyDescent="0.2"/>
    <row r="467" s="5" customFormat="1" ht="13.5" customHeight="1" x14ac:dyDescent="0.2"/>
    <row r="468" s="5" customFormat="1" ht="13.5" customHeight="1" x14ac:dyDescent="0.2"/>
    <row r="469" s="5" customFormat="1" ht="13.5" customHeight="1" x14ac:dyDescent="0.2"/>
    <row r="470" s="5" customFormat="1" ht="13.5" customHeight="1" x14ac:dyDescent="0.2"/>
    <row r="471" s="5" customFormat="1" ht="13.5" customHeight="1" x14ac:dyDescent="0.2"/>
    <row r="472" s="5" customFormat="1" ht="13.5" customHeight="1" x14ac:dyDescent="0.2"/>
    <row r="473" s="5" customFormat="1" ht="13.5" customHeight="1" x14ac:dyDescent="0.2"/>
    <row r="474" s="5" customFormat="1" ht="13.5" customHeight="1" x14ac:dyDescent="0.2"/>
    <row r="475" s="5" customFormat="1" ht="13.5" customHeight="1" x14ac:dyDescent="0.2"/>
    <row r="476" s="5" customFormat="1" ht="13.5" customHeight="1" x14ac:dyDescent="0.2"/>
    <row r="477" s="5" customFormat="1" ht="13.5" customHeight="1" x14ac:dyDescent="0.2"/>
    <row r="478" s="5" customFormat="1" ht="13.5" customHeight="1" x14ac:dyDescent="0.2"/>
    <row r="479" s="5" customFormat="1" ht="13.5" customHeight="1" x14ac:dyDescent="0.2"/>
    <row r="480" s="5" customFormat="1" ht="13.5" customHeight="1" x14ac:dyDescent="0.2"/>
    <row r="481" s="5" customFormat="1" ht="13.5" customHeight="1" x14ac:dyDescent="0.2"/>
    <row r="482" s="5" customFormat="1" ht="13.5" customHeight="1" x14ac:dyDescent="0.2"/>
    <row r="483" s="5" customFormat="1" ht="13.5" customHeight="1" x14ac:dyDescent="0.2"/>
    <row r="484" s="5" customFormat="1" ht="13.5" customHeight="1" x14ac:dyDescent="0.2"/>
    <row r="485" s="5" customFormat="1" ht="13.5" customHeight="1" x14ac:dyDescent="0.2"/>
    <row r="486" s="5" customFormat="1" ht="13.5" customHeight="1" x14ac:dyDescent="0.2"/>
    <row r="487" s="5" customFormat="1" ht="13.5" customHeight="1" x14ac:dyDescent="0.2"/>
    <row r="488" s="5" customFormat="1" ht="13.5" customHeight="1" x14ac:dyDescent="0.2"/>
    <row r="489" s="5" customFormat="1" ht="13.5" customHeight="1" x14ac:dyDescent="0.2"/>
    <row r="490" s="5" customFormat="1" ht="13.5" customHeight="1" x14ac:dyDescent="0.2"/>
    <row r="491" s="5" customFormat="1" ht="13.5" customHeight="1" x14ac:dyDescent="0.2"/>
    <row r="492" s="5" customFormat="1" ht="13.5" customHeight="1" x14ac:dyDescent="0.2"/>
    <row r="493" s="5" customFormat="1" ht="13.5" customHeight="1" x14ac:dyDescent="0.2"/>
    <row r="494" s="5" customFormat="1" ht="13.5" customHeight="1" x14ac:dyDescent="0.2"/>
    <row r="495" s="5" customFormat="1" ht="13.5" customHeight="1" x14ac:dyDescent="0.2"/>
    <row r="496" s="5" customFormat="1" ht="13.5" customHeight="1" x14ac:dyDescent="0.2"/>
    <row r="497" s="5" customFormat="1" ht="13.5" customHeight="1" x14ac:dyDescent="0.2"/>
    <row r="498" s="5" customFormat="1" ht="13.5" customHeight="1" x14ac:dyDescent="0.2"/>
    <row r="499" s="5" customFormat="1" ht="13.5" customHeight="1" x14ac:dyDescent="0.2"/>
    <row r="500" s="5" customFormat="1" ht="13.5" customHeight="1" x14ac:dyDescent="0.2"/>
    <row r="501" s="5" customFormat="1" ht="13.5" customHeight="1" x14ac:dyDescent="0.2"/>
    <row r="502" s="5" customFormat="1" ht="13.5" customHeight="1" x14ac:dyDescent="0.2"/>
    <row r="503" s="5" customFormat="1" ht="13.5" customHeight="1" x14ac:dyDescent="0.2"/>
    <row r="504" s="5" customFormat="1" ht="13.5" customHeight="1" x14ac:dyDescent="0.2"/>
    <row r="505" s="5" customFormat="1" ht="13.5" customHeight="1" x14ac:dyDescent="0.2"/>
    <row r="506" s="5" customFormat="1" ht="13.5" customHeight="1" x14ac:dyDescent="0.2"/>
    <row r="507" s="5" customFormat="1" ht="13.5" customHeight="1" x14ac:dyDescent="0.2"/>
    <row r="508" s="5" customFormat="1" ht="13.5" customHeight="1" x14ac:dyDescent="0.2"/>
    <row r="509" s="5" customFormat="1" ht="13.5" customHeight="1" x14ac:dyDescent="0.2"/>
    <row r="510" s="5" customFormat="1" ht="13.5" customHeight="1" x14ac:dyDescent="0.2"/>
    <row r="511" s="5" customFormat="1" ht="13.5" customHeight="1" x14ac:dyDescent="0.2"/>
    <row r="512" s="5" customFormat="1" ht="13.5" customHeight="1" x14ac:dyDescent="0.2"/>
    <row r="513" s="5" customFormat="1" ht="13.5" customHeight="1" x14ac:dyDescent="0.2"/>
    <row r="514" s="5" customFormat="1" ht="13.5" customHeight="1" x14ac:dyDescent="0.2"/>
    <row r="515" s="5" customFormat="1" ht="13.5" customHeight="1" x14ac:dyDescent="0.2"/>
    <row r="516" s="5" customFormat="1" ht="13.5" customHeight="1" x14ac:dyDescent="0.2"/>
    <row r="517" s="5" customFormat="1" ht="13.5" customHeight="1" x14ac:dyDescent="0.2"/>
    <row r="518" s="5" customFormat="1" ht="13.5" customHeight="1" x14ac:dyDescent="0.2"/>
    <row r="519" s="5" customFormat="1" ht="13.5" customHeight="1" x14ac:dyDescent="0.2"/>
    <row r="520" s="5" customFormat="1" ht="13.5" customHeight="1" x14ac:dyDescent="0.2"/>
    <row r="521" s="5" customFormat="1" ht="13.5" customHeight="1" x14ac:dyDescent="0.2"/>
    <row r="522" s="5" customFormat="1" ht="13.5" customHeight="1" x14ac:dyDescent="0.2"/>
    <row r="523" s="5" customFormat="1" ht="13.5" customHeight="1" x14ac:dyDescent="0.2"/>
    <row r="524" s="5" customFormat="1" ht="13.5" customHeight="1" x14ac:dyDescent="0.2"/>
    <row r="525" s="5" customFormat="1" ht="13.5" customHeight="1" x14ac:dyDescent="0.2"/>
    <row r="526" s="5" customFormat="1" ht="13.5" customHeight="1" x14ac:dyDescent="0.2"/>
    <row r="527" s="5" customFormat="1" ht="13.5" customHeight="1" x14ac:dyDescent="0.2"/>
    <row r="528" s="5" customFormat="1" ht="13.5" customHeight="1" x14ac:dyDescent="0.2"/>
    <row r="529" s="5" customFormat="1" ht="13.5" customHeight="1" x14ac:dyDescent="0.2"/>
    <row r="530" s="5" customFormat="1" ht="13.5" customHeight="1" x14ac:dyDescent="0.2"/>
    <row r="531" s="5" customFormat="1" ht="13.5" customHeight="1" x14ac:dyDescent="0.2"/>
    <row r="532" s="5" customFormat="1" ht="13.5" customHeight="1" x14ac:dyDescent="0.2"/>
    <row r="533" s="5" customFormat="1" ht="13.5" customHeight="1" x14ac:dyDescent="0.2"/>
    <row r="534" s="5" customFormat="1" ht="13.5" customHeight="1" x14ac:dyDescent="0.2"/>
    <row r="535" s="5" customFormat="1" ht="13.5" customHeight="1" x14ac:dyDescent="0.2"/>
    <row r="536" s="5" customFormat="1" ht="13.5" customHeight="1" x14ac:dyDescent="0.2"/>
    <row r="537" s="5" customFormat="1" ht="13.5" customHeight="1" x14ac:dyDescent="0.2"/>
    <row r="538" s="5" customFormat="1" ht="13.5" customHeight="1" x14ac:dyDescent="0.2"/>
    <row r="539" s="5" customFormat="1" ht="13.5" customHeight="1" x14ac:dyDescent="0.2"/>
    <row r="540" s="5" customFormat="1" ht="13.5" customHeight="1" x14ac:dyDescent="0.2"/>
    <row r="541" s="5" customFormat="1" ht="13.5" customHeight="1" x14ac:dyDescent="0.2"/>
    <row r="542" s="5" customFormat="1" ht="13.5" customHeight="1" x14ac:dyDescent="0.2"/>
    <row r="543" s="5" customFormat="1" ht="13.5" customHeight="1" x14ac:dyDescent="0.2"/>
    <row r="544" s="5" customFormat="1" ht="13.5" customHeight="1" x14ac:dyDescent="0.2"/>
    <row r="545" s="5" customFormat="1" ht="13.5" customHeight="1" x14ac:dyDescent="0.2"/>
    <row r="546" s="5" customFormat="1" ht="13.5" customHeight="1" x14ac:dyDescent="0.2"/>
    <row r="547" s="5" customFormat="1" ht="13.5" customHeight="1" x14ac:dyDescent="0.2"/>
    <row r="548" s="5" customFormat="1" ht="13.5" customHeight="1" x14ac:dyDescent="0.2"/>
    <row r="549" s="5" customFormat="1" ht="13.5" customHeight="1" x14ac:dyDescent="0.2"/>
    <row r="550" s="5" customFormat="1" ht="13.5" customHeight="1" x14ac:dyDescent="0.2"/>
    <row r="551" s="5" customFormat="1" ht="13.5" customHeight="1" x14ac:dyDescent="0.2"/>
    <row r="552" s="5" customFormat="1" ht="13.5" customHeight="1" x14ac:dyDescent="0.2"/>
    <row r="553" s="5" customFormat="1" ht="13.5" customHeight="1" x14ac:dyDescent="0.2"/>
    <row r="554" s="5" customFormat="1" ht="13.5" customHeight="1" x14ac:dyDescent="0.2"/>
    <row r="555" s="5" customFormat="1" ht="13.5" customHeight="1" x14ac:dyDescent="0.2"/>
    <row r="556" s="5" customFormat="1" ht="13.5" customHeight="1" x14ac:dyDescent="0.2"/>
    <row r="557" s="5" customFormat="1" ht="13.5" customHeight="1" x14ac:dyDescent="0.2"/>
    <row r="558" s="5" customFormat="1" ht="13.5" customHeight="1" x14ac:dyDescent="0.2"/>
    <row r="559" s="5" customFormat="1" ht="13.5" customHeight="1" x14ac:dyDescent="0.2"/>
    <row r="560" s="5" customFormat="1" ht="13.5" customHeight="1" x14ac:dyDescent="0.2"/>
    <row r="561" s="5" customFormat="1" ht="13.5" customHeight="1" x14ac:dyDescent="0.2"/>
    <row r="562" s="5" customFormat="1" ht="13.5" customHeight="1" x14ac:dyDescent="0.2"/>
    <row r="563" s="5" customFormat="1" ht="13.5" customHeight="1" x14ac:dyDescent="0.2"/>
    <row r="564" s="5" customFormat="1" ht="13.5" customHeight="1" x14ac:dyDescent="0.2"/>
    <row r="565" s="5" customFormat="1" ht="13.5" customHeight="1" x14ac:dyDescent="0.2"/>
    <row r="566" s="5" customFormat="1" ht="13.5" customHeight="1" x14ac:dyDescent="0.2"/>
    <row r="567" s="5" customFormat="1" ht="13.5" customHeight="1" x14ac:dyDescent="0.2"/>
    <row r="568" s="5" customFormat="1" ht="13.5" customHeight="1" x14ac:dyDescent="0.2"/>
    <row r="569" s="5" customFormat="1" ht="13.5" customHeight="1" x14ac:dyDescent="0.2"/>
    <row r="570" s="5" customFormat="1" ht="13.5" customHeight="1" x14ac:dyDescent="0.2"/>
    <row r="571" s="5" customFormat="1" ht="13.5" customHeight="1" x14ac:dyDescent="0.2"/>
    <row r="572" s="5" customFormat="1" ht="13.5" customHeight="1" x14ac:dyDescent="0.2"/>
    <row r="573" s="5" customFormat="1" ht="13.5" customHeight="1" x14ac:dyDescent="0.2"/>
    <row r="574" s="5" customFormat="1" ht="13.5" customHeight="1" x14ac:dyDescent="0.2"/>
    <row r="575" s="5" customFormat="1" ht="13.5" customHeight="1" x14ac:dyDescent="0.2"/>
    <row r="576" s="5" customFormat="1" ht="13.5" customHeight="1" x14ac:dyDescent="0.2"/>
    <row r="577" s="5" customFormat="1" ht="13.5" customHeight="1" x14ac:dyDescent="0.2"/>
    <row r="578" s="5" customFormat="1" ht="13.5" customHeight="1" x14ac:dyDescent="0.2"/>
    <row r="579" s="5" customFormat="1" ht="13.5" customHeight="1" x14ac:dyDescent="0.2"/>
    <row r="580" s="5" customFormat="1" ht="13.5" customHeight="1" x14ac:dyDescent="0.2"/>
    <row r="581" s="5" customFormat="1" ht="13.5" customHeight="1" x14ac:dyDescent="0.2"/>
    <row r="582" s="5" customFormat="1" ht="13.5" customHeight="1" x14ac:dyDescent="0.2"/>
    <row r="583" s="5" customFormat="1" ht="13.5" customHeight="1" x14ac:dyDescent="0.2"/>
    <row r="584" s="5" customFormat="1" ht="13.5" customHeight="1" x14ac:dyDescent="0.2"/>
    <row r="585" s="5" customFormat="1" ht="13.5" customHeight="1" x14ac:dyDescent="0.2"/>
    <row r="586" s="5" customFormat="1" ht="13.5" customHeight="1" x14ac:dyDescent="0.2"/>
    <row r="587" s="5" customFormat="1" ht="13.5" customHeight="1" x14ac:dyDescent="0.2"/>
    <row r="588" s="5" customFormat="1" ht="13.5" customHeight="1" x14ac:dyDescent="0.2"/>
    <row r="589" s="5" customFormat="1" ht="13.5" customHeight="1" x14ac:dyDescent="0.2"/>
    <row r="590" s="5" customFormat="1" ht="13.5" customHeight="1" x14ac:dyDescent="0.2"/>
    <row r="591" s="5" customFormat="1" ht="13.5" customHeight="1" x14ac:dyDescent="0.2"/>
    <row r="592" s="5" customFormat="1" ht="13.5" customHeight="1" x14ac:dyDescent="0.2"/>
    <row r="593" s="5" customFormat="1" ht="13.5" customHeight="1" x14ac:dyDescent="0.2"/>
    <row r="594" s="5" customFormat="1" ht="13.5" customHeight="1" x14ac:dyDescent="0.2"/>
    <row r="595" s="5" customFormat="1" ht="13.5" customHeight="1" x14ac:dyDescent="0.2"/>
    <row r="596" s="5" customFormat="1" ht="13.5" customHeight="1" x14ac:dyDescent="0.2"/>
    <row r="597" s="5" customFormat="1" ht="13.5" customHeight="1" x14ac:dyDescent="0.2"/>
    <row r="598" s="5" customFormat="1" ht="13.5" customHeight="1" x14ac:dyDescent="0.2"/>
    <row r="599" s="5" customFormat="1" ht="13.5" customHeight="1" x14ac:dyDescent="0.2"/>
    <row r="600" s="5" customFormat="1" ht="13.5" customHeight="1" x14ac:dyDescent="0.2"/>
    <row r="601" s="5" customFormat="1" ht="13.5" customHeight="1" x14ac:dyDescent="0.2"/>
    <row r="602" s="5" customFormat="1" ht="13.5" customHeight="1" x14ac:dyDescent="0.2"/>
    <row r="603" s="5" customFormat="1" ht="13.5" customHeight="1" x14ac:dyDescent="0.2"/>
    <row r="604" s="5" customFormat="1" ht="13.5" customHeight="1" x14ac:dyDescent="0.2"/>
    <row r="605" s="5" customFormat="1" ht="13.5" customHeight="1" x14ac:dyDescent="0.2"/>
    <row r="606" s="5" customFormat="1" ht="13.5" customHeight="1" x14ac:dyDescent="0.2"/>
    <row r="607" s="5" customFormat="1" ht="13.5" customHeight="1" x14ac:dyDescent="0.2"/>
    <row r="608" s="5" customFormat="1" ht="13.5" customHeight="1" x14ac:dyDescent="0.2"/>
    <row r="609" s="5" customFormat="1" ht="13.5" customHeight="1" x14ac:dyDescent="0.2"/>
    <row r="610" s="5" customFormat="1" ht="13.5" customHeight="1" x14ac:dyDescent="0.2"/>
    <row r="611" s="5" customFormat="1" ht="13.5" customHeight="1" x14ac:dyDescent="0.2"/>
    <row r="612" s="5" customFormat="1" ht="13.5" customHeight="1" x14ac:dyDescent="0.2"/>
    <row r="613" s="5" customFormat="1" ht="13.5" customHeight="1" x14ac:dyDescent="0.2"/>
    <row r="614" s="5" customFormat="1" ht="13.5" customHeight="1" x14ac:dyDescent="0.2"/>
    <row r="615" s="5" customFormat="1" ht="13.5" customHeight="1" x14ac:dyDescent="0.2"/>
    <row r="616" s="5" customFormat="1" ht="13.5" customHeight="1" x14ac:dyDescent="0.2"/>
    <row r="617" s="5" customFormat="1" ht="13.5" customHeight="1" x14ac:dyDescent="0.2"/>
    <row r="618" s="5" customFormat="1" ht="13.5" customHeight="1" x14ac:dyDescent="0.2"/>
    <row r="619" s="5" customFormat="1" ht="13.5" customHeight="1" x14ac:dyDescent="0.2"/>
    <row r="620" s="5" customFormat="1" ht="13.5" customHeight="1" x14ac:dyDescent="0.2"/>
    <row r="621" s="5" customFormat="1" ht="13.5" customHeight="1" x14ac:dyDescent="0.2"/>
    <row r="622" s="5" customFormat="1" ht="13.5" customHeight="1" x14ac:dyDescent="0.2"/>
    <row r="623" s="5" customFormat="1" ht="13.5" customHeight="1" x14ac:dyDescent="0.2"/>
    <row r="624" s="5" customFormat="1" ht="13.5" customHeight="1" x14ac:dyDescent="0.2"/>
    <row r="625" s="5" customFormat="1" ht="13.5" customHeight="1" x14ac:dyDescent="0.2"/>
    <row r="626" s="5" customFormat="1" ht="13.5" customHeight="1" x14ac:dyDescent="0.2"/>
    <row r="627" s="5" customFormat="1" ht="13.5" customHeight="1" x14ac:dyDescent="0.2"/>
    <row r="628" s="5" customFormat="1" ht="13.5" customHeight="1" x14ac:dyDescent="0.2"/>
    <row r="629" s="5" customFormat="1" ht="13.5" customHeight="1" x14ac:dyDescent="0.2"/>
    <row r="630" s="5" customFormat="1" ht="13.5" customHeight="1" x14ac:dyDescent="0.2"/>
    <row r="631" s="5" customFormat="1" ht="13.5" customHeight="1" x14ac:dyDescent="0.2"/>
    <row r="632" s="5" customFormat="1" ht="13.5" customHeight="1" x14ac:dyDescent="0.2"/>
    <row r="633" s="5" customFormat="1" ht="13.5" customHeight="1" x14ac:dyDescent="0.2"/>
    <row r="634" s="5" customFormat="1" ht="13.5" customHeight="1" x14ac:dyDescent="0.2"/>
    <row r="635" s="5" customFormat="1" ht="13.5" customHeight="1" x14ac:dyDescent="0.2"/>
    <row r="636" s="5" customFormat="1" ht="13.5" customHeight="1" x14ac:dyDescent="0.2"/>
    <row r="637" s="5" customFormat="1" ht="13.5" customHeight="1" x14ac:dyDescent="0.2"/>
    <row r="638" s="5" customFormat="1" ht="13.5" customHeight="1" x14ac:dyDescent="0.2"/>
    <row r="639" s="5" customFormat="1" ht="13.5" customHeight="1" x14ac:dyDescent="0.2"/>
    <row r="640" s="5" customFormat="1" ht="13.5" customHeight="1" x14ac:dyDescent="0.2"/>
    <row r="641" s="5" customFormat="1" ht="13.5" customHeight="1" x14ac:dyDescent="0.2"/>
    <row r="642" s="5" customFormat="1" ht="13.5" customHeight="1" x14ac:dyDescent="0.2"/>
    <row r="643" s="5" customFormat="1" ht="13.5" customHeight="1" x14ac:dyDescent="0.2"/>
    <row r="644" s="5" customFormat="1" ht="13.5" customHeight="1" x14ac:dyDescent="0.2"/>
    <row r="645" s="5" customFormat="1" ht="13.5" customHeight="1" x14ac:dyDescent="0.2"/>
    <row r="646" s="5" customFormat="1" ht="13.5" customHeight="1" x14ac:dyDescent="0.2"/>
    <row r="647" s="5" customFormat="1" ht="13.5" customHeight="1" x14ac:dyDescent="0.2"/>
    <row r="648" s="5" customFormat="1" ht="13.5" customHeight="1" x14ac:dyDescent="0.2"/>
    <row r="649" s="5" customFormat="1" ht="13.5" customHeight="1" x14ac:dyDescent="0.2"/>
    <row r="650" s="5" customFormat="1" ht="13.5" customHeight="1" x14ac:dyDescent="0.2"/>
    <row r="651" s="5" customFormat="1" ht="13.5" customHeight="1" x14ac:dyDescent="0.2"/>
    <row r="652" s="5" customFormat="1" ht="13.5" customHeight="1" x14ac:dyDescent="0.2"/>
    <row r="653" s="5" customFormat="1" ht="13.5" customHeight="1" x14ac:dyDescent="0.2"/>
    <row r="654" s="5" customFormat="1" ht="13.5" customHeight="1" x14ac:dyDescent="0.2"/>
    <row r="655" s="5" customFormat="1" ht="13.5" customHeight="1" x14ac:dyDescent="0.2"/>
    <row r="656" s="5" customFormat="1" ht="13.5" customHeight="1" x14ac:dyDescent="0.2"/>
    <row r="657" s="5" customFormat="1" ht="13.5" customHeight="1" x14ac:dyDescent="0.2"/>
    <row r="658" s="5" customFormat="1" ht="13.5" customHeight="1" x14ac:dyDescent="0.2"/>
    <row r="659" s="5" customFormat="1" ht="13.5" customHeight="1" x14ac:dyDescent="0.2"/>
    <row r="660" s="5" customFormat="1" ht="13.5" customHeight="1" x14ac:dyDescent="0.2"/>
    <row r="661" s="5" customFormat="1" ht="13.5" customHeight="1" x14ac:dyDescent="0.2"/>
    <row r="662" s="5" customFormat="1" ht="13.5" customHeight="1" x14ac:dyDescent="0.2"/>
    <row r="663" s="5" customFormat="1" ht="13.5" customHeight="1" x14ac:dyDescent="0.2"/>
    <row r="664" s="5" customFormat="1" ht="13.5" customHeight="1" x14ac:dyDescent="0.2"/>
    <row r="665" s="5" customFormat="1" ht="13.5" customHeight="1" x14ac:dyDescent="0.2"/>
    <row r="666" s="5" customFormat="1" ht="13.5" customHeight="1" x14ac:dyDescent="0.2"/>
    <row r="667" s="5" customFormat="1" ht="13.5" customHeight="1" x14ac:dyDescent="0.2"/>
    <row r="668" s="5" customFormat="1" ht="13.5" customHeight="1" x14ac:dyDescent="0.2"/>
    <row r="669" s="5" customFormat="1" ht="13.5" customHeight="1" x14ac:dyDescent="0.2"/>
    <row r="670" s="5" customFormat="1" ht="13.5" customHeight="1" x14ac:dyDescent="0.2"/>
    <row r="671" s="5" customFormat="1" ht="13.5" customHeight="1" x14ac:dyDescent="0.2"/>
    <row r="672" s="5" customFormat="1" ht="13.5" customHeight="1" x14ac:dyDescent="0.2"/>
    <row r="673" s="5" customFormat="1" ht="13.5" customHeight="1" x14ac:dyDescent="0.2"/>
    <row r="674" s="5" customFormat="1" ht="13.5" customHeight="1" x14ac:dyDescent="0.2"/>
    <row r="675" s="5" customFormat="1" ht="13.5" customHeight="1" x14ac:dyDescent="0.2"/>
    <row r="676" s="5" customFormat="1" ht="13.5" customHeight="1" x14ac:dyDescent="0.2"/>
    <row r="677" s="5" customFormat="1" ht="13.5" customHeight="1" x14ac:dyDescent="0.2"/>
    <row r="678" s="5" customFormat="1" ht="13.5" customHeight="1" x14ac:dyDescent="0.2"/>
    <row r="679" s="5" customFormat="1" ht="13.5" customHeight="1" x14ac:dyDescent="0.2"/>
    <row r="680" s="5" customFormat="1" ht="13.5" customHeight="1" x14ac:dyDescent="0.2"/>
    <row r="681" s="5" customFormat="1" ht="13.5" customHeight="1" x14ac:dyDescent="0.2"/>
    <row r="682" s="5" customFormat="1" ht="13.5" customHeight="1" x14ac:dyDescent="0.2"/>
    <row r="683" s="5" customFormat="1" ht="13.5" customHeight="1" x14ac:dyDescent="0.2"/>
    <row r="684" s="5" customFormat="1" ht="13.5" customHeight="1" x14ac:dyDescent="0.2"/>
    <row r="685" s="5" customFormat="1" ht="13.5" customHeight="1" x14ac:dyDescent="0.2"/>
    <row r="686" s="5" customFormat="1" ht="13.5" customHeight="1" x14ac:dyDescent="0.2"/>
    <row r="687" s="5" customFormat="1" ht="13.5" customHeight="1" x14ac:dyDescent="0.2"/>
    <row r="688" s="5" customFormat="1" ht="13.5" customHeight="1" x14ac:dyDescent="0.2"/>
    <row r="689" s="5" customFormat="1" ht="13.5" customHeight="1" x14ac:dyDescent="0.2"/>
    <row r="690" s="5" customFormat="1" ht="13.5" customHeight="1" x14ac:dyDescent="0.2"/>
    <row r="691" s="5" customFormat="1" ht="13.5" customHeight="1" x14ac:dyDescent="0.2"/>
    <row r="692" s="5" customFormat="1" ht="13.5" customHeight="1" x14ac:dyDescent="0.2"/>
    <row r="693" s="5" customFormat="1" ht="13.5" customHeight="1" x14ac:dyDescent="0.2"/>
    <row r="694" s="5" customFormat="1" ht="13.5" customHeight="1" x14ac:dyDescent="0.2"/>
    <row r="695" s="5" customFormat="1" ht="13.5" customHeight="1" x14ac:dyDescent="0.2"/>
    <row r="696" s="5" customFormat="1" ht="13.5" customHeight="1" x14ac:dyDescent="0.2"/>
    <row r="697" s="5" customFormat="1" ht="13.5" customHeight="1" x14ac:dyDescent="0.2"/>
    <row r="698" s="5" customFormat="1" ht="13.5" customHeight="1" x14ac:dyDescent="0.2"/>
    <row r="699" s="5" customFormat="1" ht="13.5" customHeight="1" x14ac:dyDescent="0.2"/>
    <row r="700" s="5" customFormat="1" ht="13.5" customHeight="1" x14ac:dyDescent="0.2"/>
    <row r="701" s="5" customFormat="1" ht="13.5" customHeight="1" x14ac:dyDescent="0.2"/>
    <row r="702" s="5" customFormat="1" ht="13.5" customHeight="1" x14ac:dyDescent="0.2"/>
    <row r="703" s="5" customFormat="1" ht="13.5" customHeight="1" x14ac:dyDescent="0.2"/>
    <row r="704" s="5" customFormat="1" ht="13.5" customHeight="1" x14ac:dyDescent="0.2"/>
    <row r="705" s="5" customFormat="1" ht="13.5" customHeight="1" x14ac:dyDescent="0.2"/>
    <row r="706" s="5" customFormat="1" ht="13.5" customHeight="1" x14ac:dyDescent="0.2"/>
    <row r="707" s="5" customFormat="1" ht="13.5" customHeight="1" x14ac:dyDescent="0.2"/>
    <row r="708" s="5" customFormat="1" ht="13.5" customHeight="1" x14ac:dyDescent="0.2"/>
    <row r="709" s="5" customFormat="1" ht="13.5" customHeight="1" x14ac:dyDescent="0.2"/>
    <row r="710" s="5" customFormat="1" ht="13.5" customHeight="1" x14ac:dyDescent="0.2"/>
    <row r="711" s="5" customFormat="1" ht="13.5" customHeight="1" x14ac:dyDescent="0.2"/>
    <row r="712" s="5" customFormat="1" ht="13.5" customHeight="1" x14ac:dyDescent="0.2"/>
    <row r="713" s="5" customFormat="1" ht="13.5" customHeight="1" x14ac:dyDescent="0.2"/>
    <row r="714" s="5" customFormat="1" ht="13.5" customHeight="1" x14ac:dyDescent="0.2"/>
    <row r="715" s="5" customFormat="1" ht="13.5" customHeight="1" x14ac:dyDescent="0.2"/>
    <row r="716" s="5" customFormat="1" ht="13.5" customHeight="1" x14ac:dyDescent="0.2"/>
    <row r="717" s="5" customFormat="1" ht="13.5" customHeight="1" x14ac:dyDescent="0.2"/>
    <row r="718" s="5" customFormat="1" ht="13.5" customHeight="1" x14ac:dyDescent="0.2"/>
    <row r="719" s="5" customFormat="1" ht="13.5" customHeight="1" x14ac:dyDescent="0.2"/>
    <row r="720" s="5" customFormat="1" ht="13.5" customHeight="1" x14ac:dyDescent="0.2"/>
    <row r="721" s="5" customFormat="1" ht="13.5" customHeight="1" x14ac:dyDescent="0.2"/>
    <row r="722" s="5" customFormat="1" ht="13.5" customHeight="1" x14ac:dyDescent="0.2"/>
    <row r="723" s="5" customFormat="1" ht="13.5" customHeight="1" x14ac:dyDescent="0.2"/>
    <row r="724" s="5" customFormat="1" ht="13.5" customHeight="1" x14ac:dyDescent="0.2"/>
    <row r="725" s="5" customFormat="1" ht="13.5" customHeight="1" x14ac:dyDescent="0.2"/>
    <row r="726" s="5" customFormat="1" ht="13.5" customHeight="1" x14ac:dyDescent="0.2"/>
    <row r="727" s="5" customFormat="1" ht="13.5" customHeight="1" x14ac:dyDescent="0.2"/>
    <row r="728" s="5" customFormat="1" ht="13.5" customHeight="1" x14ac:dyDescent="0.2"/>
    <row r="729" s="5" customFormat="1" ht="13.5" customHeight="1" x14ac:dyDescent="0.2"/>
    <row r="730" s="5" customFormat="1" ht="13.5" customHeight="1" x14ac:dyDescent="0.2"/>
    <row r="731" s="5" customFormat="1" ht="13.5" customHeight="1" x14ac:dyDescent="0.2"/>
    <row r="732" s="5" customFormat="1" ht="13.5" customHeight="1" x14ac:dyDescent="0.2"/>
    <row r="733" s="5" customFormat="1" ht="13.5" customHeight="1" x14ac:dyDescent="0.2"/>
    <row r="734" s="5" customFormat="1" ht="13.5" customHeight="1" x14ac:dyDescent="0.2"/>
    <row r="735" s="5" customFormat="1" ht="13.5" customHeight="1" x14ac:dyDescent="0.2"/>
    <row r="736" s="5" customFormat="1" ht="13.5" customHeight="1" x14ac:dyDescent="0.2"/>
    <row r="737" s="5" customFormat="1" ht="13.5" customHeight="1" x14ac:dyDescent="0.2"/>
    <row r="738" s="5" customFormat="1" ht="13.5" customHeight="1" x14ac:dyDescent="0.2"/>
    <row r="739" s="5" customFormat="1" ht="13.5" customHeight="1" x14ac:dyDescent="0.2"/>
    <row r="740" s="5" customFormat="1" ht="13.5" customHeight="1" x14ac:dyDescent="0.2"/>
    <row r="741" s="5" customFormat="1" ht="13.5" customHeight="1" x14ac:dyDescent="0.2"/>
    <row r="742" s="5" customFormat="1" ht="13.5" customHeight="1" x14ac:dyDescent="0.2"/>
    <row r="743" s="5" customFormat="1" ht="13.5" customHeight="1" x14ac:dyDescent="0.2"/>
    <row r="744" s="5" customFormat="1" ht="13.5" customHeight="1" x14ac:dyDescent="0.2"/>
    <row r="745" s="5" customFormat="1" ht="13.5" customHeight="1" x14ac:dyDescent="0.2"/>
    <row r="746" s="5" customFormat="1" ht="13.5" customHeight="1" x14ac:dyDescent="0.2"/>
    <row r="747" s="5" customFormat="1" ht="13.5" customHeight="1" x14ac:dyDescent="0.2"/>
    <row r="748" s="5" customFormat="1" ht="13.5" customHeight="1" x14ac:dyDescent="0.2"/>
    <row r="749" s="5" customFormat="1" ht="13.5" customHeight="1" x14ac:dyDescent="0.2"/>
    <row r="750" s="5" customFormat="1" ht="13.5" customHeight="1" x14ac:dyDescent="0.2"/>
    <row r="751" s="5" customFormat="1" ht="13.5" customHeight="1" x14ac:dyDescent="0.2"/>
    <row r="752" s="5" customFormat="1" ht="13.5" customHeight="1" x14ac:dyDescent="0.2"/>
    <row r="753" s="5" customFormat="1" ht="13.5" customHeight="1" x14ac:dyDescent="0.2"/>
    <row r="754" s="5" customFormat="1" ht="13.5" customHeight="1" x14ac:dyDescent="0.2"/>
    <row r="755" s="5" customFormat="1" ht="13.5" customHeight="1" x14ac:dyDescent="0.2"/>
    <row r="756" s="5" customFormat="1" ht="13.5" customHeight="1" x14ac:dyDescent="0.2"/>
    <row r="757" s="5" customFormat="1" ht="13.5" customHeight="1" x14ac:dyDescent="0.2"/>
    <row r="758" s="5" customFormat="1" ht="13.5" customHeight="1" x14ac:dyDescent="0.2"/>
    <row r="759" s="5" customFormat="1" ht="13.5" customHeight="1" x14ac:dyDescent="0.2"/>
    <row r="760" s="5" customFormat="1" ht="13.5" customHeight="1" x14ac:dyDescent="0.2"/>
    <row r="761" s="5" customFormat="1" ht="13.5" customHeight="1" x14ac:dyDescent="0.2"/>
    <row r="762" s="5" customFormat="1" ht="13.5" customHeight="1" x14ac:dyDescent="0.2"/>
    <row r="763" s="5" customFormat="1" ht="13.5" customHeight="1" x14ac:dyDescent="0.2"/>
    <row r="764" s="5" customFormat="1" ht="13.5" customHeight="1" x14ac:dyDescent="0.2"/>
    <row r="765" s="5" customFormat="1" ht="13.5" customHeight="1" x14ac:dyDescent="0.2"/>
    <row r="766" s="5" customFormat="1" ht="13.5" customHeight="1" x14ac:dyDescent="0.2"/>
    <row r="767" s="5" customFormat="1" ht="13.5" customHeight="1" x14ac:dyDescent="0.2"/>
    <row r="768" s="5" customFormat="1" ht="13.5" customHeight="1" x14ac:dyDescent="0.2"/>
    <row r="769" s="5" customFormat="1" ht="13.5" customHeight="1" x14ac:dyDescent="0.2"/>
    <row r="770" s="5" customFormat="1" ht="13.5" customHeight="1" x14ac:dyDescent="0.2"/>
    <row r="771" s="5" customFormat="1" ht="13.5" customHeight="1" x14ac:dyDescent="0.2"/>
    <row r="772" s="5" customFormat="1" ht="13.5" customHeight="1" x14ac:dyDescent="0.2"/>
    <row r="773" s="5" customFormat="1" ht="13.5" customHeight="1" x14ac:dyDescent="0.2"/>
    <row r="774" s="5" customFormat="1" ht="13.5" customHeight="1" x14ac:dyDescent="0.2"/>
    <row r="775" s="5" customFormat="1" ht="13.5" customHeight="1" x14ac:dyDescent="0.2"/>
    <row r="776" s="5" customFormat="1" ht="13.5" customHeight="1" x14ac:dyDescent="0.2"/>
    <row r="777" s="5" customFormat="1" ht="13.5" customHeight="1" x14ac:dyDescent="0.2"/>
    <row r="778" s="5" customFormat="1" ht="13.5" customHeight="1" x14ac:dyDescent="0.2"/>
    <row r="779" s="5" customFormat="1" ht="13.5" customHeight="1" x14ac:dyDescent="0.2"/>
    <row r="780" s="5" customFormat="1" ht="13.5" customHeight="1" x14ac:dyDescent="0.2"/>
    <row r="781" s="5" customFormat="1" ht="13.5" customHeight="1" x14ac:dyDescent="0.2"/>
    <row r="782" s="5" customFormat="1" ht="13.5" customHeight="1" x14ac:dyDescent="0.2"/>
    <row r="783" s="5" customFormat="1" ht="13.5" customHeight="1" x14ac:dyDescent="0.2"/>
    <row r="784" s="5" customFormat="1" ht="13.5" customHeight="1" x14ac:dyDescent="0.2"/>
    <row r="785" s="5" customFormat="1" ht="13.5" customHeight="1" x14ac:dyDescent="0.2"/>
    <row r="786" s="5" customFormat="1" ht="13.5" customHeight="1" x14ac:dyDescent="0.2"/>
    <row r="787" s="5" customFormat="1" ht="13.5" customHeight="1" x14ac:dyDescent="0.2"/>
    <row r="788" s="5" customFormat="1" ht="13.5" customHeight="1" x14ac:dyDescent="0.2"/>
    <row r="789" s="5" customFormat="1" ht="13.5" customHeight="1" x14ac:dyDescent="0.2"/>
    <row r="790" s="5" customFormat="1" ht="13.5" customHeight="1" x14ac:dyDescent="0.2"/>
    <row r="791" s="5" customFormat="1" ht="13.5" customHeight="1" x14ac:dyDescent="0.2"/>
    <row r="792" s="5" customFormat="1" ht="13.5" customHeight="1" x14ac:dyDescent="0.2"/>
    <row r="793" s="5" customFormat="1" ht="13.5" customHeight="1" x14ac:dyDescent="0.2"/>
    <row r="794" s="5" customFormat="1" ht="13.5" customHeight="1" x14ac:dyDescent="0.2"/>
    <row r="795" s="5" customFormat="1" ht="13.5" customHeight="1" x14ac:dyDescent="0.2"/>
    <row r="796" s="5" customFormat="1" ht="13.5" customHeight="1" x14ac:dyDescent="0.2"/>
    <row r="797" s="5" customFormat="1" ht="13.5" customHeight="1" x14ac:dyDescent="0.2"/>
    <row r="798" s="5" customFormat="1" ht="13.5" customHeight="1" x14ac:dyDescent="0.2"/>
    <row r="799" s="5" customFormat="1" ht="13.5" customHeight="1" x14ac:dyDescent="0.2"/>
    <row r="800" s="5" customFormat="1" ht="13.5" customHeight="1" x14ac:dyDescent="0.2"/>
    <row r="801" s="5" customFormat="1" ht="13.5" customHeight="1" x14ac:dyDescent="0.2"/>
    <row r="802" s="5" customFormat="1" ht="13.5" customHeight="1" x14ac:dyDescent="0.2"/>
    <row r="803" s="5" customFormat="1" ht="13.5" customHeight="1" x14ac:dyDescent="0.2"/>
    <row r="804" s="5" customFormat="1" ht="13.5" customHeight="1" x14ac:dyDescent="0.2"/>
    <row r="805" s="5" customFormat="1" ht="13.5" customHeight="1" x14ac:dyDescent="0.2"/>
    <row r="806" s="5" customFormat="1" ht="13.5" customHeight="1" x14ac:dyDescent="0.2"/>
    <row r="807" s="5" customFormat="1" ht="13.5" customHeight="1" x14ac:dyDescent="0.2"/>
    <row r="808" s="5" customFormat="1" ht="13.5" customHeight="1" x14ac:dyDescent="0.2"/>
    <row r="809" s="5" customFormat="1" ht="13.5" customHeight="1" x14ac:dyDescent="0.2"/>
    <row r="810" s="5" customFormat="1" ht="13.5" customHeight="1" x14ac:dyDescent="0.2"/>
    <row r="811" s="5" customFormat="1" ht="13.5" customHeight="1" x14ac:dyDescent="0.2"/>
    <row r="812" s="5" customFormat="1" ht="13.5" customHeight="1" x14ac:dyDescent="0.2"/>
    <row r="813" s="5" customFormat="1" ht="13.5" customHeight="1" x14ac:dyDescent="0.2"/>
    <row r="814" s="5" customFormat="1" ht="13.5" customHeight="1" x14ac:dyDescent="0.2"/>
    <row r="815" s="5" customFormat="1" ht="13.5" customHeight="1" x14ac:dyDescent="0.2"/>
    <row r="816" s="5" customFormat="1" ht="13.5" customHeight="1" x14ac:dyDescent="0.2"/>
    <row r="817" s="5" customFormat="1" ht="13.5" customHeight="1" x14ac:dyDescent="0.2"/>
    <row r="818" s="5" customFormat="1" ht="13.5" customHeight="1" x14ac:dyDescent="0.2"/>
    <row r="819" s="5" customFormat="1" ht="13.5" customHeight="1" x14ac:dyDescent="0.2"/>
    <row r="820" s="5" customFormat="1" ht="13.5" customHeight="1" x14ac:dyDescent="0.2"/>
    <row r="821" s="5" customFormat="1" ht="13.5" customHeight="1" x14ac:dyDescent="0.2"/>
    <row r="822" s="5" customFormat="1" ht="13.5" customHeight="1" x14ac:dyDescent="0.2"/>
    <row r="823" s="5" customFormat="1" ht="13.5" customHeight="1" x14ac:dyDescent="0.2"/>
    <row r="824" s="5" customFormat="1" ht="13.5" customHeight="1" x14ac:dyDescent="0.2"/>
    <row r="825" s="5" customFormat="1" ht="13.5" customHeight="1" x14ac:dyDescent="0.2"/>
    <row r="826" s="5" customFormat="1" ht="13.5" customHeight="1" x14ac:dyDescent="0.2"/>
    <row r="827" s="5" customFormat="1" ht="13.5" customHeight="1" x14ac:dyDescent="0.2"/>
    <row r="828" s="5" customFormat="1" ht="13.5" customHeight="1" x14ac:dyDescent="0.2"/>
    <row r="829" s="5" customFormat="1" ht="13.5" customHeight="1" x14ac:dyDescent="0.2"/>
    <row r="830" s="5" customFormat="1" ht="13.5" customHeight="1" x14ac:dyDescent="0.2"/>
    <row r="831" s="5" customFormat="1" ht="13.5" customHeight="1" x14ac:dyDescent="0.2"/>
    <row r="832" s="5" customFormat="1" ht="13.5" customHeight="1" x14ac:dyDescent="0.2"/>
    <row r="833" s="5" customFormat="1" ht="13.5" customHeight="1" x14ac:dyDescent="0.2"/>
    <row r="834" s="5" customFormat="1" ht="13.5" customHeight="1" x14ac:dyDescent="0.2"/>
    <row r="835" s="5" customFormat="1" ht="13.5" customHeight="1" x14ac:dyDescent="0.2"/>
    <row r="836" s="5" customFormat="1" ht="13.5" customHeight="1" x14ac:dyDescent="0.2"/>
    <row r="837" s="5" customFormat="1" ht="13.5" customHeight="1" x14ac:dyDescent="0.2"/>
    <row r="838" s="5" customFormat="1" ht="13.5" customHeight="1" x14ac:dyDescent="0.2"/>
    <row r="839" s="5" customFormat="1" ht="13.5" customHeight="1" x14ac:dyDescent="0.2"/>
    <row r="840" s="5" customFormat="1" ht="13.5" customHeight="1" x14ac:dyDescent="0.2"/>
    <row r="841" s="5" customFormat="1" ht="13.5" customHeight="1" x14ac:dyDescent="0.2"/>
    <row r="842" s="5" customFormat="1" ht="13.5" customHeight="1" x14ac:dyDescent="0.2"/>
    <row r="843" s="5" customFormat="1" ht="13.5" customHeight="1" x14ac:dyDescent="0.2"/>
    <row r="844" s="5" customFormat="1" ht="13.5" customHeight="1" x14ac:dyDescent="0.2"/>
    <row r="845" s="5" customFormat="1" ht="13.5" customHeight="1" x14ac:dyDescent="0.2"/>
    <row r="846" s="5" customFormat="1" ht="13.5" customHeight="1" x14ac:dyDescent="0.2"/>
    <row r="847" s="5" customFormat="1" ht="13.5" customHeight="1" x14ac:dyDescent="0.2"/>
    <row r="848" s="5" customFormat="1" ht="13.5" customHeight="1" x14ac:dyDescent="0.2"/>
    <row r="849" s="5" customFormat="1" ht="13.5" customHeight="1" x14ac:dyDescent="0.2"/>
    <row r="850" s="5" customFormat="1" ht="13.5" customHeight="1" x14ac:dyDescent="0.2"/>
    <row r="851" s="5" customFormat="1" ht="13.5" customHeight="1" x14ac:dyDescent="0.2"/>
    <row r="852" s="5" customFormat="1" ht="13.5" customHeight="1" x14ac:dyDescent="0.2"/>
    <row r="853" s="5" customFormat="1" ht="13.5" customHeight="1" x14ac:dyDescent="0.2"/>
    <row r="854" s="5" customFormat="1" ht="13.5" customHeight="1" x14ac:dyDescent="0.2"/>
    <row r="855" s="5" customFormat="1" ht="13.5" customHeight="1" x14ac:dyDescent="0.2"/>
    <row r="856" s="5" customFormat="1" ht="13.5" customHeight="1" x14ac:dyDescent="0.2"/>
    <row r="857" s="5" customFormat="1" ht="13.5" customHeight="1" x14ac:dyDescent="0.2"/>
    <row r="858" s="5" customFormat="1" ht="13.5" customHeight="1" x14ac:dyDescent="0.2"/>
    <row r="859" s="5" customFormat="1" ht="13.5" customHeight="1" x14ac:dyDescent="0.2"/>
    <row r="860" s="5" customFormat="1" ht="13.5" customHeight="1" x14ac:dyDescent="0.2"/>
    <row r="861" s="5" customFormat="1" ht="13.5" customHeight="1" x14ac:dyDescent="0.2"/>
    <row r="862" s="5" customFormat="1" ht="13.5" customHeight="1" x14ac:dyDescent="0.2"/>
    <row r="863" s="5" customFormat="1" ht="13.5" customHeight="1" x14ac:dyDescent="0.2"/>
    <row r="864" s="5" customFormat="1" ht="13.5" customHeight="1" x14ac:dyDescent="0.2"/>
    <row r="865" s="5" customFormat="1" ht="13.5" customHeight="1" x14ac:dyDescent="0.2"/>
    <row r="866" s="5" customFormat="1" ht="13.5" customHeight="1" x14ac:dyDescent="0.2"/>
    <row r="867" s="5" customFormat="1" ht="13.5" customHeight="1" x14ac:dyDescent="0.2"/>
    <row r="868" s="5" customFormat="1" ht="13.5" customHeight="1" x14ac:dyDescent="0.2"/>
    <row r="869" s="5" customFormat="1" ht="13.5" customHeight="1" x14ac:dyDescent="0.2"/>
    <row r="870" s="5" customFormat="1" ht="13.5" customHeight="1" x14ac:dyDescent="0.2"/>
    <row r="871" s="5" customFormat="1" ht="13.5" customHeight="1" x14ac:dyDescent="0.2"/>
    <row r="872" s="5" customFormat="1" ht="13.5" customHeight="1" x14ac:dyDescent="0.2"/>
    <row r="873" s="5" customFormat="1" ht="13.5" customHeight="1" x14ac:dyDescent="0.2"/>
    <row r="874" s="5" customFormat="1" ht="13.5" customHeight="1" x14ac:dyDescent="0.2"/>
    <row r="875" s="5" customFormat="1" ht="13.5" customHeight="1" x14ac:dyDescent="0.2"/>
    <row r="876" s="5" customFormat="1" ht="13.5" customHeight="1" x14ac:dyDescent="0.2"/>
    <row r="877" s="5" customFormat="1" ht="13.5" customHeight="1" x14ac:dyDescent="0.2"/>
    <row r="878" s="5" customFormat="1" ht="13.5" customHeight="1" x14ac:dyDescent="0.2"/>
    <row r="879" s="5" customFormat="1" ht="13.5" customHeight="1" x14ac:dyDescent="0.2"/>
    <row r="880" s="5" customFormat="1" ht="13.5" customHeight="1" x14ac:dyDescent="0.2"/>
    <row r="881" s="5" customFormat="1" ht="13.5" customHeight="1" x14ac:dyDescent="0.2"/>
    <row r="882" s="5" customFormat="1" ht="13.5" customHeight="1" x14ac:dyDescent="0.2"/>
    <row r="883" s="5" customFormat="1" ht="13.5" customHeight="1" x14ac:dyDescent="0.2"/>
    <row r="884" s="5" customFormat="1" ht="13.5" customHeight="1" x14ac:dyDescent="0.2"/>
    <row r="885" s="5" customFormat="1" ht="13.5" customHeight="1" x14ac:dyDescent="0.2"/>
    <row r="886" s="5" customFormat="1" ht="13.5" customHeight="1" x14ac:dyDescent="0.2"/>
    <row r="887" s="5" customFormat="1" ht="13.5" customHeight="1" x14ac:dyDescent="0.2"/>
    <row r="888" s="5" customFormat="1" ht="13.5" customHeight="1" x14ac:dyDescent="0.2"/>
    <row r="889" s="5" customFormat="1" ht="13.5" customHeight="1" x14ac:dyDescent="0.2"/>
    <row r="890" s="5" customFormat="1" ht="13.5" customHeight="1" x14ac:dyDescent="0.2"/>
    <row r="891" s="5" customFormat="1" ht="13.5" customHeight="1" x14ac:dyDescent="0.2"/>
    <row r="892" s="5" customFormat="1" ht="13.5" customHeight="1" x14ac:dyDescent="0.2"/>
    <row r="893" s="5" customFormat="1" ht="13.5" customHeight="1" x14ac:dyDescent="0.2"/>
    <row r="894" s="5" customFormat="1" ht="13.5" customHeight="1" x14ac:dyDescent="0.2"/>
    <row r="895" s="5" customFormat="1" ht="13.5" customHeight="1" x14ac:dyDescent="0.2"/>
    <row r="896" s="5" customFormat="1" ht="13.5" customHeight="1" x14ac:dyDescent="0.2"/>
    <row r="897" s="5" customFormat="1" ht="13.5" customHeight="1" x14ac:dyDescent="0.2"/>
    <row r="898" s="5" customFormat="1" ht="13.5" customHeight="1" x14ac:dyDescent="0.2"/>
    <row r="899" s="5" customFormat="1" ht="13.5" customHeight="1" x14ac:dyDescent="0.2"/>
    <row r="900" s="5" customFormat="1" ht="13.5" customHeight="1" x14ac:dyDescent="0.2"/>
    <row r="901" s="5" customFormat="1" ht="13.5" customHeight="1" x14ac:dyDescent="0.2"/>
    <row r="902" s="5" customFormat="1" ht="13.5" customHeight="1" x14ac:dyDescent="0.2"/>
    <row r="903" s="5" customFormat="1" ht="13.5" customHeight="1" x14ac:dyDescent="0.2"/>
    <row r="904" s="5" customFormat="1" ht="13.5" customHeight="1" x14ac:dyDescent="0.2"/>
    <row r="905" s="5" customFormat="1" ht="13.5" customHeight="1" x14ac:dyDescent="0.2"/>
    <row r="906" s="5" customFormat="1" ht="13.5" customHeight="1" x14ac:dyDescent="0.2"/>
    <row r="907" s="5" customFormat="1" ht="13.5" customHeight="1" x14ac:dyDescent="0.2"/>
    <row r="908" s="5" customFormat="1" ht="13.5" customHeight="1" x14ac:dyDescent="0.2"/>
    <row r="909" s="5" customFormat="1" ht="13.5" customHeight="1" x14ac:dyDescent="0.2"/>
    <row r="910" s="5" customFormat="1" ht="13.5" customHeight="1" x14ac:dyDescent="0.2"/>
    <row r="911" s="5" customFormat="1" ht="13.5" customHeight="1" x14ac:dyDescent="0.2"/>
    <row r="912" s="5" customFormat="1" ht="13.5" customHeight="1" x14ac:dyDescent="0.2"/>
    <row r="913" s="5" customFormat="1" ht="13.5" customHeight="1" x14ac:dyDescent="0.2"/>
    <row r="914" s="5" customFormat="1" ht="13.5" customHeight="1" x14ac:dyDescent="0.2"/>
    <row r="915" s="5" customFormat="1" ht="13.5" customHeight="1" x14ac:dyDescent="0.2"/>
    <row r="916" s="5" customFormat="1" ht="13.5" customHeight="1" x14ac:dyDescent="0.2"/>
    <row r="917" s="5" customFormat="1" ht="13.5" customHeight="1" x14ac:dyDescent="0.2"/>
    <row r="918" s="5" customFormat="1" ht="13.5" customHeight="1" x14ac:dyDescent="0.2"/>
    <row r="919" s="5" customFormat="1" ht="13.5" customHeight="1" x14ac:dyDescent="0.2"/>
    <row r="920" s="5" customFormat="1" ht="13.5" customHeight="1" x14ac:dyDescent="0.2"/>
    <row r="921" s="5" customFormat="1" ht="13.5" customHeight="1" x14ac:dyDescent="0.2"/>
    <row r="922" s="5" customFormat="1" ht="13.5" customHeight="1" x14ac:dyDescent="0.2"/>
    <row r="923" s="5" customFormat="1" ht="13.5" customHeight="1" x14ac:dyDescent="0.2"/>
    <row r="924" s="5" customFormat="1" ht="13.5" customHeight="1" x14ac:dyDescent="0.2"/>
    <row r="925" s="5" customFormat="1" ht="13.5" customHeight="1" x14ac:dyDescent="0.2"/>
    <row r="926" s="5" customFormat="1" ht="13.5" customHeight="1" x14ac:dyDescent="0.2"/>
    <row r="927" s="5" customFormat="1" ht="13.5" customHeight="1" x14ac:dyDescent="0.2"/>
    <row r="928" s="5" customFormat="1" ht="13.5" customHeight="1" x14ac:dyDescent="0.2"/>
    <row r="929" s="5" customFormat="1" ht="13.5" customHeight="1" x14ac:dyDescent="0.2"/>
    <row r="930" s="5" customFormat="1" ht="13.5" customHeight="1" x14ac:dyDescent="0.2"/>
    <row r="931" s="5" customFormat="1" ht="13.5" customHeight="1" x14ac:dyDescent="0.2"/>
    <row r="932" s="5" customFormat="1" ht="13.5" customHeight="1" x14ac:dyDescent="0.2"/>
    <row r="933" s="5" customFormat="1" ht="13.5" customHeight="1" x14ac:dyDescent="0.2"/>
    <row r="934" s="5" customFormat="1" ht="13.5" customHeight="1" x14ac:dyDescent="0.2"/>
    <row r="935" s="5" customFormat="1" ht="13.5" customHeight="1" x14ac:dyDescent="0.2"/>
    <row r="936" s="5" customFormat="1" ht="13.5" customHeight="1" x14ac:dyDescent="0.2"/>
    <row r="937" s="5" customFormat="1" ht="13.5" customHeight="1" x14ac:dyDescent="0.2"/>
    <row r="938" s="5" customFormat="1" ht="13.5" customHeight="1" x14ac:dyDescent="0.2"/>
    <row r="939" s="5" customFormat="1" ht="13.5" customHeight="1" x14ac:dyDescent="0.2"/>
    <row r="940" s="5" customFormat="1" ht="13.5" customHeight="1" x14ac:dyDescent="0.2"/>
    <row r="941" s="5" customFormat="1" ht="13.5" customHeight="1" x14ac:dyDescent="0.2"/>
    <row r="942" s="5" customFormat="1" ht="13.5" customHeight="1" x14ac:dyDescent="0.2"/>
    <row r="943" s="5" customFormat="1" ht="13.5" customHeight="1" x14ac:dyDescent="0.2"/>
    <row r="944" s="5" customFormat="1" ht="13.5" customHeight="1" x14ac:dyDescent="0.2"/>
    <row r="945" s="5" customFormat="1" ht="13.5" customHeight="1" x14ac:dyDescent="0.2"/>
    <row r="946" s="5" customFormat="1" ht="13.5" customHeight="1" x14ac:dyDescent="0.2"/>
    <row r="947" s="5" customFormat="1" ht="13.5" customHeight="1" x14ac:dyDescent="0.2"/>
    <row r="948" s="5" customFormat="1" ht="13.5" customHeight="1" x14ac:dyDescent="0.2"/>
    <row r="949" s="5" customFormat="1" ht="13.5" customHeight="1" x14ac:dyDescent="0.2"/>
    <row r="950" s="5" customFormat="1" ht="13.5" customHeight="1" x14ac:dyDescent="0.2"/>
    <row r="951" s="5" customFormat="1" ht="13.5" customHeight="1" x14ac:dyDescent="0.2"/>
    <row r="952" s="5" customFormat="1" ht="13.5" customHeight="1" x14ac:dyDescent="0.2"/>
    <row r="953" s="5" customFormat="1" ht="13.5" customHeight="1" x14ac:dyDescent="0.2"/>
    <row r="954" s="5" customFormat="1" ht="13.5" customHeight="1" x14ac:dyDescent="0.2"/>
    <row r="955" s="5" customFormat="1" ht="13.5" customHeight="1" x14ac:dyDescent="0.2"/>
    <row r="956" s="5" customFormat="1" ht="13.5" customHeight="1" x14ac:dyDescent="0.2"/>
    <row r="957" s="5" customFormat="1" ht="13.5" customHeight="1" x14ac:dyDescent="0.2"/>
    <row r="958" s="5" customFormat="1" ht="13.5" customHeight="1" x14ac:dyDescent="0.2"/>
    <row r="959" s="5" customFormat="1" ht="13.5" customHeight="1" x14ac:dyDescent="0.2"/>
    <row r="960" s="5" customFormat="1" ht="13.5" customHeight="1" x14ac:dyDescent="0.2"/>
    <row r="961" s="5" customFormat="1" ht="13.5" customHeight="1" x14ac:dyDescent="0.2"/>
    <row r="962" s="5" customFormat="1" ht="13.5" customHeight="1" x14ac:dyDescent="0.2"/>
    <row r="963" s="5" customFormat="1" ht="13.5" customHeight="1" x14ac:dyDescent="0.2"/>
    <row r="964" s="5" customFormat="1" ht="13.5" customHeight="1" x14ac:dyDescent="0.2"/>
    <row r="965" s="5" customFormat="1" ht="13.5" customHeight="1" x14ac:dyDescent="0.2"/>
    <row r="966" s="5" customFormat="1" ht="13.5" customHeight="1" x14ac:dyDescent="0.2"/>
    <row r="967" s="5" customFormat="1" ht="13.5" customHeight="1" x14ac:dyDescent="0.2"/>
    <row r="968" s="5" customFormat="1" ht="13.5" customHeight="1" x14ac:dyDescent="0.2"/>
    <row r="969" s="5" customFormat="1" ht="13.5" customHeight="1" x14ac:dyDescent="0.2"/>
    <row r="970" s="5" customFormat="1" ht="13.5" customHeight="1" x14ac:dyDescent="0.2"/>
    <row r="971" s="5" customFormat="1" ht="13.5" customHeight="1" x14ac:dyDescent="0.2"/>
    <row r="972" s="5" customFormat="1" ht="13.5" customHeight="1" x14ac:dyDescent="0.2"/>
    <row r="973" s="5" customFormat="1" ht="13.5" customHeight="1" x14ac:dyDescent="0.2"/>
    <row r="974" s="5" customFormat="1" ht="13.5" customHeight="1" x14ac:dyDescent="0.2"/>
    <row r="975" s="5" customFormat="1" ht="13.5" customHeight="1" x14ac:dyDescent="0.2"/>
    <row r="976" s="5" customFormat="1" ht="13.5" customHeight="1" x14ac:dyDescent="0.2"/>
    <row r="977" s="5" customFormat="1" ht="13.5" customHeight="1" x14ac:dyDescent="0.2"/>
    <row r="978" s="5" customFormat="1" ht="13.5" customHeight="1" x14ac:dyDescent="0.2"/>
    <row r="979" s="5" customFormat="1" ht="13.5" customHeight="1" x14ac:dyDescent="0.2"/>
    <row r="980" s="5" customFormat="1" ht="13.5" customHeight="1" x14ac:dyDescent="0.2"/>
    <row r="981" s="5" customFormat="1" ht="13.5" customHeight="1" x14ac:dyDescent="0.2"/>
    <row r="982" s="5" customFormat="1" ht="13.5" customHeight="1" x14ac:dyDescent="0.2"/>
    <row r="983" s="5" customFormat="1" ht="13.5" customHeight="1" x14ac:dyDescent="0.2"/>
    <row r="984" s="5" customFormat="1" ht="13.5" customHeight="1" x14ac:dyDescent="0.2"/>
    <row r="985" s="5" customFormat="1" ht="13.5" customHeight="1" x14ac:dyDescent="0.2"/>
    <row r="986" s="5" customFormat="1" ht="13.5" customHeight="1" x14ac:dyDescent="0.2"/>
    <row r="987" s="5" customFormat="1" ht="13.5" customHeight="1" x14ac:dyDescent="0.2"/>
    <row r="988" s="5" customFormat="1" ht="13.5" customHeight="1" x14ac:dyDescent="0.2"/>
    <row r="989" s="5" customFormat="1" ht="13.5" customHeight="1" x14ac:dyDescent="0.2"/>
    <row r="990" s="5" customFormat="1" ht="13.5" customHeight="1" x14ac:dyDescent="0.2"/>
    <row r="991" s="5" customFormat="1" ht="13.5" customHeight="1" x14ac:dyDescent="0.2"/>
    <row r="992" s="5" customFormat="1" ht="13.5" customHeight="1" x14ac:dyDescent="0.2"/>
    <row r="993" s="5" customFormat="1" ht="13.5" customHeight="1" x14ac:dyDescent="0.2"/>
    <row r="994" s="5" customFormat="1" ht="13.5" customHeight="1" x14ac:dyDescent="0.2"/>
    <row r="995" s="5" customFormat="1" ht="13.5" customHeight="1" x14ac:dyDescent="0.2"/>
    <row r="996" s="5" customFormat="1" ht="13.5" customHeight="1" x14ac:dyDescent="0.2"/>
    <row r="997" s="5" customFormat="1" ht="13.5" customHeight="1" x14ac:dyDescent="0.2"/>
    <row r="998" s="5" customFormat="1" ht="13.5" customHeight="1" x14ac:dyDescent="0.2"/>
    <row r="999" s="5" customFormat="1" ht="13.5" customHeight="1" x14ac:dyDescent="0.2"/>
    <row r="1000" s="5" customFormat="1" ht="13.5" customHeight="1" x14ac:dyDescent="0.2"/>
    <row r="1001" s="5" customFormat="1" ht="13.5" customHeight="1" x14ac:dyDescent="0.2"/>
    <row r="1002" s="5" customFormat="1" ht="13.5" customHeight="1" x14ac:dyDescent="0.2"/>
    <row r="1003" s="5" customFormat="1" ht="13.5" customHeight="1" x14ac:dyDescent="0.2"/>
    <row r="1004" s="5" customFormat="1" ht="13.5" customHeight="1" x14ac:dyDescent="0.2"/>
    <row r="1005" s="5" customFormat="1" ht="13.5" customHeight="1" x14ac:dyDescent="0.2"/>
    <row r="1006" s="5" customFormat="1" ht="13.5" customHeight="1" x14ac:dyDescent="0.2"/>
    <row r="1007" s="5" customFormat="1" ht="13.5" customHeight="1" x14ac:dyDescent="0.2"/>
    <row r="1008" s="5" customFormat="1" ht="13.5" customHeight="1" x14ac:dyDescent="0.2"/>
    <row r="1009" s="5" customFormat="1" ht="13.5" customHeight="1" x14ac:dyDescent="0.2"/>
    <row r="1010" s="5" customFormat="1" ht="13.5" customHeight="1" x14ac:dyDescent="0.2"/>
    <row r="1011" s="5" customFormat="1" ht="13.5" customHeight="1" x14ac:dyDescent="0.2"/>
    <row r="1012" s="5" customFormat="1" ht="13.5" customHeight="1" x14ac:dyDescent="0.2"/>
    <row r="1013" s="5" customFormat="1" ht="13.5" customHeight="1" x14ac:dyDescent="0.2"/>
    <row r="1014" s="5" customFormat="1" ht="13.5" customHeight="1" x14ac:dyDescent="0.2"/>
    <row r="1015" s="5" customFormat="1" ht="13.5" customHeight="1" x14ac:dyDescent="0.2"/>
    <row r="1016" s="5" customFormat="1" ht="13.5" customHeight="1" x14ac:dyDescent="0.2"/>
    <row r="1017" s="5" customFormat="1" ht="13.5" customHeight="1" x14ac:dyDescent="0.2"/>
    <row r="1018" s="5" customFormat="1" ht="13.5" customHeight="1" x14ac:dyDescent="0.2"/>
    <row r="1019" s="5" customFormat="1" ht="13.5" customHeight="1" x14ac:dyDescent="0.2"/>
    <row r="1020" s="5" customFormat="1" ht="13.5" customHeight="1" x14ac:dyDescent="0.2"/>
    <row r="1021" s="5" customFormat="1" ht="13.5" customHeight="1" x14ac:dyDescent="0.2"/>
    <row r="1022" s="5" customFormat="1" ht="13.5" customHeight="1" x14ac:dyDescent="0.2"/>
    <row r="1023" s="5" customFormat="1" ht="13.5" customHeight="1" x14ac:dyDescent="0.2"/>
    <row r="1024" s="5" customFormat="1" ht="13.5" customHeight="1" x14ac:dyDescent="0.2"/>
    <row r="1025" s="5" customFormat="1" ht="13.5" customHeight="1" x14ac:dyDescent="0.2"/>
    <row r="1026" s="5" customFormat="1" ht="13.5" customHeight="1" x14ac:dyDescent="0.2"/>
    <row r="1027" s="5" customFormat="1" ht="13.5" customHeight="1" x14ac:dyDescent="0.2"/>
    <row r="1028" s="5" customFormat="1" ht="13.5" customHeight="1" x14ac:dyDescent="0.2"/>
    <row r="1029" s="5" customFormat="1" ht="13.5" customHeight="1" x14ac:dyDescent="0.2"/>
    <row r="1030" s="5" customFormat="1" ht="13.5" customHeight="1" x14ac:dyDescent="0.2"/>
    <row r="1031" s="5" customFormat="1" ht="13.5" customHeight="1" x14ac:dyDescent="0.2"/>
    <row r="1032" s="5" customFormat="1" ht="13.5" customHeight="1" x14ac:dyDescent="0.2"/>
    <row r="1033" s="5" customFormat="1" ht="13.5" customHeight="1" x14ac:dyDescent="0.2"/>
    <row r="1034" s="5" customFormat="1" ht="13.5" customHeight="1" x14ac:dyDescent="0.2"/>
    <row r="1035" s="5" customFormat="1" ht="13.5" customHeight="1" x14ac:dyDescent="0.2"/>
    <row r="1036" s="5" customFormat="1" ht="13.5" customHeight="1" x14ac:dyDescent="0.2"/>
    <row r="1037" s="5" customFormat="1" ht="13.5" customHeight="1" x14ac:dyDescent="0.2"/>
    <row r="1038" s="5" customFormat="1" ht="13.5" customHeight="1" x14ac:dyDescent="0.2"/>
    <row r="1039" s="5" customFormat="1" ht="13.5" customHeight="1" x14ac:dyDescent="0.2"/>
    <row r="1040" s="5" customFormat="1" ht="13.5" customHeight="1" x14ac:dyDescent="0.2"/>
    <row r="1041" s="5" customFormat="1" ht="13.5" customHeight="1" x14ac:dyDescent="0.2"/>
    <row r="1042" s="5" customFormat="1" ht="13.5" customHeight="1" x14ac:dyDescent="0.2"/>
    <row r="1043" s="5" customFormat="1" ht="13.5" customHeight="1" x14ac:dyDescent="0.2"/>
    <row r="1044" s="5" customFormat="1" ht="13.5" customHeight="1" x14ac:dyDescent="0.2"/>
    <row r="1045" s="5" customFormat="1" ht="13.5" customHeight="1" x14ac:dyDescent="0.2"/>
    <row r="1046" s="5" customFormat="1" ht="13.5" customHeight="1" x14ac:dyDescent="0.2"/>
    <row r="1047" s="5" customFormat="1" ht="13.5" customHeight="1" x14ac:dyDescent="0.2"/>
    <row r="1048" s="5" customFormat="1" ht="13.5" customHeight="1" x14ac:dyDescent="0.2"/>
    <row r="1049" s="5" customFormat="1" ht="13.5" customHeight="1" x14ac:dyDescent="0.2"/>
    <row r="1050" s="5" customFormat="1" ht="13.5" customHeight="1" x14ac:dyDescent="0.2"/>
    <row r="1051" s="5" customFormat="1" ht="13.5" customHeight="1" x14ac:dyDescent="0.2"/>
    <row r="1052" s="5" customFormat="1" ht="13.5" customHeight="1" x14ac:dyDescent="0.2"/>
    <row r="1053" s="5" customFormat="1" ht="13.5" customHeight="1" x14ac:dyDescent="0.2"/>
    <row r="1054" s="5" customFormat="1" ht="13.5" customHeight="1" x14ac:dyDescent="0.2"/>
    <row r="1055" s="5" customFormat="1" ht="13.5" customHeight="1" x14ac:dyDescent="0.2"/>
    <row r="1056" s="5" customFormat="1" ht="13.5" customHeight="1" x14ac:dyDescent="0.2"/>
    <row r="1057" s="5" customFormat="1" ht="13.5" customHeight="1" x14ac:dyDescent="0.2"/>
    <row r="1058" s="5" customFormat="1" ht="13.5" customHeight="1" x14ac:dyDescent="0.2"/>
    <row r="1059" s="5" customFormat="1" ht="13.5" customHeight="1" x14ac:dyDescent="0.2"/>
    <row r="1060" s="5" customFormat="1" ht="13.5" customHeight="1" x14ac:dyDescent="0.2"/>
    <row r="1061" s="5" customFormat="1" ht="13.5" customHeight="1" x14ac:dyDescent="0.2"/>
    <row r="1062" s="5" customFormat="1" ht="13.5" customHeight="1" x14ac:dyDescent="0.2"/>
    <row r="1063" s="5" customFormat="1" ht="13.5" customHeight="1" x14ac:dyDescent="0.2"/>
    <row r="1064" s="5" customFormat="1" ht="13.5" customHeight="1" x14ac:dyDescent="0.2"/>
    <row r="1065" s="5" customFormat="1" ht="13.5" customHeight="1" x14ac:dyDescent="0.2"/>
    <row r="1066" s="5" customFormat="1" ht="13.5" customHeight="1" x14ac:dyDescent="0.2"/>
    <row r="1067" s="5" customFormat="1" ht="13.5" customHeight="1" x14ac:dyDescent="0.2"/>
    <row r="1068" s="5" customFormat="1" ht="13.5" customHeight="1" x14ac:dyDescent="0.2"/>
    <row r="1069" s="5" customFormat="1" ht="13.5" customHeight="1" x14ac:dyDescent="0.2"/>
    <row r="1070" s="5" customFormat="1" ht="13.5" customHeight="1" x14ac:dyDescent="0.2"/>
    <row r="1071" s="5" customFormat="1" ht="13.5" customHeight="1" x14ac:dyDescent="0.2"/>
    <row r="1072" s="5" customFormat="1" ht="13.5" customHeight="1" x14ac:dyDescent="0.2"/>
    <row r="1073" s="5" customFormat="1" ht="13.5" customHeight="1" x14ac:dyDescent="0.2"/>
    <row r="1074" s="5" customFormat="1" ht="13.5" customHeight="1" x14ac:dyDescent="0.2"/>
    <row r="1075" s="5" customFormat="1" ht="13.5" customHeight="1" x14ac:dyDescent="0.2"/>
    <row r="1076" s="5" customFormat="1" ht="13.5" customHeight="1" x14ac:dyDescent="0.2"/>
    <row r="1077" s="5" customFormat="1" ht="13.5" customHeight="1" x14ac:dyDescent="0.2"/>
    <row r="1078" s="5" customFormat="1" ht="13.5" customHeight="1" x14ac:dyDescent="0.2"/>
    <row r="1079" s="5" customFormat="1" ht="13.5" customHeight="1" x14ac:dyDescent="0.2"/>
    <row r="1080" s="5" customFormat="1" ht="13.5" customHeight="1" x14ac:dyDescent="0.2"/>
    <row r="1081" s="5" customFormat="1" ht="13.5" customHeight="1" x14ac:dyDescent="0.2"/>
    <row r="1082" s="5" customFormat="1" ht="13.5" customHeight="1" x14ac:dyDescent="0.2"/>
    <row r="1083" s="5" customFormat="1" ht="13.5" customHeight="1" x14ac:dyDescent="0.2"/>
    <row r="1084" s="5" customFormat="1" ht="13.5" customHeight="1" x14ac:dyDescent="0.2"/>
    <row r="1085" s="5" customFormat="1" ht="13.5" customHeight="1" x14ac:dyDescent="0.2"/>
    <row r="1086" s="5" customFormat="1" ht="13.5" customHeight="1" x14ac:dyDescent="0.2"/>
    <row r="1087" s="5" customFormat="1" ht="13.5" customHeight="1" x14ac:dyDescent="0.2"/>
    <row r="1088" s="5" customFormat="1" ht="13.5" customHeight="1" x14ac:dyDescent="0.2"/>
    <row r="1089" s="5" customFormat="1" ht="13.5" customHeight="1" x14ac:dyDescent="0.2"/>
    <row r="1090" s="5" customFormat="1" ht="13.5" customHeight="1" x14ac:dyDescent="0.2"/>
    <row r="1091" s="5" customFormat="1" ht="13.5" customHeight="1" x14ac:dyDescent="0.2"/>
    <row r="1092" s="5" customFormat="1" ht="13.5" customHeight="1" x14ac:dyDescent="0.2"/>
    <row r="1093" s="5" customFormat="1" ht="13.5" customHeight="1" x14ac:dyDescent="0.2"/>
    <row r="1094" s="5" customFormat="1" ht="13.5" customHeight="1" x14ac:dyDescent="0.2"/>
    <row r="1095" s="5" customFormat="1" ht="13.5" customHeight="1" x14ac:dyDescent="0.2"/>
    <row r="1096" s="5" customFormat="1" ht="13.5" customHeight="1" x14ac:dyDescent="0.2"/>
    <row r="1097" s="5" customFormat="1" ht="13.5" customHeight="1" x14ac:dyDescent="0.2"/>
    <row r="1098" s="5" customFormat="1" ht="13.5" customHeight="1" x14ac:dyDescent="0.2"/>
    <row r="1099" s="5" customFormat="1" ht="13.5" customHeight="1" x14ac:dyDescent="0.2"/>
    <row r="1100" s="5" customFormat="1" ht="13.5" customHeight="1" x14ac:dyDescent="0.2"/>
    <row r="1101" s="5" customFormat="1" ht="13.5" customHeight="1" x14ac:dyDescent="0.2"/>
    <row r="1102" s="5" customFormat="1" ht="13.5" customHeight="1" x14ac:dyDescent="0.2"/>
    <row r="1103" s="5" customFormat="1" ht="13.5" customHeight="1" x14ac:dyDescent="0.2"/>
    <row r="1104" s="5" customFormat="1" ht="13.5" customHeight="1" x14ac:dyDescent="0.2"/>
    <row r="1105" s="5" customFormat="1" ht="13.5" customHeight="1" x14ac:dyDescent="0.2"/>
    <row r="1106" s="5" customFormat="1" ht="13.5" customHeight="1" x14ac:dyDescent="0.2"/>
    <row r="1107" s="5" customFormat="1" ht="13.5" customHeight="1" x14ac:dyDescent="0.2"/>
    <row r="1108" s="5" customFormat="1" ht="13.5" customHeight="1" x14ac:dyDescent="0.2"/>
    <row r="1109" s="5" customFormat="1" ht="13.5" customHeight="1" x14ac:dyDescent="0.2"/>
    <row r="1110" s="5" customFormat="1" ht="13.5" customHeight="1" x14ac:dyDescent="0.2"/>
    <row r="1111" s="5" customFormat="1" ht="13.5" customHeight="1" x14ac:dyDescent="0.2"/>
    <row r="1112" s="5" customFormat="1" ht="13.5" customHeight="1" x14ac:dyDescent="0.2"/>
    <row r="1113" s="5" customFormat="1" ht="13.5" customHeight="1" x14ac:dyDescent="0.2"/>
    <row r="1114" s="5" customFormat="1" ht="13.5" customHeight="1" x14ac:dyDescent="0.2"/>
    <row r="1115" s="5" customFormat="1" ht="13.5" customHeight="1" x14ac:dyDescent="0.2"/>
    <row r="1116" s="5" customFormat="1" ht="13.5" customHeight="1" x14ac:dyDescent="0.2"/>
    <row r="1117" s="5" customFormat="1" ht="13.5" customHeight="1" x14ac:dyDescent="0.2"/>
    <row r="1118" s="5" customFormat="1" ht="13.5" customHeight="1" x14ac:dyDescent="0.2"/>
    <row r="1119" s="5" customFormat="1" ht="13.5" customHeight="1" x14ac:dyDescent="0.2"/>
    <row r="1120" s="5" customFormat="1" ht="13.5" customHeight="1" x14ac:dyDescent="0.2"/>
    <row r="1121" s="5" customFormat="1" ht="13.5" customHeight="1" x14ac:dyDescent="0.2"/>
    <row r="1122" s="5" customFormat="1" ht="13.5" customHeight="1" x14ac:dyDescent="0.2"/>
    <row r="1123" s="5" customFormat="1" ht="13.5" customHeight="1" x14ac:dyDescent="0.2"/>
    <row r="1124" s="5" customFormat="1" ht="13.5" customHeight="1" x14ac:dyDescent="0.2"/>
    <row r="1125" s="5" customFormat="1" ht="13.5" customHeight="1" x14ac:dyDescent="0.2"/>
    <row r="1126" s="5" customFormat="1" ht="13.5" customHeight="1" x14ac:dyDescent="0.2"/>
    <row r="1127" s="5" customFormat="1" ht="13.5" customHeight="1" x14ac:dyDescent="0.2"/>
    <row r="1128" s="5" customFormat="1" ht="13.5" customHeight="1" x14ac:dyDescent="0.2"/>
    <row r="1129" s="5" customFormat="1" ht="13.5" customHeight="1" x14ac:dyDescent="0.2"/>
    <row r="1130" s="5" customFormat="1" ht="13.5" customHeight="1" x14ac:dyDescent="0.2"/>
    <row r="1131" s="5" customFormat="1" ht="13.5" customHeight="1" x14ac:dyDescent="0.2"/>
    <row r="1132" s="5" customFormat="1" ht="13.5" customHeight="1" x14ac:dyDescent="0.2"/>
    <row r="1133" s="5" customFormat="1" ht="13.5" customHeight="1" x14ac:dyDescent="0.2"/>
    <row r="1134" s="5" customFormat="1" ht="13.5" customHeight="1" x14ac:dyDescent="0.2"/>
    <row r="1135" s="5" customFormat="1" ht="13.5" customHeight="1" x14ac:dyDescent="0.2"/>
    <row r="1136" s="5" customFormat="1" ht="13.5" customHeight="1" x14ac:dyDescent="0.2"/>
    <row r="1137" s="5" customFormat="1" ht="13.5" customHeight="1" x14ac:dyDescent="0.2"/>
    <row r="1138" s="5" customFormat="1" ht="13.5" customHeight="1" x14ac:dyDescent="0.2"/>
    <row r="1139" s="5" customFormat="1" ht="13.5" customHeight="1" x14ac:dyDescent="0.2"/>
    <row r="1140" s="5" customFormat="1" ht="13.5" customHeight="1" x14ac:dyDescent="0.2"/>
    <row r="1141" s="5" customFormat="1" ht="13.5" customHeight="1" x14ac:dyDescent="0.2"/>
    <row r="1142" s="5" customFormat="1" ht="13.5" customHeight="1" x14ac:dyDescent="0.2"/>
    <row r="1143" s="5" customFormat="1" ht="13.5" customHeight="1" x14ac:dyDescent="0.2"/>
    <row r="1144" s="5" customFormat="1" ht="13.5" customHeight="1" x14ac:dyDescent="0.2"/>
    <row r="1145" s="5" customFormat="1" ht="13.5" customHeight="1" x14ac:dyDescent="0.2"/>
    <row r="1146" s="5" customFormat="1" ht="13.5" customHeight="1" x14ac:dyDescent="0.2"/>
    <row r="1147" s="5" customFormat="1" ht="13.5" customHeight="1" x14ac:dyDescent="0.2"/>
    <row r="1148" s="5" customFormat="1" ht="13.5" customHeight="1" x14ac:dyDescent="0.2"/>
    <row r="1149" s="5" customFormat="1" ht="13.5" customHeight="1" x14ac:dyDescent="0.2"/>
    <row r="1150" s="5" customFormat="1" ht="13.5" customHeight="1" x14ac:dyDescent="0.2"/>
    <row r="1151" s="5" customFormat="1" ht="13.5" customHeight="1" x14ac:dyDescent="0.2"/>
    <row r="1152" s="5" customFormat="1" ht="13.5" customHeight="1" x14ac:dyDescent="0.2"/>
    <row r="1153" s="5" customFormat="1" ht="13.5" customHeight="1" x14ac:dyDescent="0.2"/>
    <row r="1154" s="5" customFormat="1" ht="13.5" customHeight="1" x14ac:dyDescent="0.2"/>
    <row r="1155" s="5" customFormat="1" ht="13.5" customHeight="1" x14ac:dyDescent="0.2"/>
    <row r="1156" s="5" customFormat="1" ht="13.5" customHeight="1" x14ac:dyDescent="0.2"/>
    <row r="1157" s="5" customFormat="1" ht="13.5" customHeight="1" x14ac:dyDescent="0.2"/>
    <row r="1158" s="5" customFormat="1" ht="13.5" customHeight="1" x14ac:dyDescent="0.2"/>
    <row r="1159" s="5" customFormat="1" ht="13.5" customHeight="1" x14ac:dyDescent="0.2"/>
    <row r="1160" s="5" customFormat="1" ht="13.5" customHeight="1" x14ac:dyDescent="0.2"/>
    <row r="1161" s="5" customFormat="1" ht="13.5" customHeight="1" x14ac:dyDescent="0.2"/>
    <row r="1162" s="5" customFormat="1" ht="13.5" customHeight="1" x14ac:dyDescent="0.2"/>
    <row r="1163" s="5" customFormat="1" ht="13.5" customHeight="1" x14ac:dyDescent="0.2"/>
    <row r="1164" s="5" customFormat="1" ht="13.5" customHeight="1" x14ac:dyDescent="0.2"/>
    <row r="1165" s="5" customFormat="1" ht="13.5" customHeight="1" x14ac:dyDescent="0.2"/>
    <row r="1166" s="5" customFormat="1" ht="13.5" customHeight="1" x14ac:dyDescent="0.2"/>
    <row r="1167" s="5" customFormat="1" ht="13.5" customHeight="1" x14ac:dyDescent="0.2"/>
    <row r="1168" s="5" customFormat="1" ht="13.5" customHeight="1" x14ac:dyDescent="0.2"/>
    <row r="1169" s="5" customFormat="1" ht="13.5" customHeight="1" x14ac:dyDescent="0.2"/>
    <row r="1170" s="5" customFormat="1" ht="13.5" customHeight="1" x14ac:dyDescent="0.2"/>
    <row r="1171" s="5" customFormat="1" ht="13.5" customHeight="1" x14ac:dyDescent="0.2"/>
    <row r="1172" s="5" customFormat="1" ht="13.5" customHeight="1" x14ac:dyDescent="0.2"/>
    <row r="1173" s="5" customFormat="1" ht="13.5" customHeight="1" x14ac:dyDescent="0.2"/>
    <row r="1174" s="5" customFormat="1" ht="13.5" customHeight="1" x14ac:dyDescent="0.2"/>
    <row r="1175" s="5" customFormat="1" ht="13.5" customHeight="1" x14ac:dyDescent="0.2"/>
    <row r="1176" s="5" customFormat="1" ht="13.5" customHeight="1" x14ac:dyDescent="0.2"/>
    <row r="1177" s="5" customFormat="1" ht="13.5" customHeight="1" x14ac:dyDescent="0.2"/>
    <row r="1178" s="5" customFormat="1" ht="13.5" customHeight="1" x14ac:dyDescent="0.2"/>
    <row r="1179" s="5" customFormat="1" ht="13.5" customHeight="1" x14ac:dyDescent="0.2"/>
    <row r="1180" s="5" customFormat="1" ht="13.5" customHeight="1" x14ac:dyDescent="0.2"/>
    <row r="1181" s="5" customFormat="1" ht="13.5" customHeight="1" x14ac:dyDescent="0.2"/>
    <row r="1182" s="5" customFormat="1" ht="13.5" customHeight="1" x14ac:dyDescent="0.2"/>
    <row r="1183" s="5" customFormat="1" ht="13.5" customHeight="1" x14ac:dyDescent="0.2"/>
    <row r="1184" s="5" customFormat="1" ht="13.5" customHeight="1" x14ac:dyDescent="0.2"/>
    <row r="1185" s="5" customFormat="1" ht="13.5" customHeight="1" x14ac:dyDescent="0.2"/>
    <row r="1186" s="5" customFormat="1" ht="13.5" customHeight="1" x14ac:dyDescent="0.2"/>
    <row r="1187" s="5" customFormat="1" ht="13.5" customHeight="1" x14ac:dyDescent="0.2"/>
    <row r="1188" s="5" customFormat="1" ht="13.5" customHeight="1" x14ac:dyDescent="0.2"/>
    <row r="1189" s="5" customFormat="1" ht="13.5" customHeight="1" x14ac:dyDescent="0.2"/>
    <row r="1190" s="5" customFormat="1" ht="13.5" customHeight="1" x14ac:dyDescent="0.2"/>
    <row r="1191" s="5" customFormat="1" ht="13.5" customHeight="1" x14ac:dyDescent="0.2"/>
    <row r="1192" s="5" customFormat="1" ht="13.5" customHeight="1" x14ac:dyDescent="0.2"/>
    <row r="1193" s="5" customFormat="1" ht="13.5" customHeight="1" x14ac:dyDescent="0.2"/>
    <row r="1194" s="5" customFormat="1" ht="13.5" customHeight="1" x14ac:dyDescent="0.2"/>
    <row r="1195" s="5" customFormat="1" ht="13.5" customHeight="1" x14ac:dyDescent="0.2"/>
    <row r="1196" s="5" customFormat="1" ht="13.5" customHeight="1" x14ac:dyDescent="0.2"/>
    <row r="1197" s="5" customFormat="1" ht="13.5" customHeight="1" x14ac:dyDescent="0.2"/>
    <row r="1198" s="5" customFormat="1" ht="13.5" customHeight="1" x14ac:dyDescent="0.2"/>
    <row r="1199" s="5" customFormat="1" ht="13.5" customHeight="1" x14ac:dyDescent="0.2"/>
    <row r="1200" s="5" customFormat="1" ht="13.5" customHeight="1" x14ac:dyDescent="0.2"/>
    <row r="1201" s="5" customFormat="1" ht="13.5" customHeight="1" x14ac:dyDescent="0.2"/>
    <row r="1202" s="5" customFormat="1" ht="13.5" customHeight="1" x14ac:dyDescent="0.2"/>
    <row r="1203" s="5" customFormat="1" ht="13.5" customHeight="1" x14ac:dyDescent="0.2"/>
    <row r="1204" s="5" customFormat="1" ht="13.5" customHeight="1" x14ac:dyDescent="0.2"/>
    <row r="1205" s="5" customFormat="1" ht="13.5" customHeight="1" x14ac:dyDescent="0.2"/>
    <row r="1206" s="5" customFormat="1" ht="13.5" customHeight="1" x14ac:dyDescent="0.2"/>
    <row r="1207" s="5" customFormat="1" ht="13.5" customHeight="1" x14ac:dyDescent="0.2"/>
    <row r="1208" s="5" customFormat="1" ht="13.5" customHeight="1" x14ac:dyDescent="0.2"/>
    <row r="1209" s="5" customFormat="1" ht="13.5" customHeight="1" x14ac:dyDescent="0.2"/>
    <row r="1210" s="5" customFormat="1" ht="13.5" customHeight="1" x14ac:dyDescent="0.2"/>
    <row r="1211" s="5" customFormat="1" ht="13.5" customHeight="1" x14ac:dyDescent="0.2"/>
    <row r="1212" s="5" customFormat="1" ht="13.5" customHeight="1" x14ac:dyDescent="0.2"/>
    <row r="1213" s="5" customFormat="1" ht="13.5" customHeight="1" x14ac:dyDescent="0.2"/>
    <row r="1214" s="5" customFormat="1" ht="13.5" customHeight="1" x14ac:dyDescent="0.2"/>
    <row r="1215" s="5" customFormat="1" ht="13.5" customHeight="1" x14ac:dyDescent="0.2"/>
    <row r="1216" s="5" customFormat="1" ht="13.5" customHeight="1" x14ac:dyDescent="0.2"/>
    <row r="1217" s="5" customFormat="1" ht="13.5" customHeight="1" x14ac:dyDescent="0.2"/>
    <row r="1218" s="5" customFormat="1" ht="13.5" customHeight="1" x14ac:dyDescent="0.2"/>
    <row r="1219" s="5" customFormat="1" ht="13.5" customHeight="1" x14ac:dyDescent="0.2"/>
    <row r="1220" s="5" customFormat="1" ht="13.5" customHeight="1" x14ac:dyDescent="0.2"/>
    <row r="1221" s="5" customFormat="1" ht="13.5" customHeight="1" x14ac:dyDescent="0.2"/>
    <row r="1222" s="5" customFormat="1" ht="13.5" customHeight="1" x14ac:dyDescent="0.2"/>
    <row r="1223" s="5" customFormat="1" ht="13.5" customHeight="1" x14ac:dyDescent="0.2"/>
    <row r="1224" s="5" customFormat="1" ht="13.5" customHeight="1" x14ac:dyDescent="0.2"/>
    <row r="1225" s="5" customFormat="1" ht="13.5" customHeight="1" x14ac:dyDescent="0.2"/>
    <row r="1226" s="5" customFormat="1" ht="13.5" customHeight="1" x14ac:dyDescent="0.2"/>
    <row r="1227" s="5" customFormat="1" ht="13.5" customHeight="1" x14ac:dyDescent="0.2"/>
    <row r="1228" s="5" customFormat="1" ht="13.5" customHeight="1" x14ac:dyDescent="0.2"/>
    <row r="1229" s="5" customFormat="1" ht="13.5" customHeight="1" x14ac:dyDescent="0.2"/>
    <row r="1230" s="5" customFormat="1" ht="13.5" customHeight="1" x14ac:dyDescent="0.2"/>
    <row r="1231" s="5" customFormat="1" ht="13.5" customHeight="1" x14ac:dyDescent="0.2"/>
    <row r="1232" s="5" customFormat="1" ht="13.5" customHeight="1" x14ac:dyDescent="0.2"/>
    <row r="1233" s="5" customFormat="1" ht="13.5" customHeight="1" x14ac:dyDescent="0.2"/>
    <row r="1234" s="5" customFormat="1" ht="13.5" customHeight="1" x14ac:dyDescent="0.2"/>
    <row r="1235" s="5" customFormat="1" ht="13.5" customHeight="1" x14ac:dyDescent="0.2"/>
    <row r="1236" s="5" customFormat="1" ht="13.5" customHeight="1" x14ac:dyDescent="0.2"/>
    <row r="1237" s="5" customFormat="1" ht="13.5" customHeight="1" x14ac:dyDescent="0.2"/>
    <row r="1238" s="5" customFormat="1" ht="13.5" customHeight="1" x14ac:dyDescent="0.2"/>
    <row r="1239" s="5" customFormat="1" ht="13.5" customHeight="1" x14ac:dyDescent="0.2"/>
    <row r="1240" s="5" customFormat="1" ht="13.5" customHeight="1" x14ac:dyDescent="0.2"/>
    <row r="1241" s="5" customFormat="1" ht="13.5" customHeight="1" x14ac:dyDescent="0.2"/>
    <row r="1242" s="5" customFormat="1" ht="13.5" customHeight="1" x14ac:dyDescent="0.2"/>
    <row r="1243" s="5" customFormat="1" ht="13.5" customHeight="1" x14ac:dyDescent="0.2"/>
    <row r="1244" s="5" customFormat="1" ht="13.5" customHeight="1" x14ac:dyDescent="0.2"/>
    <row r="1245" s="5" customFormat="1" ht="13.5" customHeight="1" x14ac:dyDescent="0.2"/>
    <row r="1246" s="5" customFormat="1" ht="13.5" customHeight="1" x14ac:dyDescent="0.2"/>
    <row r="1247" s="5" customFormat="1" ht="13.5" customHeight="1" x14ac:dyDescent="0.2"/>
    <row r="1248" s="5" customFormat="1" ht="13.5" customHeight="1" x14ac:dyDescent="0.2"/>
    <row r="1249" s="5" customFormat="1" ht="13.5" customHeight="1" x14ac:dyDescent="0.2"/>
    <row r="1250" s="5" customFormat="1" ht="13.5" customHeight="1" x14ac:dyDescent="0.2"/>
    <row r="1251" s="5" customFormat="1" ht="13.5" customHeight="1" x14ac:dyDescent="0.2"/>
    <row r="1252" s="5" customFormat="1" ht="13.5" customHeight="1" x14ac:dyDescent="0.2"/>
    <row r="1253" s="5" customFormat="1" ht="13.5" customHeight="1" x14ac:dyDescent="0.2"/>
    <row r="1254" s="5" customFormat="1" ht="13.5" customHeight="1" x14ac:dyDescent="0.2"/>
    <row r="1255" s="5" customFormat="1" ht="13.5" customHeight="1" x14ac:dyDescent="0.2"/>
    <row r="1256" s="5" customFormat="1" ht="13.5" customHeight="1" x14ac:dyDescent="0.2"/>
    <row r="1257" s="5" customFormat="1" ht="13.5" customHeight="1" x14ac:dyDescent="0.2"/>
    <row r="1258" s="5" customFormat="1" ht="13.5" customHeight="1" x14ac:dyDescent="0.2"/>
    <row r="1259" s="5" customFormat="1" ht="13.5" customHeight="1" x14ac:dyDescent="0.2"/>
    <row r="1260" s="5" customFormat="1" ht="13.5" customHeight="1" x14ac:dyDescent="0.2"/>
    <row r="1261" s="5" customFormat="1" ht="13.5" customHeight="1" x14ac:dyDescent="0.2"/>
    <row r="1262" s="5" customFormat="1" ht="13.5" customHeight="1" x14ac:dyDescent="0.2"/>
    <row r="1263" s="5" customFormat="1" ht="13.5" customHeight="1" x14ac:dyDescent="0.2"/>
    <row r="1264" s="5" customFormat="1" ht="13.5" customHeight="1" x14ac:dyDescent="0.2"/>
    <row r="1265" s="5" customFormat="1" ht="13.5" customHeight="1" x14ac:dyDescent="0.2"/>
    <row r="1266" s="5" customFormat="1" ht="13.5" customHeight="1" x14ac:dyDescent="0.2"/>
    <row r="1267" s="5" customFormat="1" ht="13.5" customHeight="1" x14ac:dyDescent="0.2"/>
    <row r="1268" s="5" customFormat="1" ht="13.5" customHeight="1" x14ac:dyDescent="0.2"/>
    <row r="1269" s="5" customFormat="1" ht="13.5" customHeight="1" x14ac:dyDescent="0.2"/>
    <row r="1270" s="5" customFormat="1" ht="13.5" customHeight="1" x14ac:dyDescent="0.2"/>
    <row r="1271" s="5" customFormat="1" ht="13.5" customHeight="1" x14ac:dyDescent="0.2"/>
    <row r="1272" s="5" customFormat="1" ht="13.5" customHeight="1" x14ac:dyDescent="0.2"/>
    <row r="1273" s="5" customFormat="1" ht="13.5" customHeight="1" x14ac:dyDescent="0.2"/>
    <row r="1274" s="5" customFormat="1" ht="13.5" customHeight="1" x14ac:dyDescent="0.2"/>
    <row r="1275" s="5" customFormat="1" ht="13.5" customHeight="1" x14ac:dyDescent="0.2"/>
    <row r="1276" s="5" customFormat="1" ht="13.5" customHeight="1" x14ac:dyDescent="0.2"/>
    <row r="1277" s="5" customFormat="1" ht="13.5" customHeight="1" x14ac:dyDescent="0.2"/>
    <row r="1278" s="5" customFormat="1" ht="13.5" customHeight="1" x14ac:dyDescent="0.2"/>
    <row r="1279" s="5" customFormat="1" ht="13.5" customHeight="1" x14ac:dyDescent="0.2"/>
    <row r="1280" s="5" customFormat="1" ht="13.5" customHeight="1" x14ac:dyDescent="0.2"/>
    <row r="1281" s="5" customFormat="1" ht="13.5" customHeight="1" x14ac:dyDescent="0.2"/>
    <row r="1282" s="5" customFormat="1" ht="13.5" customHeight="1" x14ac:dyDescent="0.2"/>
    <row r="1283" s="5" customFormat="1" ht="13.5" customHeight="1" x14ac:dyDescent="0.2"/>
    <row r="1284" s="5" customFormat="1" ht="13.5" customHeight="1" x14ac:dyDescent="0.2"/>
    <row r="1285" s="5" customFormat="1" ht="13.5" customHeight="1" x14ac:dyDescent="0.2"/>
    <row r="1286" s="5" customFormat="1" ht="13.5" customHeight="1" x14ac:dyDescent="0.2"/>
    <row r="1287" s="5" customFormat="1" ht="13.5" customHeight="1" x14ac:dyDescent="0.2"/>
    <row r="1288" s="5" customFormat="1" ht="13.5" customHeight="1" x14ac:dyDescent="0.2"/>
    <row r="1289" s="5" customFormat="1" ht="13.5" customHeight="1" x14ac:dyDescent="0.2"/>
    <row r="1290" s="5" customFormat="1" ht="13.5" customHeight="1" x14ac:dyDescent="0.2"/>
    <row r="1291" s="5" customFormat="1" ht="13.5" customHeight="1" x14ac:dyDescent="0.2"/>
    <row r="1292" s="5" customFormat="1" ht="13.5" customHeight="1" x14ac:dyDescent="0.2"/>
    <row r="1293" s="5" customFormat="1" ht="13.5" customHeight="1" x14ac:dyDescent="0.2"/>
    <row r="1294" s="5" customFormat="1" ht="13.5" customHeight="1" x14ac:dyDescent="0.2"/>
    <row r="1295" s="5" customFormat="1" ht="13.5" customHeight="1" x14ac:dyDescent="0.2"/>
    <row r="1296" s="5" customFormat="1" ht="13.5" customHeight="1" x14ac:dyDescent="0.2"/>
    <row r="1297" s="5" customFormat="1" ht="13.5" customHeight="1" x14ac:dyDescent="0.2"/>
    <row r="1298" s="5" customFormat="1" ht="13.5" customHeight="1" x14ac:dyDescent="0.2"/>
    <row r="1299" s="5" customFormat="1" ht="13.5" customHeight="1" x14ac:dyDescent="0.2"/>
    <row r="1300" s="5" customFormat="1" ht="13.5" customHeight="1" x14ac:dyDescent="0.2"/>
    <row r="1301" s="5" customFormat="1" ht="13.5" customHeight="1" x14ac:dyDescent="0.2"/>
    <row r="1302" s="5" customFormat="1" ht="13.5" customHeight="1" x14ac:dyDescent="0.2"/>
    <row r="1303" s="5" customFormat="1" ht="13.5" customHeight="1" x14ac:dyDescent="0.2"/>
    <row r="1304" s="5" customFormat="1" ht="13.5" customHeight="1" x14ac:dyDescent="0.2"/>
    <row r="1305" s="5" customFormat="1" ht="13.5" customHeight="1" x14ac:dyDescent="0.2"/>
    <row r="1306" s="5" customFormat="1" ht="13.5" customHeight="1" x14ac:dyDescent="0.2"/>
    <row r="1307" s="5" customFormat="1" ht="13.5" customHeight="1" x14ac:dyDescent="0.2"/>
    <row r="1308" s="5" customFormat="1" ht="13.5" customHeight="1" x14ac:dyDescent="0.2"/>
    <row r="1309" s="5" customFormat="1" ht="13.5" customHeight="1" x14ac:dyDescent="0.2"/>
    <row r="1310" s="5" customFormat="1" ht="13.5" customHeight="1" x14ac:dyDescent="0.2"/>
    <row r="1311" s="5" customFormat="1" ht="13.5" customHeight="1" x14ac:dyDescent="0.2"/>
    <row r="1312" s="5" customFormat="1" ht="13.5" customHeight="1" x14ac:dyDescent="0.2"/>
    <row r="1313" s="5" customFormat="1" ht="13.5" customHeight="1" x14ac:dyDescent="0.2"/>
    <row r="1314" s="5" customFormat="1" ht="13.5" customHeight="1" x14ac:dyDescent="0.2"/>
    <row r="1315" s="5" customFormat="1" ht="13.5" customHeight="1" x14ac:dyDescent="0.2"/>
    <row r="1316" s="5" customFormat="1" ht="13.5" customHeight="1" x14ac:dyDescent="0.2"/>
    <row r="1317" s="5" customFormat="1" ht="13.5" customHeight="1" x14ac:dyDescent="0.2"/>
    <row r="1318" s="5" customFormat="1" ht="13.5" customHeight="1" x14ac:dyDescent="0.2"/>
    <row r="1319" s="5" customFormat="1" ht="13.5" customHeight="1" x14ac:dyDescent="0.2"/>
    <row r="1320" s="5" customFormat="1" ht="13.5" customHeight="1" x14ac:dyDescent="0.2"/>
    <row r="1321" s="5" customFormat="1" ht="13.5" customHeight="1" x14ac:dyDescent="0.2"/>
    <row r="1322" s="5" customFormat="1" ht="13.5" customHeight="1" x14ac:dyDescent="0.2"/>
    <row r="1323" s="5" customFormat="1" ht="13.5" customHeight="1" x14ac:dyDescent="0.2"/>
    <row r="1324" s="5" customFormat="1" ht="13.5" customHeight="1" x14ac:dyDescent="0.2"/>
    <row r="1325" s="5" customFormat="1" ht="13.5" customHeight="1" x14ac:dyDescent="0.2"/>
    <row r="1326" s="5" customFormat="1" ht="13.5" customHeight="1" x14ac:dyDescent="0.2"/>
    <row r="1327" s="5" customFormat="1" ht="13.5" customHeight="1" x14ac:dyDescent="0.2"/>
    <row r="1328" s="5" customFormat="1" ht="13.5" customHeight="1" x14ac:dyDescent="0.2"/>
    <row r="1329" s="5" customFormat="1" ht="13.5" customHeight="1" x14ac:dyDescent="0.2"/>
    <row r="1330" s="5" customFormat="1" ht="13.5" customHeight="1" x14ac:dyDescent="0.2"/>
    <row r="1331" s="5" customFormat="1" ht="13.5" customHeight="1" x14ac:dyDescent="0.2"/>
    <row r="1332" s="5" customFormat="1" ht="13.5" customHeight="1" x14ac:dyDescent="0.2"/>
    <row r="1333" s="5" customFormat="1" ht="13.5" customHeight="1" x14ac:dyDescent="0.2"/>
    <row r="1334" s="5" customFormat="1" ht="13.5" customHeight="1" x14ac:dyDescent="0.2"/>
    <row r="1335" s="5" customFormat="1" ht="13.5" customHeight="1" x14ac:dyDescent="0.2"/>
    <row r="1336" s="5" customFormat="1" ht="13.5" customHeight="1" x14ac:dyDescent="0.2"/>
    <row r="1337" s="5" customFormat="1" ht="13.5" customHeight="1" x14ac:dyDescent="0.2"/>
    <row r="1338" s="5" customFormat="1" ht="13.5" customHeight="1" x14ac:dyDescent="0.2"/>
    <row r="1339" s="5" customFormat="1" ht="13.5" customHeight="1" x14ac:dyDescent="0.2"/>
    <row r="1340" s="5" customFormat="1" ht="13.5" customHeight="1" x14ac:dyDescent="0.2"/>
    <row r="1341" s="5" customFormat="1" ht="13.5" customHeight="1" x14ac:dyDescent="0.2"/>
    <row r="1342" s="5" customFormat="1" ht="13.5" customHeight="1" x14ac:dyDescent="0.2"/>
    <row r="1343" s="5" customFormat="1" ht="13.5" customHeight="1" x14ac:dyDescent="0.2"/>
    <row r="1344" s="5" customFormat="1" ht="13.5" customHeight="1" x14ac:dyDescent="0.2"/>
    <row r="1345" s="5" customFormat="1" ht="13.5" customHeight="1" x14ac:dyDescent="0.2"/>
    <row r="1346" s="5" customFormat="1" ht="13.5" customHeight="1" x14ac:dyDescent="0.2"/>
    <row r="1347" s="5" customFormat="1" ht="13.5" customHeight="1" x14ac:dyDescent="0.2"/>
    <row r="1348" s="5" customFormat="1" ht="13.5" customHeight="1" x14ac:dyDescent="0.2"/>
    <row r="1349" s="5" customFormat="1" ht="13.5" customHeight="1" x14ac:dyDescent="0.2"/>
    <row r="1350" s="5" customFormat="1" ht="13.5" customHeight="1" x14ac:dyDescent="0.2"/>
    <row r="1351" s="5" customFormat="1" ht="13.5" customHeight="1" x14ac:dyDescent="0.2"/>
    <row r="1352" s="5" customFormat="1" ht="13.5" customHeight="1" x14ac:dyDescent="0.2"/>
    <row r="1353" s="5" customFormat="1" ht="13.5" customHeight="1" x14ac:dyDescent="0.2"/>
    <row r="1354" s="5" customFormat="1" ht="13.5" customHeight="1" x14ac:dyDescent="0.2"/>
    <row r="1355" s="5" customFormat="1" ht="13.5" customHeight="1" x14ac:dyDescent="0.2"/>
    <row r="1356" s="5" customFormat="1" ht="13.5" customHeight="1" x14ac:dyDescent="0.2"/>
    <row r="1357" s="5" customFormat="1" ht="13.5" customHeight="1" x14ac:dyDescent="0.2"/>
    <row r="1358" s="5" customFormat="1" ht="13.5" customHeight="1" x14ac:dyDescent="0.2"/>
    <row r="1359" s="5" customFormat="1" ht="13.5" customHeight="1" x14ac:dyDescent="0.2"/>
    <row r="1360" s="5" customFormat="1" ht="13.5" customHeight="1" x14ac:dyDescent="0.2"/>
    <row r="1361" s="5" customFormat="1" ht="13.5" customHeight="1" x14ac:dyDescent="0.2"/>
    <row r="1362" s="5" customFormat="1" ht="13.5" customHeight="1" x14ac:dyDescent="0.2"/>
    <row r="1363" s="5" customFormat="1" ht="13.5" customHeight="1" x14ac:dyDescent="0.2"/>
    <row r="1364" s="5" customFormat="1" ht="13.5" customHeight="1" x14ac:dyDescent="0.2"/>
    <row r="1365" s="5" customFormat="1" ht="13.5" customHeight="1" x14ac:dyDescent="0.2"/>
    <row r="1366" s="5" customFormat="1" ht="13.5" customHeight="1" x14ac:dyDescent="0.2"/>
    <row r="1367" s="5" customFormat="1" ht="13.5" customHeight="1" x14ac:dyDescent="0.2"/>
    <row r="1368" s="5" customFormat="1" ht="13.5" customHeight="1" x14ac:dyDescent="0.2"/>
    <row r="1369" s="5" customFormat="1" ht="13.5" customHeight="1" x14ac:dyDescent="0.2"/>
    <row r="1370" s="5" customFormat="1" ht="13.5" customHeight="1" x14ac:dyDescent="0.2"/>
    <row r="1371" s="5" customFormat="1" ht="13.5" customHeight="1" x14ac:dyDescent="0.2"/>
    <row r="1372" s="5" customFormat="1" ht="13.5" customHeight="1" x14ac:dyDescent="0.2"/>
    <row r="1373" s="5" customFormat="1" ht="13.5" customHeight="1" x14ac:dyDescent="0.2"/>
    <row r="1374" s="5" customFormat="1" ht="13.5" customHeight="1" x14ac:dyDescent="0.2"/>
    <row r="1375" s="5" customFormat="1" ht="13.5" customHeight="1" x14ac:dyDescent="0.2"/>
    <row r="1376" s="5" customFormat="1" ht="13.5" customHeight="1" x14ac:dyDescent="0.2"/>
    <row r="1377" s="5" customFormat="1" ht="13.5" customHeight="1" x14ac:dyDescent="0.2"/>
    <row r="1378" s="5" customFormat="1" ht="13.5" customHeight="1" x14ac:dyDescent="0.2"/>
    <row r="1379" s="5" customFormat="1" ht="13.5" customHeight="1" x14ac:dyDescent="0.2"/>
    <row r="1380" s="5" customFormat="1" ht="13.5" customHeight="1" x14ac:dyDescent="0.2"/>
    <row r="1381" s="5" customFormat="1" ht="13.5" customHeight="1" x14ac:dyDescent="0.2"/>
    <row r="1382" s="5" customFormat="1" ht="13.5" customHeight="1" x14ac:dyDescent="0.2"/>
    <row r="1383" s="5" customFormat="1" ht="13.5" customHeight="1" x14ac:dyDescent="0.2"/>
    <row r="1384" s="5" customFormat="1" ht="13.5" customHeight="1" x14ac:dyDescent="0.2"/>
    <row r="1385" s="5" customFormat="1" ht="13.5" customHeight="1" x14ac:dyDescent="0.2"/>
    <row r="1386" s="5" customFormat="1" ht="13.5" customHeight="1" x14ac:dyDescent="0.2"/>
    <row r="1387" s="5" customFormat="1" ht="13.5" customHeight="1" x14ac:dyDescent="0.2"/>
    <row r="1388" s="5" customFormat="1" ht="13.5" customHeight="1" x14ac:dyDescent="0.2"/>
    <row r="1389" s="5" customFormat="1" ht="13.5" customHeight="1" x14ac:dyDescent="0.2"/>
    <row r="1390" s="5" customFormat="1" ht="13.5" customHeight="1" x14ac:dyDescent="0.2"/>
    <row r="1391" s="5" customFormat="1" ht="13.5" customHeight="1" x14ac:dyDescent="0.2"/>
    <row r="1392" s="5" customFormat="1" ht="13.5" customHeight="1" x14ac:dyDescent="0.2"/>
    <row r="1393" s="5" customFormat="1" ht="13.5" customHeight="1" x14ac:dyDescent="0.2"/>
    <row r="1394" s="5" customFormat="1" ht="13.5" customHeight="1" x14ac:dyDescent="0.2"/>
    <row r="1395" s="5" customFormat="1" ht="13.5" customHeight="1" x14ac:dyDescent="0.2"/>
    <row r="1396" s="5" customFormat="1" ht="13.5" customHeight="1" x14ac:dyDescent="0.2"/>
    <row r="1397" s="5" customFormat="1" ht="13.5" customHeight="1" x14ac:dyDescent="0.2"/>
    <row r="1398" s="5" customFormat="1" ht="13.5" customHeight="1" x14ac:dyDescent="0.2"/>
    <row r="1399" s="5" customFormat="1" ht="13.5" customHeight="1" x14ac:dyDescent="0.2"/>
    <row r="1400" s="5" customFormat="1" ht="13.5" customHeight="1" x14ac:dyDescent="0.2"/>
    <row r="1401" s="5" customFormat="1" ht="13.5" customHeight="1" x14ac:dyDescent="0.2"/>
    <row r="1402" s="5" customFormat="1" ht="13.5" customHeight="1" x14ac:dyDescent="0.2"/>
    <row r="1403" s="5" customFormat="1" ht="13.5" customHeight="1" x14ac:dyDescent="0.2"/>
    <row r="1404" s="5" customFormat="1" ht="13.5" customHeight="1" x14ac:dyDescent="0.2"/>
    <row r="1405" s="5" customFormat="1" ht="13.5" customHeight="1" x14ac:dyDescent="0.2"/>
    <row r="1406" s="5" customFormat="1" ht="13.5" customHeight="1" x14ac:dyDescent="0.2"/>
    <row r="1407" s="5" customFormat="1" ht="13.5" customHeight="1" x14ac:dyDescent="0.2"/>
    <row r="1408" s="5" customFormat="1" ht="13.5" customHeight="1" x14ac:dyDescent="0.2"/>
    <row r="1409" s="5" customFormat="1" ht="13.5" customHeight="1" x14ac:dyDescent="0.2"/>
    <row r="1410" s="5" customFormat="1" ht="13.5" customHeight="1" x14ac:dyDescent="0.2"/>
    <row r="1411" s="5" customFormat="1" ht="13.5" customHeight="1" x14ac:dyDescent="0.2"/>
    <row r="1412" s="5" customFormat="1" ht="13.5" customHeight="1" x14ac:dyDescent="0.2"/>
    <row r="1413" s="5" customFormat="1" ht="13.5" customHeight="1" x14ac:dyDescent="0.2"/>
    <row r="1414" s="5" customFormat="1" ht="13.5" customHeight="1" x14ac:dyDescent="0.2"/>
    <row r="1415" s="5" customFormat="1" ht="13.5" customHeight="1" x14ac:dyDescent="0.2"/>
    <row r="1416" s="5" customFormat="1" ht="13.5" customHeight="1" x14ac:dyDescent="0.2"/>
    <row r="1417" s="5" customFormat="1" ht="13.5" customHeight="1" x14ac:dyDescent="0.2"/>
    <row r="1418" s="5" customFormat="1" ht="13.5" customHeight="1" x14ac:dyDescent="0.2"/>
    <row r="1419" s="5" customFormat="1" ht="13.5" customHeight="1" x14ac:dyDescent="0.2"/>
    <row r="1420" s="5" customFormat="1" ht="13.5" customHeight="1" x14ac:dyDescent="0.2"/>
    <row r="1421" s="5" customFormat="1" ht="13.5" customHeight="1" x14ac:dyDescent="0.2"/>
    <row r="1422" s="5" customFormat="1" ht="13.5" customHeight="1" x14ac:dyDescent="0.2"/>
    <row r="1423" s="5" customFormat="1" ht="13.5" customHeight="1" x14ac:dyDescent="0.2"/>
    <row r="1424" s="5" customFormat="1" ht="13.5" customHeight="1" x14ac:dyDescent="0.2"/>
    <row r="1425" s="5" customFormat="1" ht="13.5" customHeight="1" x14ac:dyDescent="0.2"/>
    <row r="1426" s="5" customFormat="1" ht="13.5" customHeight="1" x14ac:dyDescent="0.2"/>
    <row r="1427" s="5" customFormat="1" ht="13.5" customHeight="1" x14ac:dyDescent="0.2"/>
    <row r="1428" s="5" customFormat="1" ht="13.5" customHeight="1" x14ac:dyDescent="0.2"/>
    <row r="1429" s="5" customFormat="1" ht="13.5" customHeight="1" x14ac:dyDescent="0.2"/>
    <row r="1430" s="5" customFormat="1" ht="13.5" customHeight="1" x14ac:dyDescent="0.2"/>
    <row r="1431" s="5" customFormat="1" ht="13.5" customHeight="1" x14ac:dyDescent="0.2"/>
    <row r="1432" s="5" customFormat="1" ht="13.5" customHeight="1" x14ac:dyDescent="0.2"/>
    <row r="1433" s="5" customFormat="1" ht="13.5" customHeight="1" x14ac:dyDescent="0.2"/>
    <row r="1434" s="5" customFormat="1" ht="13.5" customHeight="1" x14ac:dyDescent="0.2"/>
    <row r="1435" s="5" customFormat="1" ht="13.5" customHeight="1" x14ac:dyDescent="0.2"/>
    <row r="1436" s="5" customFormat="1" ht="13.5" customHeight="1" x14ac:dyDescent="0.2"/>
    <row r="1437" s="5" customFormat="1" ht="13.5" customHeight="1" x14ac:dyDescent="0.2"/>
    <row r="1438" s="5" customFormat="1" ht="13.5" customHeight="1" x14ac:dyDescent="0.2"/>
    <row r="1439" s="5" customFormat="1" ht="13.5" customHeight="1" x14ac:dyDescent="0.2"/>
    <row r="1440" s="5" customFormat="1" ht="13.5" customHeight="1" x14ac:dyDescent="0.2"/>
    <row r="1441" s="5" customFormat="1" ht="13.5" customHeight="1" x14ac:dyDescent="0.2"/>
    <row r="1442" s="5" customFormat="1" ht="13.5" customHeight="1" x14ac:dyDescent="0.2"/>
    <row r="1443" s="5" customFormat="1" ht="13.5" customHeight="1" x14ac:dyDescent="0.2"/>
    <row r="1444" s="5" customFormat="1" ht="13.5" customHeight="1" x14ac:dyDescent="0.2"/>
    <row r="1445" s="5" customFormat="1" ht="13.5" customHeight="1" x14ac:dyDescent="0.2"/>
  </sheetData>
  <phoneticPr fontId="25" type="noConversion"/>
  <conditionalFormatting sqref="J44">
    <cfRule type="cellIs" dxfId="13" priority="3" stopIfTrue="1" operator="lessThan">
      <formula>0</formula>
    </cfRule>
    <cfRule type="cellIs" dxfId="12" priority="4" stopIfTrue="1" operator="greaterThan">
      <formula>0</formula>
    </cfRule>
  </conditionalFormatting>
  <conditionalFormatting sqref="J45">
    <cfRule type="cellIs" dxfId="11" priority="1" stopIfTrue="1" operator="lessThan">
      <formula>0</formula>
    </cfRule>
    <cfRule type="cellIs" dxfId="10" priority="2" stopIfTrue="1" operator="greaterThan">
      <formula>0</formula>
    </cfRule>
  </conditionalFormatting>
  <conditionalFormatting sqref="J4:J34">
    <cfRule type="cellIs" dxfId="9" priority="13" stopIfTrue="1" operator="lessThan">
      <formula>0</formula>
    </cfRule>
    <cfRule type="cellIs" dxfId="8" priority="14" stopIfTrue="1" operator="greaterThan">
      <formula>0</formula>
    </cfRule>
  </conditionalFormatting>
  <conditionalFormatting sqref="J35:J36">
    <cfRule type="cellIs" dxfId="7" priority="11" stopIfTrue="1" operator="lessThan">
      <formula>0</formula>
    </cfRule>
    <cfRule type="cellIs" dxfId="6" priority="12" stopIfTrue="1" operator="greaterThan">
      <formula>0</formula>
    </cfRule>
  </conditionalFormatting>
  <conditionalFormatting sqref="J37 J46">
    <cfRule type="cellIs" dxfId="5" priority="9" stopIfTrue="1" operator="lessThan">
      <formula>0</formula>
    </cfRule>
    <cfRule type="cellIs" dxfId="4" priority="10" stopIfTrue="1" operator="greaterThan">
      <formula>0</formula>
    </cfRule>
  </conditionalFormatting>
  <conditionalFormatting sqref="J38:J42">
    <cfRule type="cellIs" dxfId="3" priority="7" stopIfTrue="1" operator="lessThan">
      <formula>0</formula>
    </cfRule>
    <cfRule type="cellIs" dxfId="2" priority="8" stopIfTrue="1" operator="greaterThan">
      <formula>0</formula>
    </cfRule>
  </conditionalFormatting>
  <conditionalFormatting sqref="J43">
    <cfRule type="cellIs" dxfId="1" priority="5" stopIfTrue="1" operator="lessThan">
      <formula>0</formula>
    </cfRule>
    <cfRule type="cellIs" dxfId="0" priority="6" stopIfTrue="1" operator="greaterThan">
      <formula>0</formula>
    </cfRule>
  </conditionalFormatting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17" r:id="rId4" name="Button 549">
              <controlPr defaultSize="0" print="0" autoFill="0" autoPict="0" macro="[0]!VirarDia">
                <anchor moveWithCells="1" sizeWithCells="1">
                  <from>
                    <xdr:col>8</xdr:col>
                    <xdr:colOff>66675</xdr:colOff>
                    <xdr:row>0</xdr:row>
                    <xdr:rowOff>47625</xdr:rowOff>
                  </from>
                  <to>
                    <xdr:col>9</xdr:col>
                    <xdr:colOff>180975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9" r:id="rId5" name="Button 551">
              <controlPr defaultSize="0" print="0" autoFill="0" autoPict="0" macro="[0]!Inclinação">
                <anchor moveWithCells="1" sizeWithCells="1">
                  <from>
                    <xdr:col>13</xdr:col>
                    <xdr:colOff>171450</xdr:colOff>
                    <xdr:row>0</xdr:row>
                    <xdr:rowOff>57150</xdr:rowOff>
                  </from>
                  <to>
                    <xdr:col>14</xdr:col>
                    <xdr:colOff>381000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2" r:id="rId6" name="Button 554">
              <controlPr defaultSize="0" print="0" autoFill="0" autoPict="0" macro="[17]!Inclinação">
                <anchor moveWithCells="1" sizeWithCells="1">
                  <from>
                    <xdr:col>13</xdr:col>
                    <xdr:colOff>171450</xdr:colOff>
                    <xdr:row>0</xdr:row>
                    <xdr:rowOff>57150</xdr:rowOff>
                  </from>
                  <to>
                    <xdr:col>14</xdr:col>
                    <xdr:colOff>381000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pageSetUpPr fitToPage="1"/>
  </sheetPr>
  <dimension ref="A1:AV380"/>
  <sheetViews>
    <sheetView topLeftCell="A62" zoomScale="70" zoomScaleNormal="70" workbookViewId="0">
      <selection activeCell="H83" sqref="H83"/>
    </sheetView>
  </sheetViews>
  <sheetFormatPr defaultRowHeight="12.75" x14ac:dyDescent="0.2"/>
  <cols>
    <col min="1" max="1" width="2.85546875" style="5" customWidth="1"/>
    <col min="2" max="2" width="21" style="5" customWidth="1"/>
    <col min="3" max="3" width="17.28515625" style="5" customWidth="1"/>
    <col min="4" max="4" width="14.5703125" style="5" customWidth="1"/>
    <col min="5" max="5" width="12.42578125" style="5" bestFit="1" customWidth="1"/>
    <col min="6" max="6" width="14" style="5" bestFit="1" customWidth="1"/>
    <col min="7" max="7" width="14.42578125" style="5" customWidth="1"/>
    <col min="8" max="8" width="14" style="5" customWidth="1"/>
    <col min="9" max="9" width="10.85546875" style="5" customWidth="1"/>
    <col min="10" max="10" width="11.85546875" style="5" customWidth="1"/>
    <col min="11" max="11" width="11.7109375" style="5" customWidth="1"/>
    <col min="12" max="12" width="12.5703125" style="5" customWidth="1"/>
    <col min="13" max="13" width="16.85546875" style="5" customWidth="1"/>
    <col min="14" max="14" width="11.85546875" style="5" customWidth="1"/>
    <col min="15" max="15" width="14.28515625" style="5" customWidth="1"/>
    <col min="16" max="16" width="11" style="5" bestFit="1" customWidth="1"/>
    <col min="17" max="17" width="16" style="5" bestFit="1" customWidth="1"/>
    <col min="18" max="18" width="14.140625" style="5" customWidth="1"/>
    <col min="19" max="19" width="12.140625" style="5" bestFit="1" customWidth="1"/>
    <col min="20" max="20" width="12.5703125" style="5" customWidth="1"/>
    <col min="21" max="21" width="13" style="5" bestFit="1" customWidth="1"/>
    <col min="22" max="22" width="10.140625" style="5" customWidth="1"/>
    <col min="23" max="24" width="13.85546875" style="5" bestFit="1" customWidth="1"/>
    <col min="25" max="25" width="13.85546875" style="5" customWidth="1"/>
    <col min="26" max="27" width="13.85546875" style="5" bestFit="1" customWidth="1"/>
    <col min="28" max="28" width="9.28515625" style="5" bestFit="1" customWidth="1"/>
    <col min="29" max="29" width="12.28515625" style="188" customWidth="1"/>
    <col min="30" max="30" width="12.140625" style="188" customWidth="1"/>
    <col min="31" max="31" width="15.140625" style="5" customWidth="1"/>
    <col min="32" max="32" width="14.140625" style="37" bestFit="1" customWidth="1"/>
    <col min="33" max="33" width="23" style="197" bestFit="1" customWidth="1"/>
    <col min="34" max="34" width="10.5703125" style="37" bestFit="1" customWidth="1"/>
    <col min="35" max="35" width="11.28515625" style="5" bestFit="1" customWidth="1"/>
    <col min="36" max="36" width="16.28515625" style="5" customWidth="1"/>
    <col min="37" max="37" width="11.7109375" style="5" bestFit="1" customWidth="1"/>
    <col min="38" max="38" width="9.7109375" style="5" customWidth="1"/>
    <col min="39" max="39" width="10.140625" style="5" customWidth="1"/>
    <col min="40" max="40" width="13.5703125" style="5" customWidth="1"/>
    <col min="41" max="41" width="9.7109375" style="5" customWidth="1"/>
    <col min="42" max="42" width="12" style="5" bestFit="1" customWidth="1"/>
    <col min="43" max="43" width="10.5703125" style="5" bestFit="1" customWidth="1"/>
    <col min="44" max="44" width="11.42578125" style="5" customWidth="1"/>
    <col min="45" max="45" width="11.28515625" style="5" customWidth="1"/>
    <col min="46" max="46" width="10.5703125" style="5" customWidth="1"/>
    <col min="47" max="48" width="8.140625" style="5" bestFit="1" customWidth="1"/>
    <col min="49" max="51" width="9.140625" style="5"/>
    <col min="52" max="52" width="12.85546875" style="5" bestFit="1" customWidth="1"/>
    <col min="53" max="53" width="10.42578125" style="5" customWidth="1"/>
    <col min="54" max="54" width="9.140625" style="5"/>
    <col min="55" max="55" width="10.140625" style="5" customWidth="1"/>
    <col min="56" max="56" width="10.5703125" style="5" customWidth="1"/>
    <col min="57" max="57" width="9.140625" style="5"/>
    <col min="58" max="58" width="11.140625" style="5" customWidth="1"/>
    <col min="59" max="16384" width="9.140625" style="5"/>
  </cols>
  <sheetData>
    <row r="1" spans="2:48" ht="13.5" thickBot="1" x14ac:dyDescent="0.25">
      <c r="B1" s="1" t="s">
        <v>0</v>
      </c>
      <c r="C1" s="2" t="s">
        <v>1</v>
      </c>
      <c r="D1" s="3" t="s">
        <v>2</v>
      </c>
      <c r="E1" s="4"/>
      <c r="H1" s="354">
        <f>IF($E$5="X",$C$7,VLOOKUP($C$3,$B$37:$H$53,5,FALSE))</f>
        <v>5.0475000000000006E-2</v>
      </c>
      <c r="T1" s="38"/>
      <c r="U1" s="189"/>
      <c r="W1" s="6">
        <f>TRUNC(W2*$C$16,6)</f>
        <v>9764.7371669999993</v>
      </c>
      <c r="X1" s="6">
        <f>X2*$C$16</f>
        <v>3553.275022429701</v>
      </c>
      <c r="Y1" s="7">
        <f>TRUNC(IF(ISERROR(TRUNC(1/((1+C6)^(V5/252)),6)),"",(TRUNC(1/((1+C6)^(V5/252)),6)))*C16,2)</f>
        <v>474.22</v>
      </c>
      <c r="Z1" s="6">
        <f>TRUNC(Z2*$C$16,6)</f>
        <v>3558.8599599999998</v>
      </c>
      <c r="AA1" s="6">
        <f>TRUNC(AA2*$C$16,6)</f>
        <v>3547.705121</v>
      </c>
      <c r="AD1" s="291"/>
      <c r="AE1" s="712" t="s">
        <v>50</v>
      </c>
      <c r="AF1" s="712"/>
      <c r="AG1" s="712"/>
      <c r="AH1" s="712"/>
    </row>
    <row r="2" spans="2:48" ht="15" customHeight="1" thickBot="1" x14ac:dyDescent="0.25">
      <c r="B2" s="62">
        <f>IF(E5="X",'ANDIMANTN-B'!K1,Curva!B1)</f>
        <v>42999</v>
      </c>
      <c r="C2" s="63">
        <f>WORKDAY(B2,E4,FERIADOS!$A$1:$A$830)</f>
        <v>43000</v>
      </c>
      <c r="W2" s="11">
        <f>TRUNC(SUM(W5:W95),6)</f>
        <v>3.2467890000000001</v>
      </c>
      <c r="X2" s="12">
        <f>TRUNC((SUM(X5:X95)),6)</f>
        <v>1.1814690000000001</v>
      </c>
      <c r="Y2" s="11">
        <f>SUMPRODUCT(X5:X110,Y5:Y110)/X2</f>
        <v>15.698133425422016</v>
      </c>
      <c r="Z2" s="11">
        <f>TRUNC(SUM(Z5:Z95),6)</f>
        <v>1.1833260000000001</v>
      </c>
      <c r="AA2" s="11">
        <f>TRUNC(SUM(AA5:AA95),6)</f>
        <v>1.1796169999999999</v>
      </c>
      <c r="AC2" s="314"/>
      <c r="AD2" s="295"/>
      <c r="AG2" s="191" t="s">
        <v>44</v>
      </c>
      <c r="AH2" s="39" t="s">
        <v>45</v>
      </c>
      <c r="AL2" s="207"/>
      <c r="AM2" s="207"/>
      <c r="AN2" s="207"/>
    </row>
    <row r="3" spans="2:48" ht="15" customHeight="1" thickBot="1" x14ac:dyDescent="0.3">
      <c r="B3" s="92" t="s">
        <v>7</v>
      </c>
      <c r="C3" s="257">
        <v>56749</v>
      </c>
      <c r="G3" s="464" t="s">
        <v>285</v>
      </c>
      <c r="H3" s="465"/>
      <c r="T3" s="10" t="s">
        <v>5</v>
      </c>
      <c r="U3" s="10" t="s">
        <v>8</v>
      </c>
      <c r="V3" s="10" t="s">
        <v>9</v>
      </c>
      <c r="W3" s="10" t="s">
        <v>10</v>
      </c>
      <c r="X3" s="10" t="s">
        <v>6</v>
      </c>
      <c r="Y3" s="9" t="s">
        <v>11</v>
      </c>
      <c r="Z3" s="192">
        <f>Z2/$X$2-1</f>
        <v>1.5717720905077393E-3</v>
      </c>
      <c r="AA3" s="192">
        <f>AA2/$X$2-1</f>
        <v>-1.5675400708780041E-3</v>
      </c>
      <c r="AB3" s="278" t="s">
        <v>3</v>
      </c>
      <c r="AC3" s="55">
        <f ca="1">(1+XIRR(AC4:AC102,V4:V102))^(252/365)-1</f>
        <v>0.10040497153048067</v>
      </c>
      <c r="AD3" s="277"/>
      <c r="AG3" s="191"/>
      <c r="AH3" s="39"/>
      <c r="AL3" s="207"/>
      <c r="AM3" s="207"/>
      <c r="AN3" s="207"/>
    </row>
    <row r="4" spans="2:48" ht="15" customHeight="1" thickBot="1" x14ac:dyDescent="0.25">
      <c r="B4" s="24" t="s">
        <v>14</v>
      </c>
      <c r="C4" s="42">
        <f>WORKDAY(C3-1,1,FERIADOS!$A$1:$A$857)</f>
        <v>56751</v>
      </c>
      <c r="D4" s="17" t="s">
        <v>4</v>
      </c>
      <c r="E4" s="4">
        <v>1</v>
      </c>
      <c r="F4" s="65"/>
      <c r="G4" s="458" t="s">
        <v>3</v>
      </c>
      <c r="H4" s="459">
        <f>-((1+Curva!B2)^($E$4/252)-1)*C19*C5</f>
        <v>-11036.11268541846</v>
      </c>
      <c r="V4" s="56">
        <v>0</v>
      </c>
      <c r="Z4" s="193">
        <f>-C26</f>
        <v>-1E-4</v>
      </c>
      <c r="AA4" s="18">
        <f>C26</f>
        <v>1E-4</v>
      </c>
      <c r="AC4" s="12">
        <f>-X2</f>
        <v>-1.1814690000000001</v>
      </c>
      <c r="AG4" s="191" t="s">
        <v>46</v>
      </c>
      <c r="AH4" s="39" t="s">
        <v>47</v>
      </c>
      <c r="AJ4" s="431"/>
      <c r="AK4" s="431"/>
      <c r="AL4" s="431"/>
      <c r="AM4" s="431"/>
      <c r="AN4" s="188"/>
      <c r="AO4" s="188"/>
      <c r="AP4" s="432"/>
      <c r="AQ4" s="188"/>
      <c r="AR4" s="188"/>
      <c r="AS4" s="431"/>
      <c r="AT4" s="190"/>
      <c r="AU4" s="190"/>
      <c r="AV4" s="190"/>
    </row>
    <row r="5" spans="2:48" ht="13.5" thickBot="1" x14ac:dyDescent="0.25">
      <c r="B5" s="30" t="s">
        <v>60</v>
      </c>
      <c r="C5" s="194">
        <v>10000</v>
      </c>
      <c r="D5" s="17" t="s">
        <v>187</v>
      </c>
      <c r="E5" s="4" t="s">
        <v>254</v>
      </c>
      <c r="G5" s="460" t="s">
        <v>50</v>
      </c>
      <c r="H5" s="459">
        <f>((1+C14/100)^($E$4/C31)-1)*C19*C5</f>
        <v>4259.0767157490509</v>
      </c>
      <c r="T5" s="70">
        <f>C3</f>
        <v>56749</v>
      </c>
      <c r="U5" s="70">
        <f>IF(T5="","",WORKDAY(T5-1,1,FERIADOS!$A$1:$A$840))</f>
        <v>56751</v>
      </c>
      <c r="V5" s="195">
        <f>NETWORKDAYS($C$2,C4,FERIADOS!$A$1:$A$830)-1</f>
        <v>9453</v>
      </c>
      <c r="W5" s="73">
        <f>IF(T5="","",(IF($E$1="X",1,1.06^0.5)))</f>
        <v>1.0295630140987</v>
      </c>
      <c r="X5" s="73">
        <f t="shared" ref="X5:X36" si="0">IF(ISERROR((W5/((1+$C$6)^((V5/252))))),0,(W5/((1+$C$6)^((V5/252)))))</f>
        <v>0.16234308547775192</v>
      </c>
      <c r="Y5" s="75">
        <f t="shared" ref="Y5:Y36" si="1">IF(ISERROR((((Z5-AA5)/2)/X5)/$C$26),"",((((Z5-AA5)/2)/X5)/$C$26))</f>
        <v>35.709549827389488</v>
      </c>
      <c r="Z5" s="196">
        <f t="shared" ref="Z5:Z36" si="2">IF(ISERROR(ROUND((W5/((1+$C$6-$C$26)^(TRUNC(V5/252,14)))),10)),"",(ROUND((W5/((1+$C$6-$C$26)^(TRUNC(V5/252,14)))),10)))</f>
        <v>0.162923868</v>
      </c>
      <c r="AA5" s="76">
        <f t="shared" ref="AA5:AA36" si="3">IF(ISERROR(ROUND((W5/((1+$C$6+$C$26)^(TRUNC(V5/252,14)))),10)),"",(ROUND((W5/((1+$C$6+$C$26)^(TRUNC(V5/252,14)))),10)))</f>
        <v>0.16176442830000001</v>
      </c>
      <c r="AB5" s="315">
        <f ca="1">IF(T5="","",IF($E$5="X",_xll.Spline(Curva!$T$3:$T$46,Curva!$G$3:$G$46,V5),_xll.Spline(Curva!$AF$3:$AF$46,Curva!$AG$3:$AG$46,V5)))</f>
        <v>0.10119195178802669</v>
      </c>
      <c r="AC5" s="22">
        <f t="shared" ref="AC5:AC36" ca="1" si="4">IF(W5="",0,X5*((1+AB5)^(V5/252)))</f>
        <v>6.0366464197030583</v>
      </c>
      <c r="AD5" s="243"/>
      <c r="AE5" s="300" t="s">
        <v>48</v>
      </c>
      <c r="AF5" s="38" t="s">
        <v>49</v>
      </c>
      <c r="AG5" s="301"/>
      <c r="AH5" s="40"/>
    </row>
    <row r="6" spans="2:48" ht="12.75" customHeight="1" x14ac:dyDescent="0.2">
      <c r="B6" s="25" t="s">
        <v>63</v>
      </c>
      <c r="C6" s="354">
        <f>IF($E$5="X",$C$7,VLOOKUP($C$3,$B$37:$H$53,5,FALSE))</f>
        <v>5.0475000000000006E-2</v>
      </c>
      <c r="D6" s="19"/>
      <c r="G6" s="458" t="s">
        <v>286</v>
      </c>
      <c r="H6" s="459">
        <f>(((1+C6)^($E$4/252))-1)*C19*C5</f>
        <v>6944.0094669479313</v>
      </c>
      <c r="T6" s="13">
        <f t="shared" ref="T6:T37" si="5">IF($E$1="X","",IF(ISERROR(IF((EDATE(T5,-6))&lt;=$C$2,"",EDATE(T5,-6))),"",(IF(EDATE(T5,-6)&lt;=$C$2,"",EDATE(T5,-6)))))</f>
        <v>56568</v>
      </c>
      <c r="U6" s="13">
        <f>IF(T6="","",WORKDAY(T6-1,1,FERIADOS!$A$1:$A$840))</f>
        <v>56569</v>
      </c>
      <c r="V6" s="198">
        <f>IF(T6="",0,NETWORKDAYS($C$2,U6,FERIADOS!$A$1:$A$830)-1)</f>
        <v>9329</v>
      </c>
      <c r="W6" s="22">
        <f t="shared" ref="W6:W37" si="6">IF(T6="","",IF($E$1="X",1,1.06^0.5-1))</f>
        <v>2.9563014098699991E-2</v>
      </c>
      <c r="X6" s="199">
        <f t="shared" si="0"/>
        <v>4.7758723057709082E-3</v>
      </c>
      <c r="Y6" s="14">
        <f t="shared" si="1"/>
        <v>35.24110135788748</v>
      </c>
      <c r="Z6" s="199">
        <f t="shared" si="2"/>
        <v>4.7927335000000001E-3</v>
      </c>
      <c r="AA6" s="11">
        <f t="shared" si="3"/>
        <v>4.7590721000000001E-3</v>
      </c>
      <c r="AB6" s="316">
        <f ca="1">IF(T6="","",IF($E$5="X",_xll.Spline(Curva!$T$3:$T$46,Curva!$G$3:$G$46,V6),_xll.Spline(Curva!$AF$3:$AF$46,Curva!$AG$3:$AG$46,V6)))</f>
        <v>0.10119949523146032</v>
      </c>
      <c r="AC6" s="22">
        <f t="shared" ca="1" si="4"/>
        <v>0.169404723701162</v>
      </c>
      <c r="AD6" s="210"/>
      <c r="AE6" s="302">
        <v>36175</v>
      </c>
      <c r="AF6" s="38">
        <f>WORKDAY(EDATE(AE6,1)-1,1,FERIADOS!$A$1:$A$830)</f>
        <v>36206</v>
      </c>
      <c r="AG6" s="303">
        <v>1468.41</v>
      </c>
      <c r="AH6" s="303">
        <v>0.7</v>
      </c>
    </row>
    <row r="7" spans="2:48" ht="15" customHeight="1" x14ac:dyDescent="0.2">
      <c r="B7" s="30" t="s">
        <v>187</v>
      </c>
      <c r="C7" s="294">
        <f>VLOOKUP(C3,'ANDIMANTN-B'!$C$1:$L$693,4,FALSE)/100</f>
        <v>5.0475000000000006E-2</v>
      </c>
      <c r="D7" s="230" t="s">
        <v>221</v>
      </c>
      <c r="G7" s="461" t="s">
        <v>287</v>
      </c>
      <c r="H7" s="459">
        <f>H6+H5+H4</f>
        <v>166.97349727852088</v>
      </c>
      <c r="T7" s="13">
        <f t="shared" si="5"/>
        <v>56384</v>
      </c>
      <c r="U7" s="13">
        <f>IF(T7="","",WORKDAY(T7-1,1,FERIADOS!$A$1:$A$840))</f>
        <v>56384</v>
      </c>
      <c r="V7" s="198">
        <f>IF(T7="",0,NETWORKDAYS($C$2,U7,FERIADOS!$A$1:$A$830)-1)</f>
        <v>9202</v>
      </c>
      <c r="W7" s="22">
        <f t="shared" si="6"/>
        <v>2.9563014098699991E-2</v>
      </c>
      <c r="X7" s="199">
        <f t="shared" si="0"/>
        <v>4.895876239539001E-3</v>
      </c>
      <c r="Y7" s="14">
        <f t="shared" si="1"/>
        <v>34.761397485004011</v>
      </c>
      <c r="Z7" s="199">
        <f t="shared" si="2"/>
        <v>4.9129254000000004E-3</v>
      </c>
      <c r="AA7" s="11">
        <f t="shared" si="3"/>
        <v>4.8788879E-3</v>
      </c>
      <c r="AB7" s="316">
        <f ca="1">IF(T7="","",IF($E$5="X",_xll.Spline(Curva!$T$3:$T$46,Curva!$G$3:$G$46,V7),_xll.Spline(Curva!$AF$3:$AF$46,Curva!$AG$3:$AG$46,V7)))</f>
        <v>0.10120710346544082</v>
      </c>
      <c r="AC7" s="22">
        <f t="shared" ca="1" si="4"/>
        <v>0.16546786813436137</v>
      </c>
      <c r="AD7" s="210"/>
      <c r="AE7" s="302">
        <v>36206</v>
      </c>
      <c r="AF7" s="38">
        <f>WORKDAY(EDATE(AE7,1)-1,1,FERIADOS!$A$1:$A$830)</f>
        <v>36234</v>
      </c>
      <c r="AG7" s="303">
        <v>1483.83</v>
      </c>
      <c r="AH7" s="303">
        <v>1.05</v>
      </c>
    </row>
    <row r="8" spans="2:48" ht="15" customHeight="1" thickBot="1" x14ac:dyDescent="0.25">
      <c r="B8" s="58" t="s">
        <v>64</v>
      </c>
      <c r="C8" s="262">
        <f ca="1">IF($E$5="X",IF(D8="X",_xll.Spline(Curva!$T$3:$T$37,Curva!$G$3:$G$37,D22),AC3),IF(D8="X",_xll.Spline(Curva!$AF$3:$AF$37,Curva!$AG$3:$AG$37,D22),AC3))</f>
        <v>0.10040497153048067</v>
      </c>
      <c r="D8" s="166"/>
      <c r="G8" s="461" t="s">
        <v>269</v>
      </c>
      <c r="H8" s="262">
        <f>(H6+H5)/-H4</f>
        <v>1.0151297383451998</v>
      </c>
      <c r="T8" s="13">
        <f t="shared" si="5"/>
        <v>56203</v>
      </c>
      <c r="U8" s="13">
        <f>IF(T8="","",WORKDAY(T8-1,1,FERIADOS!$A$1:$A$840))</f>
        <v>56205</v>
      </c>
      <c r="V8" s="198">
        <f>IF(T8="",0,NETWORKDAYS($C$2,U8,FERIADOS!$A$1:$A$830)-1)</f>
        <v>9080</v>
      </c>
      <c r="W8" s="22">
        <f t="shared" si="6"/>
        <v>2.9563014098699991E-2</v>
      </c>
      <c r="X8" s="199">
        <f t="shared" si="0"/>
        <v>5.0139942971801979E-3</v>
      </c>
      <c r="Y8" s="14">
        <f t="shared" si="1"/>
        <v>34.300497728272013</v>
      </c>
      <c r="Z8" s="199">
        <f t="shared" si="2"/>
        <v>5.0312229E-3</v>
      </c>
      <c r="AA8" s="11">
        <f t="shared" si="3"/>
        <v>4.9968264000000004E-3</v>
      </c>
      <c r="AB8" s="316">
        <f ca="1">IF(T8="","",IF($E$5="X",_xll.Spline(Curva!$T$3:$T$46,Curva!$G$3:$G$46,V8),_xll.Spline(Curva!$AF$3:$AF$46,Curva!$AG$3:$AG$46,V8)))</f>
        <v>0.10121425121906566</v>
      </c>
      <c r="AC8" s="22">
        <f t="shared" ca="1" si="4"/>
        <v>0.16177027817711231</v>
      </c>
      <c r="AD8" s="210"/>
      <c r="AE8" s="302">
        <v>36234</v>
      </c>
      <c r="AF8" s="38">
        <f>WORKDAY(EDATE(AE8,1)-1,1,FERIADOS!$A$1:$A$830)</f>
        <v>36265</v>
      </c>
      <c r="AG8" s="303">
        <v>1500.15</v>
      </c>
      <c r="AH8" s="303">
        <v>1.1000000000000001</v>
      </c>
    </row>
    <row r="9" spans="2:48" ht="15" customHeight="1" thickBot="1" x14ac:dyDescent="0.25">
      <c r="B9" s="254" t="s">
        <v>190</v>
      </c>
      <c r="C9" s="428">
        <f ca="1">(1+C8)/(1+C6)-1</f>
        <v>4.7530851786554251E-2</v>
      </c>
      <c r="D9" s="713" t="s">
        <v>189</v>
      </c>
      <c r="E9" s="715"/>
      <c r="G9" s="462" t="s">
        <v>288</v>
      </c>
      <c r="H9" s="463">
        <f>((((1+C6)^(D22/252))*((1+C14/100)^($E$4/C31))/((1+Curva!B2)^($E$4/252)))^(252/(D22-$E$4))-1)-C6</f>
        <v>3.0078600569971581E-7</v>
      </c>
      <c r="T9" s="13">
        <f t="shared" si="5"/>
        <v>56019</v>
      </c>
      <c r="U9" s="13">
        <f>IF(T9="","",WORKDAY(T9-1,1,FERIADOS!$A$1:$A$840))</f>
        <v>56019</v>
      </c>
      <c r="V9" s="198">
        <f>IF(T9="",0,NETWORKDAYS($C$2,U9,FERIADOS!$A$1:$A$830)-1)</f>
        <v>8949</v>
      </c>
      <c r="W9" s="22">
        <f t="shared" si="6"/>
        <v>2.9563014098699991E-2</v>
      </c>
      <c r="X9" s="199">
        <f t="shared" si="0"/>
        <v>5.1440006657922817E-3</v>
      </c>
      <c r="Y9" s="14">
        <f t="shared" si="1"/>
        <v>33.805594380344907</v>
      </c>
      <c r="Z9" s="199">
        <f t="shared" si="2"/>
        <v>5.1614204999999996E-3</v>
      </c>
      <c r="AA9" s="11">
        <f t="shared" si="3"/>
        <v>5.1266413E-3</v>
      </c>
      <c r="AB9" s="316">
        <f ca="1">IF(T9="","",IF($E$5="X",_xll.Spline(Curva!$T$3:$T$46,Curva!$G$3:$G$46,V9),_xll.Spline(Curva!$AF$3:$AF$46,Curva!$AG$3:$AG$46,V9)))</f>
        <v>0.10122169646928587</v>
      </c>
      <c r="AC9" s="22">
        <f t="shared" ca="1" si="4"/>
        <v>0.15788958463925695</v>
      </c>
      <c r="AD9" s="210"/>
      <c r="AE9" s="302">
        <v>36265</v>
      </c>
      <c r="AF9" s="38">
        <f>WORKDAY(EDATE(AE9,1)-1,1,FERIADOS!$A$1:$A$830)</f>
        <v>36297</v>
      </c>
      <c r="AG9" s="303">
        <v>1508.55</v>
      </c>
      <c r="AH9" s="303">
        <v>0.56000000000000005</v>
      </c>
    </row>
    <row r="10" spans="2:48" ht="19.5" customHeight="1" thickBot="1" x14ac:dyDescent="0.25">
      <c r="B10" s="30" t="s">
        <v>67</v>
      </c>
      <c r="C10" s="77">
        <v>1</v>
      </c>
      <c r="D10" s="714"/>
      <c r="E10" s="716"/>
      <c r="T10" s="13">
        <f t="shared" si="5"/>
        <v>55838</v>
      </c>
      <c r="U10" s="13">
        <f>IF(T10="","",WORKDAY(T10-1,1,FERIADOS!$A$1:$A$840))</f>
        <v>55841</v>
      </c>
      <c r="V10" s="198">
        <f>IF(T10="",0,NETWORKDAYS($C$2,U10,FERIADOS!$A$1:$A$830)-1)</f>
        <v>8828</v>
      </c>
      <c r="W10" s="22">
        <f t="shared" si="6"/>
        <v>2.9563014098699991E-2</v>
      </c>
      <c r="X10" s="199">
        <f t="shared" si="0"/>
        <v>5.2670756593303685E-3</v>
      </c>
      <c r="Y10" s="14">
        <f t="shared" si="1"/>
        <v>33.348486211479354</v>
      </c>
      <c r="Z10" s="199">
        <f t="shared" si="2"/>
        <v>5.2846706999999998E-3</v>
      </c>
      <c r="AA10" s="11">
        <f t="shared" si="3"/>
        <v>5.2495409000000003E-3</v>
      </c>
      <c r="AB10" s="316">
        <f ca="1">IF(T10="","",IF($E$5="X",_xll.Spline(Curva!$T$3:$T$46,Curva!$G$3:$G$46,V10),_xll.Spline(Curva!$AF$3:$AF$46,Curva!$AG$3:$AG$46,V10)))</f>
        <v>0.10122831288271326</v>
      </c>
      <c r="AC10" s="22">
        <f t="shared" ca="1" si="4"/>
        <v>0.15438563964099444</v>
      </c>
      <c r="AD10" s="210"/>
      <c r="AE10" s="302">
        <v>36295</v>
      </c>
      <c r="AF10" s="38">
        <f>WORKDAY(EDATE(AE10,1)-1,1,FERIADOS!$A$1:$A$830)</f>
        <v>36326</v>
      </c>
      <c r="AG10" s="303">
        <v>1513.08</v>
      </c>
      <c r="AH10" s="303">
        <v>0.3</v>
      </c>
    </row>
    <row r="11" spans="2:48" ht="18" customHeight="1" x14ac:dyDescent="0.2">
      <c r="B11" s="254" t="s">
        <v>65</v>
      </c>
      <c r="C11" s="255">
        <f ca="1">((((1+C8)^(1/252)-1)*C10+1)^252)/(1+C6)-1</f>
        <v>4.7530851786528494E-2</v>
      </c>
      <c r="E11" s="43"/>
      <c r="T11" s="13">
        <f t="shared" si="5"/>
        <v>55654</v>
      </c>
      <c r="U11" s="13">
        <f>IF(T11="","",WORKDAY(T11-1,1,FERIADOS!$A$1:$A$840))</f>
        <v>55654</v>
      </c>
      <c r="V11" s="198">
        <f>IF(T11="",0,NETWORKDAYS($C$2,U11,FERIADOS!$A$1:$A$830)-1)</f>
        <v>8697</v>
      </c>
      <c r="W11" s="22">
        <f t="shared" si="6"/>
        <v>2.9563014098699991E-2</v>
      </c>
      <c r="X11" s="199">
        <f t="shared" si="0"/>
        <v>5.4036440993981468E-3</v>
      </c>
      <c r="Y11" s="14">
        <f t="shared" si="1"/>
        <v>32.853755120507358</v>
      </c>
      <c r="Z11" s="199">
        <f t="shared" si="2"/>
        <v>5.4214271E-3</v>
      </c>
      <c r="AA11" s="11">
        <f t="shared" si="3"/>
        <v>5.3859210999999997E-3</v>
      </c>
      <c r="AB11" s="316">
        <f ca="1">IF(T11="","",IF($E$5="X",_xll.Spline(Curva!$T$3:$T$46,Curva!$G$3:$G$46,V11),_xll.Spline(Curva!$AF$3:$AF$46,Curva!$AG$3:$AG$46,V11)))</f>
        <v>0.10123513966534738</v>
      </c>
      <c r="AC11" s="22">
        <f t="shared" ca="1" si="4"/>
        <v>0.1506771556693402</v>
      </c>
      <c r="AD11" s="210"/>
      <c r="AE11" s="302">
        <v>36326</v>
      </c>
      <c r="AF11" s="38">
        <f>WORKDAY(EDATE(AE11,1)-1,1,FERIADOS!$A$1:$A$830)</f>
        <v>36356</v>
      </c>
      <c r="AG11" s="303">
        <v>1515.95</v>
      </c>
      <c r="AH11" s="303">
        <v>0.19</v>
      </c>
    </row>
    <row r="12" spans="2:48" ht="13.5" thickBot="1" x14ac:dyDescent="0.25">
      <c r="B12" s="25" t="s">
        <v>15</v>
      </c>
      <c r="C12" s="27">
        <f>VLOOKUP(C18,$AF$6:$AH$5530,2,FALSE)</f>
        <v>4853.07</v>
      </c>
      <c r="S12" s="246"/>
      <c r="T12" s="13">
        <f t="shared" si="5"/>
        <v>55472</v>
      </c>
      <c r="U12" s="13">
        <f>IF(T12="","",WORKDAY(T12-1,1,FERIADOS!$A$1:$A$840))</f>
        <v>55473</v>
      </c>
      <c r="V12" s="198">
        <f>IF(T12="",0,NETWORKDAYS($C$2,U12,FERIADOS!$A$1:$A$830)-1)</f>
        <v>8574</v>
      </c>
      <c r="W12" s="22">
        <f t="shared" si="6"/>
        <v>2.9563014098699991E-2</v>
      </c>
      <c r="X12" s="199">
        <f t="shared" si="0"/>
        <v>5.5350940675192185E-3</v>
      </c>
      <c r="Y12" s="14">
        <f t="shared" si="1"/>
        <v>32.389061109552323</v>
      </c>
      <c r="Z12" s="199">
        <f t="shared" si="2"/>
        <v>5.5530516E-3</v>
      </c>
      <c r="AA12" s="11">
        <f t="shared" si="3"/>
        <v>5.5171962999999999E-3</v>
      </c>
      <c r="AB12" s="316">
        <f ca="1">IF(T12="","",IF($E$5="X",_xll.Spline(Curva!$T$3:$T$46,Curva!$G$3:$G$46,V12),_xll.Spline(Curva!$AF$3:$AF$46,Curva!$AG$3:$AG$46,V12)))</f>
        <v>0.10124118071961023</v>
      </c>
      <c r="AC12" s="22">
        <f t="shared" ca="1" si="4"/>
        <v>0.14727372863704491</v>
      </c>
      <c r="AD12" s="210"/>
      <c r="AE12" s="302">
        <v>36356</v>
      </c>
      <c r="AF12" s="38">
        <f>WORKDAY(EDATE(AE12,1)-1,1,FERIADOS!$A$1:$A$830)</f>
        <v>36388</v>
      </c>
      <c r="AG12" s="303">
        <v>1532.47</v>
      </c>
      <c r="AH12" s="304">
        <v>1.0900000000000001</v>
      </c>
    </row>
    <row r="13" spans="2:48" ht="15" customHeight="1" x14ac:dyDescent="0.2">
      <c r="B13" s="26">
        <v>36724</v>
      </c>
      <c r="C13" s="27">
        <f>VLOOKUP(B13,$AF$6:$AG$2230,2,FALSE)</f>
        <v>1614.62</v>
      </c>
      <c r="D13" s="119"/>
      <c r="E13" s="63">
        <f>C17</f>
        <v>43024</v>
      </c>
      <c r="S13" s="55"/>
      <c r="T13" s="13">
        <f t="shared" si="5"/>
        <v>55288</v>
      </c>
      <c r="U13" s="13">
        <f>IF(T13="","",WORKDAY(T13-1,1,FERIADOS!$A$1:$A$840))</f>
        <v>55288</v>
      </c>
      <c r="V13" s="198">
        <f>IF(T13="",0,NETWORKDAYS($C$2,U13,FERIADOS!$A$1:$A$830)-1)</f>
        <v>8446</v>
      </c>
      <c r="W13" s="22">
        <f t="shared" si="6"/>
        <v>2.9563014098699991E-2</v>
      </c>
      <c r="X13" s="199">
        <f t="shared" si="0"/>
        <v>5.6752839394766576E-3</v>
      </c>
      <c r="Y13" s="14">
        <f t="shared" si="1"/>
        <v>31.905540221604664</v>
      </c>
      <c r="Z13" s="199">
        <f t="shared" si="2"/>
        <v>5.6934209999999997E-3</v>
      </c>
      <c r="AA13" s="11">
        <f t="shared" si="3"/>
        <v>5.6572063999999998E-3</v>
      </c>
      <c r="AB13" s="316">
        <f ca="1">IF(T13="","",IF($E$5="X",_xll.Spline(Curva!$T$3:$T$46,Curva!$G$3:$G$46,V13),_xll.Spline(Curva!$AF$3:$AF$46,Curva!$AG$3:$AG$46,V13)))</f>
        <v>0.10124703523932818</v>
      </c>
      <c r="AC13" s="22">
        <f t="shared" ca="1" si="4"/>
        <v>0.14381084273759526</v>
      </c>
      <c r="AD13" s="210"/>
      <c r="AE13" s="302">
        <v>36387</v>
      </c>
      <c r="AF13" s="38">
        <f>WORKDAY(EDATE(AE13,1)-1,1,FERIADOS!$A$1:$A$830)</f>
        <v>36418</v>
      </c>
      <c r="AG13" s="303">
        <v>1541.05</v>
      </c>
      <c r="AH13" s="303">
        <v>0.56000000000000005</v>
      </c>
    </row>
    <row r="14" spans="2:48" ht="15" customHeight="1" thickBot="1" x14ac:dyDescent="0.25">
      <c r="B14" s="25" t="s">
        <v>16</v>
      </c>
      <c r="C14" s="274">
        <f>VLOOKUP(C17,$AF$58:$AH$2410,3,FALSE)</f>
        <v>0.24</v>
      </c>
      <c r="D14" s="245" t="s">
        <v>205</v>
      </c>
      <c r="E14" s="86">
        <f ca="1">(1+IF(E5="x",_xll.Spline(Curva!$T$3:$T$34,Curva!$G$3:$G$34,C32),_xll.Spline(Curva!$AF$3:$AF$34,Curva!$AG$3:$AG$34,C32)))/((1+C14*(C32/C31)/100)^(252/C32))-1</f>
        <v>4.9035801654220723E-2</v>
      </c>
      <c r="S14" s="55"/>
      <c r="T14" s="13">
        <f t="shared" si="5"/>
        <v>55107</v>
      </c>
      <c r="U14" s="13">
        <f>IF(T14="","",WORKDAY(T14-1,1,FERIADOS!$A$1:$A$840))</f>
        <v>55108</v>
      </c>
      <c r="V14" s="198">
        <f>IF(T14="",0,NETWORKDAYS($C$2,U14,FERIADOS!$A$1:$A$830)-1)</f>
        <v>8323</v>
      </c>
      <c r="W14" s="22">
        <f t="shared" si="6"/>
        <v>2.9563014098699991E-2</v>
      </c>
      <c r="X14" s="199">
        <f t="shared" si="0"/>
        <v>5.8133418646840818E-3</v>
      </c>
      <c r="Y14" s="14">
        <f t="shared" si="1"/>
        <v>31.440865556241317</v>
      </c>
      <c r="Z14" s="199">
        <f t="shared" si="2"/>
        <v>5.8316491E-3</v>
      </c>
      <c r="AA14" s="11">
        <f t="shared" si="3"/>
        <v>5.7950937999999997E-3</v>
      </c>
      <c r="AB14" s="316">
        <f ca="1">IF(T14="","",IF($E$5="X",_xll.Spline(Curva!$T$3:$T$46,Curva!$G$3:$G$46,V14),_xll.Spline(Curva!$AF$3:$AF$46,Curva!$AG$3:$AG$46,V14)))</f>
        <v>0.10125219614581429</v>
      </c>
      <c r="AC14" s="22">
        <f t="shared" ca="1" si="4"/>
        <v>0.14055728918374255</v>
      </c>
      <c r="AD14" s="210"/>
      <c r="AE14" s="302">
        <v>36418</v>
      </c>
      <c r="AF14" s="38">
        <f>WORKDAY(EDATE(AE14,1)-1,1,FERIADOS!$A$1:$A$830)</f>
        <v>36448</v>
      </c>
      <c r="AG14" s="303">
        <v>1545.83</v>
      </c>
      <c r="AH14" s="305">
        <v>0.31</v>
      </c>
    </row>
    <row r="15" spans="2:48" ht="15" customHeight="1" x14ac:dyDescent="0.2">
      <c r="B15" s="28" t="s">
        <v>17</v>
      </c>
      <c r="C15" s="256">
        <f>TRUNC(ROUND(C12/C13,16)*1000,6)</f>
        <v>3005.7041279999999</v>
      </c>
      <c r="D15" s="200"/>
      <c r="N15" s="246"/>
      <c r="O15" s="278"/>
      <c r="P15" s="246"/>
      <c r="S15" s="55"/>
      <c r="T15" s="13">
        <f t="shared" si="5"/>
        <v>54923</v>
      </c>
      <c r="U15" s="13">
        <f>IF(T15="","",WORKDAY(T15-1,1,FERIADOS!$A$1:$A$840))</f>
        <v>54924</v>
      </c>
      <c r="V15" s="198">
        <f>IF(T15="",0,NETWORKDAYS($C$2,U15,FERIADOS!$A$1:$A$830)-1)</f>
        <v>8196</v>
      </c>
      <c r="W15" s="22">
        <f t="shared" si="6"/>
        <v>2.9563014098699991E-2</v>
      </c>
      <c r="X15" s="199">
        <f t="shared" si="0"/>
        <v>5.9594144242996012E-3</v>
      </c>
      <c r="Y15" s="14">
        <f t="shared" si="1"/>
        <v>30.961095648535245</v>
      </c>
      <c r="Z15" s="199">
        <f t="shared" si="2"/>
        <v>5.9778949E-3</v>
      </c>
      <c r="AA15" s="11">
        <f t="shared" si="3"/>
        <v>5.9409928999999998E-3</v>
      </c>
      <c r="AB15" s="316">
        <f ca="1">IF(T15="","",IF($E$5="X",_xll.Spline(Curva!$T$3:$T$46,Curva!$G$3:$G$46,V15),_xll.Spline(Curva!$AF$3:$AF$46,Curva!$AG$3:$AG$46,V15)))</f>
        <v>0.10125699510615604</v>
      </c>
      <c r="AC15" s="22">
        <f t="shared" ca="1" si="4"/>
        <v>0.13727234050668441</v>
      </c>
      <c r="AD15" s="210"/>
      <c r="AE15" s="302">
        <v>36448</v>
      </c>
      <c r="AF15" s="38">
        <f>WORKDAY(EDATE(AE15,1)-1,1,FERIADOS!$A$1:$A$830)</f>
        <v>36479</v>
      </c>
      <c r="AG15" s="303">
        <v>1564.23</v>
      </c>
      <c r="AH15" s="303">
        <v>1.19</v>
      </c>
    </row>
    <row r="16" spans="2:48" ht="15" customHeight="1" x14ac:dyDescent="0.2">
      <c r="B16" s="24" t="s">
        <v>18</v>
      </c>
      <c r="C16" s="201">
        <f>TRUNC(C15*((1+C14/100)^((C30/C31))),6)</f>
        <v>3007.5059289999999</v>
      </c>
      <c r="D16" s="202" t="e">
        <f>VLOOKUP(WORKDAY(B25-1,1,FERIADOS!$A$1:$A$830),Curva!$S$4:$AG$46,14)</f>
        <v>#N/A</v>
      </c>
      <c r="E16" s="203" t="e">
        <f>VLOOKUP(WORKDAY(B25-1,1,FERIADOS!$A$1:$A$830),Curva!$S$4:$AG$46,15)</f>
        <v>#N/A</v>
      </c>
      <c r="N16" s="470"/>
      <c r="O16" s="99"/>
      <c r="P16" s="99"/>
      <c r="S16" s="55"/>
      <c r="T16" s="13">
        <f t="shared" si="5"/>
        <v>54742</v>
      </c>
      <c r="U16" s="13">
        <f>IF(T16="","",WORKDAY(T16-1,1,FERIADOS!$A$1:$A$840))</f>
        <v>54743</v>
      </c>
      <c r="V16" s="198">
        <f>IF(T16="",0,NETWORKDAYS($C$2,U16,FERIADOS!$A$1:$A$830)-1)</f>
        <v>8071</v>
      </c>
      <c r="W16" s="22">
        <f t="shared" si="6"/>
        <v>2.9563014098699991E-2</v>
      </c>
      <c r="X16" s="199">
        <f t="shared" si="0"/>
        <v>6.1067702953040114E-3</v>
      </c>
      <c r="Y16" s="14">
        <f t="shared" si="1"/>
        <v>30.488865799189089</v>
      </c>
      <c r="Z16" s="199">
        <f t="shared" si="2"/>
        <v>6.1254183999999998E-3</v>
      </c>
      <c r="AA16" s="11">
        <f t="shared" si="3"/>
        <v>6.0881807000000001E-3</v>
      </c>
      <c r="AB16" s="316">
        <f ca="1">IF(T16="","",IF($E$5="X",_xll.Spline(Curva!$T$3:$T$46,Curva!$G$3:$G$46,V16),_xll.Spline(Curva!$AF$3:$AF$46,Curva!$AG$3:$AG$46,V16)))</f>
        <v>0.10126114204416986</v>
      </c>
      <c r="AC16" s="22">
        <f t="shared" ca="1" si="4"/>
        <v>0.13411127706399467</v>
      </c>
      <c r="AD16" s="210"/>
      <c r="AE16" s="302">
        <v>36479</v>
      </c>
      <c r="AF16" s="38">
        <f>WORKDAY(EDATE(AE16,1)-1,1,FERIADOS!$A$1:$A$830)</f>
        <v>36509</v>
      </c>
      <c r="AG16" s="303">
        <v>1579.09</v>
      </c>
      <c r="AH16" s="303">
        <v>0.95</v>
      </c>
    </row>
    <row r="17" spans="1:34" ht="15" customHeight="1" x14ac:dyDescent="0.2">
      <c r="B17" s="24" t="s">
        <v>19</v>
      </c>
      <c r="C17" s="29">
        <f>WORKDAY(DATE(B30,A30,15)-1,1,FERIADOS!$A$1:$A$830)</f>
        <v>43024</v>
      </c>
      <c r="D17" s="38">
        <f>WORKDAY(EDATE(DATE(YEAR(C17),MONTH(C17),15),1)-1,1,FERIADOS!$A$1:$A$830)</f>
        <v>43055</v>
      </c>
      <c r="N17" s="470"/>
      <c r="O17" s="99"/>
      <c r="P17" s="99"/>
      <c r="S17" s="55"/>
      <c r="T17" s="13">
        <f t="shared" si="5"/>
        <v>54558</v>
      </c>
      <c r="U17" s="13">
        <f>IF(T17="","",WORKDAY(T17-1,1,FERIADOS!$A$1:$A$840))</f>
        <v>54560</v>
      </c>
      <c r="V17" s="198">
        <f>IF(T17="",0,NETWORKDAYS($C$2,U17,FERIADOS!$A$1:$A$830)-1)</f>
        <v>7945</v>
      </c>
      <c r="W17" s="22">
        <f t="shared" si="6"/>
        <v>2.9563014098699991E-2</v>
      </c>
      <c r="X17" s="199">
        <f t="shared" si="0"/>
        <v>6.2589926998856318E-3</v>
      </c>
      <c r="Y17" s="14">
        <f t="shared" si="1"/>
        <v>30.012976369733078</v>
      </c>
      <c r="Z17" s="199">
        <f t="shared" si="2"/>
        <v>6.2778069000000002E-3</v>
      </c>
      <c r="AA17" s="11">
        <f t="shared" si="3"/>
        <v>6.2402367000000004E-3</v>
      </c>
      <c r="AB17" s="316">
        <f ca="1">IF(T17="","",IF($E$5="X",_xll.Spline(Curva!$T$3:$T$46,Curva!$G$3:$G$46,V17),_xll.Spline(Curva!$AF$3:$AF$46,Curva!$AG$3:$AG$46,V17)))</f>
        <v>0.10126469195290157</v>
      </c>
      <c r="AC17" s="22">
        <f t="shared" ca="1" si="4"/>
        <v>0.13099572958967459</v>
      </c>
      <c r="AD17" s="210"/>
      <c r="AE17" s="302">
        <v>36509</v>
      </c>
      <c r="AF17" s="38">
        <f>WORKDAY(EDATE(AE17,1)-1,1,FERIADOS!$A$1:$A$830)</f>
        <v>36542</v>
      </c>
      <c r="AG17" s="303">
        <v>1588.56</v>
      </c>
      <c r="AH17" s="303">
        <v>0.6</v>
      </c>
    </row>
    <row r="18" spans="1:34" ht="15" customHeight="1" x14ac:dyDescent="0.2">
      <c r="B18" s="24" t="s">
        <v>20</v>
      </c>
      <c r="C18" s="29">
        <f>WORKDAY(DATE(B31,A31,15)-1,1,FERIADOS!$A$1:$A$830)</f>
        <v>42993</v>
      </c>
      <c r="E18" s="182"/>
      <c r="N18" s="470"/>
      <c r="O18" s="99"/>
      <c r="P18" s="99"/>
      <c r="S18" s="55"/>
      <c r="T18" s="13">
        <f t="shared" si="5"/>
        <v>54377</v>
      </c>
      <c r="U18" s="13">
        <f>IF(T18="","",WORKDAY(T18-1,1,FERIADOS!$A$1:$A$840))</f>
        <v>54378</v>
      </c>
      <c r="V18" s="198">
        <f>IF(T18="",0,NETWORKDAYS($C$2,U18,FERIADOS!$A$1:$A$830)-1)</f>
        <v>7821</v>
      </c>
      <c r="W18" s="22">
        <f t="shared" si="6"/>
        <v>2.9563014098699991E-2</v>
      </c>
      <c r="X18" s="199">
        <f t="shared" si="0"/>
        <v>6.4125029464296704E-3</v>
      </c>
      <c r="Y18" s="14">
        <f t="shared" si="1"/>
        <v>29.544547828314929</v>
      </c>
      <c r="Z18" s="199">
        <f t="shared" si="2"/>
        <v>6.4314773000000002E-3</v>
      </c>
      <c r="AA18" s="11">
        <f t="shared" si="3"/>
        <v>6.3935863999999999E-3</v>
      </c>
      <c r="AB18" s="316">
        <f ca="1">IF(T18="","",IF($E$5="X",_xll.Spline(Curva!$T$3:$T$46,Curva!$G$3:$G$46,V18),_xll.Spline(Curva!$AF$3:$AF$46,Curva!$AG$3:$AG$46,V18)))</f>
        <v>0.10126751775108531</v>
      </c>
      <c r="AC18" s="22">
        <f t="shared" ca="1" si="4"/>
        <v>0.12799749565821317</v>
      </c>
      <c r="AD18" s="210"/>
      <c r="AE18" s="302">
        <v>36540</v>
      </c>
      <c r="AF18" s="38">
        <f>WORKDAY(EDATE(AE18,1)-1,1,FERIADOS!$A$1:$A$830)</f>
        <v>36571</v>
      </c>
      <c r="AG18" s="303">
        <v>1598.41</v>
      </c>
      <c r="AH18" s="303">
        <v>0.62</v>
      </c>
    </row>
    <row r="19" spans="1:34" ht="18.75" customHeight="1" x14ac:dyDescent="0.2">
      <c r="B19" s="67" t="str">
        <f>IF(E1="X","PU NTN-B PRINC - TAXA","PU NTN-B - TAXA" )</f>
        <v>PU NTN-B - TAXA</v>
      </c>
      <c r="C19" s="68">
        <f>TRUNC(C16*X2,6)</f>
        <v>3553.2750219999998</v>
      </c>
      <c r="N19" s="470"/>
      <c r="O19" s="99"/>
      <c r="P19" s="99"/>
      <c r="S19" s="55"/>
      <c r="T19" s="13">
        <f t="shared" si="5"/>
        <v>54193</v>
      </c>
      <c r="U19" s="13">
        <f>IF(T19="","",WORKDAY(T19-1,1,FERIADOS!$A$1:$A$840))</f>
        <v>54193</v>
      </c>
      <c r="V19" s="198">
        <f>IF(T19="",0,NETWORKDAYS($C$2,U19,FERIADOS!$A$1:$A$830)-1)</f>
        <v>7694</v>
      </c>
      <c r="W19" s="22">
        <f t="shared" si="6"/>
        <v>2.9563014098699991E-2</v>
      </c>
      <c r="X19" s="199">
        <f t="shared" si="0"/>
        <v>6.5736307006079358E-3</v>
      </c>
      <c r="Y19" s="14">
        <f t="shared" si="1"/>
        <v>29.0647602066133</v>
      </c>
      <c r="Z19" s="199">
        <f t="shared" si="2"/>
        <v>6.5927655000000002E-3</v>
      </c>
      <c r="AA19" s="11">
        <f t="shared" si="3"/>
        <v>6.5545533E-3</v>
      </c>
      <c r="AB19" s="316">
        <f ca="1">IF(T19="","",IF($E$5="X",_xll.Spline(Curva!$T$3:$T$46,Curva!$G$3:$G$46,V19),_xll.Spline(Curva!$AF$3:$AF$46,Curva!$AG$3:$AG$46,V19)))</f>
        <v>0.10126967353934835</v>
      </c>
      <c r="AC19" s="22">
        <f t="shared" ca="1" si="4"/>
        <v>0.12499495872889892</v>
      </c>
      <c r="AD19" s="210"/>
      <c r="AE19" s="302">
        <v>36571</v>
      </c>
      <c r="AF19" s="38">
        <f>WORKDAY(EDATE(AE19,1)-1,1,FERIADOS!$A$1:$A$830)</f>
        <v>36600</v>
      </c>
      <c r="AG19" s="303">
        <v>1600.49</v>
      </c>
      <c r="AH19" s="304">
        <v>0.13</v>
      </c>
    </row>
    <row r="20" spans="1:34" ht="15" customHeight="1" x14ac:dyDescent="0.2">
      <c r="B20" s="30" t="str">
        <f>IF(E1="x","DURATION NTN-B PRINC-TX","DURATION NTN-B-TAXA")</f>
        <v>DURATION NTN-B-TAXA</v>
      </c>
      <c r="C20" s="201">
        <f>Y2</f>
        <v>15.698133425422016</v>
      </c>
      <c r="D20" s="271"/>
      <c r="N20" s="470"/>
      <c r="O20" s="99"/>
      <c r="P20" s="99"/>
      <c r="S20" s="55"/>
      <c r="T20" s="13">
        <f t="shared" si="5"/>
        <v>54011</v>
      </c>
      <c r="U20" s="13">
        <f>IF(T20="","",WORKDAY(T20-1,1,FERIADOS!$A$1:$A$840))</f>
        <v>54014</v>
      </c>
      <c r="V20" s="198">
        <f>IF(T20="",0,NETWORKDAYS($C$2,U20,FERIADOS!$A$1:$A$830)-1)</f>
        <v>7572</v>
      </c>
      <c r="W20" s="22">
        <f t="shared" si="6"/>
        <v>2.9563014098699991E-2</v>
      </c>
      <c r="X20" s="199">
        <f t="shared" si="0"/>
        <v>6.7322263129184837E-3</v>
      </c>
      <c r="Y20" s="14">
        <f t="shared" si="1"/>
        <v>28.603910660353129</v>
      </c>
      <c r="Z20" s="199">
        <f t="shared" si="2"/>
        <v>6.7515116000000002E-3</v>
      </c>
      <c r="AA20" s="11">
        <f t="shared" si="3"/>
        <v>6.7129980000000004E-3</v>
      </c>
      <c r="AB20" s="316">
        <f ca="1">IF(T20="","",IF($E$5="X",_xll.Spline(Curva!$T$3:$T$46,Curva!$G$3:$G$46,V20),_xll.Spline(Curva!$AF$3:$AF$46,Curva!$AG$3:$AG$46,V20)))</f>
        <v>0.10127099203299339</v>
      </c>
      <c r="AC20" s="22">
        <f t="shared" ca="1" si="4"/>
        <v>0.12217424525023321</v>
      </c>
      <c r="AD20" s="210"/>
      <c r="AE20" s="302">
        <v>36600</v>
      </c>
      <c r="AF20" s="38">
        <f>WORKDAY(EDATE(AE20,1)-1,1,FERIADOS!$A$1:$A$830)</f>
        <v>36633</v>
      </c>
      <c r="AG20" s="303">
        <v>1604.01</v>
      </c>
      <c r="AH20" s="303">
        <v>0.22</v>
      </c>
    </row>
    <row r="21" spans="1:34" ht="15" customHeight="1" x14ac:dyDescent="0.2">
      <c r="B21" s="30" t="str">
        <f>IF(E1="X","CONVEX / 2 NTN-B PRINC-TX","CONVEX / 2-NTN-B-TAXA")</f>
        <v>CONVEX / 2-NTN-B-TAXA</v>
      </c>
      <c r="C21" s="201">
        <f>((SUM(Z5:Z110)+SUM(AA5:AA110)-2*SUM(X5:X110))/(SUM(X5:X110)))/(C26^2)</f>
        <v>402.62502037346832</v>
      </c>
      <c r="N21" s="470"/>
      <c r="O21" s="99"/>
      <c r="P21" s="99"/>
      <c r="S21" s="55"/>
      <c r="T21" s="13">
        <f t="shared" si="5"/>
        <v>53827</v>
      </c>
      <c r="U21" s="13">
        <f>IF(T21="","",WORKDAY(T21-1,1,FERIADOS!$A$1:$A$840))</f>
        <v>53827</v>
      </c>
      <c r="V21" s="198">
        <f>IF(T21="",0,NETWORKDAYS($C$2,U21,FERIADOS!$A$1:$A$830)-1)</f>
        <v>7441</v>
      </c>
      <c r="W21" s="22">
        <f t="shared" si="6"/>
        <v>2.9563014098699991E-2</v>
      </c>
      <c r="X21" s="199">
        <f t="shared" si="0"/>
        <v>6.9067842090272729E-3</v>
      </c>
      <c r="Y21" s="14">
        <f t="shared" si="1"/>
        <v>28.109029343388869</v>
      </c>
      <c r="Z21" s="199">
        <f t="shared" si="2"/>
        <v>6.9262267000000004E-3</v>
      </c>
      <c r="AA21" s="11">
        <f t="shared" si="3"/>
        <v>6.8873980999999999E-3</v>
      </c>
      <c r="AB21" s="316">
        <f ca="1">IF(T21="","",IF($E$5="X",_xll.Spline(Curva!$T$3:$T$46,Curva!$G$3:$G$46,V21),_xll.Spline(Curva!$AF$3:$AF$46,Curva!$AG$3:$AG$46,V21)))</f>
        <v>0.10127153268220666</v>
      </c>
      <c r="AC21" s="22">
        <f t="shared" ca="1" si="4"/>
        <v>0.11921332655192571</v>
      </c>
      <c r="AD21" s="210"/>
      <c r="AE21" s="302">
        <v>36631</v>
      </c>
      <c r="AF21" s="38">
        <f>WORKDAY(EDATE(AE21,1)-1,1,FERIADOS!$A$1:$A$830)</f>
        <v>36661</v>
      </c>
      <c r="AG21" s="303">
        <v>1610.75</v>
      </c>
      <c r="AH21" s="303">
        <v>0.42</v>
      </c>
    </row>
    <row r="22" spans="1:34" ht="18.75" customHeight="1" x14ac:dyDescent="0.2">
      <c r="B22" s="30" t="s">
        <v>59</v>
      </c>
      <c r="C22" s="88">
        <f>WORKDAY(C2,D22,FERIADOS!$A$1:$A$836)</f>
        <v>49045</v>
      </c>
      <c r="D22" s="272">
        <f>ROUND(SUMPRODUCT(V5:V110,X5:X110)/SUM(X5:X110),0)</f>
        <v>4156</v>
      </c>
      <c r="E22" s="297"/>
      <c r="N22" s="470"/>
      <c r="O22" s="99"/>
      <c r="P22" s="99"/>
      <c r="S22" s="55"/>
      <c r="T22" s="13">
        <f t="shared" si="5"/>
        <v>53646</v>
      </c>
      <c r="U22" s="13">
        <f>IF(T22="","",WORKDAY(T22-1,1,FERIADOS!$A$1:$A$840))</f>
        <v>53647</v>
      </c>
      <c r="V22" s="198">
        <f>IF(T22="",0,NETWORKDAYS($C$2,U22,FERIADOS!$A$1:$A$830)-1)</f>
        <v>7319</v>
      </c>
      <c r="W22" s="22">
        <f t="shared" si="6"/>
        <v>2.9563014098699991E-2</v>
      </c>
      <c r="X22" s="199">
        <f t="shared" si="0"/>
        <v>7.0734174929180469E-3</v>
      </c>
      <c r="Y22" s="14">
        <f t="shared" si="1"/>
        <v>27.64816302668482</v>
      </c>
      <c r="Z22" s="199">
        <f t="shared" si="2"/>
        <v>7.0930022000000002E-3</v>
      </c>
      <c r="AA22" s="11">
        <f t="shared" si="3"/>
        <v>7.0538887999999998E-3</v>
      </c>
      <c r="AB22" s="316">
        <f ca="1">IF(T22="","",IF($E$5="X",_xll.Spline(Curva!$T$3:$T$46,Curva!$G$3:$G$46,V22),_xll.Spline(Curva!$AF$3:$AF$46,Curva!$AG$3:$AG$46,V22)))</f>
        <v>0.10127117138340107</v>
      </c>
      <c r="AC22" s="22">
        <f t="shared" ca="1" si="4"/>
        <v>0.11651768770794627</v>
      </c>
      <c r="AD22" s="210"/>
      <c r="AE22" s="302">
        <v>36661</v>
      </c>
      <c r="AF22" s="38">
        <f>WORKDAY(EDATE(AE22,1)-1,1,FERIADOS!$A$1:$A$830)</f>
        <v>36692</v>
      </c>
      <c r="AG22" s="303">
        <v>1610.91</v>
      </c>
      <c r="AH22" s="303">
        <v>0.01</v>
      </c>
    </row>
    <row r="23" spans="1:34" ht="19.5" customHeight="1" x14ac:dyDescent="0.2">
      <c r="B23" s="30" t="s">
        <v>62</v>
      </c>
      <c r="C23" s="88">
        <f>WORKDAY(C2,D23,FERIADOS!$A$1:$A$836)</f>
        <v>48754</v>
      </c>
      <c r="D23" s="87">
        <f>ROUND(C20*252,0)</f>
        <v>3956</v>
      </c>
      <c r="N23" s="470"/>
      <c r="O23" s="99"/>
      <c r="P23" s="99"/>
      <c r="S23" s="55"/>
      <c r="T23" s="13">
        <f t="shared" si="5"/>
        <v>53462</v>
      </c>
      <c r="U23" s="13">
        <f>IF(T23="","",WORKDAY(T23-1,1,FERIADOS!$A$1:$A$840))</f>
        <v>53462</v>
      </c>
      <c r="V23" s="198">
        <f>IF(T23="",0,NETWORKDAYS($C$2,U23,FERIADOS!$A$1:$A$830)-1)</f>
        <v>7191</v>
      </c>
      <c r="W23" s="22">
        <f t="shared" si="6"/>
        <v>2.9563014098699991E-2</v>
      </c>
      <c r="X23" s="199">
        <f t="shared" si="0"/>
        <v>7.2525691894452437E-3</v>
      </c>
      <c r="Y23" s="14">
        <f t="shared" si="1"/>
        <v>27.164580558116786</v>
      </c>
      <c r="Z23" s="199">
        <f t="shared" si="2"/>
        <v>7.2722982E-3</v>
      </c>
      <c r="AA23" s="11">
        <f t="shared" si="3"/>
        <v>7.2328955999999998E-3</v>
      </c>
      <c r="AB23" s="316">
        <f ca="1">IF(T23="","",IF($E$5="X",_xll.Spline(Curva!$T$3:$T$46,Curva!$G$3:$G$46,V23),_xll.Spline(Curva!$AF$3:$AF$46,Curva!$AG$3:$AG$46,V23)))</f>
        <v>0.10126984326673198</v>
      </c>
      <c r="AC23" s="22">
        <f t="shared" ca="1" si="4"/>
        <v>0.11375221730093234</v>
      </c>
      <c r="AD23" s="210"/>
      <c r="AE23" s="302">
        <v>36692</v>
      </c>
      <c r="AF23" s="38">
        <f>WORKDAY(EDATE(AE23,1)-1,1,FERIADOS!$A$1:$A$830)</f>
        <v>36724</v>
      </c>
      <c r="AG23" s="303">
        <v>1614.62</v>
      </c>
      <c r="AH23" s="303">
        <v>0.23</v>
      </c>
    </row>
    <row r="24" spans="1:34" ht="16.5" customHeight="1" thickBot="1" x14ac:dyDescent="0.25">
      <c r="B24" s="30" t="s">
        <v>197</v>
      </c>
      <c r="C24" s="266">
        <f>C20*C26*C19*C5</f>
        <v>55779.785392575344</v>
      </c>
      <c r="D24" s="9"/>
      <c r="N24" s="470"/>
      <c r="O24" s="99"/>
      <c r="P24" s="99"/>
      <c r="S24" s="55"/>
      <c r="T24" s="13">
        <f t="shared" si="5"/>
        <v>53281</v>
      </c>
      <c r="U24" s="13">
        <f>IF(T24="","",WORKDAY(T24-1,1,FERIADOS!$A$1:$A$840))</f>
        <v>53282</v>
      </c>
      <c r="V24" s="198">
        <f>IF(T24="",0,NETWORKDAYS($C$2,U24,FERIADOS!$A$1:$A$830)-1)</f>
        <v>7069</v>
      </c>
      <c r="W24" s="22">
        <f t="shared" si="6"/>
        <v>2.9563014098699991E-2</v>
      </c>
      <c r="X24" s="199">
        <f t="shared" si="0"/>
        <v>7.4275448921901979E-3</v>
      </c>
      <c r="Y24" s="14">
        <f t="shared" si="1"/>
        <v>26.703776668997694</v>
      </c>
      <c r="Z24" s="199">
        <f t="shared" si="2"/>
        <v>7.4474067E-3</v>
      </c>
      <c r="AA24" s="11">
        <f t="shared" si="3"/>
        <v>7.4077379999999996E-3</v>
      </c>
      <c r="AB24" s="316">
        <f ca="1">IF(T24="","",IF($E$5="X",_xll.Spline(Curva!$T$3:$T$46,Curva!$G$3:$G$46,V24),_xll.Spline(Curva!$AF$3:$AF$46,Curva!$AG$3:$AG$46,V24)))</f>
        <v>0.10126762401173238</v>
      </c>
      <c r="AC24" s="22">
        <f t="shared" ca="1" si="4"/>
        <v>0.11117492163678756</v>
      </c>
      <c r="AD24" s="210"/>
      <c r="AE24" s="302">
        <v>36722</v>
      </c>
      <c r="AF24" s="38">
        <f>WORKDAY(EDATE(AE24,1)-1,1,FERIADOS!$A$1:$A$830)</f>
        <v>36753</v>
      </c>
      <c r="AG24" s="303">
        <v>1640.62</v>
      </c>
      <c r="AH24" s="304">
        <v>1.61</v>
      </c>
    </row>
    <row r="25" spans="1:34" ht="13.5" thickBot="1" x14ac:dyDescent="0.25">
      <c r="B25" s="244">
        <v>42736</v>
      </c>
      <c r="C25" s="201" t="e">
        <f>C24/(((100000/((1+E16-$C$26)^(D16/252)))-(100000/((1+E16+$C$26)^(D16/252))))/2)</f>
        <v>#N/A</v>
      </c>
      <c r="D25" s="14"/>
      <c r="N25" s="470"/>
      <c r="O25" s="99"/>
      <c r="P25" s="99"/>
      <c r="S25" s="55"/>
      <c r="T25" s="13">
        <f t="shared" si="5"/>
        <v>53097</v>
      </c>
      <c r="U25" s="13">
        <f>IF(T25="","",WORKDAY(T25-1,1,FERIADOS!$A$1:$A$840))</f>
        <v>53097</v>
      </c>
      <c r="V25" s="198">
        <f>IF(T25="",0,NETWORKDAYS($C$2,U25,FERIADOS!$A$1:$A$830)-1)</f>
        <v>6941</v>
      </c>
      <c r="W25" s="22">
        <f t="shared" si="6"/>
        <v>2.9563014098699991E-2</v>
      </c>
      <c r="X25" s="199">
        <f t="shared" si="0"/>
        <v>7.6156657361528312E-3</v>
      </c>
      <c r="Y25" s="14">
        <f t="shared" si="1"/>
        <v>26.220229053917592</v>
      </c>
      <c r="Z25" s="199">
        <f t="shared" si="2"/>
        <v>7.6356612999999999E-3</v>
      </c>
      <c r="AA25" s="11">
        <f t="shared" si="3"/>
        <v>7.5957244E-3</v>
      </c>
      <c r="AB25" s="316">
        <f ca="1">IF(T25="","",IF($E$5="X",_xll.Spline(Curva!$T$3:$T$46,Curva!$G$3:$G$46,V25),_xll.Spline(Curva!$AF$3:$AF$46,Curva!$AG$3:$AG$46,V25)))</f>
        <v>0.1012642432717379</v>
      </c>
      <c r="AC25" s="22">
        <f t="shared" ca="1" si="4"/>
        <v>0.10853099377480677</v>
      </c>
      <c r="AD25" s="210"/>
      <c r="AE25" s="302">
        <v>36753</v>
      </c>
      <c r="AF25" s="38">
        <f>WORKDAY(EDATE(AE25,1)-1,1,FERIADOS!$A$1:$A$830)</f>
        <v>36784</v>
      </c>
      <c r="AG25" s="303">
        <v>1662.11</v>
      </c>
      <c r="AH25" s="303">
        <v>1.31</v>
      </c>
    </row>
    <row r="26" spans="1:34" ht="18.75" customHeight="1" x14ac:dyDescent="0.2">
      <c r="B26" s="58" t="s">
        <v>22</v>
      </c>
      <c r="C26" s="77">
        <v>1E-4</v>
      </c>
      <c r="N26" s="470"/>
      <c r="O26" s="99"/>
      <c r="P26" s="99"/>
      <c r="S26" s="55"/>
      <c r="T26" s="13">
        <f t="shared" si="5"/>
        <v>52916</v>
      </c>
      <c r="U26" s="13">
        <f>IF(T26="","",WORKDAY(T26-1,1,FERIADOS!$A$1:$A$840))</f>
        <v>52917</v>
      </c>
      <c r="V26" s="198">
        <f>IF(T26="",0,NETWORKDAYS($C$2,U26,FERIADOS!$A$1:$A$830)-1)</f>
        <v>6818</v>
      </c>
      <c r="W26" s="22">
        <f t="shared" si="6"/>
        <v>2.9563014098699991E-2</v>
      </c>
      <c r="X26" s="199">
        <f t="shared" si="0"/>
        <v>7.8009257199385014E-3</v>
      </c>
      <c r="Y26" s="14">
        <f t="shared" si="1"/>
        <v>25.755597119258674</v>
      </c>
      <c r="Z26" s="199">
        <f t="shared" si="2"/>
        <v>7.8210442999999998E-3</v>
      </c>
      <c r="AA26" s="11">
        <f t="shared" si="3"/>
        <v>7.7808608E-3</v>
      </c>
      <c r="AB26" s="316">
        <f ca="1">IF(T26="","",IF($E$5="X",_xll.Spline(Curva!$T$3:$T$46,Curva!$G$3:$G$46,V26),_xll.Spline(Curva!$AF$3:$AF$46,Curva!$AG$3:$AG$46,V26)))</f>
        <v>0.10125992975127709</v>
      </c>
      <c r="AC26" s="22">
        <f t="shared" ca="1" si="4"/>
        <v>0.10604714091235921</v>
      </c>
      <c r="AD26" s="210"/>
      <c r="AE26" s="302">
        <v>36784</v>
      </c>
      <c r="AF26" s="38">
        <f>WORKDAY(EDATE(AE26,1)-1,1,FERIADOS!$A$1:$A$830)</f>
        <v>36815</v>
      </c>
      <c r="AG26" s="303">
        <v>1665.93</v>
      </c>
      <c r="AH26" s="303">
        <v>0.23</v>
      </c>
    </row>
    <row r="27" spans="1:34" ht="12.75" customHeight="1" thickBot="1" x14ac:dyDescent="0.25">
      <c r="B27" s="93" t="s">
        <v>23</v>
      </c>
      <c r="C27" s="81">
        <v>1E-3</v>
      </c>
      <c r="D27" s="268"/>
      <c r="E27" s="186"/>
      <c r="N27" s="470"/>
      <c r="O27" s="99"/>
      <c r="P27" s="99"/>
      <c r="R27" s="55"/>
      <c r="S27" s="55"/>
      <c r="T27" s="13">
        <f t="shared" si="5"/>
        <v>52732</v>
      </c>
      <c r="U27" s="13">
        <f>IF(T27="","",WORKDAY(T27-1,1,FERIADOS!$A$1:$A$840))</f>
        <v>52733</v>
      </c>
      <c r="V27" s="198">
        <f>IF(T27="",0,NETWORKDAYS($C$2,U27,FERIADOS!$A$1:$A$830)-1)</f>
        <v>6691</v>
      </c>
      <c r="W27" s="22">
        <f t="shared" si="6"/>
        <v>2.9563014098699991E-2</v>
      </c>
      <c r="X27" s="199">
        <f t="shared" si="0"/>
        <v>7.9969405447683321E-3</v>
      </c>
      <c r="Y27" s="14">
        <f t="shared" si="1"/>
        <v>25.275853792890224</v>
      </c>
      <c r="Z27" s="199">
        <f t="shared" si="2"/>
        <v>8.0171800000000005E-3</v>
      </c>
      <c r="AA27" s="11">
        <f t="shared" si="3"/>
        <v>7.9767541000000004E-3</v>
      </c>
      <c r="AB27" s="316">
        <f ca="1">IF(T27="","",IF($E$5="X",_xll.Spline(Curva!$T$3:$T$46,Curva!$G$3:$G$46,V27),_xll.Spline(Curva!$AF$3:$AF$46,Curva!$AG$3:$AG$46,V27)))</f>
        <v>0.10125432921192523</v>
      </c>
      <c r="AC27" s="22">
        <f t="shared" ca="1" si="4"/>
        <v>0.1035396988821484</v>
      </c>
      <c r="AD27" s="210"/>
      <c r="AE27" s="302">
        <v>36814</v>
      </c>
      <c r="AF27" s="38">
        <f>WORKDAY(EDATE(AE27,1)-1,1,FERIADOS!$A$1:$A$830)</f>
        <v>36845</v>
      </c>
      <c r="AG27" s="303">
        <v>1668.26</v>
      </c>
      <c r="AH27" s="303">
        <v>0.14000000000000001</v>
      </c>
    </row>
    <row r="28" spans="1:34" ht="12.75" customHeight="1" x14ac:dyDescent="0.4">
      <c r="C28" s="155" t="s">
        <v>66</v>
      </c>
      <c r="D28" s="233"/>
      <c r="E28" s="154"/>
      <c r="N28" s="470"/>
      <c r="O28" s="99"/>
      <c r="P28" s="99"/>
      <c r="T28" s="13">
        <f t="shared" si="5"/>
        <v>52550</v>
      </c>
      <c r="U28" s="13">
        <f>IF(T28="","",WORKDAY(T28-1,1,FERIADOS!$A$1:$A$840))</f>
        <v>52551</v>
      </c>
      <c r="V28" s="198">
        <f>IF(T28="",0,NETWORKDAYS($C$2,U28,FERIADOS!$A$1:$A$830)-1)</f>
        <v>6567</v>
      </c>
      <c r="W28" s="22">
        <f t="shared" si="6"/>
        <v>2.9563014098699991E-2</v>
      </c>
      <c r="X28" s="199">
        <f t="shared" si="0"/>
        <v>8.1930763086984961E-3</v>
      </c>
      <c r="Y28" s="14">
        <f t="shared" si="1"/>
        <v>24.807409615386518</v>
      </c>
      <c r="Z28" s="199">
        <f t="shared" si="2"/>
        <v>8.2134274000000007E-3</v>
      </c>
      <c r="AA28" s="11">
        <f t="shared" si="3"/>
        <v>8.1727776000000002E-3</v>
      </c>
      <c r="AB28" s="316">
        <f ca="1">IF(T28="","",IF($E$5="X",_xll.Spline(Curva!$T$3:$T$46,Curva!$G$3:$G$46,V28),_xll.Spline(Curva!$AF$3:$AF$46,Curva!$AG$3:$AG$46,V28)))</f>
        <v>0.10124768673839807</v>
      </c>
      <c r="AC28" s="22">
        <f t="shared" ca="1" si="4"/>
        <v>0.10114639138871528</v>
      </c>
      <c r="AD28" s="210"/>
      <c r="AE28" s="302">
        <v>36845</v>
      </c>
      <c r="AF28" s="38">
        <f>WORKDAY(EDATE(AE28,1)-1,1,FERIADOS!$A$1:$A$830)</f>
        <v>36875</v>
      </c>
      <c r="AG28" s="303">
        <v>1673.6</v>
      </c>
      <c r="AH28" s="303">
        <v>0.32</v>
      </c>
    </row>
    <row r="29" spans="1:34" ht="12.75" customHeight="1" x14ac:dyDescent="0.4">
      <c r="B29" s="207"/>
      <c r="C29" s="350"/>
      <c r="D29" s="233"/>
      <c r="E29" s="15"/>
      <c r="L29" s="278"/>
      <c r="M29" s="278"/>
      <c r="N29" s="470"/>
      <c r="O29" s="99"/>
      <c r="P29" s="99"/>
      <c r="Q29" s="278"/>
      <c r="R29" s="278"/>
      <c r="S29" s="278"/>
      <c r="T29" s="13">
        <f t="shared" si="5"/>
        <v>52366</v>
      </c>
      <c r="U29" s="13">
        <f>IF(T29="","",WORKDAY(T29-1,1,FERIADOS!$A$1:$A$840))</f>
        <v>52366</v>
      </c>
      <c r="V29" s="198">
        <f>IF(T29="",0,NETWORKDAYS($C$2,U29,FERIADOS!$A$1:$A$830)-1)</f>
        <v>6440</v>
      </c>
      <c r="W29" s="22">
        <f t="shared" si="6"/>
        <v>2.9563014098699991E-2</v>
      </c>
      <c r="X29" s="199">
        <f t="shared" si="0"/>
        <v>8.3989447498454533E-3</v>
      </c>
      <c r="Y29" s="14">
        <f t="shared" si="1"/>
        <v>24.3276394934922</v>
      </c>
      <c r="Z29" s="199">
        <f t="shared" si="2"/>
        <v>8.4194031999999999E-3</v>
      </c>
      <c r="AA29" s="11">
        <f t="shared" si="3"/>
        <v>8.3785379E-3</v>
      </c>
      <c r="AB29" s="316">
        <f ca="1">IF(T29="","",IF($E$5="X",_xll.Spline(Curva!$T$3:$T$46,Curva!$G$3:$G$46,V29),_xll.Spline(Curva!$AF$3:$AF$46,Curva!$AG$3:$AG$46,V29)))</f>
        <v>0.10123962906150188</v>
      </c>
      <c r="AC29" s="22">
        <f t="shared" ca="1" si="4"/>
        <v>9.8750248042051403E-2</v>
      </c>
      <c r="AD29" s="210"/>
      <c r="AE29" s="302">
        <v>36875</v>
      </c>
      <c r="AF29" s="38">
        <f>WORKDAY(EDATE(AE29,1)-1,1,FERIADOS!$A$1:$A$830)</f>
        <v>36906</v>
      </c>
      <c r="AG29" s="303">
        <v>1683.47</v>
      </c>
      <c r="AH29" s="303">
        <v>0.59</v>
      </c>
    </row>
    <row r="30" spans="1:34" ht="12.75" customHeight="1" x14ac:dyDescent="0.2">
      <c r="A30" s="9">
        <f>IF(DAY(C2)&gt;=15,IF(MONTH(C2)=12,1,MONTH(C2)+1),MONTH(C2))</f>
        <v>10</v>
      </c>
      <c r="B30" s="9">
        <f>IF(AND(A30=1,DAY(C2)&gt;=15),YEAR(C2)+1,YEAR(C2))</f>
        <v>2017</v>
      </c>
      <c r="C30" s="204">
        <f>D30</f>
        <v>5</v>
      </c>
      <c r="D30" s="205">
        <f>NETWORKDAYS(C18,$C$2,FERIADOS!$A$1:$A$830)-1</f>
        <v>5</v>
      </c>
      <c r="E30" s="5">
        <f>C2-C18</f>
        <v>7</v>
      </c>
      <c r="F30" s="278"/>
      <c r="L30" s="278"/>
      <c r="M30" s="278"/>
      <c r="N30" s="278"/>
      <c r="O30" s="278"/>
      <c r="P30" s="278"/>
      <c r="Q30" s="278"/>
      <c r="R30" s="278"/>
      <c r="S30" s="278"/>
      <c r="T30" s="13">
        <f t="shared" si="5"/>
        <v>52185</v>
      </c>
      <c r="U30" s="13">
        <f>IF(T30="","",WORKDAY(T30-1,1,FERIADOS!$A$1:$A$840))</f>
        <v>52187</v>
      </c>
      <c r="V30" s="198">
        <f>IF(T30="",0,NETWORKDAYS($C$2,U30,FERIADOS!$A$1:$A$830)-1)</f>
        <v>6318</v>
      </c>
      <c r="W30" s="22">
        <f t="shared" si="6"/>
        <v>2.9563014098699991E-2</v>
      </c>
      <c r="X30" s="199">
        <f t="shared" si="0"/>
        <v>8.6015779438946751E-3</v>
      </c>
      <c r="Y30" s="14">
        <f t="shared" si="1"/>
        <v>23.866783669119162</v>
      </c>
      <c r="Z30" s="199">
        <f t="shared" si="2"/>
        <v>8.6221326000000004E-3</v>
      </c>
      <c r="AA30" s="11">
        <f t="shared" si="3"/>
        <v>8.5810742000000002E-3</v>
      </c>
      <c r="AB30" s="316">
        <f ca="1">IF(T30="","",IF($E$5="X",_xll.Spline(Curva!$T$3:$T$46,Curva!$G$3:$G$46,V30),_xll.Spline(Curva!$AF$3:$AF$46,Curva!$AG$3:$AG$46,V30)))</f>
        <v>0.1012306443429527</v>
      </c>
      <c r="AC30" s="22">
        <f t="shared" ca="1" si="4"/>
        <v>9.6499850240692783E-2</v>
      </c>
      <c r="AD30" s="210"/>
      <c r="AE30" s="302">
        <v>36906</v>
      </c>
      <c r="AF30" s="38">
        <f>WORKDAY(EDATE(AE30,1)-1,1,FERIADOS!$A$1:$A$830)</f>
        <v>36937</v>
      </c>
      <c r="AG30" s="303">
        <v>1693.07</v>
      </c>
      <c r="AH30" s="303">
        <v>0.56999999999999995</v>
      </c>
    </row>
    <row r="31" spans="1:34" ht="12.75" customHeight="1" x14ac:dyDescent="0.2">
      <c r="A31" s="9">
        <f>IF(DAY(C2)&lt;15,IF(MONTH(C2)=1,12,MONTH(C2)-1),MONTH(C2))</f>
        <v>9</v>
      </c>
      <c r="B31" s="9">
        <f>IF(A30=1,B30-1,B30)</f>
        <v>2017</v>
      </c>
      <c r="C31" s="204">
        <f>D31</f>
        <v>20</v>
      </c>
      <c r="D31" s="205">
        <f>NETWORKDAYS($C$18,C17,FERIADOS!$A$1:$A$830)-1</f>
        <v>20</v>
      </c>
      <c r="E31" s="5">
        <f>C17-C18</f>
        <v>31</v>
      </c>
      <c r="F31" s="227"/>
      <c r="L31" s="116"/>
      <c r="M31" s="116"/>
      <c r="N31" s="116"/>
      <c r="O31" s="116"/>
      <c r="P31" s="116"/>
      <c r="Q31" s="116"/>
      <c r="R31" s="116"/>
      <c r="S31" s="116"/>
      <c r="T31" s="13">
        <f t="shared" si="5"/>
        <v>52001</v>
      </c>
      <c r="U31" s="13">
        <f>IF(T31="","",WORKDAY(T31-1,1,FERIADOS!$A$1:$A$840))</f>
        <v>52001</v>
      </c>
      <c r="V31" s="198">
        <f>IF(T31="",0,NETWORKDAYS($C$2,U31,FERIADOS!$A$1:$A$830)-1)</f>
        <v>6187</v>
      </c>
      <c r="W31" s="22">
        <f t="shared" si="6"/>
        <v>2.9563014098699991E-2</v>
      </c>
      <c r="X31" s="199">
        <f t="shared" si="0"/>
        <v>8.824605703110203E-3</v>
      </c>
      <c r="Y31" s="14">
        <f t="shared" si="1"/>
        <v>23.371922433578494</v>
      </c>
      <c r="Z31" s="199">
        <f t="shared" si="2"/>
        <v>8.8452556000000009E-3</v>
      </c>
      <c r="AA31" s="11">
        <f t="shared" si="3"/>
        <v>8.8040059999999996E-3</v>
      </c>
      <c r="AB31" s="316">
        <f ca="1">IF(T31="","",IF($E$5="X",_xll.Spline(Curva!$T$3:$T$46,Curva!$G$3:$G$46,V31),_xll.Spline(Curva!$AF$3:$AF$46,Curva!$AG$3:$AG$46,V31)))</f>
        <v>0.10121958508670295</v>
      </c>
      <c r="AC31" s="22">
        <f t="shared" ca="1" si="4"/>
        <v>9.4138370380430519E-2</v>
      </c>
      <c r="AD31" s="210"/>
      <c r="AE31" s="302">
        <v>36937</v>
      </c>
      <c r="AF31" s="38">
        <f>WORKDAY(EDATE(AE31,1)-1,1,FERIADOS!$A$1:$A$830)</f>
        <v>36965</v>
      </c>
      <c r="AG31" s="303">
        <v>1700.86</v>
      </c>
      <c r="AH31" s="304">
        <v>0.46</v>
      </c>
    </row>
    <row r="32" spans="1:34" ht="12.75" customHeight="1" x14ac:dyDescent="0.2">
      <c r="C32" s="204">
        <f>C31-C30</f>
        <v>15</v>
      </c>
      <c r="F32" s="227"/>
      <c r="L32" s="116"/>
      <c r="M32" s="116"/>
      <c r="N32" s="116"/>
      <c r="O32" s="116"/>
      <c r="P32" s="116"/>
      <c r="Q32" s="116"/>
      <c r="R32" s="116"/>
      <c r="S32" s="116"/>
      <c r="T32" s="13">
        <f t="shared" si="5"/>
        <v>51820</v>
      </c>
      <c r="U32" s="13">
        <f>IF(T32="","",WORKDAY(T32-1,1,FERIADOS!$A$1:$A$840))</f>
        <v>51823</v>
      </c>
      <c r="V32" s="198">
        <f>IF(T32="",0,NETWORKDAYS($C$2,U32,FERIADOS!$A$1:$A$830)-1)</f>
        <v>6066</v>
      </c>
      <c r="W32" s="22">
        <f t="shared" si="6"/>
        <v>2.9563014098699991E-2</v>
      </c>
      <c r="X32" s="199">
        <f t="shared" si="0"/>
        <v>9.035742590612756E-3</v>
      </c>
      <c r="Y32" s="14">
        <f t="shared" si="1"/>
        <v>22.914774067944411</v>
      </c>
      <c r="Z32" s="199">
        <f t="shared" si="2"/>
        <v>9.0564724999999992E-3</v>
      </c>
      <c r="AA32" s="11">
        <f t="shared" si="3"/>
        <v>9.0150621000000004E-3</v>
      </c>
      <c r="AB32" s="316">
        <f ca="1">IF(T32="","",IF($E$5="X",_xll.Spline(Curva!$T$3:$T$46,Curva!$G$3:$G$46,V32),_xll.Spline(Curva!$AF$3:$AF$46,Curva!$AG$3:$AG$46,V32)))</f>
        <v>0.10120802215653657</v>
      </c>
      <c r="AC32" s="22">
        <f t="shared" ca="1" si="4"/>
        <v>9.2006670643861477E-2</v>
      </c>
      <c r="AD32" s="210"/>
      <c r="AE32" s="302">
        <v>36965</v>
      </c>
      <c r="AF32" s="38">
        <f>WORKDAY(EDATE(AE32,1)-1,1,FERIADOS!$A$1:$A$830)</f>
        <v>36997</v>
      </c>
      <c r="AG32" s="303">
        <v>1707.32</v>
      </c>
      <c r="AH32" s="303">
        <v>0.38</v>
      </c>
    </row>
    <row r="33" spans="2:41" ht="12.75" customHeight="1" x14ac:dyDescent="0.2">
      <c r="B33" s="213"/>
      <c r="C33" s="348"/>
      <c r="D33" s="37"/>
      <c r="F33" s="225"/>
      <c r="T33" s="13">
        <f t="shared" si="5"/>
        <v>51636</v>
      </c>
      <c r="U33" s="13">
        <f>IF(T33="","",WORKDAY(T33-1,1,FERIADOS!$A$1:$A$840))</f>
        <v>51636</v>
      </c>
      <c r="V33" s="198">
        <f>IF(T33="",0,NETWORKDAYS($C$2,U33,FERIADOS!$A$1:$A$830)-1)</f>
        <v>5935</v>
      </c>
      <c r="W33" s="22">
        <f t="shared" si="6"/>
        <v>2.9563014098699991E-2</v>
      </c>
      <c r="X33" s="199">
        <f t="shared" si="0"/>
        <v>9.2700276759746895E-3</v>
      </c>
      <c r="Y33" s="14">
        <f t="shared" si="1"/>
        <v>22.419943851800994</v>
      </c>
      <c r="Z33" s="199">
        <f t="shared" si="2"/>
        <v>9.2908352999999996E-3</v>
      </c>
      <c r="AA33" s="11">
        <f t="shared" si="3"/>
        <v>9.2492686000000008E-3</v>
      </c>
      <c r="AB33" s="316">
        <f ca="1">IF(T33="","",IF($E$5="X",_xll.Spline(Curva!$T$3:$T$46,Curva!$G$3:$G$46,V33),_xll.Spline(Curva!$AF$3:$AF$46,Curva!$AG$3:$AG$46,V33)))</f>
        <v>0.10119398990827233</v>
      </c>
      <c r="AC33" s="22">
        <f t="shared" ca="1" si="4"/>
        <v>8.9751297385851539E-2</v>
      </c>
      <c r="AD33" s="210"/>
      <c r="AE33" s="302">
        <v>36996</v>
      </c>
      <c r="AF33" s="38">
        <f>WORKDAY(EDATE(AE33,1)-1,1,FERIADOS!$A$1:$A$830)</f>
        <v>37026</v>
      </c>
      <c r="AG33" s="303">
        <v>1717.22</v>
      </c>
      <c r="AH33" s="303">
        <v>0.57999999999999996</v>
      </c>
    </row>
    <row r="34" spans="2:41" ht="13.5" customHeight="1" x14ac:dyDescent="0.2">
      <c r="B34" s="213"/>
      <c r="C34" s="349"/>
      <c r="T34" s="13">
        <f t="shared" si="5"/>
        <v>51455</v>
      </c>
      <c r="U34" s="13">
        <f>IF(T34="","",WORKDAY(T34-1,1,FERIADOS!$A$1:$A$840))</f>
        <v>51456</v>
      </c>
      <c r="V34" s="198">
        <f>IF(T34="",0,NETWORKDAYS($C$2,U34,FERIADOS!$A$1:$A$830)-1)</f>
        <v>5813</v>
      </c>
      <c r="W34" s="22">
        <f t="shared" si="6"/>
        <v>2.9563014098699991E-2</v>
      </c>
      <c r="X34" s="199">
        <f t="shared" si="0"/>
        <v>9.493676642940688E-3</v>
      </c>
      <c r="Y34" s="14">
        <f t="shared" si="1"/>
        <v>21.959090017566087</v>
      </c>
      <c r="Z34" s="199">
        <f t="shared" si="2"/>
        <v>9.5145478000000002E-3</v>
      </c>
      <c r="AA34" s="11">
        <f t="shared" si="3"/>
        <v>9.4728533000000004E-3</v>
      </c>
      <c r="AB34" s="316">
        <f ca="1">IF(T34="","",IF($E$5="X",_xll.Spline(Curva!$T$3:$T$46,Curva!$G$3:$G$46,V34),_xll.Spline(Curva!$AF$3:$AF$46,Curva!$AG$3:$AG$46,V34)))</f>
        <v>0.10117945813561226</v>
      </c>
      <c r="AC34" s="22">
        <f t="shared" ca="1" si="4"/>
        <v>8.769897668049155E-2</v>
      </c>
      <c r="AD34" s="210"/>
      <c r="AE34" s="302">
        <v>37026</v>
      </c>
      <c r="AF34" s="38">
        <f>WORKDAY(EDATE(AE34,1)-1,1,FERIADOS!$A$1:$A$830)</f>
        <v>37057</v>
      </c>
      <c r="AG34" s="303">
        <v>1724.26</v>
      </c>
      <c r="AH34" s="303">
        <v>0.41</v>
      </c>
    </row>
    <row r="35" spans="2:41" ht="16.5" customHeight="1" thickBot="1" x14ac:dyDescent="0.25">
      <c r="O35" s="37"/>
      <c r="P35" s="37"/>
      <c r="Q35" s="37"/>
      <c r="R35" s="37"/>
      <c r="S35" s="37"/>
      <c r="T35" s="13">
        <f t="shared" si="5"/>
        <v>51271</v>
      </c>
      <c r="U35" s="13">
        <f>IF(T35="","",WORKDAY(T35-1,1,FERIADOS!$A$1:$A$840))</f>
        <v>51271</v>
      </c>
      <c r="V35" s="198">
        <f>IF(T35="",0,NETWORKDAYS($C$2,U35,FERIADOS!$A$1:$A$830)-1)</f>
        <v>5685</v>
      </c>
      <c r="W35" s="22">
        <f t="shared" si="6"/>
        <v>2.9563014098699991E-2</v>
      </c>
      <c r="X35" s="199">
        <f t="shared" si="0"/>
        <v>9.734127355565286E-3</v>
      </c>
      <c r="Y35" s="14">
        <f t="shared" si="1"/>
        <v>21.475576840536032</v>
      </c>
      <c r="Z35" s="199">
        <f t="shared" si="2"/>
        <v>9.7550554000000005E-3</v>
      </c>
      <c r="AA35" s="11">
        <f t="shared" si="3"/>
        <v>9.7132461999999992E-3</v>
      </c>
      <c r="AB35" s="316">
        <f ca="1">IF(T35="","",IF($E$5="X",_xll.Spline(Curva!$T$3:$T$46,Curva!$G$3:$G$46,V35),_xll.Spline(Curva!$AF$3:$AF$46,Curva!$AG$3:$AG$46,V35)))</f>
        <v>0.10116281428909853</v>
      </c>
      <c r="AC35" s="22">
        <f t="shared" ca="1" si="4"/>
        <v>8.5594876738384354E-2</v>
      </c>
      <c r="AD35" s="210"/>
      <c r="AE35" s="302">
        <v>37057</v>
      </c>
      <c r="AF35" s="38">
        <f>WORKDAY(EDATE(AE35,1)-1,1,FERIADOS!$A$1:$A$830)</f>
        <v>37088</v>
      </c>
      <c r="AG35" s="303">
        <v>1733.23</v>
      </c>
      <c r="AH35" s="303">
        <v>0.52</v>
      </c>
    </row>
    <row r="36" spans="2:41" ht="36.75" customHeight="1" thickBot="1" x14ac:dyDescent="0.3">
      <c r="B36" s="278" t="s">
        <v>7</v>
      </c>
      <c r="C36" s="278" t="s">
        <v>87</v>
      </c>
      <c r="D36" s="474" t="s">
        <v>268</v>
      </c>
      <c r="E36" s="475" t="s">
        <v>157</v>
      </c>
      <c r="F36" s="475" t="s">
        <v>277</v>
      </c>
      <c r="G36" s="476" t="s">
        <v>77</v>
      </c>
      <c r="H36" s="477" t="s">
        <v>198</v>
      </c>
      <c r="I36" s="478" t="s">
        <v>278</v>
      </c>
      <c r="J36" s="478" t="s">
        <v>282</v>
      </c>
      <c r="K36" s="478" t="s">
        <v>268</v>
      </c>
      <c r="L36" s="478" t="s">
        <v>157</v>
      </c>
      <c r="M36" s="478" t="s">
        <v>280</v>
      </c>
      <c r="N36" s="478" t="s">
        <v>278</v>
      </c>
      <c r="O36" s="478" t="s">
        <v>282</v>
      </c>
      <c r="P36" s="478" t="s">
        <v>268</v>
      </c>
      <c r="Q36" s="478" t="s">
        <v>157</v>
      </c>
      <c r="R36" s="478" t="s">
        <v>289</v>
      </c>
      <c r="S36" s="479" t="s">
        <v>290</v>
      </c>
      <c r="T36" s="13">
        <f t="shared" si="5"/>
        <v>51089</v>
      </c>
      <c r="U36" s="13">
        <f>IF(T36="","",WORKDAY(T36-1,1,FERIADOS!$A$1:$A$840))</f>
        <v>51090</v>
      </c>
      <c r="V36" s="198">
        <f>IF(T36="",0,NETWORKDAYS($C$2,U36,FERIADOS!$A$1:$A$830)-1)</f>
        <v>5560</v>
      </c>
      <c r="W36" s="22">
        <f t="shared" si="6"/>
        <v>2.9563014098699991E-2</v>
      </c>
      <c r="X36" s="199">
        <f t="shared" si="0"/>
        <v>9.9748189257132646E-3</v>
      </c>
      <c r="Y36" s="14">
        <f t="shared" si="1"/>
        <v>21.003388789337968</v>
      </c>
      <c r="Z36" s="199">
        <f t="shared" si="2"/>
        <v>9.9957924E-3</v>
      </c>
      <c r="AA36" s="11">
        <f t="shared" si="3"/>
        <v>9.9538913999999996E-3</v>
      </c>
      <c r="AB36" s="316">
        <f ca="1">IF(T36="","",IF($E$5="X",_xll.Spline(Curva!$T$3:$T$46,Curva!$G$3:$G$46,V36),_xll.Spline(Curva!$AF$3:$AF$46,Curva!$AG$3:$AG$46,V36)))</f>
        <v>0.10114560769675003</v>
      </c>
      <c r="AC36" s="22">
        <f t="shared" ca="1" si="4"/>
        <v>8.3588464553913083E-2</v>
      </c>
      <c r="AD36" s="210"/>
      <c r="AE36" s="302">
        <v>37087</v>
      </c>
      <c r="AF36" s="38">
        <f>WORKDAY(EDATE(AE36,1)-1,1,FERIADOS!$A$1:$A$830)</f>
        <v>37118</v>
      </c>
      <c r="AG36" s="303">
        <v>1756.28</v>
      </c>
      <c r="AH36" s="304">
        <v>1.33</v>
      </c>
    </row>
    <row r="37" spans="2:41" x14ac:dyDescent="0.2">
      <c r="B37" s="471">
        <v>43327</v>
      </c>
      <c r="C37" s="449">
        <f>WORKDAY(Emails!M12-1,1,FERIADOS!$A$1:$A$830)</f>
        <v>42552</v>
      </c>
      <c r="D37" s="415">
        <v>7.0999999999999994E-2</v>
      </c>
      <c r="E37" s="415">
        <v>7.0199999999999999E-2</v>
      </c>
      <c r="F37" s="451">
        <v>7.0599999999999996E-2</v>
      </c>
      <c r="G37" s="415"/>
      <c r="H37" s="224" t="str">
        <f t="shared" ref="H37:H50" si="7">IF(B37=$C$3,$C$8,"")</f>
        <v/>
      </c>
      <c r="I37" s="247" t="str">
        <f t="shared" ref="I37:I50" si="8">IF(B37=$C$3,$C$9,"")</f>
        <v/>
      </c>
      <c r="J37" s="116" t="str">
        <f t="shared" ref="J37:J50" si="9">IF(H37="","",I37-VLOOKUP(B37,$B$68:$E$82,4,FALSE))</f>
        <v/>
      </c>
      <c r="K37" s="227" t="e">
        <f>VLOOKUP(C37,Curva!$S$4:$AA$46,8,FALSE)</f>
        <v>#N/A</v>
      </c>
      <c r="L37" s="227" t="e">
        <f>VLOOKUP(C37,Curva!$S$4:$AA$46,9,FALSE)</f>
        <v>#N/A</v>
      </c>
      <c r="M37" s="451">
        <v>0.13944550748494722</v>
      </c>
      <c r="N37" s="451">
        <v>6.4305536600922197E-2</v>
      </c>
      <c r="O37" s="451">
        <v>1.4555572381214077E-4</v>
      </c>
      <c r="P37" s="450">
        <v>13.98</v>
      </c>
      <c r="Q37" s="450">
        <v>13.99</v>
      </c>
      <c r="R37" s="224" t="str">
        <f t="shared" ref="R37:R50" si="10">IF(H37="","",(1+H37)/(1+VLOOKUP(B37,$B$68:$E$82,4,FALSE)+O37)-1)</f>
        <v/>
      </c>
      <c r="S37" s="224"/>
      <c r="T37" s="13">
        <f t="shared" si="5"/>
        <v>50905</v>
      </c>
      <c r="U37" s="13">
        <f>IF(T37="","",WORKDAY(T37-1,1,FERIADOS!$A$1:$A$840))</f>
        <v>50906</v>
      </c>
      <c r="V37" s="198">
        <f>IF(T37="",0,NETWORKDAYS($C$2,U37,FERIADOS!$A$1:$A$830)-1)</f>
        <v>5433</v>
      </c>
      <c r="W37" s="22">
        <f t="shared" si="6"/>
        <v>2.9563014098699991E-2</v>
      </c>
      <c r="X37" s="199">
        <f t="shared" ref="X37:X68" si="11">IF(ISERROR((W37/((1+$C$6)^((V37/252))))),0,(W37/((1+$C$6)^((V37/252)))))</f>
        <v>1.0225457433837445E-2</v>
      </c>
      <c r="Y37" s="14">
        <f t="shared" ref="Y37:Y68" si="12">IF(ISERROR((((Z37-AA37)/2)/X37)/$C$26),"",((((Z37-AA37)/2)/X37)/$C$26))</f>
        <v>20.523629515637477</v>
      </c>
      <c r="Z37" s="199">
        <f t="shared" ref="Z37:Z68" si="13">IF(ISERROR(ROUND((W37/((1+$C$6-$C$26)^(TRUNC(V37/252,14)))),10)),"",(ROUND((W37/((1+$C$6-$C$26)^(TRUNC(V37/252,14)))),10)))</f>
        <v>1.02464663E-2</v>
      </c>
      <c r="AA37" s="11">
        <f t="shared" ref="AA37:AA68" si="14">IF(ISERROR(ROUND((W37/((1+$C$6+$C$26)^(TRUNC(V37/252,14)))),10)),"",(ROUND((W37/((1+$C$6+$C$26)^(TRUNC(V37/252,14)))),10)))</f>
        <v>1.02044936E-2</v>
      </c>
      <c r="AB37" s="316">
        <f ca="1">IF(T37="","",IF($E$5="X",_xll.Spline(Curva!$T$3:$T$46,Curva!$G$3:$G$46,V37),_xll.Spline(Curva!$AF$3:$AF$46,Curva!$AG$3:$AG$46,V37)))</f>
        <v>0.10112763409305553</v>
      </c>
      <c r="AC37" s="22">
        <f t="shared" ref="AC37:AC68" ca="1" si="15">IF(W37="",0,X37*((1+AB37)^(V37/252)))</f>
        <v>8.1598619843161566E-2</v>
      </c>
      <c r="AD37" s="210"/>
      <c r="AE37" s="302">
        <v>37118</v>
      </c>
      <c r="AF37" s="38">
        <f>WORKDAY(EDATE(AE37,1)-1,1,FERIADOS!$A$1:$A$830)</f>
        <v>37151</v>
      </c>
      <c r="AG37" s="303">
        <v>1768.57</v>
      </c>
      <c r="AH37" s="303">
        <v>0.7</v>
      </c>
    </row>
    <row r="38" spans="2:41" x14ac:dyDescent="0.2">
      <c r="B38" s="471">
        <v>43600</v>
      </c>
      <c r="C38" s="449">
        <f>WORKDAY(Emails!M13-1,1,FERIADOS!$A$1:$A$830)</f>
        <v>42828</v>
      </c>
      <c r="D38" s="415"/>
      <c r="E38" s="415"/>
      <c r="F38" s="451">
        <v>6.5299999999999997E-2</v>
      </c>
      <c r="G38" s="415"/>
      <c r="H38" s="224" t="str">
        <f t="shared" si="7"/>
        <v/>
      </c>
      <c r="I38" s="247" t="str">
        <f t="shared" si="8"/>
        <v/>
      </c>
      <c r="J38" s="116" t="str">
        <f t="shared" si="9"/>
        <v/>
      </c>
      <c r="K38" s="227" t="e">
        <f>VLOOKUP(C38,Curva!$S$4:$AA$46,8,FALSE)</f>
        <v>#N/A</v>
      </c>
      <c r="L38" s="227" t="e">
        <f>VLOOKUP(C38,Curva!$S$4:$AA$46,9,FALSE)</f>
        <v>#N/A</v>
      </c>
      <c r="M38" s="451">
        <v>0.13326053574792041</v>
      </c>
      <c r="N38" s="451">
        <v>6.3794739273369538E-2</v>
      </c>
      <c r="O38" s="451">
        <v>1.9763088197555234E-4</v>
      </c>
      <c r="P38" s="450">
        <v>13.37</v>
      </c>
      <c r="Q38" s="450">
        <v>13.39</v>
      </c>
      <c r="R38" s="224" t="str">
        <f t="shared" si="10"/>
        <v/>
      </c>
      <c r="S38" s="224" t="str">
        <f t="shared" ref="S38:S50" si="16">IF(H38="","",F37+VLOOKUP(B38,$B$68:$C$82,2,FALSE)-VLOOKUP(B37,$B$68:$C$82,2,FALSE))</f>
        <v/>
      </c>
      <c r="T38" s="13">
        <f t="shared" ref="T38:T69" si="17">IF($E$1="X","",IF(ISERROR(IF((EDATE(T37,-6))&lt;=$C$2,"",EDATE(T37,-6))),"",(IF(EDATE(T37,-6)&lt;=$C$2,"",EDATE(T37,-6)))))</f>
        <v>50724</v>
      </c>
      <c r="U38" s="13">
        <f>IF(T38="","",WORKDAY(T38-1,1,FERIADOS!$A$1:$A$840))</f>
        <v>50725</v>
      </c>
      <c r="V38" s="198">
        <f>IF(T38="",0,NETWORKDAYS($C$2,U38,FERIADOS!$A$1:$A$830)-1)</f>
        <v>5308</v>
      </c>
      <c r="W38" s="22">
        <f t="shared" ref="W38:W69" si="18">IF(T38="","",IF($E$1="X",1,1.06^0.5-1))</f>
        <v>2.9563014098699991E-2</v>
      </c>
      <c r="X38" s="199">
        <f t="shared" si="11"/>
        <v>1.0478297910988643E-2</v>
      </c>
      <c r="Y38" s="14">
        <f t="shared" si="12"/>
        <v>20.051395921818845</v>
      </c>
      <c r="Z38" s="199">
        <f t="shared" si="13"/>
        <v>1.04993304E-2</v>
      </c>
      <c r="AA38" s="11">
        <f t="shared" si="14"/>
        <v>1.0457309499999999E-2</v>
      </c>
      <c r="AB38" s="316">
        <f ca="1">IF(T38="","",IF($E$5="X",_xll.Spline(Curva!$T$3:$T$46,Curva!$G$3:$G$46,V38),_xll.Spline(Curva!$AF$3:$AF$46,Curva!$AG$3:$AG$46,V38)))</f>
        <v>0.10110992101123727</v>
      </c>
      <c r="AC38" s="22">
        <f t="shared" ca="1" si="15"/>
        <v>7.9687618225568455E-2</v>
      </c>
      <c r="AD38" s="210"/>
      <c r="AE38" s="302">
        <v>37149</v>
      </c>
      <c r="AF38" s="38">
        <f>WORKDAY(EDATE(AE38,1)-1,1,FERIADOS!$A$1:$A$830)</f>
        <v>37179</v>
      </c>
      <c r="AG38" s="303">
        <v>1773.52</v>
      </c>
      <c r="AH38" s="303">
        <v>0.28000000000000003</v>
      </c>
    </row>
    <row r="39" spans="2:41" x14ac:dyDescent="0.2">
      <c r="B39" s="471">
        <v>44058</v>
      </c>
      <c r="C39" s="449">
        <f>WORKDAY(Emails!M14-1,1,FERIADOS!$A$1:$A$830)</f>
        <v>43283</v>
      </c>
      <c r="D39" s="415">
        <v>6.5699999999999995E-2</v>
      </c>
      <c r="E39" s="415">
        <v>6.5299999999999997E-2</v>
      </c>
      <c r="F39" s="451">
        <v>6.5500000000000003E-2</v>
      </c>
      <c r="G39" s="415"/>
      <c r="H39" s="224" t="str">
        <f t="shared" si="7"/>
        <v/>
      </c>
      <c r="I39" s="247" t="str">
        <f t="shared" si="8"/>
        <v/>
      </c>
      <c r="J39" s="116" t="str">
        <f t="shared" si="9"/>
        <v/>
      </c>
      <c r="K39" s="227">
        <f>VLOOKUP(C39,Curva!$S$4:$AA$46,8,FALSE)</f>
        <v>7.14</v>
      </c>
      <c r="L39" s="227">
        <f>VLOOKUP(C39,Curva!$S$4:$AA$46,9,FALSE)</f>
        <v>7.1449999999999996</v>
      </c>
      <c r="M39" s="451">
        <v>0.12867080836064204</v>
      </c>
      <c r="N39" s="451">
        <v>5.9287478517730641E-2</v>
      </c>
      <c r="O39" s="451">
        <v>2.9999999999999997E-4</v>
      </c>
      <c r="P39" s="450">
        <v>12.84</v>
      </c>
      <c r="Q39" s="450">
        <v>12.86</v>
      </c>
      <c r="R39" s="224" t="str">
        <f t="shared" si="10"/>
        <v/>
      </c>
      <c r="S39" s="224" t="str">
        <f t="shared" si="16"/>
        <v/>
      </c>
      <c r="T39" s="13">
        <f t="shared" si="17"/>
        <v>50540</v>
      </c>
      <c r="U39" s="13">
        <f>IF(T39="","",WORKDAY(T39-1,1,FERIADOS!$A$1:$A$840))</f>
        <v>50542</v>
      </c>
      <c r="V39" s="198">
        <f>IF(T39="",0,NETWORKDAYS($C$2,U39,FERIADOS!$A$1:$A$830)-1)</f>
        <v>5182</v>
      </c>
      <c r="W39" s="22">
        <f t="shared" si="18"/>
        <v>2.9563014098699991E-2</v>
      </c>
      <c r="X39" s="199">
        <f t="shared" si="11"/>
        <v>1.073948862667019E-2</v>
      </c>
      <c r="Y39" s="14">
        <f t="shared" si="12"/>
        <v>19.575419957885337</v>
      </c>
      <c r="Z39" s="199">
        <f t="shared" si="13"/>
        <v>1.07605332E-2</v>
      </c>
      <c r="AA39" s="11">
        <f t="shared" si="14"/>
        <v>1.07184872E-2</v>
      </c>
      <c r="AB39" s="316">
        <f ca="1">IF(T39="","",IF($E$5="X",_xll.Spline(Curva!$T$3:$T$46,Curva!$G$3:$G$46,V39),_xll.Spline(Curva!$AF$3:$AF$46,Curva!$AG$3:$AG$46,V39)))</f>
        <v>0.10109250811772816</v>
      </c>
      <c r="AC39" s="22">
        <f t="shared" ca="1" si="15"/>
        <v>7.7808517353993439E-2</v>
      </c>
      <c r="AD39" s="210"/>
      <c r="AE39" s="302">
        <v>37179</v>
      </c>
      <c r="AF39" s="38">
        <f>WORKDAY(EDATE(AE39,1)-1,1,FERIADOS!$A$1:$A$830)</f>
        <v>37211</v>
      </c>
      <c r="AG39" s="303">
        <v>1788.24</v>
      </c>
      <c r="AH39" s="303">
        <v>0.83</v>
      </c>
    </row>
    <row r="40" spans="2:41" x14ac:dyDescent="0.2">
      <c r="B40" s="471">
        <v>44331</v>
      </c>
      <c r="C40" s="449">
        <f>WORKDAY(Emails!M15-1,1,FERIADOS!$A$1:$A$830)</f>
        <v>43467</v>
      </c>
      <c r="D40" s="415">
        <v>6.6299999999999998E-2</v>
      </c>
      <c r="E40" s="415">
        <v>6.5699999999999995E-2</v>
      </c>
      <c r="F40" s="451">
        <v>6.6000000000000003E-2</v>
      </c>
      <c r="G40" s="415"/>
      <c r="H40" s="224" t="str">
        <f t="shared" si="7"/>
        <v/>
      </c>
      <c r="I40" s="247" t="str">
        <f t="shared" si="8"/>
        <v/>
      </c>
      <c r="J40" s="116" t="str">
        <f t="shared" si="9"/>
        <v/>
      </c>
      <c r="K40" s="227">
        <f>VLOOKUP(C40,Curva!$S$4:$AA$46,8,FALSE)</f>
        <v>7.28</v>
      </c>
      <c r="L40" s="227">
        <f>VLOOKUP(C40,Curva!$S$4:$AA$46,9,FALSE)</f>
        <v>7.29</v>
      </c>
      <c r="M40" s="451">
        <v>0.12769595938139378</v>
      </c>
      <c r="N40" s="451">
        <v>5.7876134504121657E-2</v>
      </c>
      <c r="O40" s="451">
        <v>2.8273467760908666E-4</v>
      </c>
      <c r="P40" s="450">
        <v>12.76</v>
      </c>
      <c r="Q40" s="450">
        <v>12.77</v>
      </c>
      <c r="R40" s="224" t="str">
        <f t="shared" si="10"/>
        <v/>
      </c>
      <c r="S40" s="224" t="str">
        <f t="shared" si="16"/>
        <v/>
      </c>
      <c r="T40" s="13">
        <f t="shared" si="17"/>
        <v>50359</v>
      </c>
      <c r="U40" s="13">
        <f>IF(T40="","",WORKDAY(T40-1,1,FERIADOS!$A$1:$A$840))</f>
        <v>50360</v>
      </c>
      <c r="V40" s="198">
        <f>IF(T40="",0,NETWORKDAYS($C$2,U40,FERIADOS!$A$1:$A$830)-1)</f>
        <v>5058</v>
      </c>
      <c r="W40" s="22">
        <f t="shared" si="18"/>
        <v>2.9563014098699991E-2</v>
      </c>
      <c r="X40" s="199">
        <f t="shared" si="11"/>
        <v>1.1002889085160443E-2</v>
      </c>
      <c r="Y40" s="14">
        <f t="shared" si="12"/>
        <v>19.107027106502485</v>
      </c>
      <c r="Z40" s="199">
        <f t="shared" si="13"/>
        <v>1.10239334E-2</v>
      </c>
      <c r="AA40" s="11">
        <f t="shared" si="14"/>
        <v>1.09818869E-2</v>
      </c>
      <c r="AB40" s="316">
        <f ca="1">IF(T40="","",IF($E$5="X",_xll.Spline(Curva!$T$3:$T$46,Curva!$G$3:$G$46,V40),_xll.Spline(Curva!$AF$3:$AF$46,Curva!$AG$3:$AG$46,V40)))</f>
        <v>0.10107625646757716</v>
      </c>
      <c r="AC40" s="22">
        <f t="shared" ca="1" si="15"/>
        <v>7.6004909265575502E-2</v>
      </c>
      <c r="AD40" s="210"/>
      <c r="AE40" s="302">
        <v>37210</v>
      </c>
      <c r="AF40" s="38">
        <f>WORKDAY(EDATE(AE40,1)-1,1,FERIADOS!$A$1:$A$830)</f>
        <v>37242</v>
      </c>
      <c r="AG40" s="303">
        <v>1800.94</v>
      </c>
      <c r="AH40" s="303">
        <v>0.71</v>
      </c>
    </row>
    <row r="41" spans="2:41" x14ac:dyDescent="0.2">
      <c r="B41" s="471">
        <v>44788</v>
      </c>
      <c r="C41" s="449">
        <f>WORKDAY(Emails!M16-1,1,FERIADOS!$A$1:$A$830)</f>
        <v>43832</v>
      </c>
      <c r="D41" s="415">
        <v>6.54E-2</v>
      </c>
      <c r="E41" s="415">
        <v>6.4899999999999999E-2</v>
      </c>
      <c r="F41" s="451">
        <v>6.515E-2</v>
      </c>
      <c r="G41" s="415"/>
      <c r="H41" s="224" t="str">
        <f t="shared" si="7"/>
        <v/>
      </c>
      <c r="I41" s="247" t="str">
        <f t="shared" si="8"/>
        <v/>
      </c>
      <c r="J41" s="116" t="str">
        <f t="shared" si="9"/>
        <v/>
      </c>
      <c r="K41" s="227">
        <f>VLOOKUP(C41,Curva!$S$4:$AA$46,8,FALSE)</f>
        <v>8.06</v>
      </c>
      <c r="L41" s="227">
        <f>VLOOKUP(C41,Curva!$S$4:$AA$46,9,FALSE)</f>
        <v>8.07</v>
      </c>
      <c r="M41" s="451">
        <v>0.12687515994644416</v>
      </c>
      <c r="N41" s="451">
        <v>5.7949734728858893E-2</v>
      </c>
      <c r="O41" s="451">
        <v>2.8206223543381093E-4</v>
      </c>
      <c r="P41" s="450">
        <v>12.65</v>
      </c>
      <c r="Q41" s="450">
        <v>12.66</v>
      </c>
      <c r="R41" s="224" t="str">
        <f t="shared" si="10"/>
        <v/>
      </c>
      <c r="S41" s="224" t="str">
        <f t="shared" si="16"/>
        <v/>
      </c>
      <c r="T41" s="13">
        <f t="shared" si="17"/>
        <v>50175</v>
      </c>
      <c r="U41" s="13">
        <f>IF(T41="","",WORKDAY(T41-1,1,FERIADOS!$A$1:$A$840))</f>
        <v>50175</v>
      </c>
      <c r="V41" s="198">
        <f>IF(T41="",0,NETWORKDAYS($C$2,U41,FERIADOS!$A$1:$A$830)-1)</f>
        <v>4931</v>
      </c>
      <c r="W41" s="22">
        <f t="shared" si="18"/>
        <v>2.9563014098699991E-2</v>
      </c>
      <c r="X41" s="199">
        <f t="shared" si="11"/>
        <v>1.127936003925982E-2</v>
      </c>
      <c r="Y41" s="14">
        <f t="shared" si="12"/>
        <v>18.627297937888166</v>
      </c>
      <c r="Z41" s="199">
        <f t="shared" si="13"/>
        <v>1.1300391E-2</v>
      </c>
      <c r="AA41" s="11">
        <f t="shared" si="14"/>
        <v>1.1258370199999999E-2</v>
      </c>
      <c r="AB41" s="316">
        <f ca="1">IF(T41="","",IF($E$5="X",_xll.Spline(Curva!$T$3:$T$46,Curva!$G$3:$G$46,V41),_xll.Spline(Curva!$AF$3:$AF$46,Curva!$AG$3:$AG$46,V41)))</f>
        <v>0.10106098847125153</v>
      </c>
      <c r="AC41" s="22">
        <f t="shared" ca="1" si="15"/>
        <v>7.4203927135158151E-2</v>
      </c>
      <c r="AD41" s="210"/>
      <c r="AE41" s="302">
        <v>37240</v>
      </c>
      <c r="AF41" s="38">
        <f>WORKDAY(EDATE(AE41,1)-1,1,FERIADOS!$A$1:$A$830)</f>
        <v>37271</v>
      </c>
      <c r="AG41" s="303">
        <v>1812.65</v>
      </c>
      <c r="AH41" s="303">
        <v>0.65</v>
      </c>
    </row>
    <row r="42" spans="2:41" x14ac:dyDescent="0.2">
      <c r="B42" s="471">
        <v>45061</v>
      </c>
      <c r="C42" s="449">
        <f>WORKDAY(Emails!M17-1,1,FERIADOS!$A$1:$A$830)</f>
        <v>44200</v>
      </c>
      <c r="D42" s="415">
        <v>6.4500000000000002E-2</v>
      </c>
      <c r="E42" s="415">
        <v>6.4000000000000001E-2</v>
      </c>
      <c r="F42" s="451">
        <v>6.4350000000000004E-2</v>
      </c>
      <c r="G42" s="415"/>
      <c r="H42" s="224" t="str">
        <f t="shared" si="7"/>
        <v/>
      </c>
      <c r="I42" s="247" t="str">
        <f t="shared" si="8"/>
        <v/>
      </c>
      <c r="J42" s="116" t="str">
        <f t="shared" si="9"/>
        <v/>
      </c>
      <c r="K42" s="227">
        <f>VLOOKUP(C42,Curva!$S$4:$AA$46,8,FALSE)</f>
        <v>8.73</v>
      </c>
      <c r="L42" s="227">
        <f>VLOOKUP(C42,Curva!$S$4:$AA$46,9,FALSE)</f>
        <v>8.74</v>
      </c>
      <c r="M42" s="415">
        <v>0.12650248922915952</v>
      </c>
      <c r="N42" s="451">
        <v>5.8394784825630319E-2</v>
      </c>
      <c r="O42" s="451">
        <v>2.8559516146864361E-4</v>
      </c>
      <c r="P42" s="450">
        <v>12.63</v>
      </c>
      <c r="Q42" s="450">
        <v>12.64</v>
      </c>
      <c r="R42" s="224" t="str">
        <f t="shared" si="10"/>
        <v/>
      </c>
      <c r="S42" s="224" t="str">
        <f t="shared" si="16"/>
        <v/>
      </c>
      <c r="T42" s="13">
        <f t="shared" si="17"/>
        <v>49994</v>
      </c>
      <c r="U42" s="13">
        <f>IF(T42="","",WORKDAY(T42-1,1,FERIADOS!$A$1:$A$840))</f>
        <v>49996</v>
      </c>
      <c r="V42" s="198">
        <f>IF(T42="",0,NETWORKDAYS($C$2,U42,FERIADOS!$A$1:$A$830)-1)</f>
        <v>4809</v>
      </c>
      <c r="W42" s="22">
        <f t="shared" si="18"/>
        <v>2.9563014098699991E-2</v>
      </c>
      <c r="X42" s="199">
        <f t="shared" si="11"/>
        <v>1.1551486219352671E-2</v>
      </c>
      <c r="Y42" s="14">
        <f t="shared" si="12"/>
        <v>18.166406989987969</v>
      </c>
      <c r="Z42" s="199">
        <f t="shared" si="13"/>
        <v>1.15724912E-2</v>
      </c>
      <c r="AA42" s="11">
        <f t="shared" si="14"/>
        <v>1.15305214E-2</v>
      </c>
      <c r="AB42" s="316">
        <f ca="1">IF(T42="","",IF($E$5="X",_xll.Spline(Curva!$T$3:$T$46,Curva!$G$3:$G$46,V42),_xll.Spline(Curva!$AF$3:$AF$46,Curva!$AG$3:$AG$46,V42)))</f>
        <v>0.10104807394898642</v>
      </c>
      <c r="AC42" s="22">
        <f t="shared" ca="1" si="15"/>
        <v>7.2517207272368586E-2</v>
      </c>
      <c r="AD42" s="210"/>
      <c r="AE42" s="302">
        <v>37271</v>
      </c>
      <c r="AF42" s="38">
        <f>WORKDAY(EDATE(AE42,1)-1,1,FERIADOS!$A$1:$A$830)</f>
        <v>37302</v>
      </c>
      <c r="AG42" s="303">
        <v>1822.08</v>
      </c>
      <c r="AH42" s="306">
        <v>0.52</v>
      </c>
    </row>
    <row r="43" spans="2:41" x14ac:dyDescent="0.2">
      <c r="B43" s="471">
        <v>45519</v>
      </c>
      <c r="C43" s="449">
        <f>WORKDAY(Emails!M18-1,1,FERIADOS!$A$1:$A$830)</f>
        <v>44564</v>
      </c>
      <c r="D43" s="415">
        <v>6.5299999999999997E-2</v>
      </c>
      <c r="E43" s="415">
        <v>6.4799999999999996E-2</v>
      </c>
      <c r="F43" s="451">
        <v>6.4899999999999999E-2</v>
      </c>
      <c r="G43" s="415"/>
      <c r="H43" s="224" t="str">
        <f t="shared" si="7"/>
        <v/>
      </c>
      <c r="I43" s="247" t="str">
        <f t="shared" si="8"/>
        <v/>
      </c>
      <c r="J43" s="116" t="str">
        <f t="shared" si="9"/>
        <v/>
      </c>
      <c r="K43" s="227">
        <f>VLOOKUP(C43,Curva!$S$4:$AA$46,8,FALSE)</f>
        <v>9.16</v>
      </c>
      <c r="L43" s="227">
        <f>VLOOKUP(C43,Curva!$S$4:$AA$46,9,FALSE)</f>
        <v>9.17</v>
      </c>
      <c r="M43" s="415">
        <v>0.12643581022998251</v>
      </c>
      <c r="N43" s="451">
        <v>5.7785529373633793E-2</v>
      </c>
      <c r="O43" s="451">
        <v>2.0208230281149042E-4</v>
      </c>
      <c r="P43" s="450">
        <v>12.6</v>
      </c>
      <c r="Q43" s="450">
        <v>12.61</v>
      </c>
      <c r="R43" s="224" t="str">
        <f t="shared" si="10"/>
        <v/>
      </c>
      <c r="S43" s="224" t="str">
        <f t="shared" si="16"/>
        <v/>
      </c>
      <c r="T43" s="13">
        <f t="shared" si="17"/>
        <v>49810</v>
      </c>
      <c r="U43" s="13">
        <f>IF(T43="","",WORKDAY(T43-1,1,FERIADOS!$A$1:$A$840))</f>
        <v>49810</v>
      </c>
      <c r="V43" s="198">
        <f>IF(T43="",0,NETWORKDAYS($C$2,U43,FERIADOS!$A$1:$A$830)-1)</f>
        <v>4678</v>
      </c>
      <c r="W43" s="22">
        <f t="shared" si="18"/>
        <v>2.9563014098699991E-2</v>
      </c>
      <c r="X43" s="199">
        <f t="shared" si="11"/>
        <v>1.1851001273906109E-2</v>
      </c>
      <c r="Y43" s="14">
        <f t="shared" si="12"/>
        <v>17.671544805342169</v>
      </c>
      <c r="Z43" s="199">
        <f t="shared" si="13"/>
        <v>1.18719633E-2</v>
      </c>
      <c r="AA43" s="11">
        <f t="shared" si="14"/>
        <v>1.18300782E-2</v>
      </c>
      <c r="AB43" s="316">
        <f ca="1">IF(T43="","",IF($E$5="X",_xll.Spline(Curva!$T$3:$T$46,Curva!$G$3:$G$46,V43),_xll.Spline(Curva!$AF$3:$AF$46,Curva!$AG$3:$AG$46,V43)))</f>
        <v>0.10103660795524795</v>
      </c>
      <c r="AC43" s="22">
        <f t="shared" ca="1" si="15"/>
        <v>7.0752479553723643E-2</v>
      </c>
      <c r="AD43" s="210"/>
      <c r="AE43" s="302">
        <v>37302</v>
      </c>
      <c r="AF43" s="38">
        <f>WORKDAY(EDATE(AE43,1)-1,1,FERIADOS!$A$1:$A$830)</f>
        <v>37330</v>
      </c>
      <c r="AG43" s="303">
        <v>1828.64</v>
      </c>
      <c r="AH43" s="306">
        <v>0.36</v>
      </c>
    </row>
    <row r="44" spans="2:41" x14ac:dyDescent="0.2">
      <c r="B44" s="471">
        <v>46249</v>
      </c>
      <c r="C44" s="449">
        <f>WORKDAY(Emails!M19-1,1,FERIADOS!$A$1:$A$830)</f>
        <v>44564</v>
      </c>
      <c r="D44" s="415"/>
      <c r="E44" s="415"/>
      <c r="F44" s="451">
        <v>6.4199999999999993E-2</v>
      </c>
      <c r="G44" s="415"/>
      <c r="H44" s="224" t="str">
        <f t="shared" si="7"/>
        <v/>
      </c>
      <c r="I44" s="247" t="str">
        <f t="shared" si="8"/>
        <v/>
      </c>
      <c r="J44" s="116" t="str">
        <f t="shared" si="9"/>
        <v/>
      </c>
      <c r="K44" s="227">
        <f>VLOOKUP(C44,Curva!$S$4:$AA$46,8,FALSE)</f>
        <v>9.16</v>
      </c>
      <c r="L44" s="227">
        <f>VLOOKUP(C44,Curva!$S$4:$AA$46,9,FALSE)</f>
        <v>9.17</v>
      </c>
      <c r="M44" s="415">
        <v>0.12619560759720749</v>
      </c>
      <c r="N44" s="451">
        <v>5.8255598193203806E-2</v>
      </c>
      <c r="O44" s="451">
        <v>1.8562829874180231E-4</v>
      </c>
      <c r="P44" s="450">
        <v>12.59</v>
      </c>
      <c r="Q44" s="450">
        <v>12.6</v>
      </c>
      <c r="R44" s="224" t="str">
        <f t="shared" si="10"/>
        <v/>
      </c>
      <c r="S44" s="224" t="str">
        <f t="shared" si="16"/>
        <v/>
      </c>
      <c r="T44" s="13">
        <f t="shared" si="17"/>
        <v>49628</v>
      </c>
      <c r="U44" s="13">
        <f>IF(T44="","",WORKDAY(T44-1,1,FERIADOS!$A$1:$A$840))</f>
        <v>49629</v>
      </c>
      <c r="V44" s="198">
        <f>IF(T44="",0,NETWORKDAYS($C$2,U44,FERIADOS!$A$1:$A$830)-1)</f>
        <v>4556</v>
      </c>
      <c r="W44" s="22">
        <f t="shared" si="18"/>
        <v>2.9563014098699991E-2</v>
      </c>
      <c r="X44" s="199">
        <f t="shared" si="11"/>
        <v>1.2136918887646474E-2</v>
      </c>
      <c r="Y44" s="14">
        <f t="shared" si="12"/>
        <v>17.2106695227743</v>
      </c>
      <c r="Z44" s="199">
        <f t="shared" si="13"/>
        <v>1.2157826300000001E-2</v>
      </c>
      <c r="AA44" s="11">
        <f t="shared" si="14"/>
        <v>1.21160494E-2</v>
      </c>
      <c r="AB44" s="316">
        <f ca="1">IF(T44="","",IF($E$5="X",_xll.Spline(Curva!$T$3:$T$46,Curva!$G$3:$G$46,V44),_xll.Spline(Curva!$AF$3:$AF$46,Curva!$AG$3:$AG$46,V44)))</f>
        <v>0.10102861571959151</v>
      </c>
      <c r="AC44" s="22">
        <f t="shared" ca="1" si="15"/>
        <v>6.9151358265247292E-2</v>
      </c>
      <c r="AD44" s="210"/>
      <c r="AE44" s="302">
        <v>37330</v>
      </c>
      <c r="AF44" s="38">
        <f>WORKDAY(EDATE(AE44,1)-1,1,FERIADOS!$A$1:$A$830)</f>
        <v>37361</v>
      </c>
      <c r="AG44" s="303">
        <v>1839.61</v>
      </c>
      <c r="AH44" s="303">
        <v>0.6</v>
      </c>
    </row>
    <row r="45" spans="2:41" x14ac:dyDescent="0.2">
      <c r="B45" s="471">
        <v>47710</v>
      </c>
      <c r="C45" s="449">
        <f>WORKDAY(Emails!M20-1,1,FERIADOS!$A$1:$A$830)</f>
        <v>45659</v>
      </c>
      <c r="D45" s="415">
        <v>6.3600000000000004E-2</v>
      </c>
      <c r="E45" s="415">
        <v>6.2600000000000003E-2</v>
      </c>
      <c r="F45" s="451">
        <v>6.3200000000000006E-2</v>
      </c>
      <c r="G45" s="415"/>
      <c r="H45" s="224" t="str">
        <f t="shared" si="7"/>
        <v/>
      </c>
      <c r="I45" s="247" t="str">
        <f t="shared" si="8"/>
        <v/>
      </c>
      <c r="J45" s="116" t="str">
        <f t="shared" si="9"/>
        <v/>
      </c>
      <c r="K45" s="227">
        <f>VLOOKUP(C45,Curva!$S$4:$AA$46,8,FALSE)</f>
        <v>9.75</v>
      </c>
      <c r="L45" s="227">
        <f>VLOOKUP(C45,Curva!$S$4:$AA$46,9,FALSE)</f>
        <v>9.76</v>
      </c>
      <c r="M45" s="415">
        <v>0.12616551042309032</v>
      </c>
      <c r="N45" s="451">
        <v>5.9222639600348348E-2</v>
      </c>
      <c r="O45" s="451">
        <v>1.9922802069705092E-4</v>
      </c>
      <c r="P45" s="450">
        <v>12.59</v>
      </c>
      <c r="Q45" s="450">
        <v>12.6</v>
      </c>
      <c r="R45" s="224" t="str">
        <f t="shared" si="10"/>
        <v/>
      </c>
      <c r="S45" s="224" t="str">
        <f t="shared" si="16"/>
        <v/>
      </c>
      <c r="T45" s="13">
        <f t="shared" si="17"/>
        <v>49444</v>
      </c>
      <c r="U45" s="13">
        <f>IF(T45="","",WORKDAY(T45-1,1,FERIADOS!$A$1:$A$840))</f>
        <v>49444</v>
      </c>
      <c r="V45" s="198">
        <f>IF(T45="",0,NETWORKDAYS($C$2,U45,FERIADOS!$A$1:$A$830)-1)</f>
        <v>4428</v>
      </c>
      <c r="W45" s="22">
        <f t="shared" si="18"/>
        <v>2.9563014098699991E-2</v>
      </c>
      <c r="X45" s="199">
        <f t="shared" si="11"/>
        <v>1.2444316211713918E-2</v>
      </c>
      <c r="Y45" s="14">
        <f t="shared" si="12"/>
        <v>16.727154506412951</v>
      </c>
      <c r="Z45" s="199">
        <f t="shared" si="13"/>
        <v>1.24651504E-2</v>
      </c>
      <c r="AA45" s="11">
        <f t="shared" si="14"/>
        <v>1.24235188E-2</v>
      </c>
      <c r="AB45" s="316">
        <f ca="1">IF(T45="","",IF($E$5="X",_xll.Spline(Curva!$T$3:$T$46,Curva!$G$3:$G$46,V45),_xll.Spline(Curva!$AF$3:$AF$46,Curva!$AG$3:$AG$46,V45)))</f>
        <v>0.10102348885747693</v>
      </c>
      <c r="AC45" s="22">
        <f t="shared" ca="1" si="15"/>
        <v>6.7514449546939387E-2</v>
      </c>
      <c r="AD45" s="210"/>
      <c r="AE45" s="302">
        <v>37361</v>
      </c>
      <c r="AF45" s="38">
        <f>WORKDAY(EDATE(AE45,1)-1,1,FERIADOS!$A$1:$A$830)</f>
        <v>37391</v>
      </c>
      <c r="AG45" s="303">
        <v>1854.33</v>
      </c>
      <c r="AH45" s="303">
        <v>0.8</v>
      </c>
    </row>
    <row r="46" spans="2:41" x14ac:dyDescent="0.2">
      <c r="B46" s="471">
        <v>49444</v>
      </c>
      <c r="C46" s="449">
        <f>WORKDAY(Emails!M21-1,1,FERIADOS!$A$1:$A$830)</f>
        <v>45659</v>
      </c>
      <c r="D46" s="415"/>
      <c r="E46" s="415"/>
      <c r="F46" s="451">
        <v>6.3500000000000001E-2</v>
      </c>
      <c r="G46" s="415"/>
      <c r="H46" s="224" t="str">
        <f t="shared" si="7"/>
        <v/>
      </c>
      <c r="I46" s="247" t="str">
        <f t="shared" si="8"/>
        <v/>
      </c>
      <c r="J46" s="116" t="str">
        <f t="shared" si="9"/>
        <v/>
      </c>
      <c r="K46" s="227">
        <f>VLOOKUP(C46,Curva!$S$4:$AA$46,8,FALSE)</f>
        <v>9.75</v>
      </c>
      <c r="L46" s="227">
        <f>VLOOKUP(C46,Curva!$S$4:$AA$46,9,FALSE)</f>
        <v>9.76</v>
      </c>
      <c r="M46" s="415">
        <v>0.12621581783839297</v>
      </c>
      <c r="N46" s="451">
        <v>5.8971149824535107E-2</v>
      </c>
      <c r="O46" s="451">
        <v>2.0229357951584426E-4</v>
      </c>
      <c r="P46" s="450">
        <v>12.59</v>
      </c>
      <c r="Q46" s="450">
        <v>12.6</v>
      </c>
      <c r="R46" s="224" t="str">
        <f t="shared" si="10"/>
        <v/>
      </c>
      <c r="S46" s="224" t="str">
        <f t="shared" si="16"/>
        <v/>
      </c>
      <c r="T46" s="13">
        <f t="shared" si="17"/>
        <v>49263</v>
      </c>
      <c r="U46" s="13">
        <f>IF(T46="","",WORKDAY(T46-1,1,FERIADOS!$A$1:$A$840))</f>
        <v>49264</v>
      </c>
      <c r="V46" s="198">
        <f>IF(T46="",0,NETWORKDAYS($C$2,U46,FERIADOS!$A$1:$A$830)-1)</f>
        <v>4306</v>
      </c>
      <c r="W46" s="22">
        <f t="shared" si="18"/>
        <v>2.9563014098699991E-2</v>
      </c>
      <c r="X46" s="199">
        <f t="shared" si="11"/>
        <v>1.2744548159517179E-2</v>
      </c>
      <c r="Y46" s="14">
        <f t="shared" si="12"/>
        <v>16.266249489998103</v>
      </c>
      <c r="Z46" s="199">
        <f t="shared" si="13"/>
        <v>1.27652966E-2</v>
      </c>
      <c r="AA46" s="11">
        <f t="shared" si="14"/>
        <v>1.2723835399999999E-2</v>
      </c>
      <c r="AB46" s="316">
        <f ca="1">IF(T46="","",IF($E$5="X",_xll.Spline(Curva!$T$3:$T$46,Curva!$G$3:$G$46,V46),_xll.Spline(Curva!$AF$3:$AF$46,Curva!$AG$3:$AG$46,V46)))</f>
        <v>0.10102214887339717</v>
      </c>
      <c r="AC46" s="22">
        <f t="shared" ca="1" si="15"/>
        <v>6.5994273168642439E-2</v>
      </c>
      <c r="AD46" s="210"/>
      <c r="AE46" s="302">
        <v>37391</v>
      </c>
      <c r="AF46" s="38">
        <f>WORKDAY(EDATE(AE46,1)-1,1,FERIADOS!$A$1:$A$830)</f>
        <v>37424</v>
      </c>
      <c r="AG46" s="303">
        <v>1858.22</v>
      </c>
      <c r="AH46" s="303">
        <v>0.21</v>
      </c>
    </row>
    <row r="47" spans="2:41" x14ac:dyDescent="0.2">
      <c r="B47" s="471">
        <v>51363</v>
      </c>
      <c r="C47" s="449">
        <f>WORKDAY(Emails!M22-1,1,FERIADOS!$A$1:$A$830)</f>
        <v>45659</v>
      </c>
      <c r="D47" s="415"/>
      <c r="E47" s="415"/>
      <c r="F47" s="451">
        <v>6.2549999999999994E-2</v>
      </c>
      <c r="G47" s="415"/>
      <c r="H47" s="224" t="str">
        <f t="shared" si="7"/>
        <v/>
      </c>
      <c r="I47" s="247" t="str">
        <f t="shared" si="8"/>
        <v/>
      </c>
      <c r="J47" s="116" t="str">
        <f t="shared" si="9"/>
        <v/>
      </c>
      <c r="K47" s="227">
        <f>VLOOKUP(C47,Curva!$S$4:$AA$46,8,FALSE)</f>
        <v>9.75</v>
      </c>
      <c r="L47" s="227">
        <f>VLOOKUP(C47,Curva!$S$4:$AA$46,9,FALSE)</f>
        <v>9.76</v>
      </c>
      <c r="M47" s="415">
        <v>0.12617948610674401</v>
      </c>
      <c r="N47" s="451">
        <v>5.9883757100130941E-2</v>
      </c>
      <c r="O47" s="451">
        <v>1.776152659729302E-4</v>
      </c>
      <c r="P47" s="450">
        <v>12.59</v>
      </c>
      <c r="Q47" s="450">
        <v>12.6</v>
      </c>
      <c r="R47" s="224" t="str">
        <f t="shared" si="10"/>
        <v/>
      </c>
      <c r="S47" s="224" t="str">
        <f t="shared" si="16"/>
        <v/>
      </c>
      <c r="T47" s="13">
        <f t="shared" si="17"/>
        <v>49079</v>
      </c>
      <c r="U47" s="13">
        <f>IF(T47="","",WORKDAY(T47-1,1,FERIADOS!$A$1:$A$840))</f>
        <v>49079</v>
      </c>
      <c r="V47" s="198">
        <f>IF(T47="",0,NETWORKDAYS($C$2,U47,FERIADOS!$A$1:$A$830)-1)</f>
        <v>4178</v>
      </c>
      <c r="W47" s="22">
        <f t="shared" si="18"/>
        <v>2.9563014098699991E-2</v>
      </c>
      <c r="X47" s="199">
        <f t="shared" si="11"/>
        <v>1.3067335189483392E-2</v>
      </c>
      <c r="Y47" s="14">
        <f t="shared" si="12"/>
        <v>15.782751189085721</v>
      </c>
      <c r="Z47" s="199">
        <f t="shared" si="13"/>
        <v>1.30879763E-2</v>
      </c>
      <c r="AA47" s="11">
        <f t="shared" si="14"/>
        <v>1.30467286E-2</v>
      </c>
      <c r="AB47" s="316">
        <f ca="1">IF(T47="","",IF($E$5="X",_xll.Spline(Curva!$T$3:$T$46,Curva!$G$3:$G$46,V47),_xll.Spline(Curva!$AF$3:$AF$46,Curva!$AG$3:$AG$46,V47)))</f>
        <v>0.10102493396887484</v>
      </c>
      <c r="AC47" s="22">
        <f t="shared" ca="1" si="15"/>
        <v>6.4440263811887333E-2</v>
      </c>
      <c r="AD47" s="210"/>
      <c r="AE47" s="302">
        <v>37422</v>
      </c>
      <c r="AF47" s="38">
        <f>WORKDAY(EDATE(AE47,1)-1,1,FERIADOS!$A$1:$A$830)</f>
        <v>37452</v>
      </c>
      <c r="AG47" s="303">
        <v>1866.02</v>
      </c>
      <c r="AH47" s="303">
        <v>0.42</v>
      </c>
    </row>
    <row r="48" spans="2:41" ht="15.75" x14ac:dyDescent="0.2">
      <c r="B48" s="471">
        <v>53097</v>
      </c>
      <c r="C48" s="449">
        <f>WORKDAY(Emails!M23-1,1,FERIADOS!$A$1:$A$830)</f>
        <v>45659</v>
      </c>
      <c r="D48" s="415"/>
      <c r="E48" s="415"/>
      <c r="F48" s="451">
        <v>6.2600000000000003E-2</v>
      </c>
      <c r="G48" s="415"/>
      <c r="H48" s="224" t="str">
        <f t="shared" si="7"/>
        <v/>
      </c>
      <c r="I48" s="247" t="str">
        <f t="shared" si="8"/>
        <v/>
      </c>
      <c r="J48" s="116" t="str">
        <f t="shared" si="9"/>
        <v/>
      </c>
      <c r="K48" s="227">
        <f>VLOOKUP(C48,Curva!$S$4:$AA$46,8,FALSE)</f>
        <v>9.75</v>
      </c>
      <c r="L48" s="227">
        <f>VLOOKUP(C48,Curva!$S$4:$AA$46,9,FALSE)</f>
        <v>9.76</v>
      </c>
      <c r="M48" s="415">
        <v>0.12616048508846145</v>
      </c>
      <c r="N48" s="451">
        <v>5.9816003282948893E-2</v>
      </c>
      <c r="O48" s="451">
        <v>1.9535045845131549E-4</v>
      </c>
      <c r="P48" s="450">
        <v>12.59</v>
      </c>
      <c r="Q48" s="450">
        <v>12.6</v>
      </c>
      <c r="R48" s="224" t="str">
        <f t="shared" si="10"/>
        <v/>
      </c>
      <c r="S48" s="224" t="str">
        <f t="shared" si="16"/>
        <v/>
      </c>
      <c r="T48" s="13">
        <f t="shared" si="17"/>
        <v>48898</v>
      </c>
      <c r="U48" s="13">
        <f>IF(T48="","",WORKDAY(T48-1,1,FERIADOS!$A$1:$A$840))</f>
        <v>48899</v>
      </c>
      <c r="V48" s="198">
        <f>IF(T48="",0,NETWORKDAYS($C$2,U48,FERIADOS!$A$1:$A$830)-1)</f>
        <v>4055</v>
      </c>
      <c r="W48" s="22">
        <f t="shared" si="18"/>
        <v>2.9563014098699991E-2</v>
      </c>
      <c r="X48" s="199">
        <f t="shared" si="11"/>
        <v>1.3385213414342113E-2</v>
      </c>
      <c r="Y48" s="14">
        <f t="shared" si="12"/>
        <v>15.318097190763247</v>
      </c>
      <c r="Z48" s="199">
        <f t="shared" si="13"/>
        <v>1.34057337E-2</v>
      </c>
      <c r="AA48" s="11">
        <f t="shared" si="14"/>
        <v>1.33647265E-2</v>
      </c>
      <c r="AB48" s="316">
        <f ca="1">IF(T48="","",IF($E$5="X",_xll.Spline(Curva!$T$3:$T$46,Curva!$G$3:$G$46,V48),_xll.Spline(Curva!$AF$3:$AF$46,Curva!$AG$3:$AG$46,V48)))</f>
        <v>0.10103210110317179</v>
      </c>
      <c r="AC48" s="22">
        <f t="shared" ca="1" si="15"/>
        <v>6.2985426872985653E-2</v>
      </c>
      <c r="AD48" s="210"/>
      <c r="AE48" s="302">
        <v>37452</v>
      </c>
      <c r="AF48" s="38">
        <f>WORKDAY(EDATE(AE48,1)-1,1,FERIADOS!$A$1:$A$830)</f>
        <v>37483</v>
      </c>
      <c r="AG48" s="303">
        <v>1888.23</v>
      </c>
      <c r="AH48" s="306">
        <v>1.19</v>
      </c>
      <c r="AO48" s="491"/>
    </row>
    <row r="49" spans="2:36" x14ac:dyDescent="0.2">
      <c r="B49" s="471">
        <v>55015</v>
      </c>
      <c r="C49" s="449">
        <f>WORKDAY(Emails!M24-1,1,FERIADOS!$A$1:$A$830)</f>
        <v>45659</v>
      </c>
      <c r="D49" s="415"/>
      <c r="E49" s="415"/>
      <c r="F49" s="451">
        <v>6.2300000000000001E-2</v>
      </c>
      <c r="G49" s="415"/>
      <c r="H49" s="224" t="str">
        <f t="shared" si="7"/>
        <v/>
      </c>
      <c r="I49" s="247" t="str">
        <f t="shared" si="8"/>
        <v/>
      </c>
      <c r="J49" s="116" t="str">
        <f t="shared" si="9"/>
        <v/>
      </c>
      <c r="K49" s="227">
        <f>VLOOKUP(C49,Curva!$S$4:$AA$46,8,FALSE)</f>
        <v>9.75</v>
      </c>
      <c r="L49" s="227">
        <f>VLOOKUP(C49,Curva!$S$4:$AA$46,9,FALSE)</f>
        <v>9.76</v>
      </c>
      <c r="M49" s="415">
        <v>0.12615427363611142</v>
      </c>
      <c r="N49" s="451">
        <v>6.0109454613679114E-2</v>
      </c>
      <c r="O49" s="451">
        <v>1.923516441364459E-4</v>
      </c>
      <c r="P49" s="450">
        <v>12.59</v>
      </c>
      <c r="Q49" s="450">
        <v>12.6</v>
      </c>
      <c r="R49" s="224" t="str">
        <f t="shared" si="10"/>
        <v/>
      </c>
      <c r="S49" s="224" t="str">
        <f t="shared" si="16"/>
        <v/>
      </c>
      <c r="T49" s="13">
        <f t="shared" si="17"/>
        <v>48714</v>
      </c>
      <c r="U49" s="13">
        <f>IF(T49="","",WORKDAY(T49-1,1,FERIADOS!$A$1:$A$840))</f>
        <v>48715</v>
      </c>
      <c r="V49" s="198">
        <f>IF(T49="",0,NETWORKDAYS($C$2,U49,FERIADOS!$A$1:$A$830)-1)</f>
        <v>3928</v>
      </c>
      <c r="W49" s="22">
        <f t="shared" si="18"/>
        <v>2.9563014098699991E-2</v>
      </c>
      <c r="X49" s="199">
        <f t="shared" si="11"/>
        <v>1.3721545326337655E-2</v>
      </c>
      <c r="Y49" s="14">
        <f t="shared" si="12"/>
        <v>14.8383432884338</v>
      </c>
      <c r="Z49" s="199">
        <f t="shared" si="13"/>
        <v>1.3741921900000001E-2</v>
      </c>
      <c r="AA49" s="11">
        <f t="shared" si="14"/>
        <v>1.37012009E-2</v>
      </c>
      <c r="AB49" s="316">
        <f ca="1">IF(T49="","",IF($E$5="X",_xll.Spline(Curva!$T$3:$T$46,Curva!$G$3:$G$46,V49),_xll.Spline(Curva!$AF$3:$AF$46,Curva!$AG$3:$AG$46,V49)))</f>
        <v>0.10104458604765257</v>
      </c>
      <c r="AC49" s="22">
        <f t="shared" ca="1" si="15"/>
        <v>6.1521752591970111E-2</v>
      </c>
      <c r="AD49" s="210"/>
      <c r="AE49" s="302">
        <v>37483</v>
      </c>
      <c r="AF49" s="38">
        <f>WORKDAY(EDATE(AE49,1)-1,1,FERIADOS!$A$1:$A$830)</f>
        <v>37515</v>
      </c>
      <c r="AG49" s="303">
        <v>1900.5</v>
      </c>
      <c r="AH49" s="303">
        <v>0.65</v>
      </c>
      <c r="AJ49" s="106"/>
    </row>
    <row r="50" spans="2:36" x14ac:dyDescent="0.2">
      <c r="B50" s="471">
        <v>56749</v>
      </c>
      <c r="C50" s="449">
        <f>WORKDAY(Emails!M25-1,1,FERIADOS!$A$1:$A$830)</f>
        <v>45659</v>
      </c>
      <c r="D50" s="415"/>
      <c r="E50" s="415"/>
      <c r="F50" s="451">
        <v>6.25E-2</v>
      </c>
      <c r="G50" s="415"/>
      <c r="H50" s="224">
        <f t="shared" ca="1" si="7"/>
        <v>0.10040497153048067</v>
      </c>
      <c r="I50" s="247">
        <f t="shared" ca="1" si="8"/>
        <v>4.7530851786554251E-2</v>
      </c>
      <c r="J50" s="116">
        <f t="shared" ca="1" si="9"/>
        <v>0</v>
      </c>
      <c r="K50" s="227">
        <f>VLOOKUP(C50,Curva!$S$4:$AA$46,8,FALSE)</f>
        <v>9.75</v>
      </c>
      <c r="L50" s="227">
        <f>VLOOKUP(C50,Curva!$S$4:$AA$46,9,FALSE)</f>
        <v>9.76</v>
      </c>
      <c r="M50" s="415">
        <v>0.12616256077137478</v>
      </c>
      <c r="N50" s="451">
        <v>5.9917704255411541E-2</v>
      </c>
      <c r="O50" s="451">
        <v>1.9399269128439478E-4</v>
      </c>
      <c r="P50" s="450">
        <v>12.59</v>
      </c>
      <c r="Q50" s="450">
        <v>12.6</v>
      </c>
      <c r="R50" s="224">
        <f t="shared" ca="1" si="10"/>
        <v>5.0280498100526261E-2</v>
      </c>
      <c r="S50" s="224">
        <f t="shared" ca="1" si="16"/>
        <v>6.1950000000000019E-2</v>
      </c>
      <c r="T50" s="13">
        <f t="shared" si="17"/>
        <v>48533</v>
      </c>
      <c r="U50" s="13">
        <f>IF(T50="","",WORKDAY(T50-1,1,FERIADOS!$A$1:$A$840))</f>
        <v>48534</v>
      </c>
      <c r="V50" s="198">
        <f>IF(T50="",0,NETWORKDAYS($C$2,U50,FERIADOS!$A$1:$A$830)-1)</f>
        <v>3803</v>
      </c>
      <c r="W50" s="22">
        <f t="shared" si="18"/>
        <v>2.9563014098699991E-2</v>
      </c>
      <c r="X50" s="199">
        <f t="shared" si="11"/>
        <v>1.4060832061431027E-2</v>
      </c>
      <c r="Y50" s="14">
        <f t="shared" si="12"/>
        <v>14.366148398436076</v>
      </c>
      <c r="Z50" s="199">
        <f t="shared" si="13"/>
        <v>1.4081047500000001E-2</v>
      </c>
      <c r="AA50" s="11">
        <f t="shared" si="14"/>
        <v>1.40406475E-2</v>
      </c>
      <c r="AB50" s="316">
        <f ca="1">IF(T50="","",IF($E$5="X",_xll.Spline(Curva!$T$3:$T$46,Curva!$G$3:$G$46,V50),_xll.Spline(Curva!$AF$3:$AF$46,Curva!$AG$3:$AG$46,V50)))</f>
        <v>0.10106237806174974</v>
      </c>
      <c r="AC50" s="22">
        <f t="shared" ca="1" si="15"/>
        <v>6.0118210203953165E-2</v>
      </c>
      <c r="AD50" s="210"/>
      <c r="AE50" s="302">
        <v>37514</v>
      </c>
      <c r="AF50" s="38">
        <f>WORKDAY(EDATE(AE50,1)-1,1,FERIADOS!$A$1:$A$830)</f>
        <v>37544</v>
      </c>
      <c r="AG50" s="303">
        <v>1914.18</v>
      </c>
      <c r="AH50" s="303">
        <v>0.72</v>
      </c>
      <c r="AJ50" s="106"/>
    </row>
    <row r="51" spans="2:36" x14ac:dyDescent="0.2">
      <c r="B51" s="471">
        <v>56749</v>
      </c>
      <c r="C51" s="449">
        <f>WORKDAY(Emails!M26-1,1,FERIADOS!$A$1:$A$830)</f>
        <v>45659</v>
      </c>
      <c r="D51" s="415"/>
      <c r="E51" s="415"/>
      <c r="F51" s="451">
        <v>6.25E-2</v>
      </c>
      <c r="G51" s="415"/>
      <c r="H51" s="224">
        <f t="shared" ref="H51:H52" ca="1" si="19">IF(B51=$C$3,$C$8,"")</f>
        <v>0.10040497153048067</v>
      </c>
      <c r="I51" s="247">
        <f t="shared" ref="I51:I52" ca="1" si="20">IF(B51=$C$3,$C$9,"")</f>
        <v>4.7530851786554251E-2</v>
      </c>
      <c r="J51" s="116">
        <f t="shared" ref="J51" ca="1" si="21">IF(H51="","",I51-VLOOKUP(B51,$B$68:$E$82,4,FALSE))</f>
        <v>0</v>
      </c>
      <c r="K51" s="227">
        <f>VLOOKUP(C51,Curva!$S$4:$AA$46,8,FALSE)</f>
        <v>9.75</v>
      </c>
      <c r="L51" s="227">
        <f>VLOOKUP(C51,Curva!$S$4:$AA$46,9,FALSE)</f>
        <v>9.76</v>
      </c>
      <c r="M51" s="415">
        <v>0.12616256077137478</v>
      </c>
      <c r="N51" s="451">
        <v>5.9917704255411541E-2</v>
      </c>
      <c r="O51" s="451">
        <v>1.9399269128439478E-4</v>
      </c>
      <c r="P51" s="450">
        <v>12.59</v>
      </c>
      <c r="Q51" s="450">
        <v>12.6</v>
      </c>
      <c r="R51" s="246"/>
      <c r="S51" s="246"/>
      <c r="T51" s="13">
        <f t="shared" si="17"/>
        <v>48349</v>
      </c>
      <c r="U51" s="13">
        <f>IF(T51="","",WORKDAY(T51-1,1,FERIADOS!$A$1:$A$840))</f>
        <v>48351</v>
      </c>
      <c r="V51" s="198">
        <f>IF(T51="",0,NETWORKDAYS($C$2,U51,FERIADOS!$A$1:$A$830)-1)</f>
        <v>3677</v>
      </c>
      <c r="W51" s="22">
        <f t="shared" si="18"/>
        <v>2.9563014098699991E-2</v>
      </c>
      <c r="X51" s="199">
        <f t="shared" si="11"/>
        <v>1.4411323984871357E-2</v>
      </c>
      <c r="Y51" s="14">
        <f t="shared" si="12"/>
        <v>13.890153341228904</v>
      </c>
      <c r="Z51" s="199">
        <f t="shared" si="13"/>
        <v>1.4431356399999999E-2</v>
      </c>
      <c r="AA51" s="11">
        <f t="shared" si="14"/>
        <v>1.4391321300000001E-2</v>
      </c>
      <c r="AB51" s="316">
        <f ca="1">IF(T51="","",IF($E$5="X",_xll.Spline(Curva!$T$3:$T$46,Curva!$G$3:$G$46,V51),_xll.Spline(Curva!$AF$3:$AF$46,Curva!$AG$3:$AG$46,V51)))</f>
        <v>0.10108630261967924</v>
      </c>
      <c r="AC51" s="22">
        <f t="shared" ca="1" si="15"/>
        <v>5.873955230413952E-2</v>
      </c>
      <c r="AD51" s="210"/>
      <c r="AE51" s="302">
        <v>37544</v>
      </c>
      <c r="AF51" s="38">
        <f>WORKDAY(EDATE(AE51,1)-1,1,FERIADOS!$A$1:$A$830)</f>
        <v>37578</v>
      </c>
      <c r="AG51" s="303">
        <v>1939.26</v>
      </c>
      <c r="AH51" s="303">
        <v>1.31</v>
      </c>
      <c r="AJ51" s="106"/>
    </row>
    <row r="52" spans="2:36" x14ac:dyDescent="0.2">
      <c r="B52" s="471">
        <v>56749</v>
      </c>
      <c r="C52" s="449">
        <f>WORKDAY(Emails!M27-1,1,FERIADOS!$A$1:$A$830)</f>
        <v>45659</v>
      </c>
      <c r="D52" s="415"/>
      <c r="E52" s="415"/>
      <c r="F52" s="451">
        <v>6.25E-2</v>
      </c>
      <c r="G52" s="415"/>
      <c r="H52" s="224">
        <f t="shared" ca="1" si="19"/>
        <v>0.10040497153048067</v>
      </c>
      <c r="I52" s="247">
        <f t="shared" ca="1" si="20"/>
        <v>4.7530851786554251E-2</v>
      </c>
      <c r="J52" s="116">
        <f ca="1">IF(H52="","",I52-VLOOKUP(B52,$B$68:$E$83,4,FALSE))</f>
        <v>0</v>
      </c>
      <c r="K52" s="227">
        <f>VLOOKUP(C52,Curva!$S$4:$AA$46,8,FALSE)</f>
        <v>9.75</v>
      </c>
      <c r="L52" s="227">
        <f>VLOOKUP(C52,Curva!$S$4:$AA$46,9,FALSE)</f>
        <v>9.76</v>
      </c>
      <c r="M52" s="415">
        <v>0.12616256077137478</v>
      </c>
      <c r="N52" s="451">
        <v>5.9917704255411541E-2</v>
      </c>
      <c r="O52" s="451">
        <v>1.9399269128439478E-4</v>
      </c>
      <c r="P52" s="450">
        <v>12.59</v>
      </c>
      <c r="Q52" s="450">
        <v>12.6</v>
      </c>
      <c r="R52" s="48"/>
      <c r="S52" s="48"/>
      <c r="T52" s="13">
        <f t="shared" si="17"/>
        <v>48167</v>
      </c>
      <c r="U52" s="13">
        <f>IF(T52="","",WORKDAY(T52-1,1,FERIADOS!$A$1:$A$840))</f>
        <v>48169</v>
      </c>
      <c r="V52" s="198">
        <f>IF(T52="",0,NETWORKDAYS($C$2,U52,FERIADOS!$A$1:$A$830)-1)</f>
        <v>3553</v>
      </c>
      <c r="W52" s="22">
        <f t="shared" si="18"/>
        <v>2.9563014098699991E-2</v>
      </c>
      <c r="X52" s="199">
        <f t="shared" si="11"/>
        <v>1.4764781163050212E-2</v>
      </c>
      <c r="Y52" s="14">
        <f t="shared" si="12"/>
        <v>13.42173634756786</v>
      </c>
      <c r="Z52" s="199">
        <f t="shared" si="13"/>
        <v>1.47846123E-2</v>
      </c>
      <c r="AA52" s="11">
        <f t="shared" si="14"/>
        <v>1.47449785E-2</v>
      </c>
      <c r="AB52" s="316">
        <f ca="1">IF(T52="","",IF($E$5="X",_xll.Spline(Curva!$T$3:$T$46,Curva!$G$3:$G$46,V52),_xll.Spline(Curva!$AF$3:$AF$46,Curva!$AG$3:$AG$46,V52)))</f>
        <v>0.10111617076324245</v>
      </c>
      <c r="AC52" s="22">
        <f t="shared" ca="1" si="15"/>
        <v>5.7417079249824213E-2</v>
      </c>
      <c r="AD52" s="210"/>
      <c r="AE52" s="302">
        <v>37575</v>
      </c>
      <c r="AF52" s="38">
        <f>WORKDAY(EDATE(AE52,1)-1,1,FERIADOS!$A$1:$A$830)</f>
        <v>37606</v>
      </c>
      <c r="AG52" s="303">
        <v>1997.83</v>
      </c>
      <c r="AH52" s="303">
        <v>3.02</v>
      </c>
      <c r="AJ52" s="106"/>
    </row>
    <row r="53" spans="2:36" x14ac:dyDescent="0.2">
      <c r="Q53" s="48"/>
      <c r="R53" s="48"/>
      <c r="S53" s="48"/>
      <c r="T53" s="13">
        <f t="shared" si="17"/>
        <v>47983</v>
      </c>
      <c r="U53" s="13">
        <f>IF(T53="","",WORKDAY(T53-1,1,FERIADOS!$A$1:$A$840))</f>
        <v>47983</v>
      </c>
      <c r="V53" s="198">
        <f>IF(T53="",0,NETWORKDAYS($C$2,U53,FERIADOS!$A$1:$A$830)-1)</f>
        <v>3422</v>
      </c>
      <c r="W53" s="22">
        <f t="shared" si="18"/>
        <v>2.9563014098699991E-2</v>
      </c>
      <c r="X53" s="199">
        <f t="shared" si="11"/>
        <v>1.5147612787617426E-2</v>
      </c>
      <c r="Y53" s="14">
        <f t="shared" si="12"/>
        <v>12.926888397890986</v>
      </c>
      <c r="Z53" s="199">
        <f t="shared" si="13"/>
        <v>1.51672075E-2</v>
      </c>
      <c r="AA53" s="11">
        <f t="shared" si="14"/>
        <v>1.5128045200000001E-2</v>
      </c>
      <c r="AB53" s="316">
        <f ca="1">IF(T53="","",IF($E$5="X",_xll.Spline(Curva!$T$3:$T$46,Curva!$G$3:$G$46,V53),_xll.Spline(Curva!$AF$3:$AF$46,Curva!$AG$3:$AG$46,V53)))</f>
        <v>0.10115503345432073</v>
      </c>
      <c r="AC53" s="22">
        <f t="shared" ca="1" si="15"/>
        <v>5.6055705681002668E-2</v>
      </c>
      <c r="AD53" s="210"/>
      <c r="AE53" s="302">
        <v>37605</v>
      </c>
      <c r="AF53" s="38">
        <f>WORKDAY(EDATE(AE53,1)-1,1,FERIADOS!$A$1:$A$830)</f>
        <v>37636</v>
      </c>
      <c r="AG53" s="303">
        <v>2039.78</v>
      </c>
      <c r="AH53" s="303">
        <v>2.1</v>
      </c>
    </row>
    <row r="54" spans="2:36" x14ac:dyDescent="0.2">
      <c r="O54" s="135"/>
      <c r="Q54" s="48"/>
      <c r="R54" s="48"/>
      <c r="S54" s="48"/>
      <c r="T54" s="13">
        <f t="shared" si="17"/>
        <v>47802</v>
      </c>
      <c r="U54" s="13">
        <f>IF(T54="","",WORKDAY(T54-1,1,FERIADOS!$A$1:$A$840))</f>
        <v>47805</v>
      </c>
      <c r="V54" s="198">
        <f>IF(T54="",0,NETWORKDAYS($C$2,U54,FERIADOS!$A$1:$A$830)-1)</f>
        <v>3301</v>
      </c>
      <c r="W54" s="22">
        <f t="shared" si="18"/>
        <v>2.9563014098699991E-2</v>
      </c>
      <c r="X54" s="199">
        <f t="shared" si="11"/>
        <v>1.5510033492255172E-2</v>
      </c>
      <c r="Y54" s="14">
        <f t="shared" si="12"/>
        <v>12.469798991509002</v>
      </c>
      <c r="Z54" s="199">
        <f t="shared" si="13"/>
        <v>1.55293872E-2</v>
      </c>
      <c r="AA54" s="11">
        <f t="shared" si="14"/>
        <v>1.5490705800000001E-2</v>
      </c>
      <c r="AB54" s="316">
        <f ca="1">IF(T54="","",IF($E$5="X",_xll.Spline(Curva!$T$3:$T$46,Curva!$G$3:$G$46,V54),_xll.Spline(Curva!$AF$3:$AF$46,Curva!$AG$3:$AG$46,V54)))</f>
        <v>0.10119782686058898</v>
      </c>
      <c r="AC54" s="22">
        <f t="shared" ca="1" si="15"/>
        <v>5.4829658060217772E-2</v>
      </c>
      <c r="AD54" s="210"/>
      <c r="AE54" s="302">
        <v>37636</v>
      </c>
      <c r="AF54" s="38">
        <f>WORKDAY(EDATE(AE54,1)-1,1,FERIADOS!$A$1:$A$830)</f>
        <v>37669</v>
      </c>
      <c r="AG54" s="303">
        <v>2085.6799999999998</v>
      </c>
      <c r="AH54" s="306">
        <v>2.25</v>
      </c>
    </row>
    <row r="55" spans="2:36" ht="11.25" customHeight="1" x14ac:dyDescent="0.2">
      <c r="B55" s="353"/>
      <c r="C55" s="218"/>
      <c r="D55" s="288"/>
      <c r="E55" s="293"/>
      <c r="F55" s="242"/>
      <c r="G55" s="229"/>
      <c r="H55" s="416"/>
      <c r="I55" s="417"/>
      <c r="J55" s="417"/>
      <c r="K55" s="417"/>
      <c r="L55" s="417"/>
      <c r="M55" s="417"/>
      <c r="N55" s="417"/>
      <c r="O55" s="135"/>
      <c r="P55" s="229"/>
      <c r="Q55" s="229"/>
      <c r="R55" s="229"/>
      <c r="S55" s="229"/>
      <c r="T55" s="13">
        <f t="shared" si="17"/>
        <v>47618</v>
      </c>
      <c r="U55" s="13">
        <f>IF(T55="","",WORKDAY(T55-1,1,FERIADOS!$A$1:$A$840))</f>
        <v>47618</v>
      </c>
      <c r="V55" s="198">
        <f>IF(T55="",0,NETWORKDAYS($C$2,U55,FERIADOS!$A$1:$A$830)-1)</f>
        <v>3170</v>
      </c>
      <c r="W55" s="22">
        <f t="shared" si="18"/>
        <v>2.9563014098699991E-2</v>
      </c>
      <c r="X55" s="199">
        <f t="shared" si="11"/>
        <v>1.5912188543072418E-2</v>
      </c>
      <c r="Y55" s="14">
        <f t="shared" si="12"/>
        <v>11.974939806941009</v>
      </c>
      <c r="Z55" s="199">
        <f t="shared" si="13"/>
        <v>1.5931255599999999E-2</v>
      </c>
      <c r="AA55" s="11">
        <f t="shared" si="14"/>
        <v>1.5893146100000002E-2</v>
      </c>
      <c r="AB55" s="316">
        <f ca="1">IF(T55="","",IF($E$5="X",_xll.Spline(Curva!$T$3:$T$46,Curva!$G$3:$G$46,V55),_xll.Spline(Curva!$AF$3:$AF$46,Curva!$AG$3:$AG$46,V55)))</f>
        <v>0.10122382874005133</v>
      </c>
      <c r="AC55" s="22">
        <f t="shared" ca="1" si="15"/>
        <v>5.3517815717853245E-2</v>
      </c>
      <c r="AD55" s="210"/>
      <c r="AE55" s="302">
        <v>37667</v>
      </c>
      <c r="AF55" s="38">
        <f>WORKDAY(EDATE(AE55,1)-1,1,FERIADOS!$A$1:$A$830)</f>
        <v>37697</v>
      </c>
      <c r="AG55" s="303">
        <v>2118.4299999999998</v>
      </c>
      <c r="AH55" s="306">
        <v>1.57</v>
      </c>
    </row>
    <row r="56" spans="2:36" ht="11.25" customHeight="1" x14ac:dyDescent="0.2">
      <c r="B56" s="352"/>
      <c r="C56" s="218"/>
      <c r="D56" s="288"/>
      <c r="E56" s="293"/>
      <c r="F56" s="242"/>
      <c r="G56" s="229"/>
      <c r="H56" s="229"/>
      <c r="I56" s="229"/>
      <c r="J56" s="229"/>
      <c r="K56" s="229"/>
      <c r="L56" s="229"/>
      <c r="M56" s="229"/>
      <c r="N56" s="229"/>
      <c r="O56" s="135"/>
      <c r="P56" s="229"/>
      <c r="Q56" s="229"/>
      <c r="R56" s="229"/>
      <c r="S56" s="229"/>
      <c r="T56" s="13">
        <f t="shared" si="17"/>
        <v>47437</v>
      </c>
      <c r="U56" s="13">
        <f>IF(T56="","",WORKDAY(T56-1,1,FERIADOS!$A$1:$A$840))</f>
        <v>47438</v>
      </c>
      <c r="V56" s="198">
        <f>IF(T56="",0,NETWORKDAYS($C$2,U56,FERIADOS!$A$1:$A$830)-1)</f>
        <v>3048</v>
      </c>
      <c r="W56" s="22">
        <f t="shared" si="18"/>
        <v>2.9563014098699991E-2</v>
      </c>
      <c r="X56" s="199">
        <f t="shared" si="11"/>
        <v>1.6296086483210136E-2</v>
      </c>
      <c r="Y56" s="14">
        <f t="shared" si="12"/>
        <v>11.514052787662756</v>
      </c>
      <c r="Z56" s="199">
        <f t="shared" si="13"/>
        <v>1.6314861600000001E-2</v>
      </c>
      <c r="AA56" s="11">
        <f t="shared" si="14"/>
        <v>1.6277334800000001E-2</v>
      </c>
      <c r="AB56" s="316">
        <f ca="1">IF(T56="","",IF($E$5="X",_xll.Spline(Curva!$T$3:$T$46,Curva!$G$3:$G$46,V56),_xll.Spline(Curva!$AF$3:$AF$46,Curva!$AG$3:$AG$46,V56)))</f>
        <v>0.10115743933784582</v>
      </c>
      <c r="AC56" s="22">
        <f t="shared" ca="1" si="15"/>
        <v>5.2271141693608733E-2</v>
      </c>
      <c r="AD56" s="210"/>
      <c r="AE56" s="302">
        <v>37695</v>
      </c>
      <c r="AF56" s="38">
        <f>WORKDAY(EDATE(AE56,1)-1,1,FERIADOS!$A$1:$A$830)</f>
        <v>37726</v>
      </c>
      <c r="AG56" s="303">
        <v>2144.4899999999998</v>
      </c>
      <c r="AH56" s="303">
        <v>1.23</v>
      </c>
    </row>
    <row r="57" spans="2:36" ht="11.25" customHeight="1" x14ac:dyDescent="0.2">
      <c r="B57" s="352"/>
      <c r="C57" s="218"/>
      <c r="D57" s="288"/>
      <c r="E57" s="293"/>
      <c r="F57" s="242"/>
      <c r="G57" s="229"/>
      <c r="H57" s="229"/>
      <c r="I57" s="229"/>
      <c r="J57" s="229"/>
      <c r="K57" s="229"/>
      <c r="L57" s="229"/>
      <c r="M57" s="229"/>
      <c r="N57" s="229"/>
      <c r="O57" s="135"/>
      <c r="P57" s="229"/>
      <c r="Q57" s="229"/>
      <c r="R57" s="229"/>
      <c r="S57" s="229"/>
      <c r="T57" s="13">
        <f t="shared" si="17"/>
        <v>47253</v>
      </c>
      <c r="U57" s="13">
        <f>IF(T57="","",WORKDAY(T57-1,1,FERIADOS!$A$1:$A$840))</f>
        <v>47253</v>
      </c>
      <c r="V57" s="198">
        <f>IF(T57="",0,NETWORKDAYS($C$2,U57,FERIADOS!$A$1:$A$830)-1)</f>
        <v>2920</v>
      </c>
      <c r="W57" s="22">
        <f t="shared" si="18"/>
        <v>2.9563014098699991E-2</v>
      </c>
      <c r="X57" s="199">
        <f t="shared" si="11"/>
        <v>1.6708824956959779E-2</v>
      </c>
      <c r="Y57" s="14">
        <f t="shared" si="12"/>
        <v>11.030518332363947</v>
      </c>
      <c r="Z57" s="199">
        <f t="shared" si="13"/>
        <v>1.67272667E-2</v>
      </c>
      <c r="AA57" s="11">
        <f t="shared" si="14"/>
        <v>1.6690405299999999E-2</v>
      </c>
      <c r="AB57" s="316">
        <f ca="1">IF(T57="","",IF($E$5="X",_xll.Spline(Curva!$T$3:$T$46,Curva!$G$3:$G$46,V57),_xll.Spline(Curva!$AF$3:$AF$46,Curva!$AG$3:$AG$46,V57)))</f>
        <v>0.10096920101704943</v>
      </c>
      <c r="AC57" s="22">
        <f t="shared" ca="1" si="15"/>
        <v>5.0933955322360919E-2</v>
      </c>
      <c r="AD57" s="210"/>
      <c r="AE57" s="302">
        <v>37726</v>
      </c>
      <c r="AF57" s="38">
        <f>WORKDAY(EDATE(AE57,1)-1,1,FERIADOS!$A$1:$A$830)</f>
        <v>37756</v>
      </c>
      <c r="AG57" s="303">
        <v>2165.29</v>
      </c>
      <c r="AH57" s="303">
        <v>0.97</v>
      </c>
    </row>
    <row r="58" spans="2:36" ht="11.25" customHeight="1" x14ac:dyDescent="0.2">
      <c r="B58" s="352"/>
      <c r="C58" s="218"/>
      <c r="D58" s="288"/>
      <c r="E58" s="293"/>
      <c r="F58" s="242"/>
      <c r="G58" s="229"/>
      <c r="H58" s="229"/>
      <c r="I58" s="229"/>
      <c r="J58" s="229"/>
      <c r="K58" s="229"/>
      <c r="L58" s="229"/>
      <c r="M58" s="229"/>
      <c r="N58" s="229"/>
      <c r="O58" s="135"/>
      <c r="P58" s="229"/>
      <c r="Q58" s="229"/>
      <c r="R58" s="229"/>
      <c r="S58" s="229"/>
      <c r="T58" s="13">
        <f t="shared" si="17"/>
        <v>47072</v>
      </c>
      <c r="U58" s="13">
        <f>IF(T58="","",WORKDAY(T58-1,1,FERIADOS!$A$1:$A$840))</f>
        <v>47073</v>
      </c>
      <c r="V58" s="198">
        <f>IF(T58="",0,NETWORKDAYS($C$2,U58,FERIADOS!$A$1:$A$830)-1)</f>
        <v>2798</v>
      </c>
      <c r="W58" s="22">
        <f t="shared" si="18"/>
        <v>2.9563014098699991E-2</v>
      </c>
      <c r="X58" s="199">
        <f t="shared" si="11"/>
        <v>1.7111942571217263E-2</v>
      </c>
      <c r="Y58" s="14">
        <f t="shared" si="12"/>
        <v>10.569694191484277</v>
      </c>
      <c r="Z58" s="199">
        <f t="shared" si="13"/>
        <v>1.71300398E-2</v>
      </c>
      <c r="AA58" s="11">
        <f t="shared" si="14"/>
        <v>1.7093866199999998E-2</v>
      </c>
      <c r="AB58" s="316">
        <f ca="1">IF(T58="","",IF($E$5="X",_xll.Spline(Curva!$T$3:$T$46,Curva!$G$3:$G$46,V58),_xll.Spline(Curva!$AF$3:$AF$46,Curva!$AG$3:$AG$46,V58)))</f>
        <v>0.10075327677939985</v>
      </c>
      <c r="AC58" s="22">
        <f t="shared" ca="1" si="15"/>
        <v>4.9681021688207587E-2</v>
      </c>
      <c r="AD58" s="210"/>
      <c r="AE58" s="302">
        <v>37756</v>
      </c>
      <c r="AF58" s="38">
        <f>WORKDAY(EDATE(AE58,1)-1,1,FERIADOS!$A$1:$A$830)</f>
        <v>37788</v>
      </c>
      <c r="AG58" s="303">
        <v>2178.5</v>
      </c>
      <c r="AH58" s="304">
        <v>0.61</v>
      </c>
    </row>
    <row r="59" spans="2:36" x14ac:dyDescent="0.2">
      <c r="B59" s="352"/>
      <c r="C59" s="188"/>
      <c r="D59" s="212"/>
      <c r="E59" s="188"/>
      <c r="F59" s="188"/>
      <c r="G59" s="229"/>
      <c r="H59" s="229"/>
      <c r="I59" s="229"/>
      <c r="J59" s="229"/>
      <c r="K59" s="229"/>
      <c r="L59" s="229"/>
      <c r="M59" s="229"/>
      <c r="N59" s="229"/>
      <c r="O59" s="135"/>
      <c r="P59" s="229"/>
      <c r="Q59" s="229"/>
      <c r="R59" s="229"/>
      <c r="S59" s="229"/>
      <c r="T59" s="13">
        <f t="shared" si="17"/>
        <v>46888</v>
      </c>
      <c r="U59" s="13">
        <f>IF(T59="","",WORKDAY(T59-1,1,FERIADOS!$A$1:$A$840))</f>
        <v>46888</v>
      </c>
      <c r="V59" s="198">
        <f>IF(T59="",0,NETWORKDAYS($C$2,U59,FERIADOS!$A$1:$A$830)-1)</f>
        <v>2670</v>
      </c>
      <c r="W59" s="22">
        <f t="shared" si="18"/>
        <v>2.9563014098699991E-2</v>
      </c>
      <c r="X59" s="199">
        <f t="shared" si="11"/>
        <v>1.7545344607160833E-2</v>
      </c>
      <c r="Y59" s="14">
        <f t="shared" si="12"/>
        <v>10.086151281848604</v>
      </c>
      <c r="Z59" s="199">
        <f t="shared" si="13"/>
        <v>1.7563050899999998E-2</v>
      </c>
      <c r="AA59" s="11">
        <f t="shared" si="14"/>
        <v>1.75276579E-2</v>
      </c>
      <c r="AB59" s="316">
        <f ca="1">IF(T59="","",IF($E$5="X",_xll.Spline(Curva!$T$3:$T$46,Curva!$G$3:$G$46,V59),_xll.Spline(Curva!$AF$3:$AF$46,Curva!$AG$3:$AG$46,V59)))</f>
        <v>0.10054607544519199</v>
      </c>
      <c r="AC59" s="22">
        <f t="shared" ca="1" si="15"/>
        <v>4.8418463127634571E-2</v>
      </c>
      <c r="AD59" s="210"/>
      <c r="AE59" s="302">
        <v>37787</v>
      </c>
      <c r="AF59" s="38">
        <f>WORKDAY(EDATE(AE59,1)-1,1,FERIADOS!$A$1:$A$830)</f>
        <v>37817</v>
      </c>
      <c r="AG59" s="303">
        <v>2175.23</v>
      </c>
      <c r="AH59" s="303">
        <v>-0.15</v>
      </c>
    </row>
    <row r="60" spans="2:36" x14ac:dyDescent="0.2">
      <c r="B60" s="352"/>
      <c r="C60" s="188"/>
      <c r="D60" s="212"/>
      <c r="E60" s="188"/>
      <c r="F60" s="188"/>
      <c r="G60" s="229"/>
      <c r="H60" s="229"/>
      <c r="I60" s="229"/>
      <c r="J60" s="229"/>
      <c r="K60" s="229"/>
      <c r="L60" s="229"/>
      <c r="M60" s="229"/>
      <c r="N60" s="229"/>
      <c r="O60" s="135"/>
      <c r="P60" s="229"/>
      <c r="Q60" s="229"/>
      <c r="R60" s="229"/>
      <c r="S60" s="229"/>
      <c r="T60" s="13">
        <f t="shared" si="17"/>
        <v>46706</v>
      </c>
      <c r="U60" s="13">
        <f>IF(T60="","",WORKDAY(T60-1,1,FERIADOS!$A$1:$A$840))</f>
        <v>46707</v>
      </c>
      <c r="V60" s="198">
        <f>IF(T60="",0,NETWORKDAYS($C$2,U60,FERIADOS!$A$1:$A$830)-1)</f>
        <v>2546</v>
      </c>
      <c r="W60" s="22">
        <f t="shared" si="18"/>
        <v>2.9563014098699991E-2</v>
      </c>
      <c r="X60" s="199">
        <f t="shared" si="11"/>
        <v>1.7975667872499452E-2</v>
      </c>
      <c r="Y60" s="14">
        <f t="shared" si="12"/>
        <v>9.6177233149983383</v>
      </c>
      <c r="Z60" s="199">
        <f t="shared" si="13"/>
        <v>1.7992965499999999E-2</v>
      </c>
      <c r="AA60" s="11">
        <f t="shared" si="14"/>
        <v>1.7958388499999998E-2</v>
      </c>
      <c r="AB60" s="316">
        <f ca="1">IF(T60="","",IF($E$5="X",_xll.Spline(Curva!$T$3:$T$46,Curva!$G$3:$G$46,V60),_xll.Spline(Curva!$AF$3:$AF$46,Curva!$AG$3:$AG$46,V60)))</f>
        <v>0.10035462640166554</v>
      </c>
      <c r="AC60" s="22">
        <f t="shared" ca="1" si="15"/>
        <v>4.7238586076994764E-2</v>
      </c>
      <c r="AD60" s="210"/>
      <c r="AE60" s="302">
        <v>37817</v>
      </c>
      <c r="AF60" s="38">
        <f>WORKDAY(EDATE(AE60,1)-1,1,FERIADOS!$A$1:$A$830)</f>
        <v>37848</v>
      </c>
      <c r="AG60" s="303">
        <v>2179.58</v>
      </c>
      <c r="AH60" s="305">
        <v>0.2</v>
      </c>
    </row>
    <row r="61" spans="2:36" x14ac:dyDescent="0.2">
      <c r="B61" s="352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35"/>
      <c r="P61" s="188"/>
      <c r="Q61" s="188"/>
      <c r="R61" s="188"/>
      <c r="S61" s="188"/>
      <c r="T61" s="13">
        <f t="shared" si="17"/>
        <v>46522</v>
      </c>
      <c r="U61" s="13">
        <f>IF(T61="","",WORKDAY(T61-1,1,FERIADOS!$A$1:$A$840))</f>
        <v>46524</v>
      </c>
      <c r="V61" s="198">
        <f>IF(T61="",0,NETWORKDAYS($C$2,U61,FERIADOS!$A$1:$A$830)-1)</f>
        <v>2420</v>
      </c>
      <c r="W61" s="22">
        <f t="shared" si="18"/>
        <v>2.9563014098699991E-2</v>
      </c>
      <c r="X61" s="199">
        <f t="shared" si="11"/>
        <v>1.842374422959063E-2</v>
      </c>
      <c r="Y61" s="14">
        <f t="shared" si="12"/>
        <v>9.1417628198229668</v>
      </c>
      <c r="Z61" s="199">
        <f t="shared" si="13"/>
        <v>1.8440595300000001E-2</v>
      </c>
      <c r="AA61" s="11">
        <f t="shared" si="14"/>
        <v>1.8406910200000001E-2</v>
      </c>
      <c r="AB61" s="316">
        <f ca="1">IF(T61="","",IF($E$5="X",_xll.Spline(Curva!$T$3:$T$46,Curva!$G$3:$G$46,V61),_xll.Spline(Curva!$AF$3:$AF$46,Curva!$AG$3:$AG$46,V61)))</f>
        <v>0.10010568984181611</v>
      </c>
      <c r="AC61" s="22">
        <f t="shared" ca="1" si="15"/>
        <v>4.6055317247084705E-2</v>
      </c>
      <c r="AD61" s="210"/>
      <c r="AE61" s="302">
        <v>37848</v>
      </c>
      <c r="AF61" s="38">
        <f>WORKDAY(EDATE(AE61,1)-1,1,FERIADOS!$A$1:$A$830)</f>
        <v>37879</v>
      </c>
      <c r="AG61" s="303">
        <v>2186.9899999999998</v>
      </c>
      <c r="AH61" s="303">
        <v>0.34</v>
      </c>
    </row>
    <row r="62" spans="2:36" x14ac:dyDescent="0.2">
      <c r="B62" s="352"/>
      <c r="C62" s="188"/>
      <c r="D62" s="188"/>
      <c r="E62" s="188"/>
      <c r="F62" s="188"/>
      <c r="G62" s="209"/>
      <c r="H62" s="209"/>
      <c r="I62" s="209"/>
      <c r="J62" s="209"/>
      <c r="K62" s="209"/>
      <c r="L62" s="209"/>
      <c r="M62" s="209"/>
      <c r="N62" s="209"/>
      <c r="O62" s="135"/>
      <c r="P62" s="209"/>
      <c r="Q62" s="209"/>
      <c r="R62" s="209"/>
      <c r="S62" s="209"/>
      <c r="T62" s="13">
        <f t="shared" si="17"/>
        <v>46341</v>
      </c>
      <c r="U62" s="13">
        <f>IF(T62="","",WORKDAY(T62-1,1,FERIADOS!$A$1:$A$840))</f>
        <v>46342</v>
      </c>
      <c r="V62" s="198">
        <f>IF(T62="",0,NETWORKDAYS($C$2,U62,FERIADOS!$A$1:$A$830)-1)</f>
        <v>2296</v>
      </c>
      <c r="W62" s="22">
        <f t="shared" si="18"/>
        <v>2.9563014098699991E-2</v>
      </c>
      <c r="X62" s="199">
        <f t="shared" si="11"/>
        <v>1.8875611431640644E-2</v>
      </c>
      <c r="Y62" s="14">
        <f t="shared" si="12"/>
        <v>8.6733084431673717</v>
      </c>
      <c r="Z62" s="199">
        <f t="shared" si="13"/>
        <v>1.88919907E-2</v>
      </c>
      <c r="AA62" s="11">
        <f t="shared" si="14"/>
        <v>1.8859247900000001E-2</v>
      </c>
      <c r="AB62" s="316">
        <f ca="1">IF(T62="","",IF($E$5="X",_xll.Spline(Curva!$T$3:$T$46,Curva!$G$3:$G$46,V62),_xll.Spline(Curva!$AF$3:$AF$46,Curva!$AG$3:$AG$46,V62)))</f>
        <v>9.9663516836567489E-2</v>
      </c>
      <c r="AC62" s="22">
        <f t="shared" ca="1" si="15"/>
        <v>4.4856336830256791E-2</v>
      </c>
      <c r="AD62" s="210"/>
      <c r="AE62" s="302">
        <v>37879</v>
      </c>
      <c r="AF62" s="38">
        <f>WORKDAY(EDATE(AE62,1)-1,1,FERIADOS!$A$1:$A$830)</f>
        <v>37909</v>
      </c>
      <c r="AG62" s="303">
        <v>2204.0500000000002</v>
      </c>
      <c r="AH62" s="305">
        <v>0.78</v>
      </c>
    </row>
    <row r="63" spans="2:36" x14ac:dyDescent="0.2">
      <c r="B63" s="188"/>
      <c r="C63" s="188"/>
      <c r="D63" s="188"/>
      <c r="E63" s="188"/>
      <c r="F63" s="188"/>
      <c r="G63" s="188"/>
      <c r="H63" s="188"/>
      <c r="I63" s="188"/>
      <c r="J63" s="188"/>
      <c r="K63" s="188"/>
      <c r="L63" s="188"/>
      <c r="M63" s="188"/>
      <c r="N63" s="188"/>
      <c r="O63" s="135"/>
      <c r="P63" s="188"/>
      <c r="Q63" s="188"/>
      <c r="R63" s="188"/>
      <c r="S63" s="188"/>
      <c r="T63" s="13">
        <f t="shared" si="17"/>
        <v>46157</v>
      </c>
      <c r="U63" s="13">
        <f>IF(T63="","",WORKDAY(T63-1,1,FERIADOS!$A$1:$A$840))</f>
        <v>46157</v>
      </c>
      <c r="V63" s="198">
        <f>IF(T63="",0,NETWORKDAYS($C$2,U63,FERIADOS!$A$1:$A$830)-1)</f>
        <v>2169</v>
      </c>
      <c r="W63" s="22">
        <f t="shared" si="18"/>
        <v>2.9563014098699991E-2</v>
      </c>
      <c r="X63" s="199">
        <f t="shared" si="11"/>
        <v>1.9349901253279667E-2</v>
      </c>
      <c r="Y63" s="14">
        <f t="shared" si="12"/>
        <v>8.1935818650823471</v>
      </c>
      <c r="Z63" s="199">
        <f t="shared" si="13"/>
        <v>1.9365763000000001E-2</v>
      </c>
      <c r="AA63" s="11">
        <f t="shared" si="14"/>
        <v>1.9334054E-2</v>
      </c>
      <c r="AB63" s="316">
        <f ca="1">IF(T63="","",IF($E$5="X",_xll.Spline(Curva!$T$3:$T$46,Curva!$G$3:$G$46,V63),_xll.Spline(Curva!$AF$3:$AF$46,Curva!$AG$3:$AG$46,V63)))</f>
        <v>9.9017801727058083E-2</v>
      </c>
      <c r="AC63" s="22">
        <f t="shared" ca="1" si="15"/>
        <v>4.3612632027185426E-2</v>
      </c>
      <c r="AD63" s="210"/>
      <c r="AE63" s="302">
        <v>37909</v>
      </c>
      <c r="AF63" s="38">
        <f>WORKDAY(EDATE(AE63,1)-1,1,FERIADOS!$A$1:$A$830)</f>
        <v>37942</v>
      </c>
      <c r="AG63" s="303">
        <v>2210.44</v>
      </c>
      <c r="AH63" s="303">
        <v>0.28999999999999998</v>
      </c>
    </row>
    <row r="64" spans="2:36" x14ac:dyDescent="0.2">
      <c r="G64" s="190"/>
      <c r="H64" s="190"/>
      <c r="I64" s="190"/>
      <c r="J64" s="190"/>
      <c r="K64" s="190"/>
      <c r="L64" s="190"/>
      <c r="M64" s="190"/>
      <c r="N64" s="190"/>
      <c r="O64" s="135"/>
      <c r="P64" s="190"/>
      <c r="Q64" s="190"/>
      <c r="R64" s="190"/>
      <c r="S64" s="190"/>
      <c r="T64" s="13">
        <f t="shared" si="17"/>
        <v>45976</v>
      </c>
      <c r="U64" s="13">
        <f>IF(T64="","",WORKDAY(T64-1,1,FERIADOS!$A$1:$A$840))</f>
        <v>45978</v>
      </c>
      <c r="V64" s="198">
        <f>IF(T64="",0,NETWORKDAYS($C$2,U64,FERIADOS!$A$1:$A$830)-1)</f>
        <v>2047</v>
      </c>
      <c r="W64" s="22">
        <f t="shared" si="18"/>
        <v>2.9563014098699991E-2</v>
      </c>
      <c r="X64" s="199">
        <f t="shared" si="11"/>
        <v>1.9816737553823401E-2</v>
      </c>
      <c r="Y64" s="14">
        <f t="shared" si="12"/>
        <v>7.732705728367244</v>
      </c>
      <c r="Z64" s="199">
        <f t="shared" si="13"/>
        <v>1.98320679E-2</v>
      </c>
      <c r="AA64" s="11">
        <f t="shared" si="14"/>
        <v>1.98014205E-2</v>
      </c>
      <c r="AB64" s="316">
        <f ca="1">IF(T64="","",IF($E$5="X",_xll.Spline(Curva!$T$3:$T$46,Curva!$G$3:$G$46,V64),_xll.Spline(Curva!$AF$3:$AF$46,Curva!$AG$3:$AG$46,V64)))</f>
        <v>9.8394107938413689E-2</v>
      </c>
      <c r="AC64" s="22">
        <f t="shared" ca="1" si="15"/>
        <v>4.2472871061322338E-2</v>
      </c>
      <c r="AD64" s="210"/>
      <c r="AE64" s="302">
        <v>37940</v>
      </c>
      <c r="AF64" s="38">
        <f>WORKDAY(EDATE(AE64,1)-1,1,FERIADOS!$A$1:$A$830)</f>
        <v>37970</v>
      </c>
      <c r="AG64" s="303">
        <v>2217.96</v>
      </c>
      <c r="AH64" s="303">
        <v>0.34</v>
      </c>
    </row>
    <row r="65" spans="2:34" ht="13.5" thickBot="1" x14ac:dyDescent="0.25">
      <c r="G65" s="190"/>
      <c r="H65" s="190"/>
      <c r="I65" s="190"/>
      <c r="J65" s="190"/>
      <c r="K65" s="190"/>
      <c r="L65" s="190"/>
      <c r="M65" s="190"/>
      <c r="N65" s="190"/>
      <c r="O65" s="135"/>
      <c r="P65" s="190"/>
      <c r="Q65" s="190"/>
      <c r="R65" s="190"/>
      <c r="S65" s="190"/>
      <c r="T65" s="13">
        <f t="shared" si="17"/>
        <v>45792</v>
      </c>
      <c r="U65" s="13">
        <f>IF(T65="","",WORKDAY(T65-1,1,FERIADOS!$A$1:$A$840))</f>
        <v>45792</v>
      </c>
      <c r="V65" s="198">
        <f>IF(T65="",0,NETWORKDAYS($C$2,U65,FERIADOS!$A$1:$A$830)-1)</f>
        <v>1916</v>
      </c>
      <c r="W65" s="22">
        <f t="shared" si="18"/>
        <v>2.9563014098699991E-2</v>
      </c>
      <c r="X65" s="199">
        <f t="shared" si="11"/>
        <v>2.0330559854849981E-2</v>
      </c>
      <c r="Y65" s="14">
        <f t="shared" si="12"/>
        <v>7.2378479023976334</v>
      </c>
      <c r="Z65" s="199">
        <f t="shared" si="13"/>
        <v>2.0345280800000001E-2</v>
      </c>
      <c r="AA65" s="11">
        <f t="shared" si="14"/>
        <v>2.0315850900000001E-2</v>
      </c>
      <c r="AB65" s="316">
        <f ca="1">IF(T65="","",IF($E$5="X",_xll.Spline(Curva!$T$3:$T$46,Curva!$G$3:$G$46,V65),_xll.Spline(Curva!$AF$3:$AF$46,Curva!$AG$3:$AG$46,V65)))</f>
        <v>9.7718146832346392E-2</v>
      </c>
      <c r="AC65" s="22">
        <f t="shared" ca="1" si="15"/>
        <v>4.1305538955899654E-2</v>
      </c>
      <c r="AD65" s="210"/>
      <c r="AE65" s="302">
        <v>37970</v>
      </c>
      <c r="AF65" s="38">
        <f>WORKDAY(EDATE(AE65,1)-1,1,FERIADOS!$A$1:$A$830)</f>
        <v>38001</v>
      </c>
      <c r="AG65" s="303">
        <v>2229.4899999999998</v>
      </c>
      <c r="AH65" s="305">
        <v>0.52</v>
      </c>
    </row>
    <row r="66" spans="2:34" ht="13.5" thickBot="1" x14ac:dyDescent="0.25">
      <c r="B66" s="117"/>
      <c r="C66" s="717" t="s">
        <v>292</v>
      </c>
      <c r="D66" s="718"/>
      <c r="E66" s="718"/>
      <c r="F66" s="718"/>
      <c r="G66" s="718"/>
      <c r="H66" s="718"/>
      <c r="I66" s="717" t="s">
        <v>293</v>
      </c>
      <c r="J66" s="718"/>
      <c r="K66" s="718"/>
      <c r="L66" s="719"/>
      <c r="M66" s="720" t="s">
        <v>295</v>
      </c>
      <c r="N66" s="721"/>
      <c r="O66" s="492"/>
      <c r="P66" s="485"/>
      <c r="Q66" s="485"/>
      <c r="R66" s="190"/>
      <c r="S66" s="190"/>
      <c r="T66" s="13">
        <f t="shared" si="17"/>
        <v>45611</v>
      </c>
      <c r="U66" s="13">
        <f>IF(T66="","",WORKDAY(T66-1,1,FERIADOS!$A$1:$A$840))</f>
        <v>45614</v>
      </c>
      <c r="V66" s="198">
        <f>IF(T66="",0,NETWORKDAYS($C$2,U66,FERIADOS!$A$1:$A$830)-1)</f>
        <v>1795</v>
      </c>
      <c r="W66" s="22">
        <f t="shared" si="18"/>
        <v>2.9563014098699991E-2</v>
      </c>
      <c r="X66" s="199">
        <f t="shared" si="11"/>
        <v>2.0816987381852638E-2</v>
      </c>
      <c r="Y66" s="14">
        <f t="shared" si="12"/>
        <v>6.7807602229251165</v>
      </c>
      <c r="Z66" s="199">
        <f t="shared" si="13"/>
        <v>2.0831108300000001E-2</v>
      </c>
      <c r="AA66" s="11">
        <f t="shared" si="14"/>
        <v>2.0802877300000001E-2</v>
      </c>
      <c r="AB66" s="316">
        <f ca="1">IF(T66="","",IF($E$5="X",_xll.Spline(Curva!$T$3:$T$46,Curva!$G$3:$G$46,V66),_xll.Spline(Curva!$AF$3:$AF$46,Curva!$AG$3:$AG$46,V66)))</f>
        <v>9.7004710709462746E-2</v>
      </c>
      <c r="AC66" s="22">
        <f t="shared" ca="1" si="15"/>
        <v>4.0255350218264492E-2</v>
      </c>
      <c r="AD66" s="210"/>
      <c r="AE66" s="302">
        <v>38001</v>
      </c>
      <c r="AF66" s="38">
        <f>WORKDAY(EDATE(AE66,1)-1,1,FERIADOS!$A$1:$A$830)</f>
        <v>38033</v>
      </c>
      <c r="AG66" s="303">
        <v>2246.4299999999998</v>
      </c>
      <c r="AH66" s="305">
        <v>0.76</v>
      </c>
    </row>
    <row r="67" spans="2:34" ht="16.5" thickBot="1" x14ac:dyDescent="0.3">
      <c r="B67" s="418" t="s">
        <v>7</v>
      </c>
      <c r="C67" s="418" t="s">
        <v>255</v>
      </c>
      <c r="D67" s="419" t="s">
        <v>266</v>
      </c>
      <c r="E67" s="419" t="s">
        <v>256</v>
      </c>
      <c r="F67" s="420" t="s">
        <v>267</v>
      </c>
      <c r="G67" s="419" t="s">
        <v>298</v>
      </c>
      <c r="H67" s="419" t="s">
        <v>299</v>
      </c>
      <c r="I67" s="418" t="s">
        <v>255</v>
      </c>
      <c r="J67" s="419" t="s">
        <v>266</v>
      </c>
      <c r="K67" s="419" t="s">
        <v>256</v>
      </c>
      <c r="L67" s="421" t="s">
        <v>267</v>
      </c>
      <c r="M67" s="488" t="s">
        <v>294</v>
      </c>
      <c r="N67" s="483" t="s">
        <v>282</v>
      </c>
      <c r="O67" s="448" t="s">
        <v>296</v>
      </c>
      <c r="P67" s="421" t="s">
        <v>285</v>
      </c>
      <c r="Q67" s="493" t="s">
        <v>297</v>
      </c>
      <c r="R67" s="190"/>
      <c r="S67" s="190"/>
      <c r="T67" s="13">
        <f t="shared" si="17"/>
        <v>45427</v>
      </c>
      <c r="U67" s="13">
        <f>IF(T67="","",WORKDAY(T67-1,1,FERIADOS!$A$1:$A$840))</f>
        <v>45427</v>
      </c>
      <c r="V67" s="198">
        <f>IF(T67="",0,NETWORKDAYS($C$2,U67,FERIADOS!$A$1:$A$830)-1)</f>
        <v>1664</v>
      </c>
      <c r="W67" s="22">
        <f t="shared" si="18"/>
        <v>2.9563014098699991E-2</v>
      </c>
      <c r="X67" s="199">
        <f t="shared" si="11"/>
        <v>2.1356744863523534E-2</v>
      </c>
      <c r="Y67" s="14">
        <f t="shared" si="12"/>
        <v>6.2858830246774842</v>
      </c>
      <c r="Z67" s="199">
        <f t="shared" si="13"/>
        <v>2.1370174299999999E-2</v>
      </c>
      <c r="AA67" s="11">
        <f t="shared" si="14"/>
        <v>2.1343325100000001E-2</v>
      </c>
      <c r="AB67" s="316">
        <f ca="1">IF(T67="","",IF($E$5="X",_xll.Spline(Curva!$T$3:$T$46,Curva!$G$3:$G$46,V67),_xll.Spline(Curva!$AF$3:$AF$46,Curva!$AG$3:$AG$46,V67)))</f>
        <v>9.6189908381033001E-2</v>
      </c>
      <c r="AC67" s="22">
        <f t="shared" ca="1" si="15"/>
        <v>3.9165886262012992E-2</v>
      </c>
      <c r="AD67" s="210"/>
      <c r="AE67" s="302">
        <v>38032</v>
      </c>
      <c r="AF67" s="38">
        <f>WORKDAY(EDATE(AE67,1)-1,1,FERIADOS!$A$1:$A$830)</f>
        <v>38061</v>
      </c>
      <c r="AG67" s="303">
        <v>2260.13</v>
      </c>
      <c r="AH67" s="305">
        <v>0.61</v>
      </c>
    </row>
    <row r="68" spans="2:34" x14ac:dyDescent="0.2">
      <c r="B68" s="486">
        <f>B37</f>
        <v>43327</v>
      </c>
      <c r="C68" s="484">
        <f>VLOOKUP(B68,'ANDIMANTN-B'!$C$6:$K$25,4,FALSE)/100</f>
        <v>3.3700000000000001E-2</v>
      </c>
      <c r="D68" s="414">
        <v>219</v>
      </c>
      <c r="E68" s="415">
        <v>3.6610389630839624E-2</v>
      </c>
      <c r="F68" s="415">
        <v>7.1544159761399051E-2</v>
      </c>
      <c r="G68" s="515">
        <v>43321</v>
      </c>
      <c r="H68" s="413">
        <v>2606.8234320913548</v>
      </c>
      <c r="I68" s="621">
        <v>3.3700000000000001E-2</v>
      </c>
      <c r="J68" s="413">
        <v>219</v>
      </c>
      <c r="K68" s="415" t="e">
        <v>#NAME?</v>
      </c>
      <c r="L68" s="516" t="e">
        <v>#NAME?</v>
      </c>
      <c r="M68" s="489">
        <f>C68-I68</f>
        <v>0</v>
      </c>
      <c r="N68" s="490" t="e">
        <f>E68-K68</f>
        <v>#NAME?</v>
      </c>
      <c r="O68" s="484">
        <f>C68</f>
        <v>3.3700000000000001E-2</v>
      </c>
      <c r="P68" s="487">
        <v>-7.068810302118117E-5</v>
      </c>
      <c r="Q68" s="494">
        <f>E68</f>
        <v>3.6610389630839624E-2</v>
      </c>
      <c r="R68" s="190"/>
      <c r="S68" s="190"/>
      <c r="T68" s="13">
        <f t="shared" si="17"/>
        <v>45245</v>
      </c>
      <c r="U68" s="13">
        <f>IF(T68="","",WORKDAY(T68-1,1,FERIADOS!$A$1:$A$840))</f>
        <v>45246</v>
      </c>
      <c r="V68" s="198">
        <f>IF(T68="",0,NETWORKDAYS($C$2,U68,FERIADOS!$A$1:$A$830)-1)</f>
        <v>1541</v>
      </c>
      <c r="W68" s="22">
        <f t="shared" si="18"/>
        <v>2.9563014098699991E-2</v>
      </c>
      <c r="X68" s="199">
        <f t="shared" si="11"/>
        <v>2.1876272682128897E-2</v>
      </c>
      <c r="Y68" s="14">
        <f t="shared" si="12"/>
        <v>5.8212384646322723</v>
      </c>
      <c r="Z68" s="199">
        <f t="shared" si="13"/>
        <v>2.1889011699999999E-2</v>
      </c>
      <c r="AA68" s="11">
        <f t="shared" si="14"/>
        <v>2.18635423E-2</v>
      </c>
      <c r="AB68" s="316">
        <f ca="1">IF(T68="","",IF($E$5="X",_xll.Spline(Curva!$T$3:$T$46,Curva!$G$3:$G$46,V68),_xll.Spline(Curva!$AF$3:$AF$46,Curva!$AG$3:$AG$46,V68)))</f>
        <v>9.5400374039607383E-2</v>
      </c>
      <c r="AC68" s="22">
        <f t="shared" ca="1" si="15"/>
        <v>3.8191319193337084E-2</v>
      </c>
      <c r="AD68" s="210"/>
      <c r="AE68" s="302">
        <v>38061</v>
      </c>
      <c r="AF68" s="38">
        <f>WORKDAY(EDATE(AE68,1)-1,1,FERIADOS!$A$1:$A$830)</f>
        <v>38092</v>
      </c>
      <c r="AG68" s="303">
        <v>2270.75</v>
      </c>
      <c r="AH68" s="305">
        <v>0.47</v>
      </c>
    </row>
    <row r="69" spans="2:34" x14ac:dyDescent="0.2">
      <c r="B69" s="486">
        <f t="shared" ref="B69:B83" si="22">B38</f>
        <v>43600</v>
      </c>
      <c r="C69" s="484">
        <f>VLOOKUP(B69,'ANDIMANTN-B'!$C$6:$K$25,4,FALSE)/100</f>
        <v>3.2899999999999999E-2</v>
      </c>
      <c r="D69" s="414">
        <v>388</v>
      </c>
      <c r="E69" s="415">
        <v>4.1280465070785866E-2</v>
      </c>
      <c r="F69" s="415">
        <v>7.5538592371614532E-2</v>
      </c>
      <c r="G69" s="514">
        <v>43570</v>
      </c>
      <c r="H69" s="413">
        <v>4765.0397613910045</v>
      </c>
      <c r="I69" s="621">
        <v>3.2899999999999999E-2</v>
      </c>
      <c r="J69" s="413">
        <v>388</v>
      </c>
      <c r="K69" s="415" t="e">
        <v>#NAME?</v>
      </c>
      <c r="L69" s="516" t="e">
        <v>#NAME?</v>
      </c>
      <c r="M69" s="489">
        <f t="shared" ref="M69:M81" si="23">C69-I69</f>
        <v>0</v>
      </c>
      <c r="N69" s="490" t="e">
        <f t="shared" ref="N69:N82" si="24">E69-K69</f>
        <v>#NAME?</v>
      </c>
      <c r="O69" s="484">
        <f t="shared" ref="O69:O81" si="25">(((1+C69)^(D69/252))/((1+C68)^(D68/252)))^(252/(D69-D68))-1</f>
        <v>3.1864234535480485E-2</v>
      </c>
      <c r="P69" s="487">
        <v>-4.1855217134692535E-5</v>
      </c>
      <c r="Q69" s="494">
        <f t="shared" ref="Q69:Q81" si="26">(((1+E69)^(D69/252))/((1+E68)^(D68/252)))^(252/(D69-D68))-1</f>
        <v>4.7363530670390563E-2</v>
      </c>
      <c r="R69" s="190"/>
      <c r="S69" s="190"/>
      <c r="T69" s="13">
        <f t="shared" si="17"/>
        <v>45061</v>
      </c>
      <c r="U69" s="13">
        <f>IF(T69="","",WORKDAY(T69-1,1,FERIADOS!$A$1:$A$840))</f>
        <v>45061</v>
      </c>
      <c r="V69" s="198">
        <f>IF(T69="",0,NETWORKDAYS($C$2,U69,FERIADOS!$A$1:$A$830)-1)</f>
        <v>1413</v>
      </c>
      <c r="W69" s="22">
        <f t="shared" si="18"/>
        <v>2.9563014098699991E-2</v>
      </c>
      <c r="X69" s="199">
        <f t="shared" ref="X69:X87" si="27">IF(ISERROR((W69/((1+$C$6)^((V69/252))))),0,(W69/((1+$C$6)^((V69/252)))))</f>
        <v>2.2430343096977008E-2</v>
      </c>
      <c r="Y69" s="14">
        <f t="shared" ref="Y69:Y87" si="28">IF(ISERROR((((Z69-AA69)/2)/X69)/$C$26),"",((((Z69-AA69)/2)/X69)/$C$26))</f>
        <v>5.3377248614682333</v>
      </c>
      <c r="Z69" s="199">
        <f t="shared" ref="Z69:Z87" si="29">IF(ISERROR(ROUND((W69/((1+$C$6-$C$26)^(TRUNC(V69/252,14)))),10)),"",(ROUND((W69/((1+$C$6-$C$26)^(TRUNC(V69/252,14)))),10)))</f>
        <v>2.24423196E-2</v>
      </c>
      <c r="AA69" s="11">
        <f t="shared" ref="AA69:AA87" si="30">IF(ISERROR(ROUND((W69/((1+$C$6+$C$26)^(TRUNC(V69/252,14)))),10)),"",(ROUND((W69/((1+$C$6+$C$26)^(TRUNC(V69/252,14)))),10)))</f>
        <v>2.2418374200000001E-2</v>
      </c>
      <c r="AB69" s="316">
        <f ca="1">IF(T69="","",IF($E$5="X",_xll.Spline(Curva!$T$3:$T$46,Curva!$G$3:$G$46,V69),_xll.Spline(Curva!$AF$3:$AF$46,Curva!$AG$3:$AG$46,V69)))</f>
        <v>9.4275168233899961E-2</v>
      </c>
      <c r="AC69" s="22">
        <f t="shared" ref="AC69:AC87" ca="1" si="31">IF(W69="",0,X69*((1+AB69)^(V69/252)))</f>
        <v>3.7172694210340022E-2</v>
      </c>
      <c r="AD69" s="210"/>
      <c r="AE69" s="302">
        <v>38092</v>
      </c>
      <c r="AF69" s="38">
        <f>WORKDAY(EDATE(AE69,1)-1,1,FERIADOS!$A$1:$A$830)</f>
        <v>38124</v>
      </c>
      <c r="AG69" s="303">
        <v>2279.15</v>
      </c>
      <c r="AH69" s="305">
        <v>0.37</v>
      </c>
    </row>
    <row r="70" spans="2:34" x14ac:dyDescent="0.2">
      <c r="B70" s="486">
        <f t="shared" si="22"/>
        <v>44058</v>
      </c>
      <c r="C70" s="484">
        <f>VLOOKUP(B70,'ANDIMANTN-B'!$C$6:$K$25,4,FALSE)/100</f>
        <v>3.9300000000000002E-2</v>
      </c>
      <c r="D70" s="413">
        <v>676</v>
      </c>
      <c r="E70" s="415">
        <v>4.3570258864244593E-2</v>
      </c>
      <c r="F70" s="415">
        <v>8.4582570037609273E-2</v>
      </c>
      <c r="G70" s="514">
        <v>43987</v>
      </c>
      <c r="H70" s="413">
        <v>8234.8053656990433</v>
      </c>
      <c r="I70" s="621">
        <v>3.9300000000000002E-2</v>
      </c>
      <c r="J70" s="413">
        <v>676</v>
      </c>
      <c r="K70" s="415" t="e">
        <v>#NAME?</v>
      </c>
      <c r="L70" s="516" t="e">
        <v>#NAME?</v>
      </c>
      <c r="M70" s="489">
        <f t="shared" si="23"/>
        <v>0</v>
      </c>
      <c r="N70" s="490" t="e">
        <f t="shared" si="24"/>
        <v>#NAME?</v>
      </c>
      <c r="O70" s="484">
        <f t="shared" si="25"/>
        <v>4.7984966792320005E-2</v>
      </c>
      <c r="P70" s="487">
        <v>-1.4635270894181041E-5</v>
      </c>
      <c r="Q70" s="494">
        <f t="shared" si="26"/>
        <v>4.6663083354938628E-2</v>
      </c>
      <c r="R70" s="190"/>
      <c r="S70" s="190"/>
      <c r="T70" s="13">
        <f t="shared" ref="T70:T87" si="32">IF($E$1="X","",IF(ISERROR(IF((EDATE(T69,-6))&lt;=$C$2,"",EDATE(T69,-6))),"",(IF(EDATE(T69,-6)&lt;=$C$2,"",EDATE(T69,-6)))))</f>
        <v>44880</v>
      </c>
      <c r="U70" s="13">
        <f>IF(T70="","",WORKDAY(T70-1,1,FERIADOS!$A$1:$A$840))</f>
        <v>44881</v>
      </c>
      <c r="V70" s="198">
        <f>IF(T70="",0,NETWORKDAYS($C$2,U70,FERIADOS!$A$1:$A$830)-1)</f>
        <v>1290</v>
      </c>
      <c r="W70" s="22">
        <f t="shared" ref="W70:W87" si="33">IF(T70="","",IF($E$1="X",1,1.06^0.5-1))</f>
        <v>2.9563014098699991E-2</v>
      </c>
      <c r="X70" s="199">
        <f t="shared" si="27"/>
        <v>2.2975987449344835E-2</v>
      </c>
      <c r="Y70" s="14">
        <f t="shared" si="28"/>
        <v>4.8730876201445605</v>
      </c>
      <c r="Z70" s="199">
        <f t="shared" si="29"/>
        <v>2.2987187100000001E-2</v>
      </c>
      <c r="AA70" s="11">
        <f t="shared" si="30"/>
        <v>2.2964794300000001E-2</v>
      </c>
      <c r="AB70" s="316">
        <f ca="1">IF(T70="","",IF($E$5="X",_xll.Spline(Curva!$T$3:$T$46,Curva!$G$3:$G$46,V70),_xll.Spline(Curva!$AF$3:$AF$46,Curva!$AG$3:$AG$46,V70)))</f>
        <v>9.3480333056617987E-2</v>
      </c>
      <c r="AC70" s="22">
        <f t="shared" ca="1" si="31"/>
        <v>3.6303577273873559E-2</v>
      </c>
      <c r="AD70" s="210"/>
      <c r="AE70" s="302">
        <v>38122</v>
      </c>
      <c r="AF70" s="38">
        <f>WORKDAY(EDATE(AE70,1)-1,1,FERIADOS!$A$1:$A$830)</f>
        <v>38153</v>
      </c>
      <c r="AG70" s="303">
        <v>2290.77</v>
      </c>
      <c r="AH70" s="305">
        <v>0.51</v>
      </c>
    </row>
    <row r="71" spans="2:34" x14ac:dyDescent="0.2">
      <c r="B71" s="486">
        <f t="shared" si="22"/>
        <v>44331</v>
      </c>
      <c r="C71" s="484">
        <f>VLOOKUP(B71,'ANDIMANTN-B'!$C$6:$K$25,4,FALSE)/100</f>
        <v>4.1604000000000002E-2</v>
      </c>
      <c r="D71" s="414">
        <v>820</v>
      </c>
      <c r="E71" s="415">
        <v>4.4832342903118771E-2</v>
      </c>
      <c r="F71" s="415">
        <v>8.8301547697260174E-2</v>
      </c>
      <c r="G71" s="514">
        <v>44196</v>
      </c>
      <c r="H71" s="413">
        <v>10172.582037482503</v>
      </c>
      <c r="I71" s="621">
        <v>4.1604000000000002E-2</v>
      </c>
      <c r="J71" s="413">
        <v>820</v>
      </c>
      <c r="K71" s="415" t="e">
        <v>#NAME?</v>
      </c>
      <c r="L71" s="516" t="e">
        <v>#NAME?</v>
      </c>
      <c r="M71" s="489">
        <f t="shared" si="23"/>
        <v>0</v>
      </c>
      <c r="N71" s="490" t="e">
        <f t="shared" si="24"/>
        <v>#NAME?</v>
      </c>
      <c r="O71" s="484">
        <f t="shared" si="25"/>
        <v>5.248845660933954E-2</v>
      </c>
      <c r="P71" s="487">
        <v>-9.2725175875607579E-6</v>
      </c>
      <c r="Q71" s="494">
        <f t="shared" si="26"/>
        <v>5.0777558138567436E-2</v>
      </c>
      <c r="R71" s="190"/>
      <c r="S71" s="190"/>
      <c r="T71" s="13">
        <f t="shared" si="32"/>
        <v>44696</v>
      </c>
      <c r="U71" s="13">
        <f>IF(T71="","",WORKDAY(T71-1,1,FERIADOS!$A$1:$A$840))</f>
        <v>44697</v>
      </c>
      <c r="V71" s="198">
        <f>IF(T71="",0,NETWORKDAYS($C$2,U71,FERIADOS!$A$1:$A$830)-1)</f>
        <v>1163</v>
      </c>
      <c r="W71" s="22">
        <f t="shared" si="33"/>
        <v>2.9563014098699991E-2</v>
      </c>
      <c r="X71" s="199">
        <f t="shared" si="27"/>
        <v>2.3553307926024256E-2</v>
      </c>
      <c r="Y71" s="14">
        <f t="shared" si="28"/>
        <v>4.3933107113869552</v>
      </c>
      <c r="Z71" s="199">
        <f t="shared" si="29"/>
        <v>2.35636584E-2</v>
      </c>
      <c r="AA71" s="11">
        <f t="shared" si="30"/>
        <v>2.3542963E-2</v>
      </c>
      <c r="AB71" s="316">
        <f ca="1">IF(T71="","",IF($E$5="X",_xll.Spline(Curva!$T$3:$T$46,Curva!$G$3:$G$46,V71),_xll.Spline(Curva!$AF$3:$AF$46,Curva!$AG$3:$AG$46,V71)))</f>
        <v>9.2311966611609994E-2</v>
      </c>
      <c r="AC71" s="22">
        <f t="shared" ca="1" si="31"/>
        <v>3.5401766608331962E-2</v>
      </c>
      <c r="AD71" s="210"/>
      <c r="AE71" s="302">
        <v>38153</v>
      </c>
      <c r="AF71" s="38">
        <f>WORKDAY(EDATE(AE71,1)-1,1,FERIADOS!$A$1:$A$830)</f>
        <v>38183</v>
      </c>
      <c r="AG71" s="303">
        <v>2307.0300000000002</v>
      </c>
      <c r="AH71" s="305">
        <v>0.71</v>
      </c>
    </row>
    <row r="72" spans="2:34" x14ac:dyDescent="0.2">
      <c r="B72" s="486">
        <f t="shared" si="22"/>
        <v>44788</v>
      </c>
      <c r="C72" s="484">
        <f>VLOOKUP(B72,'ANDIMANTN-B'!$C$6:$K$25,4,FALSE)/100</f>
        <v>4.4800000000000006E-2</v>
      </c>
      <c r="D72" s="414">
        <v>1082</v>
      </c>
      <c r="E72" s="415">
        <v>4.5176542544979048E-2</v>
      </c>
      <c r="F72" s="415">
        <v>9.200045165099402E-2</v>
      </c>
      <c r="G72" s="514">
        <v>44578</v>
      </c>
      <c r="H72" s="413">
        <v>13252.555326300397</v>
      </c>
      <c r="I72" s="621">
        <v>4.4800000000000006E-2</v>
      </c>
      <c r="J72" s="413">
        <v>1082</v>
      </c>
      <c r="K72" s="415" t="e">
        <v>#NAME?</v>
      </c>
      <c r="L72" s="516" t="e">
        <v>#NAME?</v>
      </c>
      <c r="M72" s="489">
        <f t="shared" si="23"/>
        <v>0</v>
      </c>
      <c r="N72" s="490" t="e">
        <f t="shared" si="24"/>
        <v>#NAME?</v>
      </c>
      <c r="O72" s="484">
        <f t="shared" si="25"/>
        <v>5.4866261474622258E-2</v>
      </c>
      <c r="P72" s="487">
        <v>-4.0856804486844034E-6</v>
      </c>
      <c r="Q72" s="494">
        <f t="shared" si="26"/>
        <v>4.6254541566486562E-2</v>
      </c>
      <c r="R72" s="190"/>
      <c r="S72" s="190"/>
      <c r="T72" s="13">
        <f t="shared" si="32"/>
        <v>44515</v>
      </c>
      <c r="U72" s="13">
        <f>IF(T72="","",WORKDAY(T72-1,1,FERIADOS!$A$1:$A$840))</f>
        <v>44516</v>
      </c>
      <c r="V72" s="198">
        <f>IF(T72="",0,NETWORKDAYS($C$2,U72,FERIADOS!$A$1:$A$830)-1)</f>
        <v>1038</v>
      </c>
      <c r="W72" s="22">
        <f t="shared" si="33"/>
        <v>2.9563014098699991E-2</v>
      </c>
      <c r="X72" s="199">
        <f t="shared" si="27"/>
        <v>2.413570041585052E-2</v>
      </c>
      <c r="Y72" s="14">
        <f t="shared" si="28"/>
        <v>3.9211209274805956</v>
      </c>
      <c r="Z72" s="199">
        <f t="shared" si="29"/>
        <v>2.41451666E-2</v>
      </c>
      <c r="AA72" s="11">
        <f t="shared" si="30"/>
        <v>2.4126238800000002E-2</v>
      </c>
      <c r="AB72" s="316">
        <f ca="1">IF(T72="","",IF($E$5="X",_xll.Spline(Curva!$T$3:$T$46,Curva!$G$3:$G$46,V72),_xll.Spline(Curva!$AF$3:$AF$46,Curva!$AG$3:$AG$46,V72)))</f>
        <v>9.0921144175570984E-2</v>
      </c>
      <c r="AC72" s="22">
        <f t="shared" ca="1" si="31"/>
        <v>3.4540812816576581E-2</v>
      </c>
      <c r="AD72" s="210"/>
      <c r="AE72" s="302">
        <v>38183</v>
      </c>
      <c r="AF72" s="38">
        <f>WORKDAY(EDATE(AE72,1)-1,1,FERIADOS!$A$1:$A$830)</f>
        <v>38215</v>
      </c>
      <c r="AG72" s="303">
        <v>2328.02</v>
      </c>
      <c r="AH72" s="305">
        <v>0.91</v>
      </c>
    </row>
    <row r="73" spans="2:34" x14ac:dyDescent="0.2">
      <c r="B73" s="486">
        <f t="shared" si="22"/>
        <v>45061</v>
      </c>
      <c r="C73" s="484">
        <f>VLOOKUP(B73,'ANDIMANTN-B'!$C$6:$K$25,4,FALSE)/100</f>
        <v>4.5899999999999996E-2</v>
      </c>
      <c r="D73" s="414">
        <v>1206</v>
      </c>
      <c r="E73" s="415">
        <v>4.5280616862714673E-2</v>
      </c>
      <c r="F73" s="415">
        <v>9.3258997176713265E-2</v>
      </c>
      <c r="G73" s="514">
        <v>44757</v>
      </c>
      <c r="H73" s="413">
        <v>15002.394455803193</v>
      </c>
      <c r="I73" s="621">
        <v>4.5899999999999996E-2</v>
      </c>
      <c r="J73" s="413">
        <v>1206</v>
      </c>
      <c r="K73" s="415" t="e">
        <v>#NAME?</v>
      </c>
      <c r="L73" s="516" t="e">
        <v>#NAME?</v>
      </c>
      <c r="M73" s="489">
        <f t="shared" si="23"/>
        <v>0</v>
      </c>
      <c r="N73" s="490" t="e">
        <f t="shared" si="24"/>
        <v>#NAME?</v>
      </c>
      <c r="O73" s="484">
        <f t="shared" si="25"/>
        <v>5.5547662638987472E-2</v>
      </c>
      <c r="P73" s="487">
        <v>-2.7557642689468587E-6</v>
      </c>
      <c r="Q73" s="494">
        <f t="shared" si="26"/>
        <v>4.6189189071399017E-2</v>
      </c>
      <c r="R73" s="190"/>
      <c r="S73" s="190"/>
      <c r="T73" s="13">
        <f t="shared" si="32"/>
        <v>44331</v>
      </c>
      <c r="U73" s="13">
        <f>IF(T73="","",WORKDAY(T73-1,1,FERIADOS!$A$1:$A$840))</f>
        <v>44333</v>
      </c>
      <c r="V73" s="198">
        <f>IF(T73="",0,NETWORKDAYS($C$2,U73,FERIADOS!$A$1:$A$830)-1)</f>
        <v>912</v>
      </c>
      <c r="W73" s="22">
        <f t="shared" si="33"/>
        <v>2.9563014098699991E-2</v>
      </c>
      <c r="X73" s="199">
        <f t="shared" si="27"/>
        <v>2.4737326836347717E-2</v>
      </c>
      <c r="Y73" s="14">
        <f t="shared" si="28"/>
        <v>3.4451580222799838</v>
      </c>
      <c r="Z73" s="199">
        <f t="shared" si="29"/>
        <v>2.4745851100000001E-2</v>
      </c>
      <c r="AA73" s="11">
        <f t="shared" si="30"/>
        <v>2.47288063E-2</v>
      </c>
      <c r="AB73" s="316">
        <f ca="1">IF(T73="","",IF($E$5="X",_xll.Spline(Curva!$T$3:$T$46,Curva!$G$3:$G$46,V73),_xll.Spline(Curva!$AF$3:$AF$46,Curva!$AG$3:$AG$46,V73)))</f>
        <v>8.9044525106090969E-2</v>
      </c>
      <c r="AC73" s="22">
        <f t="shared" ca="1" si="31"/>
        <v>3.3683924720868126E-2</v>
      </c>
      <c r="AD73" s="210"/>
      <c r="AE73" s="302">
        <v>38214</v>
      </c>
      <c r="AF73" s="38">
        <f>WORKDAY(EDATE(AE73,1)-1,1,FERIADOS!$A$1:$A$830)</f>
        <v>38245</v>
      </c>
      <c r="AG73" s="303">
        <v>2344.08</v>
      </c>
      <c r="AH73" s="305">
        <v>0.69</v>
      </c>
    </row>
    <row r="74" spans="2:34" x14ac:dyDescent="0.2">
      <c r="B74" s="486">
        <f t="shared" si="22"/>
        <v>45519</v>
      </c>
      <c r="C74" s="484">
        <f>VLOOKUP(B74,'ANDIMANTN-B'!$C$6:$K$25,4,FALSE)/100</f>
        <v>4.6265000000000001E-2</v>
      </c>
      <c r="D74" s="414">
        <v>1449</v>
      </c>
      <c r="E74" s="415">
        <v>4.6932274947447894E-2</v>
      </c>
      <c r="F74" s="415">
        <v>9.5368596647891657E-2</v>
      </c>
      <c r="G74" s="514">
        <v>45112</v>
      </c>
      <c r="H74" s="413">
        <v>17952.529201989375</v>
      </c>
      <c r="I74" s="621">
        <v>4.6265000000000001E-2</v>
      </c>
      <c r="J74" s="413">
        <v>1449</v>
      </c>
      <c r="K74" s="415" t="e">
        <v>#NAME?</v>
      </c>
      <c r="L74" s="516" t="e">
        <v>#NAME?</v>
      </c>
      <c r="M74" s="489">
        <f t="shared" si="23"/>
        <v>0</v>
      </c>
      <c r="N74" s="490" t="e">
        <f t="shared" si="24"/>
        <v>#NAME?</v>
      </c>
      <c r="O74" s="484">
        <f t="shared" si="25"/>
        <v>4.8078367165550029E-2</v>
      </c>
      <c r="P74" s="487">
        <v>-2.0419838504537324E-6</v>
      </c>
      <c r="Q74" s="494">
        <f t="shared" si="26"/>
        <v>5.5168090728987762E-2</v>
      </c>
      <c r="R74" s="190"/>
      <c r="S74" s="190"/>
      <c r="T74" s="13">
        <f t="shared" si="32"/>
        <v>44150</v>
      </c>
      <c r="U74" s="13">
        <f>IF(T74="","",WORKDAY(T74-1,1,FERIADOS!$A$1:$A$840))</f>
        <v>44151</v>
      </c>
      <c r="V74" s="198">
        <f>IF(T74="",0,NETWORKDAYS($C$2,U74,FERIADOS!$A$1:$A$830)-1)</f>
        <v>788</v>
      </c>
      <c r="W74" s="22">
        <f t="shared" si="33"/>
        <v>2.9563014098699991E-2</v>
      </c>
      <c r="X74" s="199">
        <f t="shared" si="27"/>
        <v>2.5344043176112357E-2</v>
      </c>
      <c r="Y74" s="14">
        <f t="shared" si="28"/>
        <v>2.9767349856437031</v>
      </c>
      <c r="Z74" s="199">
        <f t="shared" si="29"/>
        <v>2.5351588899999999E-2</v>
      </c>
      <c r="AA74" s="11">
        <f t="shared" si="30"/>
        <v>2.53365004E-2</v>
      </c>
      <c r="AB74" s="316">
        <f ca="1">IF(T74="","",IF($E$5="X",_xll.Spline(Curva!$T$3:$T$46,Curva!$G$3:$G$46,V74),_xll.Spline(Curva!$AF$3:$AF$46,Curva!$AG$3:$AG$46,V74)))</f>
        <v>8.6562704607523605E-2</v>
      </c>
      <c r="AC74" s="22">
        <f t="shared" ca="1" si="31"/>
        <v>3.2856301021454364E-2</v>
      </c>
      <c r="AD74" s="210"/>
      <c r="AE74" s="302">
        <v>38245</v>
      </c>
      <c r="AF74" s="38">
        <f>WORKDAY(EDATE(AE74,1)-1,1,FERIADOS!$A$1:$A$830)</f>
        <v>38275</v>
      </c>
      <c r="AG74" s="303">
        <v>2351.8200000000002</v>
      </c>
      <c r="AH74" s="305">
        <v>0.33</v>
      </c>
    </row>
    <row r="75" spans="2:34" x14ac:dyDescent="0.2">
      <c r="B75" s="486">
        <f t="shared" si="22"/>
        <v>46249</v>
      </c>
      <c r="C75" s="484">
        <f>VLOOKUP(B75,'ANDIMANTN-B'!$C$6:$K$25,4,FALSE)/100</f>
        <v>4.82E-2</v>
      </c>
      <c r="D75" s="414">
        <v>1780</v>
      </c>
      <c r="E75" s="415">
        <v>4.7399933402023642E-2</v>
      </c>
      <c r="F75" s="415">
        <v>9.7884610192001231E-2</v>
      </c>
      <c r="G75" s="514">
        <v>45590</v>
      </c>
      <c r="H75" s="413">
        <v>22089.84232238599</v>
      </c>
      <c r="I75" s="621">
        <v>4.82E-2</v>
      </c>
      <c r="J75" s="413">
        <v>1780</v>
      </c>
      <c r="K75" s="415" t="e">
        <v>#NAME?</v>
      </c>
      <c r="L75" s="516" t="e">
        <v>#NAME?</v>
      </c>
      <c r="M75" s="489">
        <f t="shared" si="23"/>
        <v>0</v>
      </c>
      <c r="N75" s="490" t="e">
        <f t="shared" si="24"/>
        <v>#NAME?</v>
      </c>
      <c r="O75" s="484">
        <f t="shared" si="25"/>
        <v>5.6712951313922844E-2</v>
      </c>
      <c r="P75" s="487">
        <v>-5.7643361171116902E-7</v>
      </c>
      <c r="Q75" s="494">
        <f t="shared" si="26"/>
        <v>4.9449635538004966E-2</v>
      </c>
      <c r="R75" s="190"/>
      <c r="S75" s="190"/>
      <c r="T75" s="13">
        <f t="shared" si="32"/>
        <v>43966</v>
      </c>
      <c r="U75" s="13">
        <f>IF(T75="","",WORKDAY(T75-1,1,FERIADOS!$A$1:$A$840))</f>
        <v>43966</v>
      </c>
      <c r="V75" s="198">
        <f>IF(T75="",0,NETWORKDAYS($C$2,U75,FERIADOS!$A$1:$A$830)-1)</f>
        <v>661</v>
      </c>
      <c r="W75" s="22">
        <f t="shared" si="33"/>
        <v>2.9563014098699991E-2</v>
      </c>
      <c r="X75" s="199">
        <f t="shared" si="27"/>
        <v>2.5980866081751357E-2</v>
      </c>
      <c r="Y75" s="14">
        <f t="shared" si="28"/>
        <v>2.4969914319200743</v>
      </c>
      <c r="Z75" s="199">
        <f t="shared" si="29"/>
        <v>2.5987354599999998E-2</v>
      </c>
      <c r="AA75" s="11">
        <f t="shared" si="30"/>
        <v>2.5974379799999999E-2</v>
      </c>
      <c r="AB75" s="316">
        <f ca="1">IF(T75="","",IF($E$5="X",_xll.Spline(Curva!$T$3:$T$46,Curva!$G$3:$G$46,V75),_xll.Spline(Curva!$AF$3:$AF$46,Curva!$AG$3:$AG$46,V75)))</f>
        <v>8.3224126188622294E-2</v>
      </c>
      <c r="AC75" s="22">
        <f t="shared" ca="1" si="31"/>
        <v>3.2042053416034756E-2</v>
      </c>
      <c r="AD75" s="210"/>
      <c r="AE75" s="302">
        <v>38275</v>
      </c>
      <c r="AF75" s="38">
        <f>WORKDAY(EDATE(AE75,1)-1,1,FERIADOS!$A$1:$A$830)</f>
        <v>38307</v>
      </c>
      <c r="AG75" s="303">
        <v>2362.17</v>
      </c>
      <c r="AH75" s="305">
        <v>0.44</v>
      </c>
    </row>
    <row r="76" spans="2:34" x14ac:dyDescent="0.2">
      <c r="B76" s="486">
        <f t="shared" si="22"/>
        <v>47710</v>
      </c>
      <c r="C76" s="484">
        <f>VLOOKUP(B76,'ANDIMANTN-B'!$C$6:$K$25,4,FALSE)/100</f>
        <v>4.9128999999999999E-2</v>
      </c>
      <c r="D76" s="414">
        <v>2345</v>
      </c>
      <c r="E76" s="415">
        <v>4.8227689971403365E-2</v>
      </c>
      <c r="F76" s="415">
        <v>9.9726068152008462E-2</v>
      </c>
      <c r="G76" s="514">
        <v>46413</v>
      </c>
      <c r="H76" s="413">
        <v>29583.318532973262</v>
      </c>
      <c r="I76" s="621">
        <v>4.9128999999999999E-2</v>
      </c>
      <c r="J76" s="413">
        <v>2345</v>
      </c>
      <c r="K76" s="415" t="e">
        <v>#NAME?</v>
      </c>
      <c r="L76" s="516" t="e">
        <v>#NAME?</v>
      </c>
      <c r="M76" s="489">
        <f t="shared" si="23"/>
        <v>0</v>
      </c>
      <c r="N76" s="490" t="e">
        <f t="shared" si="24"/>
        <v>#NAME?</v>
      </c>
      <c r="O76" s="484">
        <f t="shared" si="25"/>
        <v>5.2061147468380309E-2</v>
      </c>
      <c r="P76" s="487">
        <v>-4.1370724866707231E-8</v>
      </c>
      <c r="Q76" s="494">
        <f t="shared" si="26"/>
        <v>5.0839768748299097E-2</v>
      </c>
      <c r="R76" s="190"/>
      <c r="S76" s="190"/>
      <c r="T76" s="13">
        <f t="shared" si="32"/>
        <v>43784</v>
      </c>
      <c r="U76" s="13">
        <f>IF(T76="","",WORKDAY(T76-1,1,FERIADOS!$A$1:$A$840))</f>
        <v>43787</v>
      </c>
      <c r="V76" s="198">
        <f>IF(T76="",0,NETWORKDAYS($C$2,U76,FERIADOS!$A$1:$A$830)-1)</f>
        <v>539</v>
      </c>
      <c r="W76" s="22">
        <f t="shared" si="33"/>
        <v>2.9563014098699991E-2</v>
      </c>
      <c r="X76" s="199">
        <f t="shared" si="27"/>
        <v>2.6607681239501645E-2</v>
      </c>
      <c r="Y76" s="14">
        <f t="shared" si="28"/>
        <v>2.0361225584578939</v>
      </c>
      <c r="Z76" s="199">
        <f t="shared" si="29"/>
        <v>2.66130997E-2</v>
      </c>
      <c r="AA76" s="11">
        <f t="shared" si="30"/>
        <v>2.6602264399999999E-2</v>
      </c>
      <c r="AB76" s="316">
        <f ca="1">IF(T76="","",IF($E$5="X",_xll.Spline(Curva!$T$3:$T$46,Curva!$G$3:$G$46,V76),_xll.Spline(Curva!$AF$3:$AF$46,Curva!$AG$3:$AG$46,V76)))</f>
        <v>7.9805221387009601E-2</v>
      </c>
      <c r="AC76" s="22">
        <f t="shared" ca="1" si="31"/>
        <v>3.1356615754068701E-2</v>
      </c>
      <c r="AD76" s="210"/>
      <c r="AE76" s="302">
        <v>38306</v>
      </c>
      <c r="AF76" s="38">
        <f>WORKDAY(EDATE(AE76,1)-1,1,FERIADOS!$A$1:$A$830)</f>
        <v>38336</v>
      </c>
      <c r="AG76" s="303">
        <v>2378.4699999999998</v>
      </c>
      <c r="AH76" s="306">
        <v>0.69</v>
      </c>
    </row>
    <row r="77" spans="2:34" x14ac:dyDescent="0.2">
      <c r="B77" s="486">
        <f t="shared" si="22"/>
        <v>49444</v>
      </c>
      <c r="C77" s="484">
        <f>VLOOKUP(B77,'ANDIMANTN-B'!$C$6:$K$25,4,FALSE)/100</f>
        <v>4.9734999999999994E-2</v>
      </c>
      <c r="D77" s="414">
        <v>2849</v>
      </c>
      <c r="E77" s="415">
        <v>4.7780955786045132E-2</v>
      </c>
      <c r="F77" s="415">
        <v>9.9892341622064063E-2</v>
      </c>
      <c r="G77" s="514">
        <v>47148</v>
      </c>
      <c r="H77" s="413">
        <v>36953.350154936794</v>
      </c>
      <c r="I77" s="621">
        <v>4.9734999999999994E-2</v>
      </c>
      <c r="J77" s="413">
        <v>2849</v>
      </c>
      <c r="K77" s="415" t="e">
        <v>#NAME?</v>
      </c>
      <c r="L77" s="516" t="e">
        <v>#NAME?</v>
      </c>
      <c r="M77" s="489">
        <f t="shared" si="23"/>
        <v>0</v>
      </c>
      <c r="N77" s="490" t="e">
        <f t="shared" si="24"/>
        <v>#NAME?</v>
      </c>
      <c r="O77" s="484">
        <f t="shared" si="25"/>
        <v>5.2559189779887383E-2</v>
      </c>
      <c r="P77" s="487">
        <v>1.7877318634479389E-7</v>
      </c>
      <c r="Q77" s="494">
        <f t="shared" si="26"/>
        <v>4.5704903323992907E-2</v>
      </c>
      <c r="R77" s="190"/>
      <c r="S77" s="190"/>
      <c r="T77" s="13">
        <f t="shared" si="32"/>
        <v>43600</v>
      </c>
      <c r="U77" s="13">
        <f>IF(T77="","",WORKDAY(T77-1,1,FERIADOS!$A$1:$A$840))</f>
        <v>43600</v>
      </c>
      <c r="V77" s="198">
        <f>IF(T77="",0,NETWORKDAYS($C$2,U77,FERIADOS!$A$1:$A$830)-1)</f>
        <v>408</v>
      </c>
      <c r="W77" s="22">
        <f t="shared" si="33"/>
        <v>2.9563014098699991E-2</v>
      </c>
      <c r="X77" s="199">
        <f t="shared" si="27"/>
        <v>2.7297583901951989E-2</v>
      </c>
      <c r="Y77" s="14">
        <f t="shared" si="28"/>
        <v>1.541253619775441</v>
      </c>
      <c r="Z77" s="199">
        <f t="shared" si="29"/>
        <v>2.7301791700000001E-2</v>
      </c>
      <c r="AA77" s="11">
        <f t="shared" si="30"/>
        <v>2.72933772E-2</v>
      </c>
      <c r="AB77" s="316">
        <f ca="1">IF(T77="","",IF($E$5="X",_xll.Spline(Curva!$T$3:$T$46,Curva!$G$3:$G$46,V77),_xll.Spline(Curva!$AF$3:$AF$46,Curva!$AG$3:$AG$46,V77)))</f>
        <v>7.563286799266318E-2</v>
      </c>
      <c r="AC77" s="22">
        <f t="shared" ca="1" si="31"/>
        <v>3.0717780848360111E-2</v>
      </c>
      <c r="AD77" s="210"/>
      <c r="AE77" s="302">
        <v>38336</v>
      </c>
      <c r="AF77" s="38">
        <f>WORKDAY(EDATE(AE77,1)-1,1,FERIADOS!$A$1:$A$830)</f>
        <v>38369</v>
      </c>
      <c r="AG77" s="303">
        <v>2398.92</v>
      </c>
      <c r="AH77" s="306">
        <v>0.86</v>
      </c>
    </row>
    <row r="78" spans="2:34" x14ac:dyDescent="0.2">
      <c r="B78" s="486">
        <f t="shared" si="22"/>
        <v>51363</v>
      </c>
      <c r="C78" s="484">
        <f>VLOOKUP(B78,'ANDIMANTN-B'!$C$6:$K$25,4,FALSE)/100</f>
        <v>0.05</v>
      </c>
      <c r="D78" s="414">
        <v>3361</v>
      </c>
      <c r="E78" s="415">
        <v>4.7762361611243698E-2</v>
      </c>
      <c r="F78" s="415">
        <v>0.10015047969180602</v>
      </c>
      <c r="G78" s="514">
        <v>47891</v>
      </c>
      <c r="H78" s="413">
        <v>43609.742729509489</v>
      </c>
      <c r="I78" s="621">
        <v>0.05</v>
      </c>
      <c r="J78" s="413">
        <v>3361</v>
      </c>
      <c r="K78" s="415" t="e">
        <v>#NAME?</v>
      </c>
      <c r="L78" s="516" t="e">
        <v>#NAME?</v>
      </c>
      <c r="M78" s="489">
        <f t="shared" si="23"/>
        <v>0</v>
      </c>
      <c r="N78" s="490" t="e">
        <f t="shared" si="24"/>
        <v>#NAME?</v>
      </c>
      <c r="O78" s="484">
        <f t="shared" si="25"/>
        <v>5.1475802355937406E-2</v>
      </c>
      <c r="P78" s="487">
        <v>2.3044882539735578E-7</v>
      </c>
      <c r="Q78" s="494">
        <f t="shared" si="26"/>
        <v>4.7658901223627925E-2</v>
      </c>
      <c r="R78" s="190"/>
      <c r="S78" s="190"/>
      <c r="T78" s="13">
        <f t="shared" si="32"/>
        <v>43419</v>
      </c>
      <c r="U78" s="13">
        <f>IF(T78="","",WORKDAY(T78-1,1,FERIADOS!$A$1:$A$840))</f>
        <v>43420</v>
      </c>
      <c r="V78" s="198">
        <f>IF(T78="",0,NETWORKDAYS($C$2,U78,FERIADOS!$A$1:$A$830)-1)</f>
        <v>286</v>
      </c>
      <c r="W78" s="22">
        <f t="shared" si="33"/>
        <v>2.9563014098699991E-2</v>
      </c>
      <c r="X78" s="199">
        <f t="shared" si="27"/>
        <v>2.7956166233497969E-2</v>
      </c>
      <c r="Y78" s="14">
        <f t="shared" si="28"/>
        <v>1.080387766610073</v>
      </c>
      <c r="Z78" s="199">
        <f t="shared" si="29"/>
        <v>2.7959186899999999E-2</v>
      </c>
      <c r="AA78" s="11">
        <f t="shared" si="30"/>
        <v>2.7953146200000001E-2</v>
      </c>
      <c r="AB78" s="316">
        <f ca="1">IF(T78="","",IF($E$5="X",_xll.Spline(Curva!$T$3:$T$46,Curva!$G$3:$G$46,V78),_xll.Spline(Curva!$AF$3:$AF$46,Curva!$AG$3:$AG$46,V78)))</f>
        <v>7.2525668919893385E-2</v>
      </c>
      <c r="AC78" s="22">
        <f t="shared" ca="1" si="31"/>
        <v>3.0268293378201649E-2</v>
      </c>
      <c r="AD78" s="210"/>
      <c r="AE78" s="302">
        <v>38367</v>
      </c>
      <c r="AF78" s="38">
        <f>WORKDAY(EDATE(AE78,1)-1,1,FERIADOS!$A$1:$A$830)</f>
        <v>38398</v>
      </c>
      <c r="AG78" s="303">
        <v>2412.83</v>
      </c>
      <c r="AH78" s="306">
        <v>0.57999999999999996</v>
      </c>
    </row>
    <row r="79" spans="2:34" x14ac:dyDescent="0.2">
      <c r="B79" s="486">
        <f t="shared" si="22"/>
        <v>53097</v>
      </c>
      <c r="C79" s="484">
        <f>VLOOKUP(B79,'ANDIMANTN-B'!$C$6:$K$25,4,FALSE)/100</f>
        <v>5.1050999999999999E-2</v>
      </c>
      <c r="D79" s="414">
        <v>3632</v>
      </c>
      <c r="E79" s="415">
        <v>4.684633035833774E-2</v>
      </c>
      <c r="F79" s="415">
        <v>0.10028888236946121</v>
      </c>
      <c r="G79" s="514">
        <v>48284</v>
      </c>
      <c r="H79" s="413">
        <v>47563.48971767386</v>
      </c>
      <c r="I79" s="621">
        <v>5.1050999999999999E-2</v>
      </c>
      <c r="J79" s="413">
        <v>3632</v>
      </c>
      <c r="K79" s="415" t="e">
        <v>#NAME?</v>
      </c>
      <c r="L79" s="516" t="e">
        <v>#NAME?</v>
      </c>
      <c r="M79" s="489">
        <f t="shared" si="23"/>
        <v>0</v>
      </c>
      <c r="N79" s="490" t="e">
        <f t="shared" si="24"/>
        <v>#NAME?</v>
      </c>
      <c r="O79" s="484">
        <f t="shared" si="25"/>
        <v>6.4173490708584247E-2</v>
      </c>
      <c r="P79" s="487">
        <v>5.0305956374174787E-7</v>
      </c>
      <c r="Q79" s="494">
        <f t="shared" si="26"/>
        <v>3.5551852550310237E-2</v>
      </c>
      <c r="R79" s="190"/>
      <c r="S79" s="190"/>
      <c r="T79" s="13">
        <f t="shared" si="32"/>
        <v>43235</v>
      </c>
      <c r="U79" s="13">
        <f>IF(T79="","",WORKDAY(T79-1,1,FERIADOS!$A$1:$A$840))</f>
        <v>43235</v>
      </c>
      <c r="V79" s="198">
        <f>IF(T79="",0,NETWORKDAYS($C$2,U79,FERIADOS!$A$1:$A$830)-1)</f>
        <v>158</v>
      </c>
      <c r="W79" s="22">
        <f t="shared" si="33"/>
        <v>2.9563014098699991E-2</v>
      </c>
      <c r="X79" s="199">
        <f t="shared" si="27"/>
        <v>2.8664224907277928E-2</v>
      </c>
      <c r="Y79" s="14">
        <f t="shared" si="28"/>
        <v>0.59685897858232462</v>
      </c>
      <c r="Z79" s="199">
        <f t="shared" si="29"/>
        <v>2.8665935900000002E-2</v>
      </c>
      <c r="AA79" s="11">
        <f t="shared" si="30"/>
        <v>2.8662514199999999E-2</v>
      </c>
      <c r="AB79" s="316">
        <f ca="1">IF(T79="","",IF($E$5="X",_xll.Spline(Curva!$T$3:$T$46,Curva!$G$3:$G$46,V79),_xll.Spline(Curva!$AF$3:$AF$46,Curva!$AG$3:$AG$46,V79)))</f>
        <v>7.1835169788639075E-2</v>
      </c>
      <c r="AC79" s="22">
        <f t="shared" ca="1" si="31"/>
        <v>2.993849623573162E-2</v>
      </c>
      <c r="AD79" s="210"/>
      <c r="AE79" s="302">
        <v>38398</v>
      </c>
      <c r="AF79" s="38">
        <f>WORKDAY(EDATE(AE79,1)-1,1,FERIADOS!$A$1:$A$830)</f>
        <v>38426</v>
      </c>
      <c r="AG79" s="303">
        <v>2427.0700000000002</v>
      </c>
      <c r="AH79" s="306">
        <v>0.59</v>
      </c>
    </row>
    <row r="80" spans="2:34" x14ac:dyDescent="0.2">
      <c r="B80" s="486">
        <f t="shared" si="22"/>
        <v>55015</v>
      </c>
      <c r="C80" s="484">
        <f>VLOOKUP(B80,'ANDIMANTN-B'!$C$6:$K$25,4,FALSE)/100</f>
        <v>5.0824999999999995E-2</v>
      </c>
      <c r="D80" s="414">
        <v>3982</v>
      </c>
      <c r="E80" s="415">
        <v>4.7148408798195929E-2</v>
      </c>
      <c r="F80" s="415">
        <v>0.10036972667536403</v>
      </c>
      <c r="G80" s="514">
        <v>48792</v>
      </c>
      <c r="H80" s="413">
        <v>52120.67172511822</v>
      </c>
      <c r="I80" s="621">
        <v>5.0824999999999995E-2</v>
      </c>
      <c r="J80" s="413">
        <v>3982</v>
      </c>
      <c r="K80" s="415" t="e">
        <v>#NAME?</v>
      </c>
      <c r="L80" s="516" t="e">
        <v>#NAME?</v>
      </c>
      <c r="M80" s="489">
        <f t="shared" si="23"/>
        <v>0</v>
      </c>
      <c r="N80" s="490" t="e">
        <f t="shared" si="24"/>
        <v>#NAME?</v>
      </c>
      <c r="O80" s="484">
        <f t="shared" si="25"/>
        <v>4.8482632414267313E-2</v>
      </c>
      <c r="P80" s="487">
        <v>4.0196952556803556E-7</v>
      </c>
      <c r="Q80" s="494">
        <f t="shared" si="26"/>
        <v>5.0288270184524642E-2</v>
      </c>
      <c r="R80" s="205"/>
      <c r="S80" s="205"/>
      <c r="T80" s="13">
        <f t="shared" si="32"/>
        <v>43054</v>
      </c>
      <c r="U80" s="13">
        <f>IF(T80="","",WORKDAY(T80-1,1,FERIADOS!$A$1:$A$840))</f>
        <v>43055</v>
      </c>
      <c r="V80" s="198">
        <f>IF(T80="",0,NETWORKDAYS($C$2,U80,FERIADOS!$A$1:$A$830)-1)</f>
        <v>36</v>
      </c>
      <c r="W80" s="22">
        <f t="shared" si="33"/>
        <v>2.9563014098699991E-2</v>
      </c>
      <c r="X80" s="199">
        <f t="shared" si="27"/>
        <v>2.9355778860887853E-2</v>
      </c>
      <c r="Y80" s="14">
        <f t="shared" si="28"/>
        <v>0.13598685352296849</v>
      </c>
      <c r="Z80" s="199">
        <f t="shared" si="29"/>
        <v>2.9356178100000001E-2</v>
      </c>
      <c r="AA80" s="11">
        <f t="shared" si="30"/>
        <v>2.93553797E-2</v>
      </c>
      <c r="AB80" s="316">
        <f ca="1">IF(T80="","",IF($E$5="X",_xll.Spline(Curva!$T$3:$T$46,Curva!$G$3:$G$46,V80),_xll.Spline(Curva!$AF$3:$AF$46,Curva!$AG$3:$AG$46,V80)))</f>
        <v>7.9165188929705074E-2</v>
      </c>
      <c r="AC80" s="22">
        <f t="shared" ca="1" si="31"/>
        <v>2.9677031268365385E-2</v>
      </c>
      <c r="AD80" s="210"/>
      <c r="AE80" s="302">
        <v>38426</v>
      </c>
      <c r="AF80" s="38">
        <f>WORKDAY(EDATE(AE80,1)-1,1,FERIADOS!$A$1:$A$830)</f>
        <v>38457</v>
      </c>
      <c r="AG80" s="303">
        <v>2441.87</v>
      </c>
      <c r="AH80" s="306">
        <v>0.61</v>
      </c>
    </row>
    <row r="81" spans="1:34" x14ac:dyDescent="0.2">
      <c r="B81" s="486">
        <f t="shared" si="22"/>
        <v>56749</v>
      </c>
      <c r="C81" s="484">
        <f>VLOOKUP(B81,'ANDIMANTN-B'!$C$6:$K$25,4,FALSE)/100</f>
        <v>5.0475000000000006E-2</v>
      </c>
      <c r="D81" s="414">
        <v>4156</v>
      </c>
      <c r="E81" s="415">
        <v>4.7530851786554251E-2</v>
      </c>
      <c r="F81" s="415">
        <v>0.10040497153048067</v>
      </c>
      <c r="G81" s="514">
        <v>49045</v>
      </c>
      <c r="H81" s="413">
        <v>55779.785392575344</v>
      </c>
      <c r="I81" s="621">
        <v>5.0475000000000006E-2</v>
      </c>
      <c r="J81" s="413">
        <v>4156</v>
      </c>
      <c r="K81" s="415" t="e">
        <v>#NAME?</v>
      </c>
      <c r="L81" s="516" t="e">
        <v>#NAME?</v>
      </c>
      <c r="M81" s="489">
        <f t="shared" si="23"/>
        <v>0</v>
      </c>
      <c r="N81" s="490" t="e">
        <f t="shared" si="24"/>
        <v>#NAME?</v>
      </c>
      <c r="O81" s="484">
        <f t="shared" si="25"/>
        <v>4.2497013209020773E-2</v>
      </c>
      <c r="P81" s="487">
        <v>3.0078600569971581E-7</v>
      </c>
      <c r="Q81" s="494">
        <f t="shared" si="26"/>
        <v>5.632135796761939E-2</v>
      </c>
      <c r="R81" s="339"/>
      <c r="S81" s="339"/>
      <c r="T81" s="13" t="str">
        <f t="shared" si="32"/>
        <v/>
      </c>
      <c r="U81" s="13" t="str">
        <f>IF(T81="","",WORKDAY(T81-1,1,FERIADOS!$A$1:$A$840))</f>
        <v/>
      </c>
      <c r="V81" s="198">
        <f>IF(T81="",0,NETWORKDAYS($C$2,U81,FERIADOS!$A$1:$A$830)-1)</f>
        <v>0</v>
      </c>
      <c r="W81" s="22" t="str">
        <f t="shared" si="33"/>
        <v/>
      </c>
      <c r="X81" s="199">
        <f t="shared" si="27"/>
        <v>0</v>
      </c>
      <c r="Y81" s="14" t="str">
        <f t="shared" si="28"/>
        <v/>
      </c>
      <c r="Z81" s="199" t="str">
        <f t="shared" si="29"/>
        <v/>
      </c>
      <c r="AA81" s="11" t="str">
        <f t="shared" si="30"/>
        <v/>
      </c>
      <c r="AB81" s="316" t="str">
        <f>IF(T81="","",IF($E$5="X",_xll.Spline(Curva!$T$3:$T$46,Curva!$G$3:$G$46,V81),_xll.Spline(Curva!$AF$3:$AF$46,Curva!$AG$3:$AG$46,V81)))</f>
        <v/>
      </c>
      <c r="AC81" s="22">
        <f t="shared" si="31"/>
        <v>0</v>
      </c>
      <c r="AD81" s="210"/>
      <c r="AE81" s="302">
        <v>38457</v>
      </c>
      <c r="AF81" s="38">
        <f>WORKDAY(EDATE(AE81,1)-1,1,FERIADOS!$A$1:$A$830)</f>
        <v>38488</v>
      </c>
      <c r="AG81" s="303">
        <v>2463.11</v>
      </c>
      <c r="AH81" s="306">
        <v>0.87</v>
      </c>
    </row>
    <row r="82" spans="1:34" x14ac:dyDescent="0.2">
      <c r="B82" s="486">
        <f t="shared" si="22"/>
        <v>56749</v>
      </c>
      <c r="C82" s="484">
        <f>VLOOKUP(B82,'ANDIMANTN-B'!$C$6:$K$25,4,FALSE)/100</f>
        <v>5.0475000000000006E-2</v>
      </c>
      <c r="D82" s="414">
        <v>4156</v>
      </c>
      <c r="E82" s="415">
        <v>4.7530851786554251E-2</v>
      </c>
      <c r="F82" s="415">
        <v>0.10040497153048067</v>
      </c>
      <c r="G82" s="514">
        <v>49045</v>
      </c>
      <c r="H82" s="413">
        <v>55779.785392575344</v>
      </c>
      <c r="I82" s="621">
        <v>5.0475000000000006E-2</v>
      </c>
      <c r="J82" s="413">
        <v>4156</v>
      </c>
      <c r="K82" s="415" t="e">
        <v>#NAME?</v>
      </c>
      <c r="L82" s="516" t="e">
        <v>#NAME?</v>
      </c>
      <c r="M82" s="489">
        <f t="shared" ref="M82" si="34">C82-I82</f>
        <v>0</v>
      </c>
      <c r="N82" s="490" t="e">
        <f t="shared" si="24"/>
        <v>#NAME?</v>
      </c>
      <c r="O82" s="484" t="e">
        <f t="shared" ref="O82:O83" si="35">(((1+C82)^(D82/252))/((1+C81)^(D81/252)))^(252/(D82-D81))-1</f>
        <v>#DIV/0!</v>
      </c>
      <c r="P82" s="487">
        <v>3.0078600569971581E-7</v>
      </c>
      <c r="Q82" s="494" t="e">
        <f t="shared" ref="Q82:Q83" si="36">(((1+E82)^(D82/252))/((1+E81)^(D81/252)))^(252/(D82-D81))-1</f>
        <v>#DIV/0!</v>
      </c>
      <c r="R82" s="188"/>
      <c r="S82" s="188"/>
      <c r="T82" s="13" t="str">
        <f t="shared" si="32"/>
        <v/>
      </c>
      <c r="U82" s="13" t="str">
        <f>IF(T82="","",WORKDAY(T82-1,1,FERIADOS!$A$1:$A$840))</f>
        <v/>
      </c>
      <c r="V82" s="198">
        <f>IF(T82="",0,NETWORKDAYS($C$2,U82,FERIADOS!$A$1:$A$830)-1)</f>
        <v>0</v>
      </c>
      <c r="W82" s="22" t="str">
        <f t="shared" si="33"/>
        <v/>
      </c>
      <c r="X82" s="199">
        <f t="shared" si="27"/>
        <v>0</v>
      </c>
      <c r="Y82" s="14" t="str">
        <f t="shared" si="28"/>
        <v/>
      </c>
      <c r="Z82" s="199" t="str">
        <f t="shared" si="29"/>
        <v/>
      </c>
      <c r="AA82" s="11" t="str">
        <f t="shared" si="30"/>
        <v/>
      </c>
      <c r="AB82" s="316" t="str">
        <f>IF(T82="","",IF($E$5="X",_xll.Spline(Curva!$T$3:$T$46,Curva!$G$3:$G$46,V82),_xll.Spline(Curva!$AF$3:$AF$46,Curva!$AG$3:$AG$46,V82)))</f>
        <v/>
      </c>
      <c r="AC82" s="22">
        <f t="shared" si="31"/>
        <v>0</v>
      </c>
      <c r="AD82" s="210"/>
      <c r="AE82" s="302">
        <v>38487</v>
      </c>
      <c r="AF82" s="38">
        <f>WORKDAY(EDATE(AE82,1)-1,1,FERIADOS!$A$1:$A$830)</f>
        <v>38518</v>
      </c>
      <c r="AG82" s="303">
        <v>2475.1799999999998</v>
      </c>
      <c r="AH82" s="306">
        <v>0.49</v>
      </c>
    </row>
    <row r="83" spans="1:34" x14ac:dyDescent="0.2">
      <c r="B83" s="486">
        <f t="shared" si="22"/>
        <v>56749</v>
      </c>
      <c r="C83" s="484">
        <f>VLOOKUP(B83,'ANDIMANTN-B'!$C$6:$K$25,4,FALSE)/100</f>
        <v>5.0475000000000006E-2</v>
      </c>
      <c r="D83" s="414">
        <v>4156</v>
      </c>
      <c r="E83" s="415">
        <v>4.7530851786554251E-2</v>
      </c>
      <c r="F83" s="415">
        <v>0.10040497153048067</v>
      </c>
      <c r="G83" s="514">
        <v>49045</v>
      </c>
      <c r="H83" s="413">
        <v>55779.785392575344</v>
      </c>
      <c r="I83" s="621">
        <v>5.0475000000000006E-2</v>
      </c>
      <c r="J83" s="413">
        <v>4156</v>
      </c>
      <c r="K83" s="415" t="e">
        <v>#NAME?</v>
      </c>
      <c r="L83" s="516" t="e">
        <v>#NAME?</v>
      </c>
      <c r="M83" s="489">
        <f t="shared" ref="M83" si="37">C83-I83</f>
        <v>0</v>
      </c>
      <c r="N83" s="490" t="e">
        <f t="shared" ref="N83" si="38">E83-K83</f>
        <v>#NAME?</v>
      </c>
      <c r="O83" s="484" t="e">
        <f t="shared" si="35"/>
        <v>#DIV/0!</v>
      </c>
      <c r="P83" s="487">
        <v>3.0078600569971581E-7</v>
      </c>
      <c r="Q83" s="494" t="e">
        <f t="shared" si="36"/>
        <v>#DIV/0!</v>
      </c>
      <c r="R83" s="340"/>
      <c r="S83" s="340"/>
      <c r="T83" s="13" t="str">
        <f t="shared" si="32"/>
        <v/>
      </c>
      <c r="U83" s="13" t="str">
        <f>IF(T83="","",WORKDAY(T83-1,1,FERIADOS!$A$1:$A$840))</f>
        <v/>
      </c>
      <c r="V83" s="198">
        <f>IF(T83="",0,NETWORKDAYS($C$2,U83,FERIADOS!$A$1:$A$830)-1)</f>
        <v>0</v>
      </c>
      <c r="W83" s="22" t="str">
        <f t="shared" si="33"/>
        <v/>
      </c>
      <c r="X83" s="199">
        <f t="shared" si="27"/>
        <v>0</v>
      </c>
      <c r="Y83" s="14" t="str">
        <f t="shared" si="28"/>
        <v/>
      </c>
      <c r="Z83" s="199" t="str">
        <f t="shared" si="29"/>
        <v/>
      </c>
      <c r="AA83" s="11" t="str">
        <f t="shared" si="30"/>
        <v/>
      </c>
      <c r="AB83" s="316" t="str">
        <f>IF(T83="","",IF($E$5="X",_xll.Spline(Curva!$T$3:$T$46,Curva!$G$3:$G$46,V83),_xll.Spline(Curva!$AF$3:$AF$46,Curva!$AG$3:$AG$46,V83)))</f>
        <v/>
      </c>
      <c r="AC83" s="22">
        <f t="shared" si="31"/>
        <v>0</v>
      </c>
      <c r="AD83" s="210"/>
      <c r="AE83" s="302">
        <v>38518</v>
      </c>
      <c r="AF83" s="38">
        <f>WORKDAY(EDATE(AE83,1)-1,1,FERIADOS!$A$1:$A$830)</f>
        <v>38548</v>
      </c>
      <c r="AG83" s="303">
        <v>2474.6799999999998</v>
      </c>
      <c r="AH83" s="306">
        <v>-0.02</v>
      </c>
    </row>
    <row r="84" spans="1:34" x14ac:dyDescent="0.2">
      <c r="A84" s="188"/>
      <c r="O84" s="188"/>
      <c r="P84" s="188"/>
      <c r="Q84" s="188"/>
      <c r="R84" s="188"/>
      <c r="S84" s="188"/>
      <c r="T84" s="13" t="str">
        <f t="shared" si="32"/>
        <v/>
      </c>
      <c r="U84" s="13" t="str">
        <f>IF(T84="","",WORKDAY(T84-1,1,FERIADOS!$A$1:$A$840))</f>
        <v/>
      </c>
      <c r="V84" s="198">
        <f>IF(T84="",0,NETWORKDAYS($C$2,U84,FERIADOS!$A$1:$A$830)-1)</f>
        <v>0</v>
      </c>
      <c r="W84" s="22" t="str">
        <f t="shared" si="33"/>
        <v/>
      </c>
      <c r="X84" s="199">
        <f t="shared" si="27"/>
        <v>0</v>
      </c>
      <c r="Y84" s="14" t="str">
        <f t="shared" si="28"/>
        <v/>
      </c>
      <c r="Z84" s="199" t="str">
        <f t="shared" si="29"/>
        <v/>
      </c>
      <c r="AA84" s="11" t="str">
        <f t="shared" si="30"/>
        <v/>
      </c>
      <c r="AB84" s="316" t="str">
        <f>IF(T84="","",IF($E$5="X",_xll.Spline(Curva!$T$3:$T$46,Curva!$G$3:$G$46,V84),_xll.Spline(Curva!$AF$3:$AF$46,Curva!$AG$3:$AG$46,V84)))</f>
        <v/>
      </c>
      <c r="AC84" s="22">
        <f t="shared" si="31"/>
        <v>0</v>
      </c>
      <c r="AD84" s="210"/>
      <c r="AE84" s="302">
        <v>38548</v>
      </c>
      <c r="AF84" s="38">
        <f>WORKDAY(EDATE(AE84,1)-1,1,FERIADOS!$A$1:$A$830)</f>
        <v>38579</v>
      </c>
      <c r="AG84" s="303">
        <v>2480.87</v>
      </c>
      <c r="AH84" s="306">
        <v>0.25</v>
      </c>
    </row>
    <row r="85" spans="1:34" x14ac:dyDescent="0.2">
      <c r="A85" s="188"/>
      <c r="O85" s="216"/>
      <c r="P85" s="216"/>
      <c r="Q85" s="216"/>
      <c r="R85" s="216"/>
      <c r="S85" s="216"/>
      <c r="T85" s="13" t="str">
        <f t="shared" si="32"/>
        <v/>
      </c>
      <c r="U85" s="13" t="str">
        <f>IF(T85="","",WORKDAY(T85-1,1,FERIADOS!$A$1:$A$840))</f>
        <v/>
      </c>
      <c r="V85" s="198">
        <f>IF(T85="",0,NETWORKDAYS($C$2,U85,FERIADOS!$A$1:$A$830)-1)</f>
        <v>0</v>
      </c>
      <c r="W85" s="22" t="str">
        <f t="shared" si="33"/>
        <v/>
      </c>
      <c r="X85" s="199">
        <f t="shared" si="27"/>
        <v>0</v>
      </c>
      <c r="Y85" s="14" t="str">
        <f t="shared" si="28"/>
        <v/>
      </c>
      <c r="Z85" s="199" t="str">
        <f t="shared" si="29"/>
        <v/>
      </c>
      <c r="AA85" s="11" t="str">
        <f t="shared" si="30"/>
        <v/>
      </c>
      <c r="AB85" s="316" t="str">
        <f>IF(T85="","",IF($E$5="X",_xll.Spline(Curva!$T$3:$T$46,Curva!$G$3:$G$46,V85),_xll.Spline(Curva!$AF$3:$AF$46,Curva!$AG$3:$AG$46,V85)))</f>
        <v/>
      </c>
      <c r="AC85" s="22">
        <f t="shared" si="31"/>
        <v>0</v>
      </c>
      <c r="AD85" s="210"/>
      <c r="AE85" s="302">
        <v>38579</v>
      </c>
      <c r="AF85" s="38">
        <f>WORKDAY(EDATE(AE85,1)-1,1,FERIADOS!$A$1:$A$830)</f>
        <v>38610</v>
      </c>
      <c r="AG85" s="303">
        <v>2485.09</v>
      </c>
      <c r="AH85" s="306">
        <v>0.17</v>
      </c>
    </row>
    <row r="86" spans="1:34" x14ac:dyDescent="0.2">
      <c r="A86" s="220"/>
      <c r="O86" s="188"/>
      <c r="P86" s="188"/>
      <c r="Q86" s="188"/>
      <c r="R86" s="188"/>
      <c r="S86" s="188"/>
      <c r="T86" s="13" t="str">
        <f t="shared" si="32"/>
        <v/>
      </c>
      <c r="U86" s="13" t="str">
        <f>IF(T86="","",WORKDAY(T86-1,1,FERIADOS!$A$1:$A$840))</f>
        <v/>
      </c>
      <c r="V86" s="198">
        <f>IF(T86="",0,NETWORKDAYS($C$2,U86,FERIADOS!$A$1:$A$830)-1)</f>
        <v>0</v>
      </c>
      <c r="W86" s="22" t="str">
        <f t="shared" si="33"/>
        <v/>
      </c>
      <c r="X86" s="199">
        <f t="shared" si="27"/>
        <v>0</v>
      </c>
      <c r="Y86" s="14" t="str">
        <f t="shared" si="28"/>
        <v/>
      </c>
      <c r="Z86" s="199" t="str">
        <f t="shared" si="29"/>
        <v/>
      </c>
      <c r="AA86" s="11" t="str">
        <f t="shared" si="30"/>
        <v/>
      </c>
      <c r="AB86" s="316" t="str">
        <f>IF(T86="","",IF($E$5="X",_xll.Spline(Curva!$T$3:$T$46,Curva!$G$3:$G$46,V86),_xll.Spline(Curva!$AF$3:$AF$46,Curva!$AG$3:$AG$46,V86)))</f>
        <v/>
      </c>
      <c r="AC86" s="22">
        <f t="shared" si="31"/>
        <v>0</v>
      </c>
      <c r="AD86" s="210"/>
      <c r="AE86" s="302">
        <v>38610</v>
      </c>
      <c r="AF86" s="38">
        <f>WORKDAY(EDATE(AE86,1)-1,1,FERIADOS!$A$1:$A$830)</f>
        <v>38642</v>
      </c>
      <c r="AG86" s="303">
        <v>2493.79</v>
      </c>
      <c r="AH86" s="306">
        <v>0.35</v>
      </c>
    </row>
    <row r="87" spans="1:34" x14ac:dyDescent="0.2">
      <c r="A87" s="235"/>
      <c r="O87" s="240"/>
      <c r="P87" s="240"/>
      <c r="Q87" s="240"/>
      <c r="R87" s="240"/>
      <c r="S87" s="240"/>
      <c r="T87" s="13" t="str">
        <f t="shared" si="32"/>
        <v/>
      </c>
      <c r="U87" s="13" t="str">
        <f>IF(T87="","",WORKDAY(T87-1,1,FERIADOS!$A$1:$A$840))</f>
        <v/>
      </c>
      <c r="V87" s="198">
        <f>IF(T87="",0,NETWORKDAYS($C$2,U87,FERIADOS!$A$1:$A$830)-1)</f>
        <v>0</v>
      </c>
      <c r="W87" s="22" t="str">
        <f t="shared" si="33"/>
        <v/>
      </c>
      <c r="X87" s="199">
        <f t="shared" si="27"/>
        <v>0</v>
      </c>
      <c r="Y87" s="14" t="str">
        <f t="shared" si="28"/>
        <v/>
      </c>
      <c r="Z87" s="199" t="str">
        <f t="shared" si="29"/>
        <v/>
      </c>
      <c r="AA87" s="11" t="str">
        <f t="shared" si="30"/>
        <v/>
      </c>
      <c r="AB87" s="316" t="str">
        <f>IF(T87="","",IF($E$5="X",_xll.Spline(Curva!$T$3:$T$46,Curva!$G$3:$G$46,V87),_xll.Spline(Curva!$AF$3:$AF$46,Curva!$AG$3:$AG$46,V87)))</f>
        <v/>
      </c>
      <c r="AC87" s="22">
        <f t="shared" si="31"/>
        <v>0</v>
      </c>
      <c r="AD87" s="210"/>
      <c r="AE87" s="302">
        <v>38640</v>
      </c>
      <c r="AF87" s="38">
        <f>WORKDAY(EDATE(AE87,1)-1,1,FERIADOS!$A$1:$A$830)</f>
        <v>38672</v>
      </c>
      <c r="AG87" s="303">
        <v>2512.4899999999998</v>
      </c>
      <c r="AH87" s="306">
        <v>0.75</v>
      </c>
    </row>
    <row r="88" spans="1:34" x14ac:dyDescent="0.2">
      <c r="A88" s="235"/>
      <c r="O88" s="240"/>
      <c r="P88" s="240"/>
      <c r="Q88" s="240"/>
      <c r="R88" s="240"/>
      <c r="S88" s="240"/>
      <c r="T88" s="13"/>
      <c r="U88" s="13"/>
      <c r="V88" s="198"/>
      <c r="W88" s="22"/>
      <c r="X88" s="199"/>
      <c r="Y88" s="14"/>
      <c r="Z88" s="199"/>
      <c r="AA88" s="11"/>
      <c r="AB88" s="317"/>
      <c r="AC88" s="221"/>
      <c r="AE88" s="302">
        <v>38671</v>
      </c>
      <c r="AF88" s="38">
        <f>WORKDAY(EDATE(AE88,1)-1,1,FERIADOS!$A$1:$A$830)</f>
        <v>38701</v>
      </c>
      <c r="AG88" s="303">
        <v>2526.31</v>
      </c>
      <c r="AH88" s="306">
        <v>0.55000000000000004</v>
      </c>
    </row>
    <row r="89" spans="1:34" x14ac:dyDescent="0.2">
      <c r="A89" s="235"/>
      <c r="B89" s="236"/>
      <c r="C89" s="237"/>
      <c r="D89" s="238"/>
      <c r="E89" s="239"/>
      <c r="F89" s="341"/>
      <c r="G89" s="240"/>
      <c r="H89" s="240"/>
      <c r="I89" s="240"/>
      <c r="M89" s="240"/>
      <c r="N89" s="240"/>
      <c r="O89" s="240"/>
      <c r="P89" s="240"/>
      <c r="Q89" s="240"/>
      <c r="R89" s="240"/>
      <c r="S89" s="240"/>
      <c r="T89" s="13"/>
      <c r="U89" s="13"/>
      <c r="V89" s="198"/>
      <c r="W89" s="22"/>
      <c r="X89" s="199"/>
      <c r="Y89" s="14"/>
      <c r="Z89" s="199"/>
      <c r="AA89" s="11"/>
      <c r="AB89" s="317"/>
      <c r="AC89" s="221"/>
      <c r="AE89" s="302">
        <v>38701</v>
      </c>
      <c r="AF89" s="38">
        <f>WORKDAY(EDATE(AE89,1)-1,1,FERIADOS!$A$1:$A$830)</f>
        <v>38733</v>
      </c>
      <c r="AG89" s="303">
        <v>2535.4</v>
      </c>
      <c r="AH89" s="306">
        <v>0.36</v>
      </c>
    </row>
    <row r="90" spans="1:34" x14ac:dyDescent="0.2">
      <c r="A90" s="235"/>
      <c r="B90" s="236"/>
      <c r="C90" s="237"/>
      <c r="D90" s="238"/>
      <c r="E90" s="239"/>
      <c r="F90" s="341"/>
      <c r="G90" s="240"/>
      <c r="H90" s="240"/>
      <c r="I90" s="240"/>
      <c r="M90" s="240"/>
      <c r="N90" s="240"/>
      <c r="O90" s="240"/>
      <c r="P90" s="240"/>
      <c r="Q90" s="240"/>
      <c r="R90" s="240"/>
      <c r="S90" s="240"/>
      <c r="T90" s="13"/>
      <c r="U90" s="13"/>
      <c r="V90" s="198"/>
      <c r="W90" s="22"/>
      <c r="X90" s="199"/>
      <c r="Y90" s="14"/>
      <c r="Z90" s="199"/>
      <c r="AA90" s="11"/>
      <c r="AB90" s="317"/>
      <c r="AC90" s="221"/>
      <c r="AE90" s="302">
        <v>38732</v>
      </c>
      <c r="AF90" s="38">
        <f>WORKDAY(EDATE(AE90,1)-1,1,FERIADOS!$A$1:$A$830)</f>
        <v>38763</v>
      </c>
      <c r="AG90" s="303">
        <v>2550.36</v>
      </c>
      <c r="AH90" s="306">
        <v>0.59</v>
      </c>
    </row>
    <row r="91" spans="1:34" x14ac:dyDescent="0.2">
      <c r="A91" s="235"/>
      <c r="B91" s="236"/>
      <c r="C91" s="237"/>
      <c r="D91" s="238"/>
      <c r="E91" s="239"/>
      <c r="F91" s="341"/>
      <c r="G91" s="240"/>
      <c r="H91" s="240"/>
      <c r="I91" s="240"/>
      <c r="M91" s="240"/>
      <c r="N91" s="240"/>
      <c r="O91" s="240"/>
      <c r="P91" s="240"/>
      <c r="Q91" s="240"/>
      <c r="R91" s="240"/>
      <c r="S91" s="240"/>
      <c r="T91" s="13"/>
      <c r="U91" s="13"/>
      <c r="V91" s="198"/>
      <c r="W91" s="22"/>
      <c r="X91" s="199"/>
      <c r="Y91" s="14"/>
      <c r="Z91" s="199"/>
      <c r="AA91" s="11"/>
      <c r="AB91" s="317"/>
      <c r="AC91" s="221"/>
      <c r="AE91" s="302">
        <v>38763</v>
      </c>
      <c r="AF91" s="38">
        <f>WORKDAY(EDATE(AE91,1)-1,1,FERIADOS!$A$1:$A$830)</f>
        <v>38791</v>
      </c>
      <c r="AG91" s="303">
        <v>2560.8200000000002</v>
      </c>
      <c r="AH91" s="306">
        <v>0.41</v>
      </c>
    </row>
    <row r="92" spans="1:34" x14ac:dyDescent="0.2">
      <c r="A92" s="235"/>
      <c r="B92" s="236"/>
      <c r="C92" s="237"/>
      <c r="D92" s="238"/>
      <c r="E92" s="239"/>
      <c r="F92" s="341"/>
      <c r="G92" s="240"/>
      <c r="H92" s="240"/>
      <c r="I92" s="240"/>
      <c r="J92" s="240"/>
      <c r="K92" s="240"/>
      <c r="L92" s="240"/>
      <c r="M92" s="240"/>
      <c r="N92" s="240"/>
      <c r="O92" s="240"/>
      <c r="P92" s="240"/>
      <c r="Q92" s="240"/>
      <c r="R92" s="240"/>
      <c r="S92" s="240"/>
      <c r="T92" s="13"/>
      <c r="U92" s="13"/>
      <c r="V92" s="198"/>
      <c r="W92" s="22"/>
      <c r="X92" s="199"/>
      <c r="Y92" s="14"/>
      <c r="Z92" s="199"/>
      <c r="AA92" s="11"/>
      <c r="AB92" s="317"/>
      <c r="AC92" s="221"/>
      <c r="AE92" s="302">
        <v>38791</v>
      </c>
      <c r="AF92" s="38">
        <f>WORKDAY(EDATE(AE92,1)-1,1,FERIADOS!$A$1:$A$830)</f>
        <v>38824</v>
      </c>
      <c r="AG92" s="303">
        <v>2571.83</v>
      </c>
      <c r="AH92" s="306">
        <v>0.43</v>
      </c>
    </row>
    <row r="93" spans="1:34" x14ac:dyDescent="0.2">
      <c r="A93" s="235"/>
      <c r="B93" s="236"/>
      <c r="C93" s="237"/>
      <c r="D93" s="238"/>
      <c r="E93" s="239"/>
      <c r="F93" s="341"/>
      <c r="G93" s="240"/>
      <c r="K93" s="240"/>
      <c r="L93" s="240"/>
      <c r="M93" s="240"/>
      <c r="N93" s="240"/>
      <c r="O93" s="240"/>
      <c r="P93" s="240"/>
      <c r="Q93" s="240"/>
      <c r="R93" s="240"/>
      <c r="S93" s="240"/>
      <c r="T93" s="13"/>
      <c r="U93" s="13"/>
      <c r="V93" s="198"/>
      <c r="W93" s="22"/>
      <c r="X93" s="199"/>
      <c r="Y93" s="14"/>
      <c r="Z93" s="199"/>
      <c r="AA93" s="11"/>
      <c r="AB93" s="317"/>
      <c r="AC93" s="221"/>
      <c r="AE93" s="302">
        <v>38822</v>
      </c>
      <c r="AF93" s="38">
        <f>WORKDAY(EDATE(AE93,1)-1,1,FERIADOS!$A$1:$A$830)</f>
        <v>38852</v>
      </c>
      <c r="AG93" s="303">
        <v>2577.23</v>
      </c>
      <c r="AH93" s="306">
        <v>0.21</v>
      </c>
    </row>
    <row r="94" spans="1:34" x14ac:dyDescent="0.2">
      <c r="A94" s="235"/>
      <c r="B94" s="236"/>
      <c r="C94" s="237"/>
      <c r="D94" s="238"/>
      <c r="E94" s="239"/>
      <c r="F94" s="341"/>
      <c r="G94" s="240"/>
      <c r="K94" s="240"/>
      <c r="L94" s="240"/>
      <c r="M94" s="240"/>
      <c r="N94" s="240"/>
      <c r="O94" s="240"/>
      <c r="P94" s="240"/>
      <c r="Q94" s="240"/>
      <c r="R94" s="240"/>
      <c r="S94" s="240"/>
      <c r="T94" s="13"/>
      <c r="U94" s="13"/>
      <c r="V94" s="198"/>
      <c r="W94" s="22"/>
      <c r="X94" s="199"/>
      <c r="Y94" s="14"/>
      <c r="Z94" s="199"/>
      <c r="AA94" s="11"/>
      <c r="AB94" s="317"/>
      <c r="AC94" s="221"/>
      <c r="AE94" s="302">
        <v>38852</v>
      </c>
      <c r="AF94" s="38">
        <f>WORKDAY(EDATE(AE94,1)-1,1,FERIADOS!$A$1:$A$830)</f>
        <v>38884</v>
      </c>
      <c r="AG94" s="303">
        <v>2579.81</v>
      </c>
      <c r="AH94" s="306">
        <v>0.1</v>
      </c>
    </row>
    <row r="95" spans="1:34" x14ac:dyDescent="0.2">
      <c r="A95" s="235"/>
      <c r="B95" s="236"/>
      <c r="C95" s="237"/>
      <c r="D95" s="238"/>
      <c r="E95" s="239"/>
      <c r="F95" s="341"/>
      <c r="G95" s="240"/>
      <c r="K95" s="240"/>
      <c r="L95" s="240"/>
      <c r="M95" s="240"/>
      <c r="N95" s="240"/>
      <c r="O95" s="240"/>
      <c r="P95" s="240"/>
      <c r="Q95" s="240"/>
      <c r="R95" s="240"/>
      <c r="S95" s="240"/>
      <c r="T95" s="13"/>
      <c r="U95" s="13"/>
      <c r="V95" s="198"/>
      <c r="W95" s="22"/>
      <c r="X95" s="199"/>
      <c r="Y95" s="14"/>
      <c r="Z95" s="199"/>
      <c r="AA95" s="11"/>
      <c r="AB95" s="317"/>
      <c r="AC95" s="221"/>
      <c r="AE95" s="302">
        <v>38883</v>
      </c>
      <c r="AF95" s="38">
        <f>WORKDAY(EDATE(AE95,1)-1,1,FERIADOS!$A$1:$A$830)</f>
        <v>38915</v>
      </c>
      <c r="AG95" s="303">
        <v>2574.39</v>
      </c>
      <c r="AH95" s="306">
        <v>-0.21</v>
      </c>
    </row>
    <row r="96" spans="1:34" x14ac:dyDescent="0.2">
      <c r="A96" s="235"/>
      <c r="B96" s="236"/>
      <c r="C96" s="237"/>
      <c r="D96" s="238"/>
      <c r="E96" s="239"/>
      <c r="F96" s="341"/>
      <c r="K96" s="240"/>
      <c r="L96" s="240"/>
      <c r="M96" s="240"/>
      <c r="N96" s="240"/>
      <c r="O96" s="240"/>
      <c r="P96" s="240"/>
      <c r="Q96" s="240"/>
      <c r="R96" s="240"/>
      <c r="S96" s="240"/>
      <c r="T96" s="13"/>
      <c r="U96" s="13"/>
      <c r="V96" s="198"/>
      <c r="W96" s="22"/>
      <c r="X96" s="199"/>
      <c r="Y96" s="14"/>
      <c r="Z96" s="199"/>
      <c r="AA96" s="11"/>
      <c r="AB96" s="317"/>
      <c r="AC96" s="221"/>
      <c r="AE96" s="302">
        <v>38913</v>
      </c>
      <c r="AF96" s="38">
        <f>WORKDAY(EDATE(AE96,1)-1,1,FERIADOS!$A$1:$A$830)</f>
        <v>38944</v>
      </c>
      <c r="AG96" s="303">
        <v>2579.2800000000002</v>
      </c>
      <c r="AH96" s="306">
        <v>0.19</v>
      </c>
    </row>
    <row r="97" spans="1:34" x14ac:dyDescent="0.2">
      <c r="A97" s="235"/>
      <c r="B97" s="236"/>
      <c r="C97" s="237"/>
      <c r="D97" s="238"/>
      <c r="E97" s="239"/>
      <c r="F97" s="341"/>
      <c r="K97" s="240"/>
      <c r="L97" s="240"/>
      <c r="M97" s="240"/>
      <c r="N97" s="240"/>
      <c r="O97" s="240"/>
      <c r="P97" s="240"/>
      <c r="Q97" s="240"/>
      <c r="R97" s="240"/>
      <c r="S97" s="240"/>
      <c r="T97" s="13"/>
      <c r="U97" s="13"/>
      <c r="V97" s="198"/>
      <c r="W97" s="22"/>
      <c r="X97" s="199"/>
      <c r="Y97" s="14"/>
      <c r="Z97" s="199"/>
      <c r="AA97" s="11"/>
      <c r="AB97" s="317"/>
      <c r="AC97" s="221"/>
      <c r="AE97" s="302">
        <v>38944</v>
      </c>
      <c r="AF97" s="38">
        <f>WORKDAY(EDATE(AE97,1)-1,1,FERIADOS!$A$1:$A$830)</f>
        <v>38975</v>
      </c>
      <c r="AG97" s="303">
        <v>2580.5700000000002</v>
      </c>
      <c r="AH97" s="306">
        <v>0.05</v>
      </c>
    </row>
    <row r="98" spans="1:34" x14ac:dyDescent="0.2">
      <c r="A98" s="235"/>
      <c r="B98" s="236"/>
      <c r="C98" s="237"/>
      <c r="D98" s="238"/>
      <c r="E98" s="239"/>
      <c r="F98" s="341"/>
      <c r="K98" s="240"/>
      <c r="L98" s="240"/>
      <c r="M98" s="240"/>
      <c r="N98" s="240"/>
      <c r="O98" s="240"/>
      <c r="P98" s="240"/>
      <c r="Q98" s="240"/>
      <c r="R98" s="240"/>
      <c r="S98" s="240"/>
      <c r="T98" s="13"/>
      <c r="U98" s="13"/>
      <c r="V98" s="198"/>
      <c r="W98" s="22"/>
      <c r="X98" s="199"/>
      <c r="Y98" s="14"/>
      <c r="Z98" s="199"/>
      <c r="AA98" s="11"/>
      <c r="AB98" s="317"/>
      <c r="AC98" s="221"/>
      <c r="AE98" s="302">
        <v>38975</v>
      </c>
      <c r="AF98" s="38">
        <f>WORKDAY(EDATE(AE98,1)-1,1,FERIADOS!$A$1:$A$830)</f>
        <v>39006</v>
      </c>
      <c r="AG98" s="303">
        <v>2585.9899999999998</v>
      </c>
      <c r="AH98" s="306">
        <v>0.21</v>
      </c>
    </row>
    <row r="99" spans="1:34" x14ac:dyDescent="0.2">
      <c r="A99" s="235"/>
      <c r="B99" s="236"/>
      <c r="C99" s="237"/>
      <c r="D99" s="238"/>
      <c r="E99" s="239"/>
      <c r="F99" s="341"/>
      <c r="K99" s="240"/>
      <c r="L99" s="240"/>
      <c r="M99" s="240"/>
      <c r="N99" s="240"/>
      <c r="O99" s="240"/>
      <c r="P99" s="240"/>
      <c r="Q99" s="240"/>
      <c r="R99" s="240"/>
      <c r="S99" s="240"/>
      <c r="T99" s="13"/>
      <c r="U99" s="13"/>
      <c r="V99" s="198"/>
      <c r="W99" s="22"/>
      <c r="X99" s="199"/>
      <c r="Y99" s="14"/>
      <c r="Z99" s="199"/>
      <c r="AA99" s="11"/>
      <c r="AB99" s="317"/>
      <c r="AC99" s="221"/>
      <c r="AE99" s="302">
        <v>39005</v>
      </c>
      <c r="AF99" s="38">
        <f>WORKDAY(EDATE(AE99,1)-1,1,FERIADOS!$A$1:$A$830)</f>
        <v>39037</v>
      </c>
      <c r="AG99" s="303">
        <v>2594.52</v>
      </c>
      <c r="AH99" s="306">
        <v>0.33</v>
      </c>
    </row>
    <row r="100" spans="1:34" x14ac:dyDescent="0.2">
      <c r="A100" s="235"/>
      <c r="B100" s="236"/>
      <c r="C100" s="237"/>
      <c r="D100" s="238"/>
      <c r="E100" s="239"/>
      <c r="F100" s="341"/>
      <c r="K100" s="240"/>
      <c r="L100" s="240"/>
      <c r="M100" s="240"/>
      <c r="N100" s="240"/>
      <c r="O100" s="240"/>
      <c r="P100" s="240"/>
      <c r="Q100" s="240"/>
      <c r="R100" s="240"/>
      <c r="S100" s="240"/>
      <c r="T100" s="13"/>
      <c r="U100" s="13"/>
      <c r="V100" s="198"/>
      <c r="W100" s="22"/>
      <c r="X100" s="199"/>
      <c r="Y100" s="14"/>
      <c r="Z100" s="199"/>
      <c r="AA100" s="11"/>
      <c r="AB100" s="317"/>
      <c r="AC100" s="221"/>
      <c r="AE100" s="302">
        <v>39036</v>
      </c>
      <c r="AF100" s="38">
        <f>WORKDAY(EDATE(AE100,1)-1,1,FERIADOS!$A$1:$A$830)</f>
        <v>39066</v>
      </c>
      <c r="AG100" s="303">
        <v>2602.56</v>
      </c>
      <c r="AH100" s="306">
        <v>0.31</v>
      </c>
    </row>
    <row r="101" spans="1:34" x14ac:dyDescent="0.2">
      <c r="A101" s="235"/>
      <c r="B101" s="236"/>
      <c r="C101" s="237"/>
      <c r="D101" s="238"/>
      <c r="E101" s="239"/>
      <c r="F101" s="341"/>
      <c r="K101" s="240"/>
      <c r="L101" s="240"/>
      <c r="M101" s="240"/>
      <c r="N101" s="240"/>
      <c r="O101" s="240"/>
      <c r="P101" s="240"/>
      <c r="Q101" s="240"/>
      <c r="R101" s="240"/>
      <c r="S101" s="240"/>
      <c r="T101" s="13"/>
      <c r="U101" s="13"/>
      <c r="V101" s="198"/>
      <c r="W101" s="22"/>
      <c r="X101" s="199"/>
      <c r="Y101" s="14"/>
      <c r="Z101" s="199"/>
      <c r="AA101" s="11"/>
      <c r="AB101" s="317"/>
      <c r="AC101" s="221"/>
      <c r="AE101" s="302">
        <v>39066</v>
      </c>
      <c r="AF101" s="38">
        <f>WORKDAY(EDATE(AE101,1)-1,1,FERIADOS!$A$1:$A$830)</f>
        <v>39097</v>
      </c>
      <c r="AG101" s="303">
        <v>2615.0500000000002</v>
      </c>
      <c r="AH101" s="306">
        <v>0.48</v>
      </c>
    </row>
    <row r="102" spans="1:34" x14ac:dyDescent="0.2">
      <c r="A102" s="235"/>
      <c r="B102" s="236"/>
      <c r="C102" s="237"/>
      <c r="D102" s="238"/>
      <c r="E102" s="239"/>
      <c r="F102" s="341"/>
      <c r="K102" s="240"/>
      <c r="L102" s="240"/>
      <c r="M102" s="240"/>
      <c r="N102" s="240"/>
      <c r="O102" s="240"/>
      <c r="P102" s="240"/>
      <c r="Q102" s="240"/>
      <c r="R102" s="240"/>
      <c r="S102" s="240"/>
      <c r="T102" s="13"/>
      <c r="U102" s="13"/>
      <c r="V102" s="198"/>
      <c r="W102" s="22"/>
      <c r="X102" s="199"/>
      <c r="Y102" s="14"/>
      <c r="Z102" s="199"/>
      <c r="AA102" s="11"/>
      <c r="AB102" s="317"/>
      <c r="AC102" s="221"/>
      <c r="AE102" s="302">
        <v>39097</v>
      </c>
      <c r="AF102" s="38">
        <f>WORKDAY(EDATE(AE102,1)-1,1,FERIADOS!$A$1:$A$830)</f>
        <v>39128</v>
      </c>
      <c r="AG102" s="303">
        <v>2626.56</v>
      </c>
      <c r="AH102" s="306">
        <v>0.44</v>
      </c>
    </row>
    <row r="103" spans="1:34" x14ac:dyDescent="0.2">
      <c r="A103" s="235"/>
      <c r="B103" s="236"/>
      <c r="C103" s="237"/>
      <c r="D103" s="238"/>
      <c r="E103" s="239"/>
      <c r="F103" s="237"/>
      <c r="K103" s="240"/>
      <c r="L103" s="240"/>
      <c r="M103" s="240"/>
      <c r="N103" s="240"/>
      <c r="O103" s="240"/>
      <c r="P103" s="240"/>
      <c r="Q103" s="240"/>
      <c r="R103" s="240"/>
      <c r="S103" s="240"/>
      <c r="T103" s="13"/>
      <c r="U103" s="13"/>
      <c r="V103" s="198"/>
      <c r="W103" s="22"/>
      <c r="X103" s="199"/>
      <c r="Y103" s="14"/>
      <c r="Z103" s="199"/>
      <c r="AA103" s="11"/>
      <c r="AB103" s="317"/>
      <c r="AC103" s="221"/>
      <c r="AE103" s="302">
        <v>39128</v>
      </c>
      <c r="AF103" s="38">
        <f>WORKDAY(EDATE(AE103,1)-1,1,FERIADOS!$A$1:$A$830)</f>
        <v>39156</v>
      </c>
      <c r="AG103" s="303">
        <v>2638.12</v>
      </c>
      <c r="AH103" s="306">
        <v>0.44</v>
      </c>
    </row>
    <row r="104" spans="1:34" x14ac:dyDescent="0.2">
      <c r="A104" s="188"/>
      <c r="B104" s="188"/>
      <c r="C104" s="188"/>
      <c r="D104" s="188"/>
      <c r="E104" s="188"/>
      <c r="F104" s="188"/>
      <c r="K104" s="188"/>
      <c r="L104" s="188"/>
      <c r="M104" s="188"/>
      <c r="N104" s="188"/>
      <c r="O104" s="188"/>
      <c r="P104" s="188"/>
      <c r="Q104" s="188"/>
      <c r="R104" s="188"/>
      <c r="S104" s="188"/>
      <c r="T104" s="13"/>
      <c r="U104" s="13"/>
      <c r="V104" s="198"/>
      <c r="W104" s="22"/>
      <c r="X104" s="199"/>
      <c r="Y104" s="14"/>
      <c r="Z104" s="199"/>
      <c r="AA104" s="11"/>
      <c r="AB104" s="317"/>
      <c r="AC104" s="221"/>
      <c r="AE104" s="302">
        <v>39156</v>
      </c>
      <c r="AF104" s="38">
        <f>WORKDAY(EDATE(AE104,1)-1,1,FERIADOS!$A$1:$A$830)</f>
        <v>39188</v>
      </c>
      <c r="AG104" s="303">
        <v>2647.88</v>
      </c>
      <c r="AH104" s="306">
        <v>0.37</v>
      </c>
    </row>
    <row r="105" spans="1:34" x14ac:dyDescent="0.2">
      <c r="A105" s="188"/>
      <c r="B105" s="188"/>
      <c r="C105" s="188"/>
      <c r="D105" s="188"/>
      <c r="E105" s="188"/>
      <c r="F105" s="188"/>
      <c r="K105" s="188"/>
      <c r="L105" s="188"/>
      <c r="M105" s="188"/>
      <c r="N105" s="188"/>
      <c r="O105" s="188"/>
      <c r="P105" s="188"/>
      <c r="Q105" s="188"/>
      <c r="R105" s="188"/>
      <c r="S105" s="188"/>
      <c r="T105" s="13"/>
      <c r="U105" s="13"/>
      <c r="V105" s="198"/>
      <c r="W105" s="22"/>
      <c r="X105" s="199"/>
      <c r="Y105" s="14"/>
      <c r="Z105" s="199"/>
      <c r="AA105" s="11"/>
      <c r="AB105" s="317"/>
      <c r="AC105" s="221"/>
      <c r="AE105" s="302">
        <v>39187</v>
      </c>
      <c r="AF105" s="38">
        <f>WORKDAY(EDATE(AE105,1)-1,1,FERIADOS!$A$1:$A$830)</f>
        <v>39217</v>
      </c>
      <c r="AG105" s="303">
        <v>2654.5</v>
      </c>
      <c r="AH105" s="306">
        <v>0.25</v>
      </c>
    </row>
    <row r="106" spans="1:34" x14ac:dyDescent="0.2">
      <c r="A106" s="188"/>
      <c r="B106" s="188"/>
      <c r="C106" s="188"/>
      <c r="D106" s="188"/>
      <c r="E106" s="188"/>
      <c r="F106" s="188"/>
      <c r="K106" s="188"/>
      <c r="L106" s="188"/>
      <c r="M106" s="188"/>
      <c r="N106" s="188"/>
      <c r="O106" s="188"/>
      <c r="P106" s="188"/>
      <c r="Q106" s="188"/>
      <c r="R106" s="188"/>
      <c r="S106" s="188"/>
      <c r="T106" s="13"/>
      <c r="U106" s="13"/>
      <c r="V106" s="198"/>
      <c r="W106" s="22"/>
      <c r="X106" s="199"/>
      <c r="Y106" s="14"/>
      <c r="Z106" s="199"/>
      <c r="AA106" s="11"/>
      <c r="AB106" s="317"/>
      <c r="AC106" s="221"/>
      <c r="AE106" s="302">
        <v>39217</v>
      </c>
      <c r="AF106" s="38">
        <f>WORKDAY(EDATE(AE106,1)-1,1,FERIADOS!$A$1:$A$830)</f>
        <v>39248</v>
      </c>
      <c r="AG106" s="303">
        <v>2661.93</v>
      </c>
      <c r="AH106" s="306">
        <v>0.28000000000000003</v>
      </c>
    </row>
    <row r="107" spans="1:34" x14ac:dyDescent="0.2">
      <c r="A107" s="188"/>
      <c r="B107" s="188"/>
      <c r="C107" s="188"/>
      <c r="D107" s="188"/>
      <c r="E107" s="188"/>
      <c r="F107" s="188"/>
      <c r="K107" s="188"/>
      <c r="L107" s="188"/>
      <c r="M107" s="188"/>
      <c r="N107" s="188"/>
      <c r="O107" s="188"/>
      <c r="P107" s="188"/>
      <c r="Q107" s="188"/>
      <c r="R107" s="188"/>
      <c r="S107" s="188"/>
      <c r="T107" s="13"/>
      <c r="U107" s="13"/>
      <c r="V107" s="198"/>
      <c r="W107" s="22"/>
      <c r="X107" s="199"/>
      <c r="Y107" s="14"/>
      <c r="Z107" s="199"/>
      <c r="AA107" s="11"/>
      <c r="AB107" s="317"/>
      <c r="AC107" s="221"/>
      <c r="AE107" s="302">
        <v>39248</v>
      </c>
      <c r="AF107" s="38">
        <f>WORKDAY(EDATE(AE107,1)-1,1,FERIADOS!$A$1:$A$830)</f>
        <v>39279</v>
      </c>
      <c r="AG107" s="303">
        <v>2669.38</v>
      </c>
      <c r="AH107" s="306">
        <v>0.28000000000000003</v>
      </c>
    </row>
    <row r="108" spans="1:34" x14ac:dyDescent="0.2">
      <c r="A108" s="188"/>
      <c r="B108" s="188"/>
      <c r="C108" s="188"/>
      <c r="D108" s="188"/>
      <c r="E108" s="188"/>
      <c r="F108" s="188"/>
      <c r="J108" s="188"/>
      <c r="K108" s="188"/>
      <c r="L108" s="188"/>
      <c r="M108" s="188"/>
      <c r="N108" s="188"/>
      <c r="O108" s="188"/>
      <c r="P108" s="188"/>
      <c r="Q108" s="188"/>
      <c r="R108" s="188"/>
      <c r="S108" s="188"/>
      <c r="T108" s="13"/>
      <c r="U108" s="13"/>
      <c r="V108" s="198"/>
      <c r="W108" s="22"/>
      <c r="X108" s="199"/>
      <c r="Y108" s="14"/>
      <c r="Z108" s="199"/>
      <c r="AA108" s="11"/>
      <c r="AB108" s="317"/>
      <c r="AC108" s="221"/>
      <c r="AE108" s="302">
        <v>39278</v>
      </c>
      <c r="AF108" s="38">
        <f>WORKDAY(EDATE(AE108,1)-1,1,FERIADOS!$A$1:$A$830)</f>
        <v>39309</v>
      </c>
      <c r="AG108" s="303">
        <v>2675.79</v>
      </c>
      <c r="AH108" s="306">
        <v>0.24</v>
      </c>
    </row>
    <row r="109" spans="1:34" x14ac:dyDescent="0.2">
      <c r="A109" s="188"/>
      <c r="B109" s="188"/>
      <c r="C109" s="188"/>
      <c r="D109" s="188"/>
      <c r="E109" s="188"/>
      <c r="F109" s="188"/>
      <c r="J109" s="188"/>
      <c r="K109" s="188"/>
      <c r="L109" s="188"/>
      <c r="M109" s="188"/>
      <c r="N109" s="188"/>
      <c r="O109" s="188"/>
      <c r="P109" s="188"/>
      <c r="Q109" s="188"/>
      <c r="R109" s="188"/>
      <c r="S109" s="188"/>
      <c r="T109" s="13"/>
      <c r="U109" s="13"/>
      <c r="V109" s="198"/>
      <c r="W109" s="22"/>
      <c r="X109" s="199"/>
      <c r="Y109" s="14"/>
      <c r="Z109" s="199"/>
      <c r="AA109" s="11"/>
      <c r="AB109" s="317"/>
      <c r="AC109" s="221"/>
      <c r="AE109" s="302">
        <v>39309</v>
      </c>
      <c r="AF109" s="38">
        <f>WORKDAY(EDATE(AE109,1)-1,1,FERIADOS!$A$1:$A$830)</f>
        <v>39342</v>
      </c>
      <c r="AG109" s="303">
        <v>2688.37</v>
      </c>
      <c r="AH109" s="306">
        <v>0.47</v>
      </c>
    </row>
    <row r="110" spans="1:34" x14ac:dyDescent="0.2">
      <c r="A110" s="188"/>
      <c r="B110" s="188"/>
      <c r="C110" s="188"/>
      <c r="D110" s="188"/>
      <c r="E110" s="188"/>
      <c r="F110" s="188"/>
      <c r="J110" s="188"/>
      <c r="K110" s="188"/>
      <c r="L110" s="188"/>
      <c r="M110" s="188"/>
      <c r="N110" s="188"/>
      <c r="O110" s="188"/>
      <c r="P110" s="188"/>
      <c r="Q110" s="188"/>
      <c r="R110" s="188"/>
      <c r="S110" s="188"/>
      <c r="T110" s="13"/>
      <c r="U110" s="13"/>
      <c r="V110" s="198"/>
      <c r="W110" s="22"/>
      <c r="X110" s="199"/>
      <c r="Y110" s="14"/>
      <c r="Z110" s="199"/>
      <c r="AA110" s="11"/>
      <c r="AB110" s="317"/>
      <c r="AC110" s="221"/>
      <c r="AE110" s="302">
        <v>39340</v>
      </c>
      <c r="AF110" s="38">
        <f>WORKDAY(EDATE(AE110,1)-1,1,FERIADOS!$A$1:$A$830)</f>
        <v>39370</v>
      </c>
      <c r="AG110" s="303">
        <v>2693.21</v>
      </c>
      <c r="AH110" s="306">
        <v>0.18</v>
      </c>
    </row>
    <row r="111" spans="1:34" x14ac:dyDescent="0.2">
      <c r="A111" s="188"/>
      <c r="B111" s="188"/>
      <c r="C111" s="188"/>
      <c r="D111" s="188"/>
      <c r="E111" s="188"/>
      <c r="F111" s="188"/>
      <c r="G111" s="188"/>
      <c r="H111" s="188"/>
      <c r="I111" s="188"/>
      <c r="J111" s="188"/>
      <c r="K111" s="188"/>
      <c r="L111" s="188"/>
      <c r="M111" s="188"/>
      <c r="N111" s="188"/>
      <c r="O111" s="188"/>
      <c r="P111" s="188"/>
      <c r="Q111" s="188"/>
      <c r="R111" s="188"/>
      <c r="S111" s="188"/>
      <c r="AE111" s="302">
        <v>39370</v>
      </c>
      <c r="AF111" s="38">
        <f>WORKDAY(EDATE(AE111,1)-1,1,FERIADOS!$A$1:$A$830)</f>
        <v>39402</v>
      </c>
      <c r="AG111" s="303">
        <v>2701.29</v>
      </c>
      <c r="AH111" s="306">
        <v>0.3</v>
      </c>
    </row>
    <row r="112" spans="1:34" x14ac:dyDescent="0.2">
      <c r="A112" s="188"/>
      <c r="B112" s="188"/>
      <c r="C112" s="188"/>
      <c r="D112" s="188"/>
      <c r="E112" s="188"/>
      <c r="F112" s="188"/>
      <c r="G112" s="188"/>
      <c r="H112" s="188"/>
      <c r="I112" s="188"/>
      <c r="J112" s="188"/>
      <c r="K112" s="188"/>
      <c r="L112" s="188"/>
      <c r="M112" s="188"/>
      <c r="N112" s="188"/>
      <c r="O112" s="188"/>
      <c r="P112" s="188"/>
      <c r="Q112" s="188"/>
      <c r="R112" s="188"/>
      <c r="S112" s="188"/>
      <c r="AE112" s="302">
        <v>39401</v>
      </c>
      <c r="AF112" s="38">
        <f>WORKDAY(EDATE(AE112,1)-1,1,FERIADOS!$A$1:$A$830)</f>
        <v>39433</v>
      </c>
      <c r="AG112" s="303">
        <v>2711.55</v>
      </c>
      <c r="AH112" s="306">
        <v>0.38</v>
      </c>
    </row>
    <row r="113" spans="1:34" x14ac:dyDescent="0.2">
      <c r="A113" s="188"/>
      <c r="B113" s="188"/>
      <c r="C113" s="188"/>
      <c r="D113" s="188"/>
      <c r="E113" s="188"/>
      <c r="F113" s="188"/>
      <c r="G113" s="188"/>
      <c r="H113" s="188"/>
      <c r="I113" s="188"/>
      <c r="J113" s="188"/>
      <c r="K113" s="188"/>
      <c r="L113" s="188"/>
      <c r="M113" s="188"/>
      <c r="N113" s="188"/>
      <c r="O113" s="188"/>
      <c r="P113" s="188"/>
      <c r="Q113" s="188"/>
      <c r="R113" s="188"/>
      <c r="S113" s="188"/>
      <c r="AE113" s="302">
        <v>39431</v>
      </c>
      <c r="AF113" s="38">
        <f>WORKDAY(EDATE(AE113,1)-1,1,FERIADOS!$A$1:$A$830)</f>
        <v>39462</v>
      </c>
      <c r="AG113" s="303">
        <v>2731.62</v>
      </c>
      <c r="AH113" s="306">
        <v>0.74</v>
      </c>
    </row>
    <row r="114" spans="1:34" x14ac:dyDescent="0.2">
      <c r="A114" s="188"/>
      <c r="B114" s="188"/>
      <c r="C114" s="188"/>
      <c r="D114" s="188"/>
      <c r="E114" s="188"/>
      <c r="F114" s="188"/>
      <c r="G114" s="188"/>
      <c r="H114" s="188"/>
      <c r="I114" s="188"/>
      <c r="J114" s="188"/>
      <c r="K114" s="188"/>
      <c r="L114" s="188"/>
      <c r="M114" s="188"/>
      <c r="N114" s="188"/>
      <c r="O114" s="188"/>
      <c r="P114" s="188"/>
      <c r="Q114" s="188"/>
      <c r="R114" s="188"/>
      <c r="S114" s="188"/>
      <c r="AE114" s="302">
        <v>39462</v>
      </c>
      <c r="AF114" s="38">
        <f>WORKDAY(EDATE(AE114,1)-1,1,FERIADOS!$A$1:$A$830)</f>
        <v>39493</v>
      </c>
      <c r="AG114" s="303">
        <v>2746.37</v>
      </c>
      <c r="AH114" s="306">
        <v>0.54</v>
      </c>
    </row>
    <row r="115" spans="1:34" x14ac:dyDescent="0.2">
      <c r="A115" s="188"/>
      <c r="B115" s="188"/>
      <c r="C115" s="188"/>
      <c r="D115" s="299"/>
      <c r="E115" s="299"/>
      <c r="F115" s="299"/>
      <c r="G115" s="299"/>
      <c r="H115" s="351"/>
      <c r="I115" s="351"/>
      <c r="J115" s="351"/>
      <c r="K115" s="351"/>
      <c r="L115" s="351"/>
      <c r="M115" s="351"/>
      <c r="N115" s="351"/>
      <c r="O115" s="351"/>
      <c r="P115" s="430"/>
      <c r="Q115" s="430"/>
      <c r="R115" s="430"/>
      <c r="S115" s="430"/>
      <c r="AE115" s="302">
        <v>39493</v>
      </c>
      <c r="AF115" s="38">
        <f>WORKDAY(EDATE(AE115,1)-1,1,FERIADOS!$A$1:$A$830)</f>
        <v>39524</v>
      </c>
      <c r="AG115" s="303">
        <v>2759.83</v>
      </c>
      <c r="AH115" s="306">
        <v>0.49</v>
      </c>
    </row>
    <row r="116" spans="1:34" x14ac:dyDescent="0.2">
      <c r="A116" s="188"/>
      <c r="B116" s="188"/>
      <c r="C116" s="241"/>
      <c r="D116" s="342"/>
      <c r="E116" s="342"/>
      <c r="F116" s="243"/>
      <c r="G116" s="240"/>
      <c r="H116" s="240"/>
      <c r="I116" s="240"/>
      <c r="J116" s="240"/>
      <c r="K116" s="240"/>
      <c r="L116" s="240"/>
      <c r="M116" s="240"/>
      <c r="N116" s="240"/>
      <c r="O116" s="240"/>
      <c r="P116" s="240"/>
      <c r="Q116" s="240"/>
      <c r="R116" s="240"/>
      <c r="S116" s="240"/>
      <c r="X116" s="5" t="s">
        <v>108</v>
      </c>
      <c r="AE116" s="302">
        <v>39522</v>
      </c>
      <c r="AF116" s="38">
        <f>WORKDAY(EDATE(AE116,1)-1,1,FERIADOS!$A$1:$A$830)</f>
        <v>39553</v>
      </c>
      <c r="AG116" s="303">
        <v>2773.08</v>
      </c>
      <c r="AH116" s="306">
        <v>0.48</v>
      </c>
    </row>
    <row r="117" spans="1:34" x14ac:dyDescent="0.2">
      <c r="A117" s="188"/>
      <c r="B117" s="188"/>
      <c r="C117" s="241"/>
      <c r="D117" s="242"/>
      <c r="E117" s="242"/>
      <c r="F117" s="243"/>
      <c r="G117" s="240"/>
      <c r="H117" s="240"/>
      <c r="I117" s="240"/>
      <c r="J117" s="240"/>
      <c r="K117" s="240"/>
      <c r="L117" s="240"/>
      <c r="M117" s="240"/>
      <c r="N117" s="240"/>
      <c r="O117" s="240"/>
      <c r="P117" s="240"/>
      <c r="Q117" s="240"/>
      <c r="R117" s="240"/>
      <c r="S117" s="240"/>
      <c r="AE117" s="302">
        <v>39553</v>
      </c>
      <c r="AF117" s="38">
        <f>WORKDAY(EDATE(AE117,1)-1,1,FERIADOS!$A$1:$A$830)</f>
        <v>39583</v>
      </c>
      <c r="AG117" s="303">
        <v>2788.33</v>
      </c>
      <c r="AH117" s="306">
        <v>0.55000000000000004</v>
      </c>
    </row>
    <row r="118" spans="1:34" x14ac:dyDescent="0.2">
      <c r="A118" s="188"/>
      <c r="B118" s="188"/>
      <c r="C118" s="241"/>
      <c r="D118" s="242"/>
      <c r="E118" s="242"/>
      <c r="F118" s="243"/>
      <c r="G118" s="240"/>
      <c r="H118" s="240"/>
      <c r="I118" s="240"/>
      <c r="J118" s="240"/>
      <c r="K118" s="240"/>
      <c r="L118" s="240"/>
      <c r="M118" s="240"/>
      <c r="N118" s="240"/>
      <c r="O118" s="240"/>
      <c r="P118" s="240"/>
      <c r="Q118" s="240"/>
      <c r="R118" s="240"/>
      <c r="S118" s="240"/>
      <c r="AE118" s="302">
        <v>39583</v>
      </c>
      <c r="AF118" s="38">
        <f>WORKDAY(EDATE(AE118,1)-1,1,FERIADOS!$A$1:$A$830)</f>
        <v>39615</v>
      </c>
      <c r="AG118" s="303">
        <v>2810.36</v>
      </c>
      <c r="AH118" s="306">
        <v>0.79</v>
      </c>
    </row>
    <row r="119" spans="1:34" x14ac:dyDescent="0.2">
      <c r="A119" s="188"/>
      <c r="B119" s="188"/>
      <c r="C119" s="241"/>
      <c r="D119" s="242"/>
      <c r="E119" s="242"/>
      <c r="F119" s="243"/>
      <c r="G119" s="240"/>
      <c r="H119" s="240"/>
      <c r="I119" s="240"/>
      <c r="J119" s="240"/>
      <c r="K119" s="240"/>
      <c r="L119" s="240"/>
      <c r="M119" s="240"/>
      <c r="N119" s="240"/>
      <c r="O119" s="240"/>
      <c r="P119" s="240"/>
      <c r="Q119" s="240"/>
      <c r="R119" s="240"/>
      <c r="S119" s="240"/>
      <c r="AE119" s="302">
        <v>39614</v>
      </c>
      <c r="AF119" s="38">
        <f>WORKDAY(EDATE(AE119,1)-1,1,FERIADOS!$A$1:$A$830)</f>
        <v>39644</v>
      </c>
      <c r="AG119" s="303">
        <v>2831.16</v>
      </c>
      <c r="AH119" s="306">
        <v>0.74</v>
      </c>
    </row>
    <row r="120" spans="1:34" x14ac:dyDescent="0.2">
      <c r="A120" s="188"/>
      <c r="B120" s="188"/>
      <c r="C120" s="241"/>
      <c r="D120" s="242"/>
      <c r="E120" s="242"/>
      <c r="F120" s="243"/>
      <c r="G120" s="240"/>
      <c r="H120" s="240"/>
      <c r="I120" s="240"/>
      <c r="J120" s="240"/>
      <c r="K120" s="240"/>
      <c r="L120" s="240"/>
      <c r="M120" s="240"/>
      <c r="N120" s="240"/>
      <c r="O120" s="240"/>
      <c r="P120" s="240"/>
      <c r="Q120" s="240"/>
      <c r="R120" s="240"/>
      <c r="S120" s="240"/>
      <c r="AE120" s="302">
        <v>39644</v>
      </c>
      <c r="AF120" s="38">
        <f>WORKDAY(EDATE(AE120,1)-1,1,FERIADOS!$A$1:$A$830)</f>
        <v>39675</v>
      </c>
      <c r="AG120" s="303">
        <v>2846.16</v>
      </c>
      <c r="AH120" s="306">
        <v>0.53</v>
      </c>
    </row>
    <row r="121" spans="1:34" x14ac:dyDescent="0.2">
      <c r="A121" s="188"/>
      <c r="B121" s="188"/>
      <c r="C121" s="241"/>
      <c r="D121" s="242"/>
      <c r="E121" s="242"/>
      <c r="F121" s="243"/>
      <c r="G121" s="240"/>
      <c r="H121" s="240"/>
      <c r="I121" s="240"/>
      <c r="J121" s="240"/>
      <c r="K121" s="240"/>
      <c r="L121" s="240"/>
      <c r="M121" s="240"/>
      <c r="N121" s="240"/>
      <c r="O121" s="240"/>
      <c r="P121" s="240"/>
      <c r="Q121" s="240"/>
      <c r="R121" s="240"/>
      <c r="S121" s="240"/>
      <c r="AE121" s="302">
        <v>39675</v>
      </c>
      <c r="AF121" s="38">
        <f>WORKDAY(EDATE(AE121,1)-1,1,FERIADOS!$A$1:$A$830)</f>
        <v>39706</v>
      </c>
      <c r="AG121" s="303">
        <v>2854.13</v>
      </c>
      <c r="AH121" s="306">
        <v>0.28000000000000003</v>
      </c>
    </row>
    <row r="122" spans="1:34" x14ac:dyDescent="0.2">
      <c r="A122" s="188"/>
      <c r="B122" s="188"/>
      <c r="C122" s="241"/>
      <c r="D122" s="242"/>
      <c r="E122" s="242"/>
      <c r="F122" s="243"/>
      <c r="G122" s="240"/>
      <c r="H122" s="240"/>
      <c r="I122" s="240"/>
      <c r="J122" s="240"/>
      <c r="K122" s="240"/>
      <c r="L122" s="240"/>
      <c r="M122" s="240"/>
      <c r="N122" s="240"/>
      <c r="O122" s="240"/>
      <c r="P122" s="240"/>
      <c r="Q122" s="240"/>
      <c r="R122" s="240"/>
      <c r="S122" s="240"/>
      <c r="AE122" s="302">
        <v>39706</v>
      </c>
      <c r="AF122" s="38">
        <f>WORKDAY(EDATE(AE122,1)-1,1,FERIADOS!$A$1:$A$830)</f>
        <v>39736</v>
      </c>
      <c r="AG122" s="303">
        <v>2861.55</v>
      </c>
      <c r="AH122" s="306">
        <v>0.26</v>
      </c>
    </row>
    <row r="123" spans="1:34" x14ac:dyDescent="0.2">
      <c r="A123" s="188"/>
      <c r="B123" s="188"/>
      <c r="C123" s="241"/>
      <c r="D123" s="242"/>
      <c r="E123" s="242"/>
      <c r="F123" s="243"/>
      <c r="G123" s="240"/>
      <c r="H123" s="240"/>
      <c r="I123" s="240"/>
      <c r="J123" s="240"/>
      <c r="K123" s="240"/>
      <c r="L123" s="240"/>
      <c r="M123" s="240"/>
      <c r="N123" s="240"/>
      <c r="O123" s="240"/>
      <c r="P123" s="240"/>
      <c r="Q123" s="240"/>
      <c r="R123" s="240"/>
      <c r="S123" s="240"/>
      <c r="AE123" s="302">
        <v>39736</v>
      </c>
      <c r="AF123" s="38">
        <f>WORKDAY(EDATE(AE123,1)-1,1,FERIADOS!$A$1:$A$830)</f>
        <v>39769</v>
      </c>
      <c r="AG123" s="303">
        <v>2874.43</v>
      </c>
      <c r="AH123" s="306">
        <v>0.45</v>
      </c>
    </row>
    <row r="124" spans="1:34" x14ac:dyDescent="0.2">
      <c r="A124" s="188"/>
      <c r="B124" s="188"/>
      <c r="C124" s="241"/>
      <c r="D124" s="242"/>
      <c r="E124" s="242"/>
      <c r="F124" s="243"/>
      <c r="G124" s="240"/>
      <c r="H124" s="240"/>
      <c r="I124" s="240"/>
      <c r="J124" s="240"/>
      <c r="K124" s="240"/>
      <c r="L124" s="240"/>
      <c r="M124" s="240"/>
      <c r="N124" s="240"/>
      <c r="O124" s="240"/>
      <c r="P124" s="240"/>
      <c r="Q124" s="240"/>
      <c r="R124" s="240"/>
      <c r="S124" s="240"/>
      <c r="AE124" s="302">
        <v>39767</v>
      </c>
      <c r="AF124" s="38">
        <f>WORKDAY(EDATE(AE124,1)-1,1,FERIADOS!$A$1:$A$830)</f>
        <v>39797</v>
      </c>
      <c r="AG124" s="303">
        <v>2884.78</v>
      </c>
      <c r="AH124" s="306">
        <v>0.36</v>
      </c>
    </row>
    <row r="125" spans="1:34" x14ac:dyDescent="0.2">
      <c r="A125" s="188"/>
      <c r="B125" s="188"/>
      <c r="C125" s="241"/>
      <c r="D125" s="242"/>
      <c r="E125" s="242"/>
      <c r="F125" s="243"/>
      <c r="G125" s="240"/>
      <c r="H125" s="240"/>
      <c r="I125" s="240"/>
      <c r="J125" s="240"/>
      <c r="K125" s="240"/>
      <c r="L125" s="240"/>
      <c r="M125" s="240"/>
      <c r="N125" s="240"/>
      <c r="O125" s="240"/>
      <c r="P125" s="240"/>
      <c r="Q125" s="240"/>
      <c r="R125" s="240"/>
      <c r="S125" s="240"/>
      <c r="AE125" s="302">
        <v>39797</v>
      </c>
      <c r="AF125" s="38">
        <f>WORKDAY(EDATE(AE125,1)-1,1,FERIADOS!$A$1:$A$830)</f>
        <v>39828</v>
      </c>
      <c r="AG125" s="303">
        <v>2892.86</v>
      </c>
      <c r="AH125" s="306">
        <v>0.28000000000000003</v>
      </c>
    </row>
    <row r="126" spans="1:34" x14ac:dyDescent="0.2">
      <c r="A126" s="188"/>
      <c r="B126" s="188"/>
      <c r="C126" s="241"/>
      <c r="D126" s="242"/>
      <c r="E126" s="242"/>
      <c r="F126" s="243"/>
      <c r="G126" s="240"/>
      <c r="H126" s="240"/>
      <c r="I126" s="240"/>
      <c r="J126" s="240"/>
      <c r="K126" s="240"/>
      <c r="L126" s="240"/>
      <c r="M126" s="240"/>
      <c r="N126" s="240"/>
      <c r="O126" s="240"/>
      <c r="P126" s="240"/>
      <c r="Q126" s="240"/>
      <c r="R126" s="240"/>
      <c r="S126" s="240"/>
      <c r="AE126" s="302">
        <v>39828</v>
      </c>
      <c r="AF126" s="38">
        <f>WORKDAY(EDATE(AE126,1)-1,1,FERIADOS!$A$1:$A$830)</f>
        <v>39860</v>
      </c>
      <c r="AG126" s="303">
        <v>2906.74</v>
      </c>
      <c r="AH126" s="306">
        <v>0.48</v>
      </c>
    </row>
    <row r="127" spans="1:34" x14ac:dyDescent="0.2">
      <c r="A127" s="188"/>
      <c r="B127" s="188"/>
      <c r="C127" s="241"/>
      <c r="D127" s="242"/>
      <c r="E127" s="242"/>
      <c r="F127" s="243"/>
      <c r="G127" s="240"/>
      <c r="H127" s="240"/>
      <c r="I127" s="240"/>
      <c r="J127" s="240"/>
      <c r="K127" s="240"/>
      <c r="L127" s="240"/>
      <c r="M127" s="240"/>
      <c r="N127" s="240"/>
      <c r="O127" s="240"/>
      <c r="P127" s="240"/>
      <c r="Q127" s="240"/>
      <c r="R127" s="240"/>
      <c r="S127" s="240"/>
      <c r="AE127" s="302">
        <v>39859</v>
      </c>
      <c r="AF127" s="38">
        <f>WORKDAY(EDATE(AE127,1)-1,1,FERIADOS!$A$1:$A$830)</f>
        <v>39888</v>
      </c>
      <c r="AG127" s="303">
        <v>2922.73</v>
      </c>
      <c r="AH127" s="306">
        <v>0.55000000000000004</v>
      </c>
    </row>
    <row r="128" spans="1:34" x14ac:dyDescent="0.2">
      <c r="A128" s="188"/>
      <c r="B128" s="188"/>
      <c r="C128" s="241"/>
      <c r="D128" s="242"/>
      <c r="E128" s="242"/>
      <c r="F128" s="243"/>
      <c r="G128" s="240"/>
      <c r="H128" s="240"/>
      <c r="I128" s="240"/>
      <c r="J128" s="240"/>
      <c r="K128" s="240"/>
      <c r="L128" s="240"/>
      <c r="M128" s="240"/>
      <c r="N128" s="240"/>
      <c r="O128" s="240"/>
      <c r="P128" s="240"/>
      <c r="Q128" s="240"/>
      <c r="R128" s="240"/>
      <c r="S128" s="240"/>
      <c r="AE128" s="302">
        <v>39887</v>
      </c>
      <c r="AF128" s="38">
        <f>WORKDAY(EDATE(AE128,1)-1,1,FERIADOS!$A$1:$A$830)</f>
        <v>39918</v>
      </c>
      <c r="AG128" s="303">
        <v>2928.57</v>
      </c>
      <c r="AH128" s="306">
        <v>0.2</v>
      </c>
    </row>
    <row r="129" spans="1:34" x14ac:dyDescent="0.2">
      <c r="A129" s="188"/>
      <c r="B129" s="188"/>
      <c r="C129" s="241"/>
      <c r="D129" s="242"/>
      <c r="E129" s="242"/>
      <c r="F129" s="243"/>
      <c r="G129" s="240"/>
      <c r="H129" s="240"/>
      <c r="I129" s="240"/>
      <c r="J129" s="240"/>
      <c r="K129" s="240"/>
      <c r="L129" s="240"/>
      <c r="M129" s="240"/>
      <c r="N129" s="240"/>
      <c r="O129" s="240"/>
      <c r="P129" s="240"/>
      <c r="Q129" s="240"/>
      <c r="R129" s="240"/>
      <c r="S129" s="240"/>
      <c r="AE129" s="302">
        <v>39918</v>
      </c>
      <c r="AF129" s="38">
        <f>WORKDAY(EDATE(AE129,1)-1,1,FERIADOS!$A$1:$A$830)</f>
        <v>39948</v>
      </c>
      <c r="AG129" s="303">
        <v>2942.63</v>
      </c>
      <c r="AH129" s="306">
        <v>0.48</v>
      </c>
    </row>
    <row r="130" spans="1:34" x14ac:dyDescent="0.2">
      <c r="A130" s="188"/>
      <c r="B130" s="188"/>
      <c r="C130" s="241"/>
      <c r="D130" s="242"/>
      <c r="E130" s="242"/>
      <c r="F130" s="243"/>
      <c r="G130" s="240"/>
      <c r="H130" s="240"/>
      <c r="I130" s="240"/>
      <c r="J130" s="240"/>
      <c r="K130" s="240"/>
      <c r="L130" s="240"/>
      <c r="M130" s="240"/>
      <c r="N130" s="240"/>
      <c r="O130" s="240"/>
      <c r="P130" s="240"/>
      <c r="Q130" s="240"/>
      <c r="R130" s="240"/>
      <c r="S130" s="240"/>
      <c r="AE130" s="302">
        <v>39948</v>
      </c>
      <c r="AF130" s="38">
        <f>WORKDAY(EDATE(AE130,1)-1,1,FERIADOS!$A$1:$A$830)</f>
        <v>39979</v>
      </c>
      <c r="AG130" s="303">
        <v>2956.46</v>
      </c>
      <c r="AH130" s="306">
        <v>0.47</v>
      </c>
    </row>
    <row r="131" spans="1:34" x14ac:dyDescent="0.2">
      <c r="A131" s="188"/>
      <c r="B131" s="188"/>
      <c r="C131" s="241"/>
      <c r="D131" s="242"/>
      <c r="E131" s="242"/>
      <c r="F131" s="243"/>
      <c r="G131" s="240"/>
      <c r="H131" s="240"/>
      <c r="I131" s="240"/>
      <c r="J131" s="240"/>
      <c r="K131" s="240"/>
      <c r="L131" s="240"/>
      <c r="M131" s="240"/>
      <c r="N131" s="240"/>
      <c r="O131" s="240"/>
      <c r="P131" s="240"/>
      <c r="Q131" s="240"/>
      <c r="R131" s="240"/>
      <c r="S131" s="240"/>
      <c r="AE131" s="302">
        <v>39979</v>
      </c>
      <c r="AF131" s="38">
        <f>WORKDAY(EDATE(AE131,1)-1,1,FERIADOS!$A$1:$A$830)</f>
        <v>40009</v>
      </c>
      <c r="AG131" s="303">
        <v>2967.1</v>
      </c>
      <c r="AH131" s="306">
        <v>0.36</v>
      </c>
    </row>
    <row r="132" spans="1:34" x14ac:dyDescent="0.2">
      <c r="A132" s="188"/>
      <c r="B132" s="188"/>
      <c r="C132" s="241"/>
      <c r="D132" s="242"/>
      <c r="E132" s="242"/>
      <c r="F132" s="243"/>
      <c r="G132" s="240"/>
      <c r="H132" s="240"/>
      <c r="I132" s="240"/>
      <c r="J132" s="240"/>
      <c r="K132" s="240"/>
      <c r="L132" s="240"/>
      <c r="M132" s="240"/>
      <c r="N132" s="240"/>
      <c r="O132" s="240"/>
      <c r="P132" s="240"/>
      <c r="Q132" s="240"/>
      <c r="R132" s="240"/>
      <c r="S132" s="240"/>
      <c r="AE132" s="302">
        <v>40009</v>
      </c>
      <c r="AF132" s="38">
        <f>WORKDAY(EDATE(AE132,1)-1,1,FERIADOS!$A$1:$A$830)</f>
        <v>40042</v>
      </c>
      <c r="AG132" s="303">
        <v>2974.22</v>
      </c>
      <c r="AH132" s="306">
        <v>0.24</v>
      </c>
    </row>
    <row r="133" spans="1:34" x14ac:dyDescent="0.2">
      <c r="A133" s="188"/>
      <c r="B133" s="188"/>
      <c r="C133" s="188"/>
      <c r="D133" s="188"/>
      <c r="E133" s="343"/>
      <c r="F133" s="243"/>
      <c r="G133" s="188"/>
      <c r="H133" s="188"/>
      <c r="I133" s="188"/>
      <c r="J133" s="188"/>
      <c r="K133" s="188"/>
      <c r="L133" s="188"/>
      <c r="M133" s="188"/>
      <c r="N133" s="188"/>
      <c r="O133" s="188"/>
      <c r="P133" s="188"/>
      <c r="Q133" s="188"/>
      <c r="R133" s="188"/>
      <c r="S133" s="188"/>
      <c r="AE133" s="302">
        <v>40040</v>
      </c>
      <c r="AF133" s="38">
        <f>WORKDAY(EDATE(AE133,1)-1,1,FERIADOS!$A$1:$A$830)</f>
        <v>40071</v>
      </c>
      <c r="AG133" s="303">
        <v>2978.68</v>
      </c>
      <c r="AH133" s="306">
        <v>0.15</v>
      </c>
    </row>
    <row r="134" spans="1:34" x14ac:dyDescent="0.2">
      <c r="A134" s="188"/>
      <c r="B134" s="188"/>
      <c r="C134" s="188"/>
      <c r="D134" s="188"/>
      <c r="E134" s="188"/>
      <c r="F134" s="243"/>
      <c r="G134" s="188"/>
      <c r="H134" s="188"/>
      <c r="I134" s="188"/>
      <c r="J134" s="188"/>
      <c r="K134" s="188"/>
      <c r="L134" s="188"/>
      <c r="M134" s="188"/>
      <c r="N134" s="188"/>
      <c r="O134" s="188"/>
      <c r="P134" s="188"/>
      <c r="Q134" s="188"/>
      <c r="R134" s="188"/>
      <c r="S134" s="188"/>
      <c r="AE134" s="302">
        <v>40071</v>
      </c>
      <c r="AF134" s="38">
        <f>WORKDAY(EDATE(AE134,1)-1,1,FERIADOS!$A$1:$A$830)</f>
        <v>40101</v>
      </c>
      <c r="AG134" s="303">
        <v>2985.83</v>
      </c>
      <c r="AH134" s="306">
        <v>0.24</v>
      </c>
    </row>
    <row r="135" spans="1:34" x14ac:dyDescent="0.2">
      <c r="A135" s="188"/>
      <c r="B135" s="188"/>
      <c r="C135" s="285"/>
      <c r="D135" s="343"/>
      <c r="E135" s="343"/>
      <c r="F135" s="339"/>
      <c r="G135" s="188"/>
      <c r="H135" s="188"/>
      <c r="I135" s="188"/>
      <c r="J135" s="188"/>
      <c r="K135" s="188"/>
      <c r="L135" s="188"/>
      <c r="M135" s="188"/>
      <c r="N135" s="188"/>
      <c r="O135" s="188"/>
      <c r="P135" s="188"/>
      <c r="Q135" s="188"/>
      <c r="R135" s="188"/>
      <c r="S135" s="188"/>
      <c r="AE135" s="302">
        <v>40101</v>
      </c>
      <c r="AF135" s="38">
        <f>WORKDAY(EDATE(AE135,1)-1,1,FERIADOS!$A$1:$A$830)</f>
        <v>40133</v>
      </c>
      <c r="AG135" s="303">
        <v>2994.19</v>
      </c>
      <c r="AH135" s="306">
        <v>0.28000000000000003</v>
      </c>
    </row>
    <row r="136" spans="1:34" x14ac:dyDescent="0.2">
      <c r="A136" s="188"/>
      <c r="B136" s="188"/>
      <c r="C136" s="285"/>
      <c r="D136" s="343"/>
      <c r="E136" s="343"/>
      <c r="F136" s="339"/>
      <c r="G136" s="188"/>
      <c r="H136" s="188"/>
      <c r="I136" s="188"/>
      <c r="J136" s="188"/>
      <c r="K136" s="188"/>
      <c r="L136" s="188"/>
      <c r="M136" s="188"/>
      <c r="N136" s="188"/>
      <c r="O136" s="188"/>
      <c r="P136" s="188"/>
      <c r="Q136" s="188"/>
      <c r="R136" s="188"/>
      <c r="S136" s="188"/>
      <c r="AE136" s="302">
        <v>40132</v>
      </c>
      <c r="AF136" s="38">
        <f>WORKDAY(EDATE(AE136,1)-1,1,FERIADOS!$A$1:$A$830)</f>
        <v>40162</v>
      </c>
      <c r="AG136" s="303">
        <v>3006.47</v>
      </c>
      <c r="AH136" s="306">
        <v>0.41</v>
      </c>
    </row>
    <row r="137" spans="1:34" x14ac:dyDescent="0.2">
      <c r="A137" s="188"/>
      <c r="B137" s="188"/>
      <c r="C137" s="188"/>
      <c r="D137" s="188"/>
      <c r="E137" s="188"/>
      <c r="F137" s="188"/>
      <c r="G137" s="188"/>
      <c r="H137" s="188"/>
      <c r="I137" s="188"/>
      <c r="J137" s="188"/>
      <c r="K137" s="188"/>
      <c r="L137" s="188"/>
      <c r="M137" s="188"/>
      <c r="N137" s="188"/>
      <c r="O137" s="188"/>
      <c r="P137" s="188"/>
      <c r="Q137" s="188"/>
      <c r="R137" s="188"/>
      <c r="S137" s="188"/>
      <c r="AE137" s="302">
        <v>40162</v>
      </c>
      <c r="AF137" s="38">
        <f>WORKDAY(EDATE(AE137,1)-1,1,FERIADOS!$A$1:$A$830)</f>
        <v>40193</v>
      </c>
      <c r="AG137" s="303">
        <v>3017.59</v>
      </c>
      <c r="AH137" s="306">
        <v>0.37</v>
      </c>
    </row>
    <row r="138" spans="1:34" x14ac:dyDescent="0.2">
      <c r="A138" s="188"/>
      <c r="B138" s="188"/>
      <c r="C138" s="188"/>
      <c r="D138" s="344"/>
      <c r="E138" s="343"/>
      <c r="F138" s="340"/>
      <c r="G138" s="188"/>
      <c r="H138" s="188"/>
      <c r="I138" s="188"/>
      <c r="J138" s="188"/>
      <c r="K138" s="188"/>
      <c r="L138" s="188"/>
      <c r="M138" s="188"/>
      <c r="N138" s="188"/>
      <c r="O138" s="188"/>
      <c r="P138" s="188"/>
      <c r="Q138" s="188"/>
      <c r="R138" s="188"/>
      <c r="S138" s="188"/>
      <c r="AE138" s="302">
        <v>40193</v>
      </c>
      <c r="AF138" s="38">
        <f>WORKDAY(EDATE(AE138,1)-1,1,FERIADOS!$A$1:$A$830)</f>
        <v>40226</v>
      </c>
      <c r="AG138" s="303">
        <v>3040.22</v>
      </c>
      <c r="AH138" s="306">
        <v>0.75</v>
      </c>
    </row>
    <row r="139" spans="1:34" x14ac:dyDescent="0.2">
      <c r="A139" s="188"/>
      <c r="B139" s="188"/>
      <c r="C139" s="188"/>
      <c r="D139" s="188"/>
      <c r="E139" s="188"/>
      <c r="F139" s="188"/>
      <c r="G139" s="188"/>
      <c r="H139" s="188"/>
      <c r="I139" s="188"/>
      <c r="J139" s="188"/>
      <c r="K139" s="188"/>
      <c r="L139" s="188"/>
      <c r="M139" s="188"/>
      <c r="N139" s="188"/>
      <c r="O139" s="188"/>
      <c r="P139" s="188"/>
      <c r="Q139" s="188"/>
      <c r="R139" s="188"/>
      <c r="S139" s="188"/>
      <c r="AE139" s="302">
        <v>40224</v>
      </c>
      <c r="AF139" s="38">
        <f>WORKDAY(EDATE(AE139,1)-1,1,FERIADOS!$A$1:$A$830)</f>
        <v>40252</v>
      </c>
      <c r="AG139" s="303">
        <v>3063.93</v>
      </c>
      <c r="AH139" s="306">
        <v>0.78</v>
      </c>
    </row>
    <row r="140" spans="1:34" x14ac:dyDescent="0.2">
      <c r="A140" s="188"/>
      <c r="B140" s="188"/>
      <c r="C140" s="188"/>
      <c r="D140" s="188"/>
      <c r="E140" s="188"/>
      <c r="F140" s="188"/>
      <c r="G140" s="188"/>
      <c r="H140" s="188"/>
      <c r="I140" s="188"/>
      <c r="J140" s="188"/>
      <c r="K140" s="188"/>
      <c r="L140" s="188"/>
      <c r="M140" s="188"/>
      <c r="N140" s="188"/>
      <c r="O140" s="188"/>
      <c r="P140" s="188"/>
      <c r="Q140" s="188"/>
      <c r="R140" s="188"/>
      <c r="S140" s="188"/>
      <c r="AE140" s="302">
        <v>40252</v>
      </c>
      <c r="AF140" s="38">
        <f>WORKDAY(EDATE(AE140,1)-1,1,FERIADOS!$A$1:$A$830)</f>
        <v>40283</v>
      </c>
      <c r="AG140" s="303">
        <v>3079.86</v>
      </c>
      <c r="AH140" s="306">
        <v>0.52</v>
      </c>
    </row>
    <row r="141" spans="1:34" x14ac:dyDescent="0.2">
      <c r="A141" s="188"/>
      <c r="B141" s="188"/>
      <c r="C141" s="188"/>
      <c r="D141" s="188"/>
      <c r="E141" s="188"/>
      <c r="F141" s="188"/>
      <c r="G141" s="188"/>
      <c r="H141" s="188"/>
      <c r="I141" s="188"/>
      <c r="J141" s="188"/>
      <c r="K141" s="188"/>
      <c r="L141" s="188"/>
      <c r="M141" s="188"/>
      <c r="N141" s="188"/>
      <c r="O141" s="188"/>
      <c r="P141" s="188"/>
      <c r="Q141" s="188"/>
      <c r="R141" s="188"/>
      <c r="S141" s="188"/>
      <c r="AE141" s="302">
        <v>40283</v>
      </c>
      <c r="AF141" s="38">
        <f>WORKDAY(EDATE(AE141,1)-1,1,FERIADOS!$A$1:$A$830)</f>
        <v>40315</v>
      </c>
      <c r="AG141" s="303">
        <v>3097.42</v>
      </c>
      <c r="AH141" s="306">
        <v>0.56999999999999995</v>
      </c>
    </row>
    <row r="142" spans="1:34" x14ac:dyDescent="0.2">
      <c r="A142" s="188"/>
      <c r="B142" s="188"/>
      <c r="C142" s="188"/>
      <c r="D142" s="188"/>
      <c r="E142" s="188"/>
      <c r="F142" s="188"/>
      <c r="G142" s="188"/>
      <c r="H142" s="188"/>
      <c r="I142" s="188"/>
      <c r="J142" s="188"/>
      <c r="K142" s="188"/>
      <c r="L142" s="188"/>
      <c r="M142" s="188"/>
      <c r="N142" s="188"/>
      <c r="O142" s="188"/>
      <c r="P142" s="188"/>
      <c r="Q142" s="188"/>
      <c r="R142" s="188"/>
      <c r="S142" s="188"/>
      <c r="AE142" s="302">
        <v>40313</v>
      </c>
      <c r="AF142" s="38">
        <f>WORKDAY(EDATE(AE142,1)-1,1,FERIADOS!$A$1:$A$830)</f>
        <v>40344</v>
      </c>
      <c r="AG142" s="303">
        <v>3110.74</v>
      </c>
      <c r="AH142" s="306">
        <v>0.43</v>
      </c>
    </row>
    <row r="143" spans="1:34" x14ac:dyDescent="0.2">
      <c r="A143" s="188"/>
      <c r="B143" s="188"/>
      <c r="C143" s="188"/>
      <c r="D143" s="188"/>
      <c r="E143" s="188"/>
      <c r="F143" s="188"/>
      <c r="G143" s="188"/>
      <c r="H143" s="188"/>
      <c r="I143" s="188"/>
      <c r="J143" s="188"/>
      <c r="K143" s="188"/>
      <c r="L143" s="188"/>
      <c r="M143" s="188"/>
      <c r="N143" s="188"/>
      <c r="O143" s="188"/>
      <c r="P143" s="188"/>
      <c r="Q143" s="188"/>
      <c r="R143" s="188"/>
      <c r="S143" s="188"/>
      <c r="AE143" s="302">
        <v>40344</v>
      </c>
      <c r="AF143" s="38">
        <f>WORKDAY(EDATE(AE143,1)-1,1,FERIADOS!$A$1:$A$830)</f>
        <v>40374</v>
      </c>
      <c r="AG143" s="303">
        <v>3110.74</v>
      </c>
      <c r="AH143" s="306">
        <v>0</v>
      </c>
    </row>
    <row r="144" spans="1:34" x14ac:dyDescent="0.2">
      <c r="A144" s="188"/>
      <c r="B144" s="188"/>
      <c r="C144" s="188"/>
      <c r="D144" s="188"/>
      <c r="E144" s="188"/>
      <c r="F144" s="188"/>
      <c r="G144" s="188"/>
      <c r="H144" s="188"/>
      <c r="I144" s="188"/>
      <c r="J144" s="188"/>
      <c r="K144" s="188"/>
      <c r="L144" s="188"/>
      <c r="M144" s="188"/>
      <c r="N144" s="188"/>
      <c r="O144" s="188"/>
      <c r="P144" s="188"/>
      <c r="Q144" s="188"/>
      <c r="R144" s="188"/>
      <c r="S144" s="188"/>
      <c r="AE144" s="302">
        <v>40374</v>
      </c>
      <c r="AF144" s="38">
        <f>WORKDAY(EDATE(AE144,1)-1,1,FERIADOS!$A$1:$A$830)</f>
        <v>40406</v>
      </c>
      <c r="AG144" s="303">
        <v>3111.05</v>
      </c>
      <c r="AH144" s="306">
        <v>0.01</v>
      </c>
    </row>
    <row r="145" spans="1:35" x14ac:dyDescent="0.2">
      <c r="A145" s="188"/>
      <c r="B145" s="188"/>
      <c r="C145" s="188"/>
      <c r="D145" s="188"/>
      <c r="E145" s="188"/>
      <c r="F145" s="188"/>
      <c r="G145" s="188"/>
      <c r="H145" s="188"/>
      <c r="I145" s="188"/>
      <c r="J145" s="188"/>
      <c r="K145" s="188"/>
      <c r="L145" s="188"/>
      <c r="M145" s="188"/>
      <c r="N145" s="188"/>
      <c r="O145" s="188"/>
      <c r="P145" s="188"/>
      <c r="Q145" s="188"/>
      <c r="R145" s="188"/>
      <c r="S145" s="188"/>
      <c r="AE145" s="302">
        <v>40405</v>
      </c>
      <c r="AF145" s="38">
        <f>WORKDAY(EDATE(AE145,1)-1,1,FERIADOS!$A$1:$A$830)</f>
        <v>40436</v>
      </c>
      <c r="AG145" s="303">
        <v>3112.29</v>
      </c>
      <c r="AH145" s="306">
        <v>0.04</v>
      </c>
    </row>
    <row r="146" spans="1:35" x14ac:dyDescent="0.2">
      <c r="A146" s="188"/>
      <c r="B146" s="188"/>
      <c r="C146" s="188"/>
      <c r="D146" s="188"/>
      <c r="E146" s="188"/>
      <c r="F146" s="188"/>
      <c r="G146" s="188"/>
      <c r="H146" s="188"/>
      <c r="I146" s="188"/>
      <c r="J146" s="188"/>
      <c r="K146" s="188"/>
      <c r="L146" s="188"/>
      <c r="M146" s="188"/>
      <c r="N146" s="188"/>
      <c r="O146" s="188"/>
      <c r="P146" s="188"/>
      <c r="Q146" s="188"/>
      <c r="R146" s="188"/>
      <c r="S146" s="188"/>
      <c r="AE146" s="302">
        <v>40436</v>
      </c>
      <c r="AF146" s="38">
        <f>WORKDAY(EDATE(AE146,1)-1,1,FERIADOS!$A$1:$A$830)</f>
        <v>40466</v>
      </c>
      <c r="AG146" s="303">
        <v>3126.29</v>
      </c>
      <c r="AH146" s="306">
        <v>0.45</v>
      </c>
    </row>
    <row r="147" spans="1:35" x14ac:dyDescent="0.2">
      <c r="A147" s="188"/>
      <c r="B147" s="188"/>
      <c r="C147" s="188"/>
      <c r="D147" s="188"/>
      <c r="E147" s="188"/>
      <c r="F147" s="188"/>
      <c r="G147" s="188"/>
      <c r="H147" s="188"/>
      <c r="I147" s="188"/>
      <c r="J147" s="188"/>
      <c r="K147" s="188"/>
      <c r="L147" s="188"/>
      <c r="M147" s="188"/>
      <c r="N147" s="188"/>
      <c r="O147" s="188"/>
      <c r="P147" s="188"/>
      <c r="Q147" s="188"/>
      <c r="R147" s="188"/>
      <c r="S147" s="188"/>
      <c r="AE147" s="302">
        <v>40466</v>
      </c>
      <c r="AF147" s="38">
        <f>WORKDAY(EDATE(AE147,1)-1,1,FERIADOS!$A$1:$A$830)</f>
        <v>40498</v>
      </c>
      <c r="AG147" s="303">
        <v>3149.74</v>
      </c>
      <c r="AH147" s="306">
        <v>0.75</v>
      </c>
    </row>
    <row r="148" spans="1:35" x14ac:dyDescent="0.2">
      <c r="A148" s="188"/>
      <c r="B148" s="188"/>
      <c r="C148" s="188"/>
      <c r="D148" s="188"/>
      <c r="E148" s="188"/>
      <c r="F148" s="188"/>
      <c r="G148" s="188"/>
      <c r="H148" s="188"/>
      <c r="I148" s="188"/>
      <c r="J148" s="188"/>
      <c r="K148" s="188"/>
      <c r="L148" s="188"/>
      <c r="M148" s="188"/>
      <c r="N148" s="188"/>
      <c r="O148" s="188"/>
      <c r="P148" s="188"/>
      <c r="Q148" s="188"/>
      <c r="R148" s="188"/>
      <c r="S148" s="188"/>
      <c r="AE148" s="302">
        <v>40497</v>
      </c>
      <c r="AF148" s="38">
        <f>WORKDAY(EDATE(AE148,1)-1,1,FERIADOS!$A$1:$A$830)</f>
        <v>40527</v>
      </c>
      <c r="AG148" s="303">
        <v>3175.88</v>
      </c>
      <c r="AH148" s="306">
        <v>0.83</v>
      </c>
    </row>
    <row r="149" spans="1:35" x14ac:dyDescent="0.2">
      <c r="A149" s="188"/>
      <c r="B149" s="188"/>
      <c r="C149" s="188"/>
      <c r="D149" s="188"/>
      <c r="E149" s="188"/>
      <c r="F149" s="188"/>
      <c r="G149" s="188"/>
      <c r="H149" s="188"/>
      <c r="I149" s="188"/>
      <c r="J149" s="188"/>
      <c r="K149" s="188"/>
      <c r="L149" s="188"/>
      <c r="M149" s="188"/>
      <c r="N149" s="188"/>
      <c r="O149" s="188"/>
      <c r="P149" s="188"/>
      <c r="Q149" s="188"/>
      <c r="R149" s="188"/>
      <c r="S149" s="188"/>
      <c r="AE149" s="302">
        <v>40527</v>
      </c>
      <c r="AF149" s="38">
        <f>WORKDAY(EDATE(AE149,1)-1,1,FERIADOS!$A$1:$A$830)</f>
        <v>40560</v>
      </c>
      <c r="AG149" s="303">
        <v>3195.89</v>
      </c>
      <c r="AH149" s="306">
        <v>0.63</v>
      </c>
    </row>
    <row r="150" spans="1:35" x14ac:dyDescent="0.2">
      <c r="A150" s="188"/>
      <c r="B150" s="188"/>
      <c r="C150" s="188"/>
      <c r="D150" s="188"/>
      <c r="E150" s="188"/>
      <c r="F150" s="188"/>
      <c r="G150" s="188"/>
      <c r="H150" s="188"/>
      <c r="I150" s="188"/>
      <c r="J150" s="188"/>
      <c r="K150" s="188"/>
      <c r="L150" s="188"/>
      <c r="M150" s="188"/>
      <c r="N150" s="188"/>
      <c r="O150" s="188"/>
      <c r="P150" s="188"/>
      <c r="Q150" s="188"/>
      <c r="R150" s="188"/>
      <c r="S150" s="188"/>
      <c r="AE150" s="302">
        <v>40558</v>
      </c>
      <c r="AF150" s="38">
        <f>WORKDAY(EDATE(AE150,1)-1,1,FERIADOS!$A$1:$A$830)</f>
        <v>40589</v>
      </c>
      <c r="AG150" s="303">
        <v>3222.42</v>
      </c>
      <c r="AH150" s="307">
        <v>0.83</v>
      </c>
      <c r="AI150" s="308"/>
    </row>
    <row r="151" spans="1:35" x14ac:dyDescent="0.2">
      <c r="A151" s="188"/>
      <c r="B151" s="188"/>
      <c r="C151" s="188"/>
      <c r="D151" s="188"/>
      <c r="E151" s="188"/>
      <c r="F151" s="188"/>
      <c r="G151" s="188"/>
      <c r="H151" s="188"/>
      <c r="I151" s="188"/>
      <c r="J151" s="188"/>
      <c r="K151" s="188"/>
      <c r="L151" s="188"/>
      <c r="M151" s="188"/>
      <c r="N151" s="188"/>
      <c r="O151" s="188"/>
      <c r="P151" s="188"/>
      <c r="Q151" s="188"/>
      <c r="R151" s="188"/>
      <c r="S151" s="188"/>
      <c r="AE151" s="302">
        <v>40589</v>
      </c>
      <c r="AF151" s="38">
        <f>WORKDAY(EDATE(AE151,1)-1,1,FERIADOS!$A$1:$A$830)</f>
        <v>40617</v>
      </c>
      <c r="AG151" s="303">
        <v>3248.2</v>
      </c>
      <c r="AH151" s="309">
        <v>0.8</v>
      </c>
    </row>
    <row r="152" spans="1:35" x14ac:dyDescent="0.2">
      <c r="A152" s="188"/>
      <c r="B152" s="188"/>
      <c r="C152" s="188"/>
      <c r="D152" s="188"/>
      <c r="E152" s="188"/>
      <c r="F152" s="188"/>
      <c r="G152" s="188"/>
      <c r="H152" s="188"/>
      <c r="I152" s="188"/>
      <c r="J152" s="188"/>
      <c r="K152" s="188"/>
      <c r="L152" s="188"/>
      <c r="M152" s="188"/>
      <c r="N152" s="188"/>
      <c r="O152" s="188"/>
      <c r="P152" s="188"/>
      <c r="Q152" s="188"/>
      <c r="R152" s="188"/>
      <c r="S152" s="188"/>
      <c r="AE152" s="302">
        <v>40617</v>
      </c>
      <c r="AF152" s="38">
        <f>WORKDAY(EDATE(AE152,1)-1,1,FERIADOS!$A$1:$A$830)</f>
        <v>40648</v>
      </c>
      <c r="AG152" s="303">
        <v>3273.86</v>
      </c>
      <c r="AH152" s="307">
        <v>0.79</v>
      </c>
    </row>
    <row r="153" spans="1:35" x14ac:dyDescent="0.2">
      <c r="A153" s="188"/>
      <c r="B153" s="188"/>
      <c r="C153" s="188"/>
      <c r="D153" s="188"/>
      <c r="E153" s="188"/>
      <c r="F153" s="188"/>
      <c r="G153" s="188"/>
      <c r="H153" s="188"/>
      <c r="I153" s="188"/>
      <c r="J153" s="188"/>
      <c r="K153" s="188"/>
      <c r="L153" s="188"/>
      <c r="M153" s="188"/>
      <c r="N153" s="188"/>
      <c r="O153" s="188"/>
      <c r="P153" s="188"/>
      <c r="Q153" s="188"/>
      <c r="R153" s="188"/>
      <c r="S153" s="188"/>
      <c r="AE153" s="302">
        <v>40648</v>
      </c>
      <c r="AF153" s="38">
        <f>WORKDAY(EDATE(AE153,1)-1,1,FERIADOS!$A$1:$A$830)</f>
        <v>40679</v>
      </c>
      <c r="AG153" s="303">
        <v>3299.07</v>
      </c>
      <c r="AH153" s="307">
        <v>0.77</v>
      </c>
    </row>
    <row r="154" spans="1:35" x14ac:dyDescent="0.2">
      <c r="A154" s="188"/>
      <c r="B154" s="188"/>
      <c r="C154" s="188"/>
      <c r="D154" s="188"/>
      <c r="E154" s="188"/>
      <c r="F154" s="188"/>
      <c r="G154" s="188"/>
      <c r="H154" s="188"/>
      <c r="I154" s="188"/>
      <c r="J154" s="188"/>
      <c r="K154" s="188"/>
      <c r="L154" s="188"/>
      <c r="M154" s="188"/>
      <c r="N154" s="188"/>
      <c r="O154" s="188"/>
      <c r="P154" s="188"/>
      <c r="Q154" s="188"/>
      <c r="R154" s="188"/>
      <c r="S154" s="188"/>
      <c r="AE154" s="302">
        <v>40678</v>
      </c>
      <c r="AF154" s="38">
        <f>WORKDAY(EDATE(AE154,1)-1,1,FERIADOS!$A$1:$A$830)</f>
        <v>40709</v>
      </c>
      <c r="AG154" s="303">
        <v>3314.58</v>
      </c>
      <c r="AH154" s="307">
        <v>0.47</v>
      </c>
    </row>
    <row r="155" spans="1:35" x14ac:dyDescent="0.2">
      <c r="A155" s="188"/>
      <c r="B155" s="188"/>
      <c r="C155" s="188"/>
      <c r="D155" s="188"/>
      <c r="E155" s="188"/>
      <c r="F155" s="188"/>
      <c r="G155" s="188"/>
      <c r="H155" s="188"/>
      <c r="I155" s="188"/>
      <c r="J155" s="188"/>
      <c r="K155" s="188"/>
      <c r="L155" s="188"/>
      <c r="M155" s="188"/>
      <c r="N155" s="188"/>
      <c r="O155" s="188"/>
      <c r="P155" s="188"/>
      <c r="Q155" s="188"/>
      <c r="R155" s="188"/>
      <c r="S155" s="188"/>
      <c r="AE155" s="302">
        <v>40709</v>
      </c>
      <c r="AF155" s="38">
        <f>WORKDAY(EDATE(AE155,1)-1,1,FERIADOS!$A$1:$A$830)</f>
        <v>40739</v>
      </c>
      <c r="AG155" s="303">
        <v>3319.55</v>
      </c>
      <c r="AH155" s="307">
        <v>0.15</v>
      </c>
    </row>
    <row r="156" spans="1:35" x14ac:dyDescent="0.2">
      <c r="A156" s="188"/>
      <c r="B156" s="188"/>
      <c r="C156" s="188"/>
      <c r="D156" s="188"/>
      <c r="E156" s="188"/>
      <c r="F156" s="188"/>
      <c r="G156" s="188"/>
      <c r="H156" s="188"/>
      <c r="I156" s="188"/>
      <c r="J156" s="188"/>
      <c r="K156" s="188"/>
      <c r="L156" s="188"/>
      <c r="M156" s="188"/>
      <c r="N156" s="188"/>
      <c r="O156" s="188"/>
      <c r="P156" s="188"/>
      <c r="Q156" s="188"/>
      <c r="R156" s="188"/>
      <c r="S156" s="188"/>
      <c r="AE156" s="302">
        <v>40739</v>
      </c>
      <c r="AF156" s="38">
        <f>WORKDAY(EDATE(AE156,1)-1,1,FERIADOS!$A$1:$A$830)</f>
        <v>40770</v>
      </c>
      <c r="AG156" s="303">
        <v>3324.86</v>
      </c>
      <c r="AH156" s="307">
        <v>0.16</v>
      </c>
    </row>
    <row r="157" spans="1:35" x14ac:dyDescent="0.2">
      <c r="A157" s="188"/>
      <c r="B157" s="188"/>
      <c r="C157" s="188"/>
      <c r="D157" s="188"/>
      <c r="E157" s="188"/>
      <c r="F157" s="188"/>
      <c r="G157" s="188"/>
      <c r="H157" s="188"/>
      <c r="I157" s="188"/>
      <c r="J157" s="188"/>
      <c r="K157" s="188"/>
      <c r="L157" s="188"/>
      <c r="M157" s="188"/>
      <c r="N157" s="188"/>
      <c r="O157" s="188"/>
      <c r="P157" s="188"/>
      <c r="Q157" s="188"/>
      <c r="R157" s="188"/>
      <c r="S157" s="188"/>
      <c r="AE157" s="302">
        <v>40770</v>
      </c>
      <c r="AF157" s="38">
        <f>WORKDAY(EDATE(AE157,1)-1,1,FERIADOS!$A$1:$A$830)</f>
        <v>40801</v>
      </c>
      <c r="AG157" s="303">
        <v>3337.16</v>
      </c>
      <c r="AH157" s="307">
        <v>0.37</v>
      </c>
    </row>
    <row r="158" spans="1:35" x14ac:dyDescent="0.2">
      <c r="A158" s="188"/>
      <c r="B158" s="188"/>
      <c r="C158" s="188"/>
      <c r="D158" s="188"/>
      <c r="E158" s="188"/>
      <c r="F158" s="188"/>
      <c r="G158" s="188"/>
      <c r="H158" s="188"/>
      <c r="I158" s="188"/>
      <c r="J158" s="188"/>
      <c r="K158" s="188"/>
      <c r="L158" s="188"/>
      <c r="M158" s="188"/>
      <c r="N158" s="188"/>
      <c r="O158" s="188"/>
      <c r="P158" s="188"/>
      <c r="Q158" s="188"/>
      <c r="R158" s="188"/>
      <c r="S158" s="188"/>
      <c r="AE158" s="302">
        <v>40801</v>
      </c>
      <c r="AF158" s="38">
        <f>WORKDAY(EDATE(AE158,1)-1,1,FERIADOS!$A$1:$A$830)</f>
        <v>40833</v>
      </c>
      <c r="AG158" s="303">
        <v>3354.85</v>
      </c>
      <c r="AH158" s="307">
        <v>0.53</v>
      </c>
    </row>
    <row r="159" spans="1:35" x14ac:dyDescent="0.2">
      <c r="A159" s="188"/>
      <c r="B159" s="188"/>
      <c r="C159" s="188"/>
      <c r="D159" s="188"/>
      <c r="E159" s="188"/>
      <c r="F159" s="188"/>
      <c r="G159" s="188"/>
      <c r="H159" s="188"/>
      <c r="I159" s="188"/>
      <c r="J159" s="188"/>
      <c r="K159" s="188"/>
      <c r="L159" s="188"/>
      <c r="M159" s="188"/>
      <c r="N159" s="188"/>
      <c r="O159" s="188"/>
      <c r="P159" s="188"/>
      <c r="Q159" s="188"/>
      <c r="R159" s="188"/>
      <c r="S159" s="188"/>
      <c r="AE159" s="302">
        <v>40831</v>
      </c>
      <c r="AF159" s="38">
        <f>WORKDAY(EDATE(AE159,1)-1,1,FERIADOS!$A$1:$A$830)</f>
        <v>40863</v>
      </c>
      <c r="AG159" s="303">
        <v>3369.28</v>
      </c>
      <c r="AH159" s="307">
        <v>0.43</v>
      </c>
    </row>
    <row r="160" spans="1:35" x14ac:dyDescent="0.2">
      <c r="A160" s="188"/>
      <c r="B160" s="188"/>
      <c r="C160" s="188"/>
      <c r="D160" s="188"/>
      <c r="E160" s="188"/>
      <c r="F160" s="188"/>
      <c r="G160" s="188"/>
      <c r="H160" s="188"/>
      <c r="I160" s="188"/>
      <c r="J160" s="188"/>
      <c r="K160" s="188"/>
      <c r="L160" s="188"/>
      <c r="M160" s="188"/>
      <c r="N160" s="188"/>
      <c r="O160" s="188"/>
      <c r="P160" s="188"/>
      <c r="Q160" s="188"/>
      <c r="R160" s="188"/>
      <c r="S160" s="188"/>
      <c r="AE160" s="302">
        <v>40862</v>
      </c>
      <c r="AF160" s="38">
        <f>WORKDAY(EDATE(AE160,1)-1,1,FERIADOS!$A$1:$A$830)</f>
        <v>40892</v>
      </c>
      <c r="AG160" s="303">
        <v>3386.8</v>
      </c>
      <c r="AH160" s="307">
        <v>0.52</v>
      </c>
    </row>
    <row r="161" spans="1:36" x14ac:dyDescent="0.2">
      <c r="A161" s="188"/>
      <c r="B161" s="188"/>
      <c r="C161" s="188"/>
      <c r="D161" s="188"/>
      <c r="E161" s="188"/>
      <c r="F161" s="188"/>
      <c r="G161" s="188"/>
      <c r="H161" s="188"/>
      <c r="I161" s="188"/>
      <c r="J161" s="188"/>
      <c r="K161" s="188"/>
      <c r="L161" s="188"/>
      <c r="M161" s="188"/>
      <c r="N161" s="188"/>
      <c r="O161" s="188"/>
      <c r="P161" s="188"/>
      <c r="Q161" s="188"/>
      <c r="R161" s="188"/>
      <c r="S161" s="188"/>
      <c r="AE161" s="302">
        <v>40892</v>
      </c>
      <c r="AF161" s="38">
        <f>WORKDAY(EDATE(AE161,1)-1,1,FERIADOS!$A$1:$A$830)</f>
        <v>40924</v>
      </c>
      <c r="AG161" s="303">
        <v>3403.73</v>
      </c>
      <c r="AH161" s="307">
        <v>0.5</v>
      </c>
    </row>
    <row r="162" spans="1:36" x14ac:dyDescent="0.2">
      <c r="A162" s="188"/>
      <c r="B162" s="188"/>
      <c r="C162" s="188"/>
      <c r="D162" s="188"/>
      <c r="E162" s="188"/>
      <c r="F162" s="188"/>
      <c r="G162" s="188"/>
      <c r="H162" s="188"/>
      <c r="I162" s="188"/>
      <c r="J162" s="188"/>
      <c r="K162" s="188"/>
      <c r="L162" s="188"/>
      <c r="M162" s="188"/>
      <c r="N162" s="188"/>
      <c r="O162" s="188"/>
      <c r="P162" s="188"/>
      <c r="Q162" s="188"/>
      <c r="R162" s="188"/>
      <c r="S162" s="188"/>
      <c r="AE162" s="302">
        <v>40923</v>
      </c>
      <c r="AF162" s="38">
        <f>WORKDAY(EDATE(AE162,1)-1,1,FERIADOS!$A$1:$A$830)</f>
        <v>40954</v>
      </c>
      <c r="AG162" s="303">
        <v>3422.79</v>
      </c>
      <c r="AH162" s="307">
        <v>0.56000000000000005</v>
      </c>
    </row>
    <row r="163" spans="1:36" x14ac:dyDescent="0.2">
      <c r="AE163" s="302">
        <v>40954</v>
      </c>
      <c r="AF163" s="38">
        <f>WORKDAY(EDATE(AE163,1)-1,1,FERIADOS!$A$1:$A$830)</f>
        <v>40983</v>
      </c>
      <c r="AG163" s="303">
        <v>3438.19</v>
      </c>
      <c r="AH163" s="307">
        <v>0.45</v>
      </c>
    </row>
    <row r="164" spans="1:36" x14ac:dyDescent="0.2">
      <c r="AE164" s="302">
        <v>40983</v>
      </c>
      <c r="AF164" s="38">
        <f>WORKDAY(EDATE(AE164,1)-1,1,FERIADOS!$A$1:$A$830)</f>
        <v>41015</v>
      </c>
      <c r="AG164" s="303">
        <v>3445.41</v>
      </c>
      <c r="AH164" s="307">
        <v>0.21</v>
      </c>
      <c r="AJ164" s="273"/>
    </row>
    <row r="165" spans="1:36" x14ac:dyDescent="0.2">
      <c r="AE165" s="302">
        <v>41014</v>
      </c>
      <c r="AF165" s="38">
        <f>WORKDAY(EDATE(AE165,1)-1,1,FERIADOS!$A$1:$A$830)</f>
        <v>41044</v>
      </c>
      <c r="AG165" s="303">
        <v>3467.46</v>
      </c>
      <c r="AH165" s="307">
        <v>0.64</v>
      </c>
      <c r="AI165" s="11"/>
    </row>
    <row r="166" spans="1:36" x14ac:dyDescent="0.2">
      <c r="AE166" s="302">
        <v>41044</v>
      </c>
      <c r="AF166" s="38">
        <f>WORKDAY(EDATE(AE166,1)-1,1,FERIADOS!$A$1:$A$830)</f>
        <v>41075</v>
      </c>
      <c r="AG166" s="303">
        <v>3479.94</v>
      </c>
      <c r="AH166" s="307">
        <v>0.36</v>
      </c>
    </row>
    <row r="167" spans="1:36" x14ac:dyDescent="0.2">
      <c r="AE167" s="302">
        <v>41075</v>
      </c>
      <c r="AF167" s="38">
        <f>WORKDAY(EDATE(AE167,1)-1,1,FERIADOS!$A$1:$A$830)</f>
        <v>41106</v>
      </c>
      <c r="AG167" s="303">
        <v>3482.72</v>
      </c>
      <c r="AH167" s="307">
        <v>0.08</v>
      </c>
    </row>
    <row r="168" spans="1:36" x14ac:dyDescent="0.2">
      <c r="AE168" s="302">
        <v>41105</v>
      </c>
      <c r="AF168" s="38">
        <f>WORKDAY(EDATE(AE168,1)-1,1,FERIADOS!$A$1:$A$830)</f>
        <v>41136</v>
      </c>
      <c r="AG168" s="303">
        <v>3497.7</v>
      </c>
      <c r="AH168" s="307">
        <v>0.43</v>
      </c>
    </row>
    <row r="169" spans="1:36" x14ac:dyDescent="0.2">
      <c r="AE169" s="302">
        <v>41136</v>
      </c>
      <c r="AF169" s="38">
        <f>WORKDAY(EDATE(AE169,1)-1,1,FERIADOS!$A$1:$A$830)</f>
        <v>41169</v>
      </c>
      <c r="AG169" s="303">
        <v>3512.04</v>
      </c>
      <c r="AH169" s="307">
        <v>0.41</v>
      </c>
    </row>
    <row r="170" spans="1:36" x14ac:dyDescent="0.2">
      <c r="AE170" s="302">
        <v>41167</v>
      </c>
      <c r="AF170" s="38">
        <f>WORKDAY(EDATE(AE170,1)-1,1,FERIADOS!$A$1:$A$830)</f>
        <v>41197</v>
      </c>
      <c r="AG170" s="303">
        <v>3532.06</v>
      </c>
      <c r="AH170" s="307">
        <v>0.56999999999999995</v>
      </c>
    </row>
    <row r="171" spans="1:36" x14ac:dyDescent="0.2">
      <c r="AE171" s="302">
        <v>41197</v>
      </c>
      <c r="AF171" s="38">
        <f>WORKDAY(EDATE(AE171,1)-1,1,FERIADOS!$A$1:$A$830)</f>
        <v>41229</v>
      </c>
      <c r="AG171" s="303">
        <v>3552.9</v>
      </c>
      <c r="AH171" s="307">
        <v>0.59</v>
      </c>
    </row>
    <row r="172" spans="1:36" x14ac:dyDescent="0.2">
      <c r="AE172" s="302">
        <v>41228</v>
      </c>
      <c r="AF172" s="38">
        <f>WORKDAY(EDATE(AE172,1)-1,1,FERIADOS!$A$1:$A$830)</f>
        <v>41260</v>
      </c>
      <c r="AG172" s="303">
        <v>3574.22</v>
      </c>
      <c r="AH172" s="307">
        <v>0.6</v>
      </c>
    </row>
    <row r="173" spans="1:36" x14ac:dyDescent="0.2">
      <c r="AE173" s="302">
        <v>41258</v>
      </c>
      <c r="AF173" s="38">
        <f>WORKDAY(EDATE(AE173,1)-1,1,FERIADOS!$A$1:$A$830)</f>
        <v>41289</v>
      </c>
      <c r="AG173" s="303">
        <v>3602.46</v>
      </c>
      <c r="AH173" s="307">
        <v>0.79</v>
      </c>
    </row>
    <row r="174" spans="1:36" x14ac:dyDescent="0.2">
      <c r="AE174" s="302">
        <v>41289</v>
      </c>
      <c r="AF174" s="38">
        <f>WORKDAY(EDATE(AE174,1)-1,1,FERIADOS!$A$1:$A$830)</f>
        <v>41320</v>
      </c>
      <c r="AG174" s="303">
        <v>3633.44</v>
      </c>
      <c r="AH174" s="307">
        <v>0.86</v>
      </c>
    </row>
    <row r="175" spans="1:36" x14ac:dyDescent="0.2">
      <c r="AE175" s="302">
        <v>41320</v>
      </c>
      <c r="AF175" s="38">
        <f>WORKDAY(EDATE(AE175,1)-1,1,FERIADOS!$A$1:$A$830)</f>
        <v>41348</v>
      </c>
      <c r="AG175" s="303">
        <v>3655.24</v>
      </c>
      <c r="AH175" s="307">
        <v>0.6</v>
      </c>
    </row>
    <row r="176" spans="1:36" x14ac:dyDescent="0.2">
      <c r="AE176" s="302">
        <v>41348</v>
      </c>
      <c r="AF176" s="38">
        <f>WORKDAY(EDATE(AE176,1)-1,1,FERIADOS!$A$1:$A$830)</f>
        <v>41379</v>
      </c>
      <c r="AG176" s="303">
        <v>3672.42</v>
      </c>
      <c r="AH176" s="307">
        <v>0.47</v>
      </c>
      <c r="AI176" s="310"/>
    </row>
    <row r="177" spans="31:35" x14ac:dyDescent="0.2">
      <c r="AE177" s="302">
        <v>41379</v>
      </c>
      <c r="AF177" s="38">
        <f>WORKDAY(EDATE(AE177,1)-1,1,FERIADOS!$A$1:$A$830)</f>
        <v>41409</v>
      </c>
      <c r="AG177" s="303">
        <v>3692.62</v>
      </c>
      <c r="AH177" s="307">
        <v>0.55000000000000004</v>
      </c>
    </row>
    <row r="178" spans="31:35" x14ac:dyDescent="0.2">
      <c r="AE178" s="302">
        <v>41409</v>
      </c>
      <c r="AF178" s="38">
        <f>WORKDAY(EDATE(AE178,1)-1,1,FERIADOS!$A$1:$A$830)</f>
        <v>41442</v>
      </c>
      <c r="AG178" s="303">
        <v>3706.28</v>
      </c>
      <c r="AH178" s="307">
        <v>0.37</v>
      </c>
      <c r="AI178" s="311"/>
    </row>
    <row r="179" spans="31:35" x14ac:dyDescent="0.2">
      <c r="AE179" s="302">
        <v>41440</v>
      </c>
      <c r="AF179" s="38">
        <f>WORKDAY(EDATE(AE179,1)-1,1,FERIADOS!$A$1:$A$830)</f>
        <v>41470</v>
      </c>
      <c r="AG179" s="303">
        <v>3715.92</v>
      </c>
      <c r="AH179" s="307">
        <v>0.26</v>
      </c>
      <c r="AI179" s="312"/>
    </row>
    <row r="180" spans="31:35" x14ac:dyDescent="0.2">
      <c r="AE180" s="302">
        <v>41470</v>
      </c>
      <c r="AF180" s="38">
        <f>WORKDAY(EDATE(AE180,1)-1,1,FERIADOS!$A$1:$A$830)</f>
        <v>41501</v>
      </c>
      <c r="AG180" s="303">
        <v>3717.03</v>
      </c>
      <c r="AH180" s="307">
        <v>0.03</v>
      </c>
      <c r="AI180" s="311"/>
    </row>
    <row r="181" spans="31:35" x14ac:dyDescent="0.2">
      <c r="AE181" s="302">
        <v>41501</v>
      </c>
      <c r="AF181" s="38">
        <f>WORKDAY(EDATE(AE181,1)-1,1,FERIADOS!$A$1:$A$830)</f>
        <v>41533</v>
      </c>
      <c r="AG181" s="303">
        <v>3725.95</v>
      </c>
      <c r="AH181" s="307">
        <v>0.23997653999999999</v>
      </c>
    </row>
    <row r="182" spans="31:35" x14ac:dyDescent="0.2">
      <c r="AE182" s="302">
        <v>41532</v>
      </c>
      <c r="AF182" s="38">
        <f>WORKDAY(EDATE(AE182,1)-1,1,FERIADOS!$A$1:$A$830)</f>
        <v>41562</v>
      </c>
      <c r="AG182" s="303">
        <v>3738.99</v>
      </c>
      <c r="AH182" s="307">
        <v>0.35</v>
      </c>
    </row>
    <row r="183" spans="31:35" x14ac:dyDescent="0.2">
      <c r="AE183" s="302">
        <v>41562</v>
      </c>
      <c r="AF183" s="38">
        <f>WORKDAY(EDATE(AE183,1)-1,1,FERIADOS!$A$1:$A$830)</f>
        <v>41596</v>
      </c>
      <c r="AG183" s="303">
        <v>3760.3</v>
      </c>
      <c r="AH183" s="307">
        <v>0.56999999999999995</v>
      </c>
    </row>
    <row r="184" spans="31:35" x14ac:dyDescent="0.2">
      <c r="AE184" s="302">
        <v>41593</v>
      </c>
      <c r="AF184" s="38">
        <f>WORKDAY(EDATE(AE184,1)-1,1,FERIADOS!$A$1:$A$830)</f>
        <v>41624</v>
      </c>
      <c r="AG184" s="303">
        <v>3780.61</v>
      </c>
      <c r="AH184" s="307">
        <v>0.54</v>
      </c>
    </row>
    <row r="185" spans="31:35" x14ac:dyDescent="0.2">
      <c r="AE185" s="302">
        <v>41623</v>
      </c>
      <c r="AF185" s="38">
        <f>WORKDAY(EDATE(AE185,1)-1,1,FERIADOS!$A$1:$A$830)</f>
        <v>41654</v>
      </c>
      <c r="AG185" s="303">
        <v>3815.39</v>
      </c>
      <c r="AH185" s="307">
        <v>0.92</v>
      </c>
    </row>
    <row r="186" spans="31:35" x14ac:dyDescent="0.2">
      <c r="AE186" s="302">
        <v>41654</v>
      </c>
      <c r="AF186" s="38">
        <f>WORKDAY(EDATE(AE186,1)-1,1,FERIADOS!$A$1:$A$830)</f>
        <v>41687</v>
      </c>
      <c r="AG186" s="303">
        <v>3836.38</v>
      </c>
      <c r="AH186" s="307">
        <v>0.55000000000000004</v>
      </c>
    </row>
    <row r="187" spans="31:35" x14ac:dyDescent="0.2">
      <c r="AE187" s="302">
        <v>41685</v>
      </c>
      <c r="AF187" s="38">
        <f>WORKDAY(EDATE(AE187,1)-1,1,FERIADOS!$A$1:$A$830)</f>
        <v>41715</v>
      </c>
      <c r="AG187" s="303">
        <v>3862.84</v>
      </c>
      <c r="AH187" s="307">
        <v>0.69</v>
      </c>
      <c r="AI187" s="5">
        <f>(AG187/AG186-1)*100</f>
        <v>0.68971269790791823</v>
      </c>
    </row>
    <row r="188" spans="31:35" x14ac:dyDescent="0.2">
      <c r="AE188" s="302">
        <v>41713</v>
      </c>
      <c r="AF188" s="38">
        <f>WORKDAY(EDATE(AE188,1)-1,1,FERIADOS!$A$1:$A$830)</f>
        <v>41744</v>
      </c>
      <c r="AG188" s="303">
        <v>3898.38</v>
      </c>
      <c r="AH188" s="307">
        <v>0.92</v>
      </c>
      <c r="AI188" s="5">
        <f t="shared" ref="AI188:AI236" si="39">(AG188/AG187-1)*100</f>
        <v>0.92004846175353094</v>
      </c>
    </row>
    <row r="189" spans="31:35" x14ac:dyDescent="0.2">
      <c r="AE189" s="302">
        <v>41744</v>
      </c>
      <c r="AF189" s="38">
        <f>WORKDAY(EDATE(AE189,1)-1,1,FERIADOS!$A$1:$A$830)</f>
        <v>41774</v>
      </c>
      <c r="AG189" s="303">
        <v>3924.5</v>
      </c>
      <c r="AH189" s="307">
        <v>0.67</v>
      </c>
      <c r="AI189" s="5">
        <f t="shared" si="39"/>
        <v>0.67002190653553395</v>
      </c>
    </row>
    <row r="190" spans="31:35" x14ac:dyDescent="0.2">
      <c r="AE190" s="302">
        <v>41774</v>
      </c>
      <c r="AF190" s="38">
        <f>WORKDAY(EDATE(AE190,1)-1,1,FERIADOS!$A$1:$A$830)</f>
        <v>41806</v>
      </c>
      <c r="AG190" s="303">
        <v>3942.55</v>
      </c>
      <c r="AH190" s="307">
        <v>0.46</v>
      </c>
      <c r="AI190" s="5">
        <f t="shared" si="39"/>
        <v>0.459931201426933</v>
      </c>
    </row>
    <row r="191" spans="31:35" x14ac:dyDescent="0.2">
      <c r="AE191" s="302">
        <v>41805</v>
      </c>
      <c r="AF191" s="38">
        <f>WORKDAY(EDATE(AE191,1)-1,1,FERIADOS!$A$1:$A$830)</f>
        <v>41835</v>
      </c>
      <c r="AG191" s="303">
        <v>3958.32</v>
      </c>
      <c r="AH191" s="307">
        <v>0.4</v>
      </c>
      <c r="AI191" s="5">
        <f t="shared" si="39"/>
        <v>0.39999492714106744</v>
      </c>
    </row>
    <row r="192" spans="31:35" x14ac:dyDescent="0.2">
      <c r="AE192" s="302">
        <v>41835</v>
      </c>
      <c r="AF192" s="38">
        <f>WORKDAY(EDATE(AE192,1)-1,1,FERIADOS!$A$1:$A$830)</f>
        <v>41866</v>
      </c>
      <c r="AG192" s="303">
        <v>3958.72</v>
      </c>
      <c r="AH192" s="307">
        <v>0.01</v>
      </c>
      <c r="AI192" s="5">
        <f t="shared" si="39"/>
        <v>1.0105297196782992E-2</v>
      </c>
    </row>
    <row r="193" spans="31:35" x14ac:dyDescent="0.2">
      <c r="AE193" s="302">
        <v>41866</v>
      </c>
      <c r="AF193" s="38">
        <f>WORKDAY(EDATE(AE193,1)-1,1,FERIADOS!$A$1:$A$830)</f>
        <v>41897</v>
      </c>
      <c r="AG193" s="303">
        <v>3968.62</v>
      </c>
      <c r="AH193" s="307">
        <v>0.25</v>
      </c>
      <c r="AI193" s="5">
        <f t="shared" si="39"/>
        <v>0.25008083420903215</v>
      </c>
    </row>
    <row r="194" spans="31:35" x14ac:dyDescent="0.2">
      <c r="AE194" s="302">
        <v>41897</v>
      </c>
      <c r="AF194" s="38">
        <f>WORKDAY(EDATE(AE194,1)-1,1,FERIADOS!$A$1:$A$830)</f>
        <v>41927</v>
      </c>
      <c r="AG194" s="303">
        <v>3991.24</v>
      </c>
      <c r="AH194" s="307">
        <v>0.56999999999999995</v>
      </c>
      <c r="AI194" s="5">
        <f t="shared" si="39"/>
        <v>0.56997142583568028</v>
      </c>
    </row>
    <row r="195" spans="31:35" x14ac:dyDescent="0.2">
      <c r="AE195" s="302">
        <v>41927</v>
      </c>
      <c r="AF195" s="38">
        <f>WORKDAY(EDATE(AE195,1)-1,1,FERIADOS!$A$1:$A$830)</f>
        <v>41960</v>
      </c>
      <c r="AG195" s="303">
        <v>4008</v>
      </c>
      <c r="AH195" s="307">
        <v>0.42</v>
      </c>
      <c r="AI195" s="5">
        <f t="shared" si="39"/>
        <v>0.41991962397651683</v>
      </c>
    </row>
    <row r="196" spans="31:35" x14ac:dyDescent="0.2">
      <c r="AE196" s="302">
        <v>41958</v>
      </c>
      <c r="AF196" s="38">
        <f>WORKDAY(EDATE(AE196,1)-1,1,FERIADOS!$A$1:$A$830)</f>
        <v>41988</v>
      </c>
      <c r="AG196" s="303">
        <v>4028.44</v>
      </c>
      <c r="AH196" s="307">
        <v>0.51</v>
      </c>
      <c r="AI196" s="5">
        <f t="shared" si="39"/>
        <v>0.50998003992015484</v>
      </c>
    </row>
    <row r="197" spans="31:35" x14ac:dyDescent="0.2">
      <c r="AE197" s="302">
        <v>41988</v>
      </c>
      <c r="AF197" s="38">
        <f>WORKDAY(EDATE(AE197,1)-1,1,FERIADOS!$A$1:$A$830)</f>
        <v>42019</v>
      </c>
      <c r="AG197" s="303">
        <v>4059.86</v>
      </c>
      <c r="AH197" s="307">
        <v>0.77995452333905479</v>
      </c>
      <c r="AI197" s="5">
        <f t="shared" si="39"/>
        <v>0.77995452333905479</v>
      </c>
    </row>
    <row r="198" spans="31:35" x14ac:dyDescent="0.2">
      <c r="AE198" s="302">
        <v>42019</v>
      </c>
      <c r="AF198" s="38">
        <f>WORKDAY(EDATE(AE198,1)-1,1,FERIADOS!$A$1:$A$830)</f>
        <v>42053</v>
      </c>
      <c r="AG198" s="303">
        <v>4110.2</v>
      </c>
      <c r="AH198" s="307">
        <v>1.24</v>
      </c>
      <c r="AI198" s="5">
        <f t="shared" si="39"/>
        <v>1.2399442345302436</v>
      </c>
    </row>
    <row r="199" spans="31:35" x14ac:dyDescent="0.2">
      <c r="AE199" s="302">
        <v>42050</v>
      </c>
      <c r="AF199" s="38">
        <f>WORKDAY(EDATE(AE199,1)-1,1,FERIADOS!$A$1:$A$830)</f>
        <v>42079</v>
      </c>
      <c r="AG199" s="303">
        <v>4160.34</v>
      </c>
      <c r="AH199" s="307">
        <v>1.22</v>
      </c>
      <c r="AI199" s="5">
        <f t="shared" si="39"/>
        <v>1.2198919760595617</v>
      </c>
    </row>
    <row r="200" spans="31:35" x14ac:dyDescent="0.2">
      <c r="AE200" s="302">
        <v>42078</v>
      </c>
      <c r="AF200" s="38">
        <f>WORKDAY(EDATE(AE200,1)-1,1,FERIADOS!$A$1:$A$830)</f>
        <v>42109</v>
      </c>
      <c r="AG200" s="303">
        <v>4215.26</v>
      </c>
      <c r="AH200" s="307">
        <v>1.32</v>
      </c>
      <c r="AI200" s="5">
        <f t="shared" si="39"/>
        <v>1.3200844161775249</v>
      </c>
    </row>
    <row r="201" spans="31:35" x14ac:dyDescent="0.2">
      <c r="AE201" s="302">
        <v>42109</v>
      </c>
      <c r="AF201" s="38">
        <f>WORKDAY(EDATE(AE201,1)-1,1,FERIADOS!$A$1:$A$830)</f>
        <v>42139</v>
      </c>
      <c r="AG201" s="303">
        <v>4245.1899999999996</v>
      </c>
      <c r="AH201" s="307">
        <v>0.71</v>
      </c>
      <c r="AI201" s="5">
        <f t="shared" si="39"/>
        <v>0.71003923838623972</v>
      </c>
    </row>
    <row r="202" spans="31:35" x14ac:dyDescent="0.2">
      <c r="AE202" s="302">
        <v>42139</v>
      </c>
      <c r="AF202" s="38">
        <f>WORKDAY(EDATE(AE202,1)-1,1,FERIADOS!$A$1:$A$830)</f>
        <v>42170</v>
      </c>
      <c r="AG202" s="303">
        <v>4276.6000000000004</v>
      </c>
      <c r="AH202" s="307">
        <v>0.74</v>
      </c>
      <c r="AI202" s="5">
        <f t="shared" si="39"/>
        <v>0.73989621194812116</v>
      </c>
    </row>
    <row r="203" spans="31:35" x14ac:dyDescent="0.2">
      <c r="AE203" s="302">
        <v>42170</v>
      </c>
      <c r="AF203" s="38">
        <f>WORKDAY(EDATE(AE203,1)-1,1,FERIADOS!$A$1:$A$830)</f>
        <v>42200</v>
      </c>
      <c r="AG203" s="303">
        <v>4310.3900000000003</v>
      </c>
      <c r="AH203" s="307">
        <v>0.79</v>
      </c>
      <c r="AI203" s="5">
        <f t="shared" si="39"/>
        <v>0.79011364167795861</v>
      </c>
    </row>
    <row r="204" spans="31:35" x14ac:dyDescent="0.2">
      <c r="AE204" s="302">
        <v>42200</v>
      </c>
      <c r="AF204" s="38">
        <f>WORKDAY(EDATE(AE204,1)-1,1,FERIADOS!$A$1:$A$830)</f>
        <v>42233</v>
      </c>
      <c r="AG204" s="303">
        <v>4337.1099999999997</v>
      </c>
      <c r="AH204" s="307">
        <v>0.62</v>
      </c>
      <c r="AI204" s="5">
        <f t="shared" si="39"/>
        <v>0.61989750347415384</v>
      </c>
    </row>
    <row r="205" spans="31:35" x14ac:dyDescent="0.2">
      <c r="AE205" s="302">
        <v>42231</v>
      </c>
      <c r="AF205" s="38">
        <f>WORKDAY(EDATE(AE205,1)-1,1,FERIADOS!$A$1:$A$830)</f>
        <v>42262</v>
      </c>
      <c r="AG205" s="303">
        <v>4346.6499999999996</v>
      </c>
      <c r="AH205" s="307">
        <v>0.22</v>
      </c>
      <c r="AI205" s="5">
        <f t="shared" si="39"/>
        <v>0.21996214068815689</v>
      </c>
    </row>
    <row r="206" spans="31:35" x14ac:dyDescent="0.2">
      <c r="AE206" s="302">
        <v>42262</v>
      </c>
      <c r="AF206" s="38">
        <f>WORKDAY(EDATE(AE206,1)-1,1,FERIADOS!$A$1:$A$830)</f>
        <v>42292</v>
      </c>
      <c r="AG206" s="303">
        <v>4370.12</v>
      </c>
      <c r="AH206" s="307">
        <v>0.54</v>
      </c>
      <c r="AI206" s="5">
        <f t="shared" si="39"/>
        <v>0.53995605811372194</v>
      </c>
    </row>
    <row r="207" spans="31:35" x14ac:dyDescent="0.2">
      <c r="AE207" s="302">
        <v>42292</v>
      </c>
      <c r="AF207" s="38">
        <f>WORKDAY(EDATE(AE207,1)-1,1,FERIADOS!$A$1:$A$830)</f>
        <v>42324</v>
      </c>
      <c r="AG207" s="303">
        <v>4405.95</v>
      </c>
      <c r="AH207" s="307">
        <v>0.82</v>
      </c>
      <c r="AI207" s="5">
        <f t="shared" si="39"/>
        <v>0.81988595278847942</v>
      </c>
    </row>
    <row r="208" spans="31:35" x14ac:dyDescent="0.2">
      <c r="AE208" s="302">
        <v>42323</v>
      </c>
      <c r="AF208" s="38">
        <f>WORKDAY(EDATE(AE208,1)-1,1,FERIADOS!$A$1:$A$830)</f>
        <v>42353</v>
      </c>
      <c r="AG208" s="303">
        <v>4450.45</v>
      </c>
      <c r="AH208" s="307">
        <v>1.01</v>
      </c>
      <c r="AI208" s="5">
        <f t="shared" si="39"/>
        <v>1.009997843824828</v>
      </c>
    </row>
    <row r="209" spans="31:35" x14ac:dyDescent="0.2">
      <c r="AE209" s="302">
        <v>42353</v>
      </c>
      <c r="AF209" s="38">
        <f>WORKDAY(EDATE(AE209,1)-1,1,FERIADOS!$A$1:$A$830)</f>
        <v>42384</v>
      </c>
      <c r="AG209" s="303">
        <v>4493.17</v>
      </c>
      <c r="AH209" s="307">
        <v>0.96</v>
      </c>
      <c r="AI209" s="5">
        <f t="shared" si="39"/>
        <v>0.95990293116428038</v>
      </c>
    </row>
    <row r="210" spans="31:35" x14ac:dyDescent="0.2">
      <c r="AE210" s="302">
        <v>42384</v>
      </c>
      <c r="AF210" s="38">
        <f>WORKDAY(EDATE(AE210,1)-1,1,FERIADOS!$A$1:$A$830)</f>
        <v>42415</v>
      </c>
      <c r="AG210" s="303">
        <v>4550.2299999999996</v>
      </c>
      <c r="AH210" s="307">
        <v>1.2699274676898353</v>
      </c>
      <c r="AI210" s="5">
        <f t="shared" si="39"/>
        <v>1.2699274676898353</v>
      </c>
    </row>
    <row r="211" spans="31:35" x14ac:dyDescent="0.2">
      <c r="AE211" s="302">
        <v>42415</v>
      </c>
      <c r="AF211" s="38">
        <f>WORKDAY(EDATE(AE211,1)-1,1,FERIADOS!$A$1:$A$830)</f>
        <v>42444</v>
      </c>
      <c r="AG211" s="303">
        <v>4591.18</v>
      </c>
      <c r="AH211" s="307">
        <v>0.9</v>
      </c>
      <c r="AI211" s="5">
        <f t="shared" si="39"/>
        <v>0.89995450779412067</v>
      </c>
    </row>
    <row r="212" spans="31:35" x14ac:dyDescent="0.2">
      <c r="AE212" s="302">
        <v>42444</v>
      </c>
      <c r="AF212" s="38">
        <f>WORKDAY(EDATE(AE212,1)-1,1,FERIADOS!$A$1:$A$830)</f>
        <v>42475</v>
      </c>
      <c r="AG212" s="303">
        <v>4610.92</v>
      </c>
      <c r="AH212" s="307">
        <v>0.43</v>
      </c>
      <c r="AI212" s="5">
        <f t="shared" si="39"/>
        <v>0.42995482642806948</v>
      </c>
    </row>
    <row r="213" spans="31:35" x14ac:dyDescent="0.2">
      <c r="AE213" s="302">
        <v>42475</v>
      </c>
      <c r="AF213" s="38">
        <f>WORKDAY(EDATE(AE213,1)-1,1,FERIADOS!$A$1:$A$830)</f>
        <v>42506</v>
      </c>
      <c r="AG213" s="303">
        <v>4639.05</v>
      </c>
      <c r="AH213" s="307">
        <v>0.61</v>
      </c>
      <c r="AI213" s="5">
        <f t="shared" si="39"/>
        <v>0.61007347774413301</v>
      </c>
    </row>
    <row r="214" spans="31:35" x14ac:dyDescent="0.2">
      <c r="AE214" s="302">
        <v>42505</v>
      </c>
      <c r="AF214" s="38">
        <f>WORKDAY(EDATE(AE214,1)-1,1,FERIADOS!$A$1:$A$830)</f>
        <v>42536</v>
      </c>
      <c r="AG214" s="303">
        <v>4675.2299999999996</v>
      </c>
      <c r="AH214" s="307">
        <v>0.78</v>
      </c>
      <c r="AI214" s="5">
        <f t="shared" si="39"/>
        <v>0.77990105732852477</v>
      </c>
    </row>
    <row r="215" spans="31:35" x14ac:dyDescent="0.2">
      <c r="AE215" s="302">
        <v>42536</v>
      </c>
      <c r="AF215" s="38">
        <f>WORKDAY(EDATE(AE215,1)-1,1,FERIADOS!$A$1:$A$830)</f>
        <v>42566</v>
      </c>
      <c r="AG215" s="303">
        <v>4691.59</v>
      </c>
      <c r="AH215" s="307">
        <v>0.35</v>
      </c>
      <c r="AI215" s="5">
        <f t="shared" si="39"/>
        <v>0.34992930829071955</v>
      </c>
    </row>
    <row r="216" spans="31:35" x14ac:dyDescent="0.2">
      <c r="AE216" s="302">
        <v>42566</v>
      </c>
      <c r="AF216" s="38">
        <f>WORKDAY(EDATE(AE216,1)-1,1,FERIADOS!$A$1:$A$830)</f>
        <v>42597</v>
      </c>
      <c r="AG216" s="313">
        <f t="shared" ref="AG216:AG267" si="40">ROUND(AG215*(1+AH216/100),2)</f>
        <v>4715.99</v>
      </c>
      <c r="AH216" s="307">
        <v>0.52</v>
      </c>
      <c r="AI216" s="5">
        <f t="shared" si="39"/>
        <v>0.5200795465929442</v>
      </c>
    </row>
    <row r="217" spans="31:35" x14ac:dyDescent="0.2">
      <c r="AE217" s="302">
        <v>42597</v>
      </c>
      <c r="AF217" s="38">
        <f>WORKDAY(EDATE(AE217,1)-1,1,FERIADOS!$A$1:$A$830)</f>
        <v>42628</v>
      </c>
      <c r="AG217" s="313">
        <f t="shared" si="40"/>
        <v>4736.74</v>
      </c>
      <c r="AH217" s="307">
        <v>0.44</v>
      </c>
      <c r="AI217" s="5">
        <f t="shared" si="39"/>
        <v>0.43999245121384423</v>
      </c>
    </row>
    <row r="218" spans="31:35" x14ac:dyDescent="0.2">
      <c r="AE218" s="302">
        <v>42628</v>
      </c>
      <c r="AF218" s="38">
        <f>WORKDAY(EDATE(AE218,1)-1,1,FERIADOS!$A$1:$A$830)</f>
        <v>42660</v>
      </c>
      <c r="AG218" s="313">
        <f t="shared" si="40"/>
        <v>4740.53</v>
      </c>
      <c r="AH218" s="307">
        <v>8.0012835832232732E-2</v>
      </c>
      <c r="AI218" s="5">
        <f t="shared" si="39"/>
        <v>8.0012835832232732E-2</v>
      </c>
    </row>
    <row r="219" spans="31:35" x14ac:dyDescent="0.2">
      <c r="AE219" s="302">
        <v>42658</v>
      </c>
      <c r="AF219" s="38">
        <f>WORKDAY(EDATE(AE219,1)-1,1,FERIADOS!$A$1:$A$830)</f>
        <v>42690</v>
      </c>
      <c r="AG219" s="313">
        <f t="shared" si="40"/>
        <v>4752.8599999999997</v>
      </c>
      <c r="AH219" s="307">
        <v>0.26009749964666096</v>
      </c>
      <c r="AI219" s="5">
        <f t="shared" si="39"/>
        <v>0.26009749964666096</v>
      </c>
    </row>
    <row r="220" spans="31:35" x14ac:dyDescent="0.2">
      <c r="AE220" s="302">
        <v>42689</v>
      </c>
      <c r="AF220" s="38">
        <f>WORKDAY(EDATE(AE220,1)-1,1,FERIADOS!$A$1:$A$830)</f>
        <v>42719</v>
      </c>
      <c r="AG220" s="313">
        <f t="shared" si="40"/>
        <v>4761.42</v>
      </c>
      <c r="AH220" s="307">
        <v>0.18</v>
      </c>
      <c r="AI220" s="5">
        <f t="shared" si="39"/>
        <v>0.18010208590197863</v>
      </c>
    </row>
    <row r="221" spans="31:35" x14ac:dyDescent="0.2">
      <c r="AE221" s="302">
        <v>42719</v>
      </c>
      <c r="AF221" s="38">
        <f>WORKDAY(EDATE(AE221,1)-1,1,FERIADOS!$A$1:$A$830)</f>
        <v>42751</v>
      </c>
      <c r="AG221" s="313">
        <f t="shared" si="40"/>
        <v>4775.7</v>
      </c>
      <c r="AH221" s="307">
        <v>0.29991053089204467</v>
      </c>
      <c r="AI221" s="5">
        <f t="shared" si="39"/>
        <v>0.29991053089204467</v>
      </c>
    </row>
    <row r="222" spans="31:35" x14ac:dyDescent="0.2">
      <c r="AE222" s="302">
        <v>42750</v>
      </c>
      <c r="AF222" s="38">
        <f>WORKDAY(EDATE(AE222,1)-1,1,FERIADOS!$A$1:$A$830)</f>
        <v>42781</v>
      </c>
      <c r="AG222" s="313">
        <f t="shared" si="40"/>
        <v>4793.8500000000004</v>
      </c>
      <c r="AH222" s="307">
        <v>0.38004899805266223</v>
      </c>
      <c r="AI222" s="5">
        <f t="shared" si="39"/>
        <v>0.38004899805266223</v>
      </c>
    </row>
    <row r="223" spans="31:35" x14ac:dyDescent="0.2">
      <c r="AE223" s="302">
        <v>42781</v>
      </c>
      <c r="AF223" s="38">
        <f>WORKDAY(EDATE(AE223,1)-1,1,FERIADOS!$A$1:$A$830)</f>
        <v>42809</v>
      </c>
      <c r="AG223" s="313">
        <f t="shared" si="40"/>
        <v>4809.67</v>
      </c>
      <c r="AH223" s="307">
        <v>0.33000615371778785</v>
      </c>
      <c r="AI223" s="5">
        <f t="shared" si="39"/>
        <v>0.33000615371778785</v>
      </c>
    </row>
    <row r="224" spans="31:35" x14ac:dyDescent="0.2">
      <c r="AE224" s="302">
        <v>42809</v>
      </c>
      <c r="AF224" s="38">
        <f>WORKDAY(EDATE(AE224,1)-1,1,FERIADOS!$A$1:$A$830)</f>
        <v>42842</v>
      </c>
      <c r="AG224" s="313">
        <f t="shared" si="40"/>
        <v>4821.6899999999996</v>
      </c>
      <c r="AH224" s="307">
        <v>0.24991319570779602</v>
      </c>
      <c r="AI224" s="5">
        <f t="shared" si="39"/>
        <v>0.24991319570779602</v>
      </c>
    </row>
    <row r="225" spans="31:35" x14ac:dyDescent="0.2">
      <c r="AE225" s="302">
        <v>42840</v>
      </c>
      <c r="AF225" s="38">
        <f>WORKDAY(EDATE(AE225,1)-1,1,FERIADOS!$A$1:$A$830)</f>
        <v>42870</v>
      </c>
      <c r="AG225" s="313">
        <f t="shared" si="40"/>
        <v>4828.4399999999996</v>
      </c>
      <c r="AH225" s="307">
        <v>0.13999240930047119</v>
      </c>
      <c r="AI225" s="5">
        <f t="shared" si="39"/>
        <v>0.13999240930047119</v>
      </c>
    </row>
    <row r="226" spans="31:35" x14ac:dyDescent="0.2">
      <c r="AE226" s="302">
        <v>42870</v>
      </c>
      <c r="AF226" s="38">
        <f>WORKDAY(EDATE(AE226,1)-1,1,FERIADOS!$A$1:$A$830)</f>
        <v>42902</v>
      </c>
      <c r="AG226" s="313">
        <f t="shared" si="40"/>
        <v>4843.41</v>
      </c>
      <c r="AH226" s="307">
        <v>0.3100380247036405</v>
      </c>
      <c r="AI226" s="5">
        <f t="shared" si="39"/>
        <v>0.3100380247036405</v>
      </c>
    </row>
    <row r="227" spans="31:35" x14ac:dyDescent="0.2">
      <c r="AE227" s="302">
        <v>42901</v>
      </c>
      <c r="AF227" s="38">
        <f>WORKDAY(EDATE(AE227,1)-1,1,FERIADOS!$A$1:$A$830)</f>
        <v>42933</v>
      </c>
      <c r="AG227" s="313">
        <f t="shared" si="40"/>
        <v>4832.2700000000004</v>
      </c>
      <c r="AH227" s="686">
        <v>-0.23000324151783991</v>
      </c>
      <c r="AI227" s="5">
        <f t="shared" si="39"/>
        <v>-0.23000324151783991</v>
      </c>
    </row>
    <row r="228" spans="31:35" x14ac:dyDescent="0.2">
      <c r="AE228" s="302">
        <v>42931</v>
      </c>
      <c r="AF228" s="38">
        <f>WORKDAY(EDATE(AE228,1)-1,1,FERIADOS!$A$1:$A$830)</f>
        <v>42962</v>
      </c>
      <c r="AG228" s="313">
        <f t="shared" si="40"/>
        <v>4843.87</v>
      </c>
      <c r="AH228" s="687">
        <v>0.24005281161854075</v>
      </c>
      <c r="AI228" s="5">
        <f t="shared" si="39"/>
        <v>0.24005281161854075</v>
      </c>
    </row>
    <row r="229" spans="31:35" x14ac:dyDescent="0.2">
      <c r="AE229" s="302">
        <v>42962</v>
      </c>
      <c r="AF229" s="38">
        <f>WORKDAY(EDATE(AE229,1)-1,1,FERIADOS!$A$1:$A$830)</f>
        <v>42993</v>
      </c>
      <c r="AG229" s="313">
        <f t="shared" si="40"/>
        <v>4853.07</v>
      </c>
      <c r="AH229" s="307">
        <v>0.18993077848910023</v>
      </c>
      <c r="AI229" s="5">
        <f t="shared" si="39"/>
        <v>0.18993077848910023</v>
      </c>
    </row>
    <row r="230" spans="31:35" x14ac:dyDescent="0.2">
      <c r="AE230" s="302">
        <v>42993</v>
      </c>
      <c r="AF230" s="38">
        <f>WORKDAY(EDATE(AE230,1)-1,1,FERIADOS!$A$1:$A$830)</f>
        <v>43024</v>
      </c>
      <c r="AG230" s="313">
        <f t="shared" si="40"/>
        <v>4864.72</v>
      </c>
      <c r="AH230" s="307">
        <v>0.24</v>
      </c>
      <c r="AI230" s="5">
        <f t="shared" si="39"/>
        <v>0.24005423371187273</v>
      </c>
    </row>
    <row r="231" spans="31:35" x14ac:dyDescent="0.2">
      <c r="AE231" s="302">
        <v>43023</v>
      </c>
      <c r="AF231" s="38">
        <f>WORKDAY(EDATE(AE231,1)-1,1,FERIADOS!$A$1:$A$830)</f>
        <v>43055</v>
      </c>
      <c r="AG231" s="313">
        <f t="shared" si="40"/>
        <v>4864.72</v>
      </c>
      <c r="AH231" s="307"/>
      <c r="AI231" s="5">
        <f t="shared" si="39"/>
        <v>0</v>
      </c>
    </row>
    <row r="232" spans="31:35" x14ac:dyDescent="0.2">
      <c r="AE232" s="302">
        <v>43054</v>
      </c>
      <c r="AF232" s="38">
        <f>WORKDAY(EDATE(AE232,1)-1,1,FERIADOS!$A$1:$A$830)</f>
        <v>43084</v>
      </c>
      <c r="AG232" s="313">
        <f t="shared" si="40"/>
        <v>4864.72</v>
      </c>
      <c r="AH232" s="307"/>
      <c r="AI232" s="5">
        <f t="shared" si="39"/>
        <v>0</v>
      </c>
    </row>
    <row r="233" spans="31:35" x14ac:dyDescent="0.2">
      <c r="AE233" s="302">
        <v>43084</v>
      </c>
      <c r="AF233" s="38">
        <f>WORKDAY(EDATE(AE233,1)-1,1,FERIADOS!$A$1:$A$830)</f>
        <v>43115</v>
      </c>
      <c r="AG233" s="313">
        <f t="shared" si="40"/>
        <v>4864.72</v>
      </c>
      <c r="AH233" s="307"/>
      <c r="AI233" s="5">
        <f t="shared" si="39"/>
        <v>0</v>
      </c>
    </row>
    <row r="234" spans="31:35" x14ac:dyDescent="0.2">
      <c r="AE234" s="302">
        <v>43115</v>
      </c>
      <c r="AF234" s="38">
        <f>WORKDAY(EDATE(AE234,1)-1,1,FERIADOS!$A$1:$A$830)</f>
        <v>43146</v>
      </c>
      <c r="AG234" s="313">
        <f t="shared" si="40"/>
        <v>4864.72</v>
      </c>
      <c r="AH234" s="307"/>
      <c r="AI234" s="5">
        <f t="shared" si="39"/>
        <v>0</v>
      </c>
    </row>
    <row r="235" spans="31:35" x14ac:dyDescent="0.2">
      <c r="AE235" s="302">
        <v>43146</v>
      </c>
      <c r="AF235" s="38">
        <f>WORKDAY(EDATE(AE235,1)-1,1,FERIADOS!$A$1:$A$830)</f>
        <v>43174</v>
      </c>
      <c r="AG235" s="313">
        <f t="shared" si="40"/>
        <v>4864.72</v>
      </c>
      <c r="AH235" s="307"/>
      <c r="AI235" s="5">
        <f t="shared" si="39"/>
        <v>0</v>
      </c>
    </row>
    <row r="236" spans="31:35" x14ac:dyDescent="0.2">
      <c r="AE236" s="302">
        <v>43174</v>
      </c>
      <c r="AF236" s="38">
        <f>WORKDAY(EDATE(AE236,1)-1,1,FERIADOS!$A$1:$A$830)</f>
        <v>43206</v>
      </c>
      <c r="AG236" s="313">
        <f t="shared" si="40"/>
        <v>4864.72</v>
      </c>
      <c r="AH236" s="307"/>
      <c r="AI236" s="5">
        <f t="shared" si="39"/>
        <v>0</v>
      </c>
    </row>
    <row r="237" spans="31:35" x14ac:dyDescent="0.2">
      <c r="AE237" s="302">
        <v>43205</v>
      </c>
      <c r="AF237" s="38">
        <f>WORKDAY(EDATE(AE237,1)-1,1,FERIADOS!$A$1:$A$830)</f>
        <v>43235</v>
      </c>
      <c r="AG237" s="313">
        <f t="shared" si="40"/>
        <v>4864.72</v>
      </c>
      <c r="AH237" s="307"/>
    </row>
    <row r="238" spans="31:35" x14ac:dyDescent="0.2">
      <c r="AE238" s="302">
        <v>43235</v>
      </c>
      <c r="AF238" s="38">
        <f>WORKDAY(EDATE(AE238,1)-1,1,FERIADOS!$A$1:$A$830)</f>
        <v>43266</v>
      </c>
      <c r="AG238" s="313">
        <f t="shared" si="40"/>
        <v>4864.72</v>
      </c>
      <c r="AH238" s="307"/>
    </row>
    <row r="239" spans="31:35" x14ac:dyDescent="0.2">
      <c r="AE239" s="302">
        <v>43266</v>
      </c>
      <c r="AF239" s="38">
        <f>WORKDAY(EDATE(AE239,1)-1,1,FERIADOS!$A$1:$A$830)</f>
        <v>43297</v>
      </c>
      <c r="AG239" s="313">
        <f t="shared" si="40"/>
        <v>4864.72</v>
      </c>
      <c r="AH239" s="307"/>
    </row>
    <row r="240" spans="31:35" x14ac:dyDescent="0.2">
      <c r="AE240" s="302">
        <v>43296</v>
      </c>
      <c r="AF240" s="38">
        <f>WORKDAY(EDATE(AE240,1)-1,1,FERIADOS!$A$1:$A$830)</f>
        <v>43327</v>
      </c>
      <c r="AG240" s="313">
        <f t="shared" si="40"/>
        <v>4864.72</v>
      </c>
      <c r="AH240" s="307"/>
    </row>
    <row r="241" spans="31:34" x14ac:dyDescent="0.2">
      <c r="AE241" s="302">
        <v>43327</v>
      </c>
      <c r="AF241" s="38">
        <f>WORKDAY(EDATE(AE241,1)-1,1,FERIADOS!$A$1:$A$830)</f>
        <v>43360</v>
      </c>
      <c r="AG241" s="313">
        <f t="shared" si="40"/>
        <v>4864.72</v>
      </c>
      <c r="AH241" s="307"/>
    </row>
    <row r="242" spans="31:34" x14ac:dyDescent="0.2">
      <c r="AE242" s="302">
        <v>43358</v>
      </c>
      <c r="AF242" s="38">
        <f>WORKDAY(EDATE(AE242,1)-1,1,FERIADOS!$A$1:$A$830)</f>
        <v>43388</v>
      </c>
      <c r="AG242" s="313">
        <f t="shared" si="40"/>
        <v>4864.72</v>
      </c>
      <c r="AH242" s="307"/>
    </row>
    <row r="243" spans="31:34" x14ac:dyDescent="0.2">
      <c r="AE243" s="302">
        <v>43388</v>
      </c>
      <c r="AF243" s="38">
        <f>WORKDAY(EDATE(AE243,1)-1,1,FERIADOS!$A$1:$A$830)</f>
        <v>43420</v>
      </c>
      <c r="AG243" s="313">
        <f t="shared" si="40"/>
        <v>4864.72</v>
      </c>
      <c r="AH243" s="307"/>
    </row>
    <row r="244" spans="31:34" x14ac:dyDescent="0.2">
      <c r="AE244" s="302">
        <v>43419</v>
      </c>
      <c r="AF244" s="38">
        <f>WORKDAY(EDATE(AE244,1)-1,1,FERIADOS!$A$1:$A$830)</f>
        <v>43451</v>
      </c>
      <c r="AG244" s="313">
        <f t="shared" si="40"/>
        <v>4864.72</v>
      </c>
      <c r="AH244" s="307"/>
    </row>
    <row r="245" spans="31:34" x14ac:dyDescent="0.2">
      <c r="AE245" s="302">
        <v>43449</v>
      </c>
      <c r="AF245" s="38">
        <f>WORKDAY(EDATE(AE245,1)-1,1,FERIADOS!$A$1:$A$830)</f>
        <v>43480</v>
      </c>
      <c r="AG245" s="313">
        <f t="shared" si="40"/>
        <v>4864.72</v>
      </c>
      <c r="AH245" s="307"/>
    </row>
    <row r="246" spans="31:34" x14ac:dyDescent="0.2">
      <c r="AE246" s="302">
        <v>43480</v>
      </c>
      <c r="AF246" s="38">
        <f>WORKDAY(EDATE(AE246,1)-1,1,FERIADOS!$A$1:$A$830)</f>
        <v>43511</v>
      </c>
      <c r="AG246" s="313">
        <f t="shared" si="40"/>
        <v>4864.72</v>
      </c>
      <c r="AH246" s="307"/>
    </row>
    <row r="247" spans="31:34" x14ac:dyDescent="0.2">
      <c r="AE247" s="302">
        <v>43511</v>
      </c>
      <c r="AF247" s="38">
        <f>WORKDAY(EDATE(AE247,1)-1,1,FERIADOS!$A$1:$A$830)</f>
        <v>43539</v>
      </c>
      <c r="AG247" s="313">
        <f t="shared" si="40"/>
        <v>4864.72</v>
      </c>
      <c r="AH247" s="307"/>
    </row>
    <row r="248" spans="31:34" x14ac:dyDescent="0.2">
      <c r="AE248" s="302">
        <v>43539</v>
      </c>
      <c r="AF248" s="38">
        <f>WORKDAY(EDATE(AE248,1)-1,1,FERIADOS!$A$1:$A$830)</f>
        <v>43570</v>
      </c>
      <c r="AG248" s="313">
        <f t="shared" si="40"/>
        <v>4864.72</v>
      </c>
      <c r="AH248" s="307"/>
    </row>
    <row r="249" spans="31:34" x14ac:dyDescent="0.2">
      <c r="AE249" s="302">
        <v>43570</v>
      </c>
      <c r="AF249" s="38">
        <f>WORKDAY(EDATE(AE249,1)-1,1,FERIADOS!$A$1:$A$830)</f>
        <v>43600</v>
      </c>
      <c r="AG249" s="313">
        <f t="shared" si="40"/>
        <v>4864.72</v>
      </c>
      <c r="AH249" s="307"/>
    </row>
    <row r="250" spans="31:34" x14ac:dyDescent="0.2">
      <c r="AE250" s="302">
        <v>43600</v>
      </c>
      <c r="AF250" s="38">
        <f>WORKDAY(EDATE(AE250,1)-1,1,FERIADOS!$A$1:$A$830)</f>
        <v>43633</v>
      </c>
      <c r="AG250" s="313">
        <f t="shared" si="40"/>
        <v>4864.72</v>
      </c>
      <c r="AH250" s="307"/>
    </row>
    <row r="251" spans="31:34" x14ac:dyDescent="0.2">
      <c r="AE251" s="302">
        <v>43631</v>
      </c>
      <c r="AF251" s="38">
        <f>WORKDAY(EDATE(AE251,1)-1,1,FERIADOS!$A$1:$A$830)</f>
        <v>43661</v>
      </c>
      <c r="AG251" s="313">
        <f t="shared" si="40"/>
        <v>4864.72</v>
      </c>
      <c r="AH251" s="307"/>
    </row>
    <row r="252" spans="31:34" x14ac:dyDescent="0.2">
      <c r="AE252" s="302">
        <v>43661</v>
      </c>
      <c r="AF252" s="38">
        <f>WORKDAY(EDATE(AE252,1)-1,1,FERIADOS!$A$1:$A$830)</f>
        <v>43692</v>
      </c>
      <c r="AG252" s="313">
        <f t="shared" si="40"/>
        <v>4864.72</v>
      </c>
      <c r="AH252" s="307"/>
    </row>
    <row r="253" spans="31:34" x14ac:dyDescent="0.2">
      <c r="AE253" s="302">
        <v>43692</v>
      </c>
      <c r="AF253" s="38">
        <f>WORKDAY(EDATE(AE253,1)-1,1,FERIADOS!$A$1:$A$830)</f>
        <v>43724</v>
      </c>
      <c r="AG253" s="313">
        <f t="shared" si="40"/>
        <v>4864.72</v>
      </c>
      <c r="AH253" s="307"/>
    </row>
    <row r="254" spans="31:34" x14ac:dyDescent="0.2">
      <c r="AE254" s="302">
        <v>43723</v>
      </c>
      <c r="AF254" s="38">
        <f>WORKDAY(EDATE(AE254,1)-1,1,FERIADOS!$A$1:$A$830)</f>
        <v>43753</v>
      </c>
      <c r="AG254" s="313">
        <f t="shared" si="40"/>
        <v>4864.72</v>
      </c>
      <c r="AH254" s="307"/>
    </row>
    <row r="255" spans="31:34" x14ac:dyDescent="0.2">
      <c r="AE255" s="302">
        <v>43753</v>
      </c>
      <c r="AF255" s="38">
        <f>WORKDAY(EDATE(AE255,1)-1,1,FERIADOS!$A$1:$A$830)</f>
        <v>43787</v>
      </c>
      <c r="AG255" s="313">
        <f t="shared" si="40"/>
        <v>4864.72</v>
      </c>
      <c r="AH255" s="307"/>
    </row>
    <row r="256" spans="31:34" x14ac:dyDescent="0.2">
      <c r="AE256" s="302">
        <v>43784</v>
      </c>
      <c r="AF256" s="38">
        <f>WORKDAY(EDATE(AE256,1)-1,1,FERIADOS!$A$1:$A$830)</f>
        <v>43815</v>
      </c>
      <c r="AG256" s="313">
        <f t="shared" si="40"/>
        <v>4864.72</v>
      </c>
      <c r="AH256" s="307"/>
    </row>
    <row r="257" spans="31:34" x14ac:dyDescent="0.2">
      <c r="AE257" s="302">
        <v>43814</v>
      </c>
      <c r="AF257" s="38">
        <f>WORKDAY(EDATE(AE257,1)-1,1,FERIADOS!$A$1:$A$830)</f>
        <v>43845</v>
      </c>
      <c r="AG257" s="313">
        <f t="shared" si="40"/>
        <v>4864.72</v>
      </c>
      <c r="AH257" s="307"/>
    </row>
    <row r="258" spans="31:34" x14ac:dyDescent="0.2">
      <c r="AE258" s="302">
        <v>43845</v>
      </c>
      <c r="AF258" s="38">
        <f>WORKDAY(EDATE(AE258,1)-1,1,FERIADOS!$A$1:$A$830)</f>
        <v>43878</v>
      </c>
      <c r="AG258" s="313">
        <f t="shared" si="40"/>
        <v>4864.72</v>
      </c>
      <c r="AH258" s="307"/>
    </row>
    <row r="259" spans="31:34" x14ac:dyDescent="0.2">
      <c r="AE259" s="302">
        <v>43876</v>
      </c>
      <c r="AF259" s="38">
        <f>WORKDAY(EDATE(AE259,1)-1,1,FERIADOS!$A$1:$A$830)</f>
        <v>43906</v>
      </c>
      <c r="AG259" s="313">
        <f t="shared" si="40"/>
        <v>4864.72</v>
      </c>
      <c r="AH259" s="307"/>
    </row>
    <row r="260" spans="31:34" x14ac:dyDescent="0.2">
      <c r="AE260" s="302">
        <v>43905</v>
      </c>
      <c r="AF260" s="38">
        <f>WORKDAY(EDATE(AE260,1)-1,1,FERIADOS!$A$1:$A$830)</f>
        <v>43936</v>
      </c>
      <c r="AG260" s="313">
        <f t="shared" si="40"/>
        <v>4864.72</v>
      </c>
      <c r="AH260" s="307"/>
    </row>
    <row r="261" spans="31:34" x14ac:dyDescent="0.2">
      <c r="AE261" s="302">
        <v>43936</v>
      </c>
      <c r="AF261" s="38">
        <f>WORKDAY(EDATE(AE261,1)-1,1,FERIADOS!$A$1:$A$830)</f>
        <v>43966</v>
      </c>
      <c r="AG261" s="313">
        <f t="shared" si="40"/>
        <v>4864.72</v>
      </c>
      <c r="AH261" s="307"/>
    </row>
    <row r="262" spans="31:34" x14ac:dyDescent="0.2">
      <c r="AE262" s="302">
        <v>43966</v>
      </c>
      <c r="AF262" s="38">
        <f>WORKDAY(EDATE(AE262,1)-1,1,FERIADOS!$A$1:$A$830)</f>
        <v>43997</v>
      </c>
      <c r="AG262" s="313">
        <f t="shared" si="40"/>
        <v>4864.72</v>
      </c>
      <c r="AH262" s="307"/>
    </row>
    <row r="263" spans="31:34" x14ac:dyDescent="0.2">
      <c r="AE263" s="302">
        <v>43997</v>
      </c>
      <c r="AF263" s="38">
        <f>WORKDAY(EDATE(AE263,1)-1,1,FERIADOS!$A$1:$A$830)</f>
        <v>44027</v>
      </c>
      <c r="AG263" s="313">
        <f t="shared" si="40"/>
        <v>4864.72</v>
      </c>
      <c r="AH263" s="307"/>
    </row>
    <row r="264" spans="31:34" x14ac:dyDescent="0.2">
      <c r="AE264" s="302">
        <v>44027</v>
      </c>
      <c r="AF264" s="38">
        <f>WORKDAY(EDATE(AE264,1)-1,1,FERIADOS!$A$1:$A$830)</f>
        <v>44060</v>
      </c>
      <c r="AG264" s="313">
        <f t="shared" si="40"/>
        <v>4864.72</v>
      </c>
      <c r="AH264" s="307"/>
    </row>
    <row r="265" spans="31:34" x14ac:dyDescent="0.2">
      <c r="AE265" s="302">
        <v>44058</v>
      </c>
      <c r="AF265" s="38">
        <f>WORKDAY(EDATE(AE265,1)-1,1,FERIADOS!$A$1:$A$830)</f>
        <v>44089</v>
      </c>
      <c r="AG265" s="313">
        <f t="shared" si="40"/>
        <v>4864.72</v>
      </c>
      <c r="AH265" s="307"/>
    </row>
    <row r="266" spans="31:34" x14ac:dyDescent="0.2">
      <c r="AE266" s="302">
        <v>44089</v>
      </c>
      <c r="AF266" s="38">
        <f>WORKDAY(EDATE(AE266,1)-1,1,FERIADOS!$A$1:$A$830)</f>
        <v>44119</v>
      </c>
      <c r="AG266" s="313">
        <f t="shared" si="40"/>
        <v>4864.72</v>
      </c>
      <c r="AH266" s="307"/>
    </row>
    <row r="267" spans="31:34" x14ac:dyDescent="0.2">
      <c r="AE267" s="302">
        <v>44119</v>
      </c>
      <c r="AF267" s="38">
        <f>WORKDAY(EDATE(AE267,1)-1,1,FERIADOS!$A$1:$A$830)</f>
        <v>44151</v>
      </c>
      <c r="AG267" s="313">
        <f t="shared" si="40"/>
        <v>4864.72</v>
      </c>
      <c r="AH267" s="307"/>
    </row>
    <row r="268" spans="31:34" x14ac:dyDescent="0.2">
      <c r="AE268" s="302">
        <v>44150</v>
      </c>
      <c r="AF268" s="38">
        <f>WORKDAY(EDATE(AE268,1)-1,1,FERIADOS!$A$1:$A$830)</f>
        <v>44180</v>
      </c>
      <c r="AG268" s="313">
        <f t="shared" ref="AG268:AG331" si="41">ROUND(AG267*(1+AH268/100),2)</f>
        <v>4864.72</v>
      </c>
      <c r="AH268" s="307"/>
    </row>
    <row r="269" spans="31:34" x14ac:dyDescent="0.2">
      <c r="AE269" s="302">
        <v>44180</v>
      </c>
      <c r="AF269" s="38">
        <f>WORKDAY(EDATE(AE269,1)-1,1,FERIADOS!$A$1:$A$830)</f>
        <v>44211</v>
      </c>
      <c r="AG269" s="313">
        <f t="shared" si="41"/>
        <v>4864.72</v>
      </c>
      <c r="AH269" s="307"/>
    </row>
    <row r="270" spans="31:34" x14ac:dyDescent="0.2">
      <c r="AE270" s="302">
        <v>44211</v>
      </c>
      <c r="AF270" s="38">
        <f>WORKDAY(EDATE(AE270,1)-1,1,FERIADOS!$A$1:$A$830)</f>
        <v>44244</v>
      </c>
      <c r="AG270" s="313">
        <f t="shared" si="41"/>
        <v>4864.72</v>
      </c>
      <c r="AH270" s="307"/>
    </row>
    <row r="271" spans="31:34" x14ac:dyDescent="0.2">
      <c r="AE271" s="302">
        <v>44242</v>
      </c>
      <c r="AF271" s="38">
        <f>WORKDAY(EDATE(AE271,1)-1,1,FERIADOS!$A$1:$A$830)</f>
        <v>44270</v>
      </c>
      <c r="AG271" s="313">
        <f t="shared" si="41"/>
        <v>4864.72</v>
      </c>
      <c r="AH271" s="307"/>
    </row>
    <row r="272" spans="31:34" x14ac:dyDescent="0.2">
      <c r="AE272" s="302">
        <v>44270</v>
      </c>
      <c r="AF272" s="38">
        <f>WORKDAY(EDATE(AE272,1)-1,1,FERIADOS!$A$1:$A$830)</f>
        <v>44301</v>
      </c>
      <c r="AG272" s="313">
        <f t="shared" si="41"/>
        <v>4864.72</v>
      </c>
      <c r="AH272" s="307"/>
    </row>
    <row r="273" spans="31:34" x14ac:dyDescent="0.2">
      <c r="AE273" s="302">
        <v>44301</v>
      </c>
      <c r="AF273" s="38">
        <f>WORKDAY(EDATE(AE273,1)-1,1,FERIADOS!$A$1:$A$830)</f>
        <v>44333</v>
      </c>
      <c r="AG273" s="313">
        <f t="shared" si="41"/>
        <v>4864.72</v>
      </c>
      <c r="AH273" s="307"/>
    </row>
    <row r="274" spans="31:34" x14ac:dyDescent="0.2">
      <c r="AE274" s="302">
        <v>44331</v>
      </c>
      <c r="AF274" s="38">
        <f>WORKDAY(EDATE(AE274,1)-1,1,FERIADOS!$A$1:$A$830)</f>
        <v>44362</v>
      </c>
      <c r="AG274" s="313">
        <f t="shared" si="41"/>
        <v>4864.72</v>
      </c>
      <c r="AH274" s="307"/>
    </row>
    <row r="275" spans="31:34" x14ac:dyDescent="0.2">
      <c r="AE275" s="302">
        <v>44362</v>
      </c>
      <c r="AF275" s="38">
        <f>WORKDAY(EDATE(AE275,1)-1,1,FERIADOS!$A$1:$A$830)</f>
        <v>44392</v>
      </c>
      <c r="AG275" s="313">
        <f t="shared" si="41"/>
        <v>4864.72</v>
      </c>
      <c r="AH275" s="307"/>
    </row>
    <row r="276" spans="31:34" x14ac:dyDescent="0.2">
      <c r="AE276" s="302">
        <v>44392</v>
      </c>
      <c r="AF276" s="38">
        <f>WORKDAY(EDATE(AE276,1)-1,1,FERIADOS!$A$1:$A$830)</f>
        <v>44424</v>
      </c>
      <c r="AG276" s="313">
        <f t="shared" si="41"/>
        <v>4864.72</v>
      </c>
      <c r="AH276" s="307"/>
    </row>
    <row r="277" spans="31:34" x14ac:dyDescent="0.2">
      <c r="AE277" s="302">
        <v>44423</v>
      </c>
      <c r="AF277" s="38">
        <f>WORKDAY(EDATE(AE277,1)-1,1,FERIADOS!$A$1:$A$830)</f>
        <v>44454</v>
      </c>
      <c r="AG277" s="313">
        <f t="shared" si="41"/>
        <v>4864.72</v>
      </c>
      <c r="AH277" s="307"/>
    </row>
    <row r="278" spans="31:34" x14ac:dyDescent="0.2">
      <c r="AE278" s="302">
        <v>44454</v>
      </c>
      <c r="AF278" s="38">
        <f>WORKDAY(EDATE(AE278,1)-1,1,FERIADOS!$A$1:$A$830)</f>
        <v>44484</v>
      </c>
      <c r="AG278" s="313">
        <f t="shared" si="41"/>
        <v>4864.72</v>
      </c>
      <c r="AH278" s="307"/>
    </row>
    <row r="279" spans="31:34" x14ac:dyDescent="0.2">
      <c r="AE279" s="302">
        <v>44484</v>
      </c>
      <c r="AF279" s="38">
        <f>WORKDAY(EDATE(AE279,1)-1,1,FERIADOS!$A$1:$A$830)</f>
        <v>44516</v>
      </c>
      <c r="AG279" s="313">
        <f t="shared" si="41"/>
        <v>4864.72</v>
      </c>
      <c r="AH279" s="307"/>
    </row>
    <row r="280" spans="31:34" x14ac:dyDescent="0.2">
      <c r="AE280" s="302">
        <v>44515</v>
      </c>
      <c r="AF280" s="38">
        <f>WORKDAY(EDATE(AE280,1)-1,1,FERIADOS!$A$1:$A$830)</f>
        <v>44545</v>
      </c>
      <c r="AG280" s="313">
        <f t="shared" si="41"/>
        <v>4864.72</v>
      </c>
      <c r="AH280" s="307"/>
    </row>
    <row r="281" spans="31:34" x14ac:dyDescent="0.2">
      <c r="AE281" s="302">
        <v>44545</v>
      </c>
      <c r="AF281" s="38">
        <f>WORKDAY(EDATE(AE281,1)-1,1,FERIADOS!$A$1:$A$830)</f>
        <v>44578</v>
      </c>
      <c r="AG281" s="313">
        <f t="shared" si="41"/>
        <v>4864.72</v>
      </c>
      <c r="AH281" s="307"/>
    </row>
    <row r="282" spans="31:34" x14ac:dyDescent="0.2">
      <c r="AE282" s="302">
        <v>44576</v>
      </c>
      <c r="AF282" s="38">
        <f>WORKDAY(EDATE(AE282,1)-1,1,FERIADOS!$A$1:$A$830)</f>
        <v>44607</v>
      </c>
      <c r="AG282" s="313">
        <f t="shared" si="41"/>
        <v>4864.72</v>
      </c>
      <c r="AH282" s="307"/>
    </row>
    <row r="283" spans="31:34" x14ac:dyDescent="0.2">
      <c r="AE283" s="302">
        <v>44607</v>
      </c>
      <c r="AF283" s="38">
        <f>WORKDAY(EDATE(AE283,1)-1,1,FERIADOS!$A$1:$A$830)</f>
        <v>44635</v>
      </c>
      <c r="AG283" s="313">
        <f t="shared" si="41"/>
        <v>4864.72</v>
      </c>
      <c r="AH283" s="307"/>
    </row>
    <row r="284" spans="31:34" x14ac:dyDescent="0.2">
      <c r="AE284" s="302">
        <v>44635</v>
      </c>
      <c r="AF284" s="38">
        <f>WORKDAY(EDATE(AE284,1)-1,1,FERIADOS!$A$1:$A$830)</f>
        <v>44669</v>
      </c>
      <c r="AG284" s="313">
        <f t="shared" si="41"/>
        <v>4864.72</v>
      </c>
      <c r="AH284" s="307"/>
    </row>
    <row r="285" spans="31:34" x14ac:dyDescent="0.2">
      <c r="AE285" s="302">
        <v>44666</v>
      </c>
      <c r="AF285" s="38">
        <f>WORKDAY(EDATE(AE285,1)-1,1,FERIADOS!$A$1:$A$830)</f>
        <v>44697</v>
      </c>
      <c r="AG285" s="313">
        <f t="shared" si="41"/>
        <v>4864.72</v>
      </c>
      <c r="AH285" s="307"/>
    </row>
    <row r="286" spans="31:34" x14ac:dyDescent="0.2">
      <c r="AE286" s="302">
        <v>44696</v>
      </c>
      <c r="AF286" s="38">
        <f>WORKDAY(EDATE(AE286,1)-1,1,FERIADOS!$A$1:$A$830)</f>
        <v>44727</v>
      </c>
      <c r="AG286" s="313">
        <f t="shared" si="41"/>
        <v>4864.72</v>
      </c>
      <c r="AH286" s="307"/>
    </row>
    <row r="287" spans="31:34" x14ac:dyDescent="0.2">
      <c r="AE287" s="302">
        <v>44727</v>
      </c>
      <c r="AF287" s="38">
        <f>WORKDAY(EDATE(AE287,1)-1,1,FERIADOS!$A$1:$A$830)</f>
        <v>44757</v>
      </c>
      <c r="AG287" s="313">
        <f t="shared" si="41"/>
        <v>4864.72</v>
      </c>
      <c r="AH287" s="307"/>
    </row>
    <row r="288" spans="31:34" x14ac:dyDescent="0.2">
      <c r="AE288" s="302">
        <v>44757</v>
      </c>
      <c r="AF288" s="38">
        <f>WORKDAY(EDATE(AE288,1)-1,1,FERIADOS!$A$1:$A$830)</f>
        <v>44788</v>
      </c>
      <c r="AG288" s="313">
        <f t="shared" si="41"/>
        <v>4864.72</v>
      </c>
      <c r="AH288" s="307"/>
    </row>
    <row r="289" spans="31:34" x14ac:dyDescent="0.2">
      <c r="AE289" s="302">
        <v>44788</v>
      </c>
      <c r="AF289" s="38">
        <f>WORKDAY(EDATE(AE289,1)-1,1,FERIADOS!$A$1:$A$830)</f>
        <v>44819</v>
      </c>
      <c r="AG289" s="313">
        <f t="shared" si="41"/>
        <v>4864.72</v>
      </c>
      <c r="AH289" s="307"/>
    </row>
    <row r="290" spans="31:34" x14ac:dyDescent="0.2">
      <c r="AE290" s="302">
        <v>44819</v>
      </c>
      <c r="AF290" s="38">
        <f>WORKDAY(EDATE(AE290,1)-1,1,FERIADOS!$A$1:$A$830)</f>
        <v>44851</v>
      </c>
      <c r="AG290" s="313">
        <f t="shared" si="41"/>
        <v>4864.72</v>
      </c>
      <c r="AH290" s="307"/>
    </row>
    <row r="291" spans="31:34" x14ac:dyDescent="0.2">
      <c r="AE291" s="302">
        <v>44849</v>
      </c>
      <c r="AF291" s="38">
        <f>WORKDAY(EDATE(AE291,1)-1,1,FERIADOS!$A$1:$A$830)</f>
        <v>44881</v>
      </c>
      <c r="AG291" s="313">
        <f t="shared" si="41"/>
        <v>4864.72</v>
      </c>
      <c r="AH291" s="307"/>
    </row>
    <row r="292" spans="31:34" x14ac:dyDescent="0.2">
      <c r="AE292" s="302">
        <v>44880</v>
      </c>
      <c r="AF292" s="38">
        <f>WORKDAY(EDATE(AE292,1)-1,1,FERIADOS!$A$1:$A$830)</f>
        <v>44910</v>
      </c>
      <c r="AG292" s="313">
        <f t="shared" si="41"/>
        <v>4864.72</v>
      </c>
      <c r="AH292" s="307"/>
    </row>
    <row r="293" spans="31:34" x14ac:dyDescent="0.2">
      <c r="AE293" s="302">
        <v>44910</v>
      </c>
      <c r="AF293" s="38">
        <f>WORKDAY(EDATE(AE293,1)-1,1,FERIADOS!$A$1:$A$830)</f>
        <v>44942</v>
      </c>
      <c r="AG293" s="313">
        <f t="shared" si="41"/>
        <v>4864.72</v>
      </c>
      <c r="AH293" s="307"/>
    </row>
    <row r="294" spans="31:34" x14ac:dyDescent="0.2">
      <c r="AE294" s="302">
        <v>44941</v>
      </c>
      <c r="AF294" s="38">
        <f>WORKDAY(EDATE(AE294,1)-1,1,FERIADOS!$A$1:$A$830)</f>
        <v>44972</v>
      </c>
      <c r="AG294" s="313">
        <f t="shared" si="41"/>
        <v>4864.72</v>
      </c>
      <c r="AH294" s="307"/>
    </row>
    <row r="295" spans="31:34" x14ac:dyDescent="0.2">
      <c r="AE295" s="302">
        <v>44972</v>
      </c>
      <c r="AF295" s="38">
        <f>WORKDAY(EDATE(AE295,1)-1,1,FERIADOS!$A$1:$A$830)</f>
        <v>45000</v>
      </c>
      <c r="AG295" s="313">
        <f t="shared" si="41"/>
        <v>4864.72</v>
      </c>
      <c r="AH295" s="307"/>
    </row>
    <row r="296" spans="31:34" x14ac:dyDescent="0.2">
      <c r="AE296" s="302">
        <v>45000</v>
      </c>
      <c r="AF296" s="38">
        <f>WORKDAY(EDATE(AE296,1)-1,1,FERIADOS!$A$1:$A$830)</f>
        <v>45033</v>
      </c>
      <c r="AG296" s="313">
        <f t="shared" si="41"/>
        <v>4864.72</v>
      </c>
      <c r="AH296" s="307"/>
    </row>
    <row r="297" spans="31:34" x14ac:dyDescent="0.2">
      <c r="AE297" s="302">
        <v>45031</v>
      </c>
      <c r="AF297" s="38">
        <f>WORKDAY(EDATE(AE297,1)-1,1,FERIADOS!$A$1:$A$830)</f>
        <v>45061</v>
      </c>
      <c r="AG297" s="313">
        <f t="shared" si="41"/>
        <v>4864.72</v>
      </c>
      <c r="AH297" s="307"/>
    </row>
    <row r="298" spans="31:34" x14ac:dyDescent="0.2">
      <c r="AE298" s="302">
        <v>45061</v>
      </c>
      <c r="AF298" s="38">
        <f>WORKDAY(EDATE(AE298,1)-1,1,FERIADOS!$A$1:$A$830)</f>
        <v>45092</v>
      </c>
      <c r="AG298" s="313">
        <f t="shared" si="41"/>
        <v>4864.72</v>
      </c>
      <c r="AH298" s="307"/>
    </row>
    <row r="299" spans="31:34" x14ac:dyDescent="0.2">
      <c r="AE299" s="302">
        <v>45092</v>
      </c>
      <c r="AF299" s="38">
        <f>WORKDAY(EDATE(AE299,1)-1,1,FERIADOS!$A$1:$A$830)</f>
        <v>45124</v>
      </c>
      <c r="AG299" s="313">
        <f t="shared" si="41"/>
        <v>4864.72</v>
      </c>
      <c r="AH299" s="307"/>
    </row>
    <row r="300" spans="31:34" x14ac:dyDescent="0.2">
      <c r="AE300" s="302">
        <v>45122</v>
      </c>
      <c r="AF300" s="38">
        <f>WORKDAY(EDATE(AE300,1)-1,1,FERIADOS!$A$1:$A$830)</f>
        <v>45153</v>
      </c>
      <c r="AG300" s="313">
        <f t="shared" si="41"/>
        <v>4864.72</v>
      </c>
      <c r="AH300" s="307"/>
    </row>
    <row r="301" spans="31:34" x14ac:dyDescent="0.2">
      <c r="AE301" s="302">
        <v>45153</v>
      </c>
      <c r="AF301" s="38">
        <f>WORKDAY(EDATE(AE301,1)-1,1,FERIADOS!$A$1:$A$830)</f>
        <v>45184</v>
      </c>
      <c r="AG301" s="313">
        <f t="shared" si="41"/>
        <v>4864.72</v>
      </c>
      <c r="AH301" s="307"/>
    </row>
    <row r="302" spans="31:34" x14ac:dyDescent="0.2">
      <c r="AE302" s="302">
        <v>45184</v>
      </c>
      <c r="AF302" s="38">
        <f>WORKDAY(EDATE(AE302,1)-1,1,FERIADOS!$A$1:$A$830)</f>
        <v>45215</v>
      </c>
      <c r="AG302" s="313">
        <f t="shared" si="41"/>
        <v>4864.72</v>
      </c>
      <c r="AH302" s="307"/>
    </row>
    <row r="303" spans="31:34" x14ac:dyDescent="0.2">
      <c r="AE303" s="302">
        <v>45214</v>
      </c>
      <c r="AF303" s="38">
        <f>WORKDAY(EDATE(AE303,1)-1,1,FERIADOS!$A$1:$A$830)</f>
        <v>45246</v>
      </c>
      <c r="AG303" s="313">
        <f t="shared" si="41"/>
        <v>4864.72</v>
      </c>
      <c r="AH303" s="307"/>
    </row>
    <row r="304" spans="31:34" x14ac:dyDescent="0.2">
      <c r="AE304" s="302">
        <v>45245</v>
      </c>
      <c r="AF304" s="38">
        <f>WORKDAY(EDATE(AE304,1)-1,1,FERIADOS!$A$1:$A$830)</f>
        <v>45275</v>
      </c>
      <c r="AG304" s="313">
        <f t="shared" si="41"/>
        <v>4864.72</v>
      </c>
      <c r="AH304" s="307"/>
    </row>
    <row r="305" spans="31:34" x14ac:dyDescent="0.2">
      <c r="AE305" s="302">
        <v>45275</v>
      </c>
      <c r="AF305" s="38">
        <f>WORKDAY(EDATE(AE305,1)-1,1,FERIADOS!$A$1:$A$830)</f>
        <v>45306</v>
      </c>
      <c r="AG305" s="313">
        <f t="shared" si="41"/>
        <v>4864.72</v>
      </c>
      <c r="AH305" s="307"/>
    </row>
    <row r="306" spans="31:34" x14ac:dyDescent="0.2">
      <c r="AE306" s="302">
        <v>45306</v>
      </c>
      <c r="AF306" s="38">
        <f>WORKDAY(EDATE(AE306,1)-1,1,FERIADOS!$A$1:$A$830)</f>
        <v>45337</v>
      </c>
      <c r="AG306" s="313">
        <f t="shared" si="41"/>
        <v>4864.72</v>
      </c>
      <c r="AH306" s="307"/>
    </row>
    <row r="307" spans="31:34" x14ac:dyDescent="0.2">
      <c r="AE307" s="302">
        <v>45337</v>
      </c>
      <c r="AF307" s="38">
        <f>WORKDAY(EDATE(AE307,1)-1,1,FERIADOS!$A$1:$A$830)</f>
        <v>45366</v>
      </c>
      <c r="AG307" s="313">
        <f t="shared" si="41"/>
        <v>4864.72</v>
      </c>
      <c r="AH307" s="307"/>
    </row>
    <row r="308" spans="31:34" x14ac:dyDescent="0.2">
      <c r="AE308" s="302">
        <v>45366</v>
      </c>
      <c r="AF308" s="38">
        <f>WORKDAY(EDATE(AE308,1)-1,1,FERIADOS!$A$1:$A$830)</f>
        <v>45397</v>
      </c>
      <c r="AG308" s="313">
        <f t="shared" si="41"/>
        <v>4864.72</v>
      </c>
      <c r="AH308" s="307"/>
    </row>
    <row r="309" spans="31:34" x14ac:dyDescent="0.2">
      <c r="AE309" s="302">
        <v>45397</v>
      </c>
      <c r="AF309" s="38">
        <f>WORKDAY(EDATE(AE309,1)-1,1,FERIADOS!$A$1:$A$830)</f>
        <v>45427</v>
      </c>
      <c r="AG309" s="313">
        <f t="shared" si="41"/>
        <v>4864.72</v>
      </c>
      <c r="AH309" s="307"/>
    </row>
    <row r="310" spans="31:34" x14ac:dyDescent="0.2">
      <c r="AE310" s="302">
        <v>45427</v>
      </c>
      <c r="AF310" s="38">
        <f>WORKDAY(EDATE(AE310,1)-1,1,FERIADOS!$A$1:$A$830)</f>
        <v>45460</v>
      </c>
      <c r="AG310" s="313">
        <f t="shared" si="41"/>
        <v>4864.72</v>
      </c>
      <c r="AH310" s="307"/>
    </row>
    <row r="311" spans="31:34" x14ac:dyDescent="0.2">
      <c r="AE311" s="302">
        <v>45458</v>
      </c>
      <c r="AF311" s="38">
        <f>WORKDAY(EDATE(AE311,1)-1,1,FERIADOS!$A$1:$A$830)</f>
        <v>45488</v>
      </c>
      <c r="AG311" s="313">
        <f t="shared" si="41"/>
        <v>4864.72</v>
      </c>
      <c r="AH311" s="307"/>
    </row>
    <row r="312" spans="31:34" x14ac:dyDescent="0.2">
      <c r="AE312" s="302">
        <v>45488</v>
      </c>
      <c r="AF312" s="38">
        <f>WORKDAY(EDATE(AE312,1)-1,1,FERIADOS!$A$1:$A$830)</f>
        <v>45519</v>
      </c>
      <c r="AG312" s="313">
        <f t="shared" si="41"/>
        <v>4864.72</v>
      </c>
      <c r="AH312" s="307"/>
    </row>
    <row r="313" spans="31:34" x14ac:dyDescent="0.2">
      <c r="AE313" s="302">
        <v>45519</v>
      </c>
      <c r="AF313" s="38">
        <f>WORKDAY(EDATE(AE313,1)-1,1,FERIADOS!$A$1:$A$830)</f>
        <v>45551</v>
      </c>
      <c r="AG313" s="313">
        <f t="shared" si="41"/>
        <v>4864.72</v>
      </c>
      <c r="AH313" s="307"/>
    </row>
    <row r="314" spans="31:34" x14ac:dyDescent="0.2">
      <c r="AE314" s="302">
        <v>45550</v>
      </c>
      <c r="AF314" s="38">
        <f>WORKDAY(EDATE(AE314,1)-1,1,FERIADOS!$A$1:$A$830)</f>
        <v>45580</v>
      </c>
      <c r="AG314" s="313">
        <f t="shared" si="41"/>
        <v>4864.72</v>
      </c>
      <c r="AH314" s="307"/>
    </row>
    <row r="315" spans="31:34" x14ac:dyDescent="0.2">
      <c r="AE315" s="302">
        <v>45580</v>
      </c>
      <c r="AF315" s="38">
        <f>WORKDAY(EDATE(AE315,1)-1,1,FERIADOS!$A$1:$A$830)</f>
        <v>45614</v>
      </c>
      <c r="AG315" s="313">
        <f t="shared" si="41"/>
        <v>4864.72</v>
      </c>
      <c r="AH315" s="307"/>
    </row>
    <row r="316" spans="31:34" x14ac:dyDescent="0.2">
      <c r="AE316" s="302">
        <v>45611</v>
      </c>
      <c r="AF316" s="38">
        <f>WORKDAY(EDATE(AE316,1)-1,1,FERIADOS!$A$1:$A$830)</f>
        <v>45642</v>
      </c>
      <c r="AG316" s="313">
        <f t="shared" si="41"/>
        <v>4864.72</v>
      </c>
      <c r="AH316" s="307"/>
    </row>
    <row r="317" spans="31:34" x14ac:dyDescent="0.2">
      <c r="AE317" s="302">
        <v>45641</v>
      </c>
      <c r="AF317" s="38">
        <f>WORKDAY(EDATE(AE317,1)-1,1,FERIADOS!$A$1:$A$830)</f>
        <v>45672</v>
      </c>
      <c r="AG317" s="313">
        <f t="shared" si="41"/>
        <v>4864.72</v>
      </c>
      <c r="AH317" s="307"/>
    </row>
    <row r="318" spans="31:34" x14ac:dyDescent="0.2">
      <c r="AE318" s="302">
        <v>45672</v>
      </c>
      <c r="AF318" s="38">
        <f>WORKDAY(EDATE(AE318,1)-1,1,FERIADOS!$A$1:$A$830)</f>
        <v>45705</v>
      </c>
      <c r="AG318" s="313">
        <f t="shared" si="41"/>
        <v>4864.72</v>
      </c>
      <c r="AH318" s="307"/>
    </row>
    <row r="319" spans="31:34" x14ac:dyDescent="0.2">
      <c r="AE319" s="302">
        <v>45703</v>
      </c>
      <c r="AF319" s="38">
        <f>WORKDAY(EDATE(AE319,1)-1,1,FERIADOS!$A$1:$A$830)</f>
        <v>45733</v>
      </c>
      <c r="AG319" s="313">
        <f t="shared" si="41"/>
        <v>4864.72</v>
      </c>
      <c r="AH319" s="307"/>
    </row>
    <row r="320" spans="31:34" x14ac:dyDescent="0.2">
      <c r="AE320" s="302">
        <v>45731</v>
      </c>
      <c r="AF320" s="38">
        <f>WORKDAY(EDATE(AE320,1)-1,1,FERIADOS!$A$1:$A$830)</f>
        <v>45762</v>
      </c>
      <c r="AG320" s="313">
        <f t="shared" si="41"/>
        <v>4864.72</v>
      </c>
      <c r="AH320" s="307"/>
    </row>
    <row r="321" spans="31:34" x14ac:dyDescent="0.2">
      <c r="AE321" s="302">
        <v>45762</v>
      </c>
      <c r="AF321" s="38">
        <f>WORKDAY(EDATE(AE321,1)-1,1,FERIADOS!$A$1:$A$830)</f>
        <v>45792</v>
      </c>
      <c r="AG321" s="313">
        <f t="shared" si="41"/>
        <v>4864.72</v>
      </c>
      <c r="AH321" s="307"/>
    </row>
    <row r="322" spans="31:34" x14ac:dyDescent="0.2">
      <c r="AE322" s="302">
        <v>45792</v>
      </c>
      <c r="AF322" s="38">
        <f>WORKDAY(EDATE(AE322,1)-1,1,FERIADOS!$A$1:$A$830)</f>
        <v>45824</v>
      </c>
      <c r="AG322" s="313">
        <f t="shared" si="41"/>
        <v>4864.72</v>
      </c>
      <c r="AH322" s="307"/>
    </row>
    <row r="323" spans="31:34" x14ac:dyDescent="0.2">
      <c r="AE323" s="302">
        <v>45823</v>
      </c>
      <c r="AF323" s="38">
        <f>WORKDAY(EDATE(AE323,1)-1,1,FERIADOS!$A$1:$A$830)</f>
        <v>45853</v>
      </c>
      <c r="AG323" s="313">
        <f t="shared" si="41"/>
        <v>4864.72</v>
      </c>
      <c r="AH323" s="307"/>
    </row>
    <row r="324" spans="31:34" x14ac:dyDescent="0.2">
      <c r="AE324" s="302">
        <v>45853</v>
      </c>
      <c r="AF324" s="38">
        <f>WORKDAY(EDATE(AE324,1)-1,1,FERIADOS!$A$1:$A$830)</f>
        <v>45884</v>
      </c>
      <c r="AG324" s="313">
        <f t="shared" si="41"/>
        <v>4864.72</v>
      </c>
      <c r="AH324" s="307"/>
    </row>
    <row r="325" spans="31:34" x14ac:dyDescent="0.2">
      <c r="AE325" s="302">
        <v>45884</v>
      </c>
      <c r="AF325" s="38">
        <f>WORKDAY(EDATE(AE325,1)-1,1,FERIADOS!$A$1:$A$830)</f>
        <v>45915</v>
      </c>
      <c r="AG325" s="313">
        <f t="shared" si="41"/>
        <v>4864.72</v>
      </c>
      <c r="AH325" s="307"/>
    </row>
    <row r="326" spans="31:34" x14ac:dyDescent="0.2">
      <c r="AE326" s="302">
        <v>45915</v>
      </c>
      <c r="AF326" s="38">
        <f>WORKDAY(EDATE(AE326,1)-1,1,FERIADOS!$A$1:$A$830)</f>
        <v>45945</v>
      </c>
      <c r="AG326" s="313">
        <f t="shared" si="41"/>
        <v>4864.72</v>
      </c>
      <c r="AH326" s="307"/>
    </row>
    <row r="327" spans="31:34" x14ac:dyDescent="0.2">
      <c r="AE327" s="302">
        <v>45945</v>
      </c>
      <c r="AF327" s="38">
        <f>WORKDAY(EDATE(AE327,1)-1,1,FERIADOS!$A$1:$A$830)</f>
        <v>45978</v>
      </c>
      <c r="AG327" s="313">
        <f t="shared" si="41"/>
        <v>4864.72</v>
      </c>
      <c r="AH327" s="307"/>
    </row>
    <row r="328" spans="31:34" x14ac:dyDescent="0.2">
      <c r="AE328" s="302">
        <v>45976</v>
      </c>
      <c r="AF328" s="38">
        <f>WORKDAY(EDATE(AE328,1)-1,1,FERIADOS!$A$1:$A$830)</f>
        <v>46006</v>
      </c>
      <c r="AG328" s="313">
        <f t="shared" si="41"/>
        <v>4864.72</v>
      </c>
      <c r="AH328" s="307"/>
    </row>
    <row r="329" spans="31:34" x14ac:dyDescent="0.2">
      <c r="AE329" s="302">
        <v>46006</v>
      </c>
      <c r="AF329" s="38">
        <f>WORKDAY(EDATE(AE329,1)-1,1,FERIADOS!$A$1:$A$830)</f>
        <v>46037</v>
      </c>
      <c r="AG329" s="313">
        <f t="shared" si="41"/>
        <v>4864.72</v>
      </c>
      <c r="AH329" s="307"/>
    </row>
    <row r="330" spans="31:34" x14ac:dyDescent="0.2">
      <c r="AE330" s="302">
        <v>46037</v>
      </c>
      <c r="AF330" s="38">
        <f>WORKDAY(EDATE(AE330,1)-1,1,FERIADOS!$A$1:$A$830)</f>
        <v>46071</v>
      </c>
      <c r="AG330" s="313">
        <f t="shared" si="41"/>
        <v>4864.72</v>
      </c>
      <c r="AH330" s="307"/>
    </row>
    <row r="331" spans="31:34" x14ac:dyDescent="0.2">
      <c r="AE331" s="302">
        <v>46068</v>
      </c>
      <c r="AF331" s="38">
        <f>WORKDAY(EDATE(AE331,1)-1,1,FERIADOS!$A$1:$A$830)</f>
        <v>46097</v>
      </c>
      <c r="AG331" s="313">
        <f t="shared" si="41"/>
        <v>4864.72</v>
      </c>
      <c r="AH331" s="307"/>
    </row>
    <row r="332" spans="31:34" x14ac:dyDescent="0.2">
      <c r="AE332" s="302">
        <v>46096</v>
      </c>
      <c r="AF332" s="38">
        <f>WORKDAY(EDATE(AE332,1)-1,1,FERIADOS!$A$1:$A$830)</f>
        <v>46127</v>
      </c>
      <c r="AG332" s="313">
        <f t="shared" ref="AG332:AG380" si="42">ROUND(AG331*(1+AH332/100),2)</f>
        <v>4864.72</v>
      </c>
      <c r="AH332" s="307"/>
    </row>
    <row r="333" spans="31:34" x14ac:dyDescent="0.2">
      <c r="AE333" s="302">
        <v>46127</v>
      </c>
      <c r="AF333" s="38">
        <f>WORKDAY(EDATE(AE333,1)-1,1,FERIADOS!$A$1:$A$830)</f>
        <v>46157</v>
      </c>
      <c r="AG333" s="313">
        <f t="shared" si="42"/>
        <v>4864.72</v>
      </c>
      <c r="AH333" s="307"/>
    </row>
    <row r="334" spans="31:34" x14ac:dyDescent="0.2">
      <c r="AE334" s="302">
        <v>46157</v>
      </c>
      <c r="AF334" s="38">
        <f>WORKDAY(EDATE(AE334,1)-1,1,FERIADOS!$A$1:$A$830)</f>
        <v>46188</v>
      </c>
      <c r="AG334" s="313">
        <f t="shared" si="42"/>
        <v>4864.72</v>
      </c>
      <c r="AH334" s="307"/>
    </row>
    <row r="335" spans="31:34" x14ac:dyDescent="0.2">
      <c r="AE335" s="302">
        <v>46188</v>
      </c>
      <c r="AF335" s="38">
        <f>WORKDAY(EDATE(AE335,1)-1,1,FERIADOS!$A$1:$A$830)</f>
        <v>46218</v>
      </c>
      <c r="AG335" s="313">
        <f t="shared" si="42"/>
        <v>4864.72</v>
      </c>
      <c r="AH335" s="307"/>
    </row>
    <row r="336" spans="31:34" x14ac:dyDescent="0.2">
      <c r="AE336" s="302">
        <v>46218</v>
      </c>
      <c r="AF336" s="38">
        <f>WORKDAY(EDATE(AE336,1)-1,1,FERIADOS!$A$1:$A$830)</f>
        <v>46251</v>
      </c>
      <c r="AG336" s="313">
        <f t="shared" si="42"/>
        <v>4864.72</v>
      </c>
      <c r="AH336" s="307"/>
    </row>
    <row r="337" spans="31:34" x14ac:dyDescent="0.2">
      <c r="AE337" s="302">
        <v>46249</v>
      </c>
      <c r="AF337" s="38">
        <f>WORKDAY(EDATE(AE337,1)-1,1,FERIADOS!$A$1:$A$830)</f>
        <v>46280</v>
      </c>
      <c r="AG337" s="313">
        <f t="shared" si="42"/>
        <v>4864.72</v>
      </c>
      <c r="AH337" s="307"/>
    </row>
    <row r="338" spans="31:34" x14ac:dyDescent="0.2">
      <c r="AE338" s="302">
        <v>46280</v>
      </c>
      <c r="AF338" s="38">
        <f>WORKDAY(EDATE(AE338,1)-1,1,FERIADOS!$A$1:$A$830)</f>
        <v>46310</v>
      </c>
      <c r="AG338" s="313">
        <f t="shared" si="42"/>
        <v>4864.72</v>
      </c>
      <c r="AH338" s="307"/>
    </row>
    <row r="339" spans="31:34" x14ac:dyDescent="0.2">
      <c r="AE339" s="302">
        <v>46310</v>
      </c>
      <c r="AF339" s="38">
        <f>WORKDAY(EDATE(AE339,1)-1,1,FERIADOS!$A$1:$A$830)</f>
        <v>46342</v>
      </c>
      <c r="AG339" s="313">
        <f t="shared" si="42"/>
        <v>4864.72</v>
      </c>
      <c r="AH339" s="307"/>
    </row>
    <row r="340" spans="31:34" x14ac:dyDescent="0.2">
      <c r="AE340" s="302">
        <v>46341</v>
      </c>
      <c r="AF340" s="38">
        <f>WORKDAY(EDATE(AE340,1)-1,1,FERIADOS!$A$1:$A$830)</f>
        <v>46371</v>
      </c>
      <c r="AG340" s="313">
        <f t="shared" si="42"/>
        <v>4864.72</v>
      </c>
      <c r="AH340" s="307"/>
    </row>
    <row r="341" spans="31:34" x14ac:dyDescent="0.2">
      <c r="AE341" s="302">
        <v>46371</v>
      </c>
      <c r="AF341" s="38">
        <f>WORKDAY(EDATE(AE341,1)-1,1,FERIADOS!$A$1:$A$830)</f>
        <v>46402</v>
      </c>
      <c r="AG341" s="313">
        <f t="shared" si="42"/>
        <v>4864.72</v>
      </c>
      <c r="AH341" s="307"/>
    </row>
    <row r="342" spans="31:34" x14ac:dyDescent="0.2">
      <c r="AE342" s="302">
        <v>46402</v>
      </c>
      <c r="AF342" s="38">
        <f>WORKDAY(EDATE(AE342,1)-1,1,FERIADOS!$A$1:$A$830)</f>
        <v>46433</v>
      </c>
      <c r="AG342" s="313">
        <f t="shared" si="42"/>
        <v>4864.72</v>
      </c>
      <c r="AH342" s="307"/>
    </row>
    <row r="343" spans="31:34" x14ac:dyDescent="0.2">
      <c r="AE343" s="302">
        <v>46433</v>
      </c>
      <c r="AF343" s="38">
        <f>WORKDAY(EDATE(AE343,1)-1,1,FERIADOS!$A$1:$A$830)</f>
        <v>46461</v>
      </c>
      <c r="AG343" s="313">
        <f t="shared" si="42"/>
        <v>4864.72</v>
      </c>
      <c r="AH343" s="307"/>
    </row>
    <row r="344" spans="31:34" x14ac:dyDescent="0.2">
      <c r="AE344" s="302">
        <v>46461</v>
      </c>
      <c r="AF344" s="38">
        <f>WORKDAY(EDATE(AE344,1)-1,1,FERIADOS!$A$1:$A$830)</f>
        <v>46492</v>
      </c>
      <c r="AG344" s="313">
        <f t="shared" si="42"/>
        <v>4864.72</v>
      </c>
      <c r="AH344" s="307"/>
    </row>
    <row r="345" spans="31:34" x14ac:dyDescent="0.2">
      <c r="AE345" s="302">
        <v>46492</v>
      </c>
      <c r="AF345" s="38">
        <f>WORKDAY(EDATE(AE345,1)-1,1,FERIADOS!$A$1:$A$830)</f>
        <v>46524</v>
      </c>
      <c r="AG345" s="313">
        <f t="shared" si="42"/>
        <v>4864.72</v>
      </c>
      <c r="AH345" s="307"/>
    </row>
    <row r="346" spans="31:34" x14ac:dyDescent="0.2">
      <c r="AE346" s="302">
        <v>46522</v>
      </c>
      <c r="AF346" s="38">
        <f>WORKDAY(EDATE(AE346,1)-1,1,FERIADOS!$A$1:$A$830)</f>
        <v>46553</v>
      </c>
      <c r="AG346" s="313">
        <f t="shared" si="42"/>
        <v>4864.72</v>
      </c>
      <c r="AH346" s="307"/>
    </row>
    <row r="347" spans="31:34" x14ac:dyDescent="0.2">
      <c r="AE347" s="302">
        <v>46553</v>
      </c>
      <c r="AF347" s="38">
        <f>WORKDAY(EDATE(AE347,1)-1,1,FERIADOS!$A$1:$A$830)</f>
        <v>46583</v>
      </c>
      <c r="AG347" s="313">
        <f t="shared" si="42"/>
        <v>4864.72</v>
      </c>
      <c r="AH347" s="307"/>
    </row>
    <row r="348" spans="31:34" x14ac:dyDescent="0.2">
      <c r="AE348" s="302">
        <v>46583</v>
      </c>
      <c r="AF348" s="38">
        <f>WORKDAY(EDATE(AE348,1)-1,1,FERIADOS!$A$1:$A$830)</f>
        <v>46615</v>
      </c>
      <c r="AG348" s="313">
        <f t="shared" si="42"/>
        <v>4864.72</v>
      </c>
      <c r="AH348" s="307"/>
    </row>
    <row r="349" spans="31:34" x14ac:dyDescent="0.2">
      <c r="AE349" s="302">
        <v>46614</v>
      </c>
      <c r="AF349" s="38">
        <f>WORKDAY(EDATE(AE349,1)-1,1,FERIADOS!$A$1:$A$830)</f>
        <v>46645</v>
      </c>
      <c r="AG349" s="313">
        <f t="shared" si="42"/>
        <v>4864.72</v>
      </c>
      <c r="AH349" s="307"/>
    </row>
    <row r="350" spans="31:34" x14ac:dyDescent="0.2">
      <c r="AE350" s="302">
        <v>46645</v>
      </c>
      <c r="AF350" s="38">
        <f>WORKDAY(EDATE(AE350,1)-1,1,FERIADOS!$A$1:$A$830)</f>
        <v>46675</v>
      </c>
      <c r="AG350" s="313">
        <f t="shared" si="42"/>
        <v>4864.72</v>
      </c>
      <c r="AH350" s="307"/>
    </row>
    <row r="351" spans="31:34" x14ac:dyDescent="0.2">
      <c r="AE351" s="302">
        <v>46675</v>
      </c>
      <c r="AF351" s="38">
        <f>WORKDAY(EDATE(AE351,1)-1,1,FERIADOS!$A$1:$A$830)</f>
        <v>46707</v>
      </c>
      <c r="AG351" s="313">
        <f t="shared" si="42"/>
        <v>4864.72</v>
      </c>
      <c r="AH351" s="307"/>
    </row>
    <row r="352" spans="31:34" x14ac:dyDescent="0.2">
      <c r="AE352" s="302">
        <v>46706</v>
      </c>
      <c r="AF352" s="38">
        <f>WORKDAY(EDATE(AE352,1)-1,1,FERIADOS!$A$1:$A$830)</f>
        <v>46736</v>
      </c>
      <c r="AG352" s="313">
        <f t="shared" si="42"/>
        <v>4864.72</v>
      </c>
      <c r="AH352" s="307"/>
    </row>
    <row r="353" spans="31:34" x14ac:dyDescent="0.2">
      <c r="AE353" s="302">
        <v>46736</v>
      </c>
      <c r="AF353" s="38">
        <f>WORKDAY(EDATE(AE353,1)-1,1,FERIADOS!$A$1:$A$830)</f>
        <v>46769</v>
      </c>
      <c r="AG353" s="313">
        <f t="shared" si="42"/>
        <v>4864.72</v>
      </c>
      <c r="AH353" s="307"/>
    </row>
    <row r="354" spans="31:34" x14ac:dyDescent="0.2">
      <c r="AE354" s="302">
        <v>46767</v>
      </c>
      <c r="AF354" s="38">
        <f>WORKDAY(EDATE(AE354,1)-1,1,FERIADOS!$A$1:$A$830)</f>
        <v>46798</v>
      </c>
      <c r="AG354" s="313">
        <f t="shared" si="42"/>
        <v>4864.72</v>
      </c>
      <c r="AH354" s="307"/>
    </row>
    <row r="355" spans="31:34" x14ac:dyDescent="0.2">
      <c r="AE355" s="302">
        <v>46798</v>
      </c>
      <c r="AF355" s="38">
        <f>WORKDAY(EDATE(AE355,1)-1,1,FERIADOS!$A$1:$A$830)</f>
        <v>46827</v>
      </c>
      <c r="AG355" s="313">
        <f t="shared" si="42"/>
        <v>4864.72</v>
      </c>
      <c r="AH355" s="307"/>
    </row>
    <row r="356" spans="31:34" x14ac:dyDescent="0.2">
      <c r="AE356" s="302">
        <v>46827</v>
      </c>
      <c r="AF356" s="38">
        <f>WORKDAY(EDATE(AE356,1)-1,1,FERIADOS!$A$1:$A$830)</f>
        <v>46860</v>
      </c>
      <c r="AG356" s="313">
        <f t="shared" si="42"/>
        <v>4864.72</v>
      </c>
      <c r="AH356" s="307"/>
    </row>
    <row r="357" spans="31:34" x14ac:dyDescent="0.2">
      <c r="AE357" s="302">
        <v>46858</v>
      </c>
      <c r="AF357" s="38">
        <f>WORKDAY(EDATE(AE357,1)-1,1,FERIADOS!$A$1:$A$830)</f>
        <v>46888</v>
      </c>
      <c r="AG357" s="313">
        <f t="shared" si="42"/>
        <v>4864.72</v>
      </c>
      <c r="AH357" s="307"/>
    </row>
    <row r="358" spans="31:34" x14ac:dyDescent="0.2">
      <c r="AE358" s="302">
        <v>46888</v>
      </c>
      <c r="AF358" s="38">
        <f>WORKDAY(EDATE(AE358,1)-1,1,FERIADOS!$A$1:$A$830)</f>
        <v>46920</v>
      </c>
      <c r="AG358" s="313">
        <f t="shared" si="42"/>
        <v>4864.72</v>
      </c>
      <c r="AH358" s="307"/>
    </row>
    <row r="359" spans="31:34" x14ac:dyDescent="0.2">
      <c r="AE359" s="302">
        <v>46919</v>
      </c>
      <c r="AF359" s="38">
        <f>WORKDAY(EDATE(AE359,1)-1,1,FERIADOS!$A$1:$A$830)</f>
        <v>46951</v>
      </c>
      <c r="AG359" s="313">
        <f t="shared" si="42"/>
        <v>4864.72</v>
      </c>
      <c r="AH359" s="307"/>
    </row>
    <row r="360" spans="31:34" x14ac:dyDescent="0.2">
      <c r="AE360" s="302">
        <v>46949</v>
      </c>
      <c r="AF360" s="38">
        <f>WORKDAY(EDATE(AE360,1)-1,1,FERIADOS!$A$1:$A$830)</f>
        <v>46980</v>
      </c>
      <c r="AG360" s="313">
        <f t="shared" si="42"/>
        <v>4864.72</v>
      </c>
      <c r="AH360" s="307"/>
    </row>
    <row r="361" spans="31:34" x14ac:dyDescent="0.2">
      <c r="AE361" s="302">
        <v>46980</v>
      </c>
      <c r="AF361" s="38">
        <f>WORKDAY(EDATE(AE361,1)-1,1,FERIADOS!$A$1:$A$830)</f>
        <v>47011</v>
      </c>
      <c r="AG361" s="313">
        <f t="shared" si="42"/>
        <v>4864.72</v>
      </c>
      <c r="AH361" s="307"/>
    </row>
    <row r="362" spans="31:34" x14ac:dyDescent="0.2">
      <c r="AE362" s="302">
        <v>47011</v>
      </c>
      <c r="AF362" s="38">
        <f>WORKDAY(EDATE(AE362,1)-1,1,FERIADOS!$A$1:$A$830)</f>
        <v>47042</v>
      </c>
      <c r="AG362" s="313">
        <f t="shared" si="42"/>
        <v>4864.72</v>
      </c>
      <c r="AH362" s="307"/>
    </row>
    <row r="363" spans="31:34" x14ac:dyDescent="0.2">
      <c r="AE363" s="302">
        <v>47041</v>
      </c>
      <c r="AF363" s="38">
        <f>WORKDAY(EDATE(AE363,1)-1,1,FERIADOS!$A$1:$A$830)</f>
        <v>47073</v>
      </c>
      <c r="AG363" s="313">
        <f t="shared" si="42"/>
        <v>4864.72</v>
      </c>
      <c r="AH363" s="307"/>
    </row>
    <row r="364" spans="31:34" x14ac:dyDescent="0.2">
      <c r="AE364" s="302">
        <v>47072</v>
      </c>
      <c r="AF364" s="38">
        <f>WORKDAY(EDATE(AE364,1)-1,1,FERIADOS!$A$1:$A$830)</f>
        <v>47102</v>
      </c>
      <c r="AG364" s="313">
        <f t="shared" si="42"/>
        <v>4864.72</v>
      </c>
      <c r="AH364" s="307"/>
    </row>
    <row r="365" spans="31:34" x14ac:dyDescent="0.2">
      <c r="AE365" s="302">
        <v>47102</v>
      </c>
      <c r="AF365" s="38">
        <f>WORKDAY(EDATE(AE365,1)-1,1,FERIADOS!$A$1:$A$830)</f>
        <v>47133</v>
      </c>
      <c r="AG365" s="313">
        <f t="shared" si="42"/>
        <v>4864.72</v>
      </c>
      <c r="AH365" s="307"/>
    </row>
    <row r="366" spans="31:34" x14ac:dyDescent="0.2">
      <c r="AE366" s="302">
        <v>47133</v>
      </c>
      <c r="AF366" s="38">
        <f>WORKDAY(EDATE(AE366,1)-1,1,FERIADOS!$A$1:$A$830)</f>
        <v>47164</v>
      </c>
      <c r="AG366" s="313">
        <f t="shared" si="42"/>
        <v>4864.72</v>
      </c>
      <c r="AH366" s="307"/>
    </row>
    <row r="367" spans="31:34" x14ac:dyDescent="0.2">
      <c r="AE367" s="302">
        <v>47164</v>
      </c>
      <c r="AF367" s="38">
        <f>WORKDAY(EDATE(AE367,1)-1,1,FERIADOS!$A$1:$A$830)</f>
        <v>47192</v>
      </c>
      <c r="AG367" s="313">
        <f t="shared" si="42"/>
        <v>4864.72</v>
      </c>
      <c r="AH367" s="307"/>
    </row>
    <row r="368" spans="31:34" x14ac:dyDescent="0.2">
      <c r="AE368" s="302">
        <v>47192</v>
      </c>
      <c r="AF368" s="38">
        <f>WORKDAY(EDATE(AE368,1)-1,1,FERIADOS!$A$1:$A$830)</f>
        <v>47224</v>
      </c>
      <c r="AG368" s="313">
        <f t="shared" si="42"/>
        <v>4864.72</v>
      </c>
      <c r="AH368" s="307"/>
    </row>
    <row r="369" spans="31:34" x14ac:dyDescent="0.2">
      <c r="AE369" s="302">
        <v>47223</v>
      </c>
      <c r="AF369" s="38">
        <f>WORKDAY(EDATE(AE369,1)-1,1,FERIADOS!$A$1:$A$830)</f>
        <v>47253</v>
      </c>
      <c r="AG369" s="313">
        <f t="shared" si="42"/>
        <v>4864.72</v>
      </c>
      <c r="AH369" s="307"/>
    </row>
    <row r="370" spans="31:34" x14ac:dyDescent="0.2">
      <c r="AE370" s="302">
        <v>47253</v>
      </c>
      <c r="AF370" s="38">
        <f>WORKDAY(EDATE(AE370,1)-1,1,FERIADOS!$A$1:$A$830)</f>
        <v>47284</v>
      </c>
      <c r="AG370" s="313">
        <f t="shared" si="42"/>
        <v>4864.72</v>
      </c>
      <c r="AH370" s="307"/>
    </row>
    <row r="371" spans="31:34" x14ac:dyDescent="0.2">
      <c r="AE371" s="302">
        <v>47284</v>
      </c>
      <c r="AF371" s="38">
        <f>WORKDAY(EDATE(AE371,1)-1,1,FERIADOS!$A$1:$A$830)</f>
        <v>47315</v>
      </c>
      <c r="AG371" s="313">
        <f t="shared" si="42"/>
        <v>4864.72</v>
      </c>
      <c r="AH371" s="307"/>
    </row>
    <row r="372" spans="31:34" x14ac:dyDescent="0.2">
      <c r="AE372" s="302">
        <v>47314</v>
      </c>
      <c r="AF372" s="38">
        <f>WORKDAY(EDATE(AE372,1)-1,1,FERIADOS!$A$1:$A$830)</f>
        <v>47345</v>
      </c>
      <c r="AG372" s="313">
        <f t="shared" si="42"/>
        <v>4864.72</v>
      </c>
      <c r="AH372" s="307"/>
    </row>
    <row r="373" spans="31:34" x14ac:dyDescent="0.2">
      <c r="AE373" s="302">
        <v>47345</v>
      </c>
      <c r="AF373" s="38">
        <f>WORKDAY(EDATE(AE373,1)-1,1,FERIADOS!$A$1:$A$830)</f>
        <v>47378</v>
      </c>
      <c r="AG373" s="313">
        <f t="shared" si="42"/>
        <v>4864.72</v>
      </c>
      <c r="AH373" s="307"/>
    </row>
    <row r="374" spans="31:34" x14ac:dyDescent="0.2">
      <c r="AE374" s="302">
        <v>47376</v>
      </c>
      <c r="AF374" s="38">
        <f>WORKDAY(EDATE(AE374,1)-1,1,FERIADOS!$A$1:$A$830)</f>
        <v>47406</v>
      </c>
      <c r="AG374" s="313">
        <f t="shared" si="42"/>
        <v>4864.72</v>
      </c>
      <c r="AH374" s="307"/>
    </row>
    <row r="375" spans="31:34" x14ac:dyDescent="0.2">
      <c r="AE375" s="302">
        <v>47406</v>
      </c>
      <c r="AF375" s="38">
        <f>WORKDAY(EDATE(AE375,1)-1,1,FERIADOS!$A$1:$A$830)</f>
        <v>47438</v>
      </c>
      <c r="AG375" s="313">
        <f t="shared" si="42"/>
        <v>4864.72</v>
      </c>
      <c r="AH375" s="307"/>
    </row>
    <row r="376" spans="31:34" x14ac:dyDescent="0.2">
      <c r="AE376" s="302">
        <v>47437</v>
      </c>
      <c r="AF376" s="38">
        <f>WORKDAY(EDATE(AE376,1)-1,1,FERIADOS!$A$1:$A$830)</f>
        <v>47469</v>
      </c>
      <c r="AG376" s="313">
        <f t="shared" si="42"/>
        <v>4864.72</v>
      </c>
      <c r="AH376" s="307"/>
    </row>
    <row r="377" spans="31:34" x14ac:dyDescent="0.2">
      <c r="AE377" s="302">
        <v>47467</v>
      </c>
      <c r="AF377" s="38">
        <f>WORKDAY(EDATE(AE377,1)-1,1,FERIADOS!$A$1:$A$830)</f>
        <v>47498</v>
      </c>
      <c r="AG377" s="313">
        <f t="shared" si="42"/>
        <v>4864.72</v>
      </c>
      <c r="AH377" s="307"/>
    </row>
    <row r="378" spans="31:34" x14ac:dyDescent="0.2">
      <c r="AE378" s="302">
        <v>47498</v>
      </c>
      <c r="AF378" s="38">
        <f>WORKDAY(EDATE(AE378,1)-1,1,FERIADOS!$A$1:$A$830)</f>
        <v>47529</v>
      </c>
      <c r="AG378" s="313">
        <f t="shared" si="42"/>
        <v>4864.72</v>
      </c>
      <c r="AH378" s="307"/>
    </row>
    <row r="379" spans="31:34" x14ac:dyDescent="0.2">
      <c r="AE379" s="302">
        <v>47529</v>
      </c>
      <c r="AF379" s="38">
        <f>WORKDAY(EDATE(AE379,1)-1,1,FERIADOS!$A$1:$A$830)</f>
        <v>47557</v>
      </c>
      <c r="AG379" s="313">
        <f t="shared" si="42"/>
        <v>4864.72</v>
      </c>
      <c r="AH379" s="307"/>
    </row>
    <row r="380" spans="31:34" x14ac:dyDescent="0.2">
      <c r="AE380" s="302">
        <v>47557</v>
      </c>
      <c r="AF380" s="38">
        <f>WORKDAY(EDATE(AE380,1)-1,1,FERIADOS!$A$1:$A$830)</f>
        <v>47588</v>
      </c>
      <c r="AG380" s="313">
        <f t="shared" si="42"/>
        <v>4864.72</v>
      </c>
      <c r="AH380" s="307"/>
    </row>
  </sheetData>
  <mergeCells count="6">
    <mergeCell ref="AE1:AH1"/>
    <mergeCell ref="D9:D10"/>
    <mergeCell ref="E9:E10"/>
    <mergeCell ref="I66:L66"/>
    <mergeCell ref="C66:H66"/>
    <mergeCell ref="M66:N66"/>
  </mergeCells>
  <phoneticPr fontId="25" type="noConversion"/>
  <pageMargins left="0.78740157499999996" right="0.78740157499999996" top="0.984251969" bottom="0.984251969" header="0.49212598499999999" footer="0.49212598499999999"/>
  <pageSetup paperSize="9" scale="75" orientation="landscape" horizontalDpi="4294967295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3" r:id="rId4" name="Button 299">
              <controlPr defaultSize="0" print="0" autoFill="0" autoPict="0" macro="[0]!NTNB">
                <anchor moveWithCells="1" sizeWithCells="1">
                  <from>
                    <xdr:col>9</xdr:col>
                    <xdr:colOff>257175</xdr:colOff>
                    <xdr:row>3</xdr:row>
                    <xdr:rowOff>76200</xdr:rowOff>
                  </from>
                  <to>
                    <xdr:col>10</xdr:col>
                    <xdr:colOff>447675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5" name="Button 300">
              <controlPr defaultSize="0" print="0" autoFill="0" autoPict="0" macro="[0]!Dmenos2">
                <anchor moveWithCells="1" sizeWithCells="1">
                  <from>
                    <xdr:col>9</xdr:col>
                    <xdr:colOff>247650</xdr:colOff>
                    <xdr:row>6</xdr:row>
                    <xdr:rowOff>66675</xdr:rowOff>
                  </from>
                  <to>
                    <xdr:col>10</xdr:col>
                    <xdr:colOff>438150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A1:X1493"/>
  <sheetViews>
    <sheetView tabSelected="1" zoomScale="85" workbookViewId="0">
      <selection activeCell="C3" sqref="C3"/>
    </sheetView>
  </sheetViews>
  <sheetFormatPr defaultRowHeight="12.75" x14ac:dyDescent="0.2"/>
  <cols>
    <col min="1" max="1" width="8" style="5" customWidth="1"/>
    <col min="2" max="2" width="29.28515625" style="5" customWidth="1"/>
    <col min="3" max="3" width="16.140625" style="5" customWidth="1"/>
    <col min="4" max="4" width="13" style="5" customWidth="1"/>
    <col min="5" max="5" width="12.28515625" style="5" bestFit="1" customWidth="1"/>
    <col min="6" max="6" width="12.140625" style="5" bestFit="1" customWidth="1"/>
    <col min="7" max="7" width="12.42578125" style="5" customWidth="1"/>
    <col min="8" max="8" width="10.85546875" style="5" customWidth="1"/>
    <col min="9" max="9" width="8.42578125" style="5" customWidth="1"/>
    <col min="10" max="10" width="16.28515625" style="5" customWidth="1"/>
    <col min="11" max="11" width="13.5703125" style="5" bestFit="1" customWidth="1"/>
    <col min="12" max="13" width="13.5703125" style="5" customWidth="1"/>
    <col min="14" max="14" width="13.5703125" style="188" customWidth="1"/>
    <col min="15" max="15" width="12.140625" style="5" customWidth="1"/>
    <col min="16" max="16" width="13.140625" style="5" bestFit="1" customWidth="1"/>
    <col min="17" max="17" width="12.28515625" style="5" bestFit="1" customWidth="1"/>
    <col min="18" max="19" width="13.140625" style="5" bestFit="1" customWidth="1"/>
    <col min="20" max="20" width="10.140625" style="5" customWidth="1"/>
    <col min="21" max="22" width="12.5703125" style="5" bestFit="1" customWidth="1"/>
    <col min="23" max="23" width="9.42578125" style="5" bestFit="1" customWidth="1"/>
    <col min="24" max="24" width="10.7109375" style="5" bestFit="1" customWidth="1"/>
    <col min="25" max="16384" width="9.140625" style="5"/>
  </cols>
  <sheetData>
    <row r="1" spans="2:24" ht="13.5" thickBot="1" x14ac:dyDescent="0.25">
      <c r="B1" s="1" t="s">
        <v>0</v>
      </c>
      <c r="C1" s="2" t="s">
        <v>1</v>
      </c>
      <c r="D1" s="57" t="s">
        <v>2</v>
      </c>
      <c r="E1" s="4"/>
      <c r="R1" s="606">
        <f ca="1">TRUNC(SUM(R4:R93),6)</f>
        <v>1.927368</v>
      </c>
      <c r="S1" s="606">
        <f ca="1">TRUNC((SUM(S4:S93)),9)</f>
        <v>1.0462473370000001</v>
      </c>
      <c r="T1" s="11">
        <f ca="1">SUMPRODUCT(S4:S108,T4:T108)/S1</f>
        <v>5.6418924539873636</v>
      </c>
      <c r="U1" s="226">
        <f ca="1">SUM(U4:U93)</f>
        <v>1.0468378594824015</v>
      </c>
      <c r="V1" s="226">
        <f ca="1">SUM(V4:V93)</f>
        <v>1.0456572964912765</v>
      </c>
    </row>
    <row r="2" spans="2:24" ht="15" customHeight="1" thickBot="1" x14ac:dyDescent="0.25">
      <c r="B2" s="259">
        <f ca="1">IF(E5="X",'ANDIMANTN-F'!K1,IF(E5="",TODAY(),'ANDIMANTN-F'!K1))</f>
        <v>42999</v>
      </c>
      <c r="C2" s="63">
        <f ca="1">WORKDAY(B2,E3,FERIADOS!$A$1:$A$830)</f>
        <v>43000</v>
      </c>
      <c r="O2" s="10" t="s">
        <v>5</v>
      </c>
      <c r="P2" s="10" t="s">
        <v>8</v>
      </c>
      <c r="Q2" s="10" t="s">
        <v>9</v>
      </c>
      <c r="R2" s="10" t="s">
        <v>10</v>
      </c>
      <c r="S2" s="10" t="s">
        <v>6</v>
      </c>
      <c r="T2" s="9" t="s">
        <v>11</v>
      </c>
      <c r="U2" s="96">
        <f ca="1">U1/S1-1</f>
        <v>5.6441957988129232E-4</v>
      </c>
      <c r="V2" s="96">
        <f ca="1">V1/S1-1</f>
        <v>-5.6395891091631789E-4</v>
      </c>
      <c r="W2" s="10" t="s">
        <v>3</v>
      </c>
      <c r="X2" s="114">
        <f ca="1">(1+XIRR(X3:X100,Q3:Q100))^(252/365)-1</f>
        <v>9.7182467746240286E-2</v>
      </c>
    </row>
    <row r="3" spans="2:24" ht="15" customHeight="1" thickBot="1" x14ac:dyDescent="0.25">
      <c r="B3" s="16" t="s">
        <v>51</v>
      </c>
      <c r="C3" s="80">
        <v>46388</v>
      </c>
      <c r="D3" s="17" t="s">
        <v>4</v>
      </c>
      <c r="E3" s="4">
        <v>1</v>
      </c>
      <c r="Q3" s="56">
        <v>0</v>
      </c>
      <c r="U3" s="94">
        <f>-C20</f>
        <v>-1E-4</v>
      </c>
      <c r="V3" s="95">
        <f>C20</f>
        <v>1E-4</v>
      </c>
      <c r="X3" s="12">
        <f ca="1">-S1</f>
        <v>-1.0462473370000001</v>
      </c>
    </row>
    <row r="4" spans="2:24" ht="15" customHeight="1" thickBot="1" x14ac:dyDescent="0.25">
      <c r="B4" s="20" t="s">
        <v>12</v>
      </c>
      <c r="C4" s="83">
        <f ca="1">C2</f>
        <v>43000</v>
      </c>
      <c r="O4" s="70">
        <f>C3</f>
        <v>46388</v>
      </c>
      <c r="P4" s="71">
        <f>C5</f>
        <v>46391</v>
      </c>
      <c r="Q4" s="72">
        <f ca="1">NETWORKDAYS($C$4,C5,FERIADOS!$A$1:$A$830)-1</f>
        <v>2329</v>
      </c>
      <c r="R4" s="604">
        <f>IF(O4="","",(ROUND(IF($E$1="X",1,1.1^0.5),8)))</f>
        <v>1.0488088499999999</v>
      </c>
      <c r="S4" s="607">
        <f ca="1">IF(ISERROR(ROUND((R4/((1+$C$6)^((Q4/252)))),12)),"",(R4/((1+$C$6)^((Q4/252)))))</f>
        <v>0.44858962737816122</v>
      </c>
      <c r="T4" s="75">
        <f t="shared" ref="T4:T35" ca="1" si="0">IF(ISERROR((((U4-V4)/2)/S4)/$C$20),"",((((U4-V4)/2)/S4)/$C$20))</f>
        <v>8.4306179866613302</v>
      </c>
      <c r="U4" s="74">
        <f ca="1">IF(ISERROR(((R4/((1+$C$6-$C$20)^((Q4/252)))))),"",(((R4/((1+$C$6-$C$20)^((Q4/252)))))))</f>
        <v>0.44896799282370359</v>
      </c>
      <c r="V4" s="76">
        <f t="shared" ref="V4:V35" ca="1" si="1">IF(ISERROR(((R4/((1+$C$6+$C$20)^((Q4/252)))))),"",(((R4/((1+$C$6+$C$20)^((Q4/252)))))))</f>
        <v>0.44821161526746278</v>
      </c>
      <c r="W4" s="411">
        <f ca="1">IF(O4="","",IF($E$5="X",_xll.Spline(Curva!$T$3:$T$43,Curva!$G$3:$G$43,Q4),_xll.Spline(Curva!$AF$3:$AF$43,Curva!$AG$3:$AG$43,Q4)))</f>
        <v>9.9807961905359788E-2</v>
      </c>
      <c r="X4" s="22">
        <f ca="1">IF(R4="",0,S4*((1+W4)^(Q4/252)))</f>
        <v>1.0806928170410506</v>
      </c>
    </row>
    <row r="5" spans="2:24" ht="15" customHeight="1" thickBot="1" x14ac:dyDescent="0.25">
      <c r="B5" s="24" t="s">
        <v>14</v>
      </c>
      <c r="C5" s="42">
        <f>WORKDAY(C3-1,1,FERIADOS!$A$1:$A$857)</f>
        <v>46391</v>
      </c>
      <c r="D5" s="17" t="s">
        <v>187</v>
      </c>
      <c r="E5" s="217" t="s">
        <v>158</v>
      </c>
      <c r="O5" s="13">
        <f ca="1">IF($E$1="X","",IF(ISERROR(IF(EDATE(O4,-6)&lt;=$C$4,"",EDATE(O4,-6))),"",(IF(EDATE(O4,-6)&lt;=$C$4,"",EDATE(O4,-6)))))</f>
        <v>46204</v>
      </c>
      <c r="P5" s="13">
        <f ca="1">IF(O5="","",WORKDAY(O5-1,1,FERIADOS!$A$1:$A$840))</f>
        <v>46204</v>
      </c>
      <c r="Q5" s="21">
        <f ca="1">IF(O5="",0,NETWORKDAYS($C$4,P5,FERIADOS!$A$1:$A$830)-1)</f>
        <v>2201</v>
      </c>
      <c r="R5" s="605">
        <f ca="1">IF(O5="","",(ROUND(IF($E$1="X",1,1.1^0.5-1),8)))</f>
        <v>4.8808850000000001E-2</v>
      </c>
      <c r="S5" s="608">
        <f t="shared" ref="S5:S67" ca="1" si="2">IF(ISERROR(ROUND((R5/((1+$C$6)^((Q5/252)))),12)),"",(R5/((1+$C$6)^((Q5/252)))))</f>
        <v>2.1873737968456423E-2</v>
      </c>
      <c r="T5" s="14">
        <f t="shared" ca="1" si="0"/>
        <v>7.9672777649013096</v>
      </c>
      <c r="U5" s="23">
        <f t="shared" ref="U5:U35" ca="1" si="3">IF(ISERROR(((R5/((1+$C$6-$C$20)^((Q5/252)))))),"",(((R5/((1+$C$6-$C$20)^((Q5/252)))))))</f>
        <v>2.1891173120387731E-2</v>
      </c>
      <c r="V5" s="11">
        <f t="shared" ca="1" si="1"/>
        <v>2.1856318291157459E-2</v>
      </c>
      <c r="W5" s="114">
        <f ca="1">IF(O5="","",IF($E$5="X",_xll.Spline(Curva!$T$3:$T$43,Curva!$G$3:$G$43,Q5),_xll.Spline(Curva!$AF$3:$AF$43,Curva!$AG$3:$AG$43,Q5)))</f>
        <v>9.9183133743010909E-2</v>
      </c>
      <c r="X5" s="22">
        <f t="shared" ref="X5:X67" ca="1" si="4">IF(R5="",0,S5*((1+W5)^(Q5/252)))</f>
        <v>4.9961341138994156E-2</v>
      </c>
    </row>
    <row r="6" spans="2:24" ht="15" customHeight="1" x14ac:dyDescent="0.2">
      <c r="B6" s="20" t="s">
        <v>13</v>
      </c>
      <c r="C6" s="265">
        <f>IF($E$5="X",$C$7,$E$6)</f>
        <v>9.6250000000000002E-2</v>
      </c>
      <c r="D6" s="166">
        <f ca="1">VLOOKUP($C$3,$B$54:$D$60,3,FALSE)</f>
        <v>-35.499946579370942</v>
      </c>
      <c r="E6" s="287">
        <f ca="1">_xll.Spline(Curva!$T$3:$T$43,Curva!$C$3:$C$43,$Q$4+IF($E$5="X",0,$E$3))+$D$6/10000</f>
        <v>9.6257967247422693E-2</v>
      </c>
      <c r="O6" s="13">
        <f t="shared" ref="O6:O68" ca="1" si="5">IF($E$1="X","",IF(ISERROR(IF(EDATE(O5,-6)&lt;=$C$4,"",EDATE(O5,-6))),"",(IF(EDATE(O5,-6)&lt;=$C$4,"",EDATE(O5,-6)))))</f>
        <v>46023</v>
      </c>
      <c r="P6" s="13">
        <f ca="1">IF(O6="","",WORKDAY(O6-1,1,FERIADOS!$A$1:$A$840))</f>
        <v>46024</v>
      </c>
      <c r="Q6" s="21">
        <f ca="1">IF(O6="",0,NETWORKDAYS($C$4,P6,FERIADOS!$A$1:$A$830)-1)</f>
        <v>2079</v>
      </c>
      <c r="R6" s="605">
        <f t="shared" ref="R6:R68" ca="1" si="6">IF(O6="","",(ROUND(IF($E$1="X",1,1.1^0.5-1),8)))</f>
        <v>4.8808850000000001E-2</v>
      </c>
      <c r="S6" s="608">
        <f t="shared" ca="1" si="2"/>
        <v>2.2868849828720814E-2</v>
      </c>
      <c r="T6" s="14">
        <f t="shared" ca="1" si="0"/>
        <v>7.5256566337942745</v>
      </c>
      <c r="U6" s="23">
        <f t="shared" ca="1" si="3"/>
        <v>2.2886067400769157E-2</v>
      </c>
      <c r="V6" s="11">
        <f t="shared" ca="1" si="1"/>
        <v>2.2851646778485005E-2</v>
      </c>
      <c r="W6" s="114">
        <f ca="1">IF(O6="","",IF($E$5="X",_xll.Spline(Curva!$T$3:$T$43,Curva!$G$3:$G$43,Q6),_xll.Spline(Curva!$AF$3:$AF$43,Curva!$AG$3:$AG$43,Q6)))</f>
        <v>9.8558303257396229E-2</v>
      </c>
      <c r="X6" s="22">
        <f t="shared" ca="1" si="4"/>
        <v>4.9663233013187813E-2</v>
      </c>
    </row>
    <row r="7" spans="2:24" ht="15" customHeight="1" x14ac:dyDescent="0.2">
      <c r="B7" s="30" t="s">
        <v>188</v>
      </c>
      <c r="C7" s="294">
        <f>VLOOKUP(C3,'ANDIMANTN-F'!$C$1:$L$705,4,FALSE)/100</f>
        <v>9.6250000000000002E-2</v>
      </c>
      <c r="D7" s="230" t="s">
        <v>221</v>
      </c>
      <c r="E7" s="43"/>
      <c r="O7" s="13">
        <f t="shared" ca="1" si="5"/>
        <v>45839</v>
      </c>
      <c r="P7" s="13">
        <f ca="1">IF(O7="","",WORKDAY(O7-1,1,FERIADOS!$A$1:$A$840))</f>
        <v>45839</v>
      </c>
      <c r="Q7" s="21">
        <f ca="1">IF(O7="",0,NETWORKDAYS($C$4,P7,FERIADOS!$A$1:$A$830)-1)</f>
        <v>1948</v>
      </c>
      <c r="R7" s="605">
        <f t="shared" ca="1" si="6"/>
        <v>4.8808850000000001E-2</v>
      </c>
      <c r="S7" s="608">
        <f t="shared" ca="1" si="2"/>
        <v>2.3987831145599284E-2</v>
      </c>
      <c r="T7" s="14">
        <f t="shared" ca="1" si="0"/>
        <v>7.0514569129537747</v>
      </c>
      <c r="U7" s="23">
        <f t="shared" ca="1" si="3"/>
        <v>2.4004752796603992E-2</v>
      </c>
      <c r="V7" s="11">
        <f t="shared" ca="1" si="1"/>
        <v>2.3970922965052311E-2</v>
      </c>
      <c r="W7" s="114">
        <f ca="1">IF(O7="","",IF($E$5="X",_xll.Spline(Curva!$T$3:$T$43,Curva!$G$3:$G$43,Q7),_xll.Spline(Curva!$AF$3:$AF$43,Curva!$AG$3:$AG$43,Q7)))</f>
        <v>9.7883519386857243E-2</v>
      </c>
      <c r="X7" s="22">
        <f t="shared" ca="1" si="4"/>
        <v>4.9373891168472281E-2</v>
      </c>
    </row>
    <row r="8" spans="2:24" ht="15" customHeight="1" x14ac:dyDescent="0.2">
      <c r="B8" s="263" t="s">
        <v>55</v>
      </c>
      <c r="C8" s="412">
        <f ca="1">IF(D8="x",_xll.Spline(Curva!$T$4:$T$43,Curva!$C$4:$C$43,'NTN-F'!D18),X2)</f>
        <v>9.7182467746240286E-2</v>
      </c>
      <c r="D8" s="166"/>
      <c r="O8" s="13">
        <f t="shared" ca="1" si="5"/>
        <v>45658</v>
      </c>
      <c r="P8" s="13">
        <f ca="1">IF(O8="","",WORKDAY(O8-1,1,FERIADOS!$A$1:$A$840))</f>
        <v>45659</v>
      </c>
      <c r="Q8" s="21">
        <f ca="1">IF(O8="",0,NETWORKDAYS($C$4,P8,FERIADOS!$A$1:$A$830)-1)</f>
        <v>1826</v>
      </c>
      <c r="R8" s="605">
        <f t="shared" ca="1" si="6"/>
        <v>4.8808850000000001E-2</v>
      </c>
      <c r="S8" s="608">
        <f t="shared" ca="1" si="2"/>
        <v>2.5079120403495154E-2</v>
      </c>
      <c r="T8" s="14">
        <f t="shared" ca="1" si="0"/>
        <v>6.6098358150142955</v>
      </c>
      <c r="U8" s="23">
        <f t="shared" ca="1" si="3"/>
        <v>2.5095703524916919E-2</v>
      </c>
      <c r="V8" s="11">
        <f t="shared" ca="1" si="1"/>
        <v>2.5062549751266504E-2</v>
      </c>
      <c r="W8" s="114">
        <f ca="1">IF(O8="","",IF($E$5="X",_xll.Spline(Curva!$T$3:$T$43,Curva!$G$3:$G$43,Q8),_xll.Spline(Curva!$AF$3:$AF$43,Curva!$AG$3:$AG$43,Q8)))</f>
        <v>9.720872246064638E-2</v>
      </c>
      <c r="X8" s="22">
        <f t="shared" ca="1" si="4"/>
        <v>4.911899762017756E-2</v>
      </c>
    </row>
    <row r="9" spans="2:24" ht="15" customHeight="1" x14ac:dyDescent="0.2">
      <c r="B9" s="30" t="s">
        <v>56</v>
      </c>
      <c r="C9" s="64">
        <f ca="1">((1+C6)^(1/252)-1)/((1+C8)^(1/252)-1)</f>
        <v>0.99083091697876025</v>
      </c>
      <c r="O9" s="13">
        <f t="shared" ca="1" si="5"/>
        <v>45474</v>
      </c>
      <c r="P9" s="13">
        <f ca="1">IF(O9="","",WORKDAY(O9-1,1,FERIADOS!$A$1:$A$840))</f>
        <v>45474</v>
      </c>
      <c r="Q9" s="21">
        <f ca="1">IF(O9="",0,NETWORKDAYS($C$4,P9,FERIADOS!$A$1:$A$830)-1)</f>
        <v>1696</v>
      </c>
      <c r="R9" s="605">
        <f t="shared" ca="1" si="6"/>
        <v>4.8808850000000001E-2</v>
      </c>
      <c r="S9" s="608">
        <f t="shared" ca="1" si="2"/>
        <v>2.6296659893363213E-2</v>
      </c>
      <c r="T9" s="14">
        <f t="shared" ca="1" si="0"/>
        <v>6.1392559726792486</v>
      </c>
      <c r="U9" s="23">
        <f t="shared" ca="1" si="3"/>
        <v>2.6312809777997468E-2</v>
      </c>
      <c r="V9" s="11">
        <f t="shared" ca="1" si="1"/>
        <v>2.6280521392735099E-2</v>
      </c>
      <c r="W9" s="114">
        <f ca="1">IF(O9="","",IF($E$5="X",_xll.Spline(Curva!$T$3:$T$43,Curva!$G$3:$G$43,Q9),_xll.Spline(Curva!$AF$3:$AF$43,Curva!$AG$3:$AG$43,Q9)))</f>
        <v>9.635888152127392E-2</v>
      </c>
      <c r="X9" s="22">
        <f t="shared" ca="1" si="4"/>
        <v>4.8841485633161721E-2</v>
      </c>
    </row>
    <row r="10" spans="2:24" ht="15" customHeight="1" x14ac:dyDescent="0.2">
      <c r="B10" s="67" t="str">
        <f>IF(E1="X","PU NTN-F PRINC - TAXA","PU NTN-B - TAXA" )</f>
        <v>PU NTN-B - TAXA</v>
      </c>
      <c r="C10" s="68">
        <f ca="1">S1*1000</f>
        <v>1046.247337</v>
      </c>
      <c r="O10" s="13">
        <f t="shared" ca="1" si="5"/>
        <v>45292</v>
      </c>
      <c r="P10" s="13">
        <f ca="1">IF(O10="","",WORKDAY(O10-1,1,FERIADOS!$A$1:$A$840))</f>
        <v>45293</v>
      </c>
      <c r="Q10" s="21">
        <f ca="1">IF(O10="",0,NETWORKDAYS($C$4,P10,FERIADOS!$A$1:$A$830)-1)</f>
        <v>1572</v>
      </c>
      <c r="R10" s="605">
        <f t="shared" ca="1" si="6"/>
        <v>4.8808850000000001E-2</v>
      </c>
      <c r="S10" s="608">
        <f t="shared" ca="1" si="2"/>
        <v>2.7513044446619193E-2</v>
      </c>
      <c r="T10" s="14">
        <f t="shared" ca="1" si="0"/>
        <v>5.6903952145543633</v>
      </c>
      <c r="U10" s="23">
        <f t="shared" ca="1" si="3"/>
        <v>2.7528705624779607E-2</v>
      </c>
      <c r="V10" s="11">
        <f t="shared" ca="1" si="1"/>
        <v>2.7497393605488234E-2</v>
      </c>
      <c r="W10" s="114">
        <f ca="1">IF(O10="","",IF($E$5="X",_xll.Spline(Curva!$T$3:$T$43,Curva!$G$3:$G$43,Q10),_xll.Spline(Curva!$AF$3:$AF$43,Curva!$AG$3:$AG$43,Q10)))</f>
        <v>9.5659112388554401E-2</v>
      </c>
      <c r="X10" s="22">
        <f t="shared" ca="1" si="4"/>
        <v>4.864496741701263E-2</v>
      </c>
    </row>
    <row r="11" spans="2:24" ht="15" customHeight="1" x14ac:dyDescent="0.2">
      <c r="B11" s="69" t="s">
        <v>21</v>
      </c>
      <c r="C11" s="298">
        <f ca="1">S4*1000</f>
        <v>448.5896273781612</v>
      </c>
      <c r="O11" s="13">
        <f t="shared" ca="1" si="5"/>
        <v>45108</v>
      </c>
      <c r="P11" s="13">
        <f ca="1">IF(O11="","",WORKDAY(O11-1,1,FERIADOS!$A$1:$A$840))</f>
        <v>45110</v>
      </c>
      <c r="Q11" s="21">
        <f ca="1">IF(O11="",0,NETWORKDAYS($C$4,P11,FERIADOS!$A$1:$A$830)-1)</f>
        <v>1447</v>
      </c>
      <c r="R11" s="605">
        <f t="shared" ca="1" si="6"/>
        <v>4.8808850000000001E-2</v>
      </c>
      <c r="S11" s="608">
        <f t="shared" ca="1" si="2"/>
        <v>2.8796193386432488E-2</v>
      </c>
      <c r="T11" s="14">
        <f t="shared" ca="1" si="0"/>
        <v>5.2379146250684983</v>
      </c>
      <c r="U11" s="23">
        <f t="shared" ca="1" si="3"/>
        <v>2.8811281224851631E-2</v>
      </c>
      <c r="V11" s="11">
        <f t="shared" ca="1" si="1"/>
        <v>2.8781114824354612E-2</v>
      </c>
      <c r="W11" s="114">
        <f ca="1">IF(O11="","",IF($E$5="X",_xll.Spline(Curva!$T$3:$T$43,Curva!$G$3:$G$43,Q11),_xll.Spline(Curva!$AF$3:$AF$43,Curva!$AG$3:$AG$43,Q11)))</f>
        <v>9.4529123979565144E-2</v>
      </c>
      <c r="X11" s="22">
        <f t="shared" ca="1" si="4"/>
        <v>4.8370531044746881E-2</v>
      </c>
    </row>
    <row r="12" spans="2:24" ht="15" customHeight="1" x14ac:dyDescent="0.2">
      <c r="B12" s="24" t="s">
        <v>60</v>
      </c>
      <c r="C12" s="66">
        <v>50000</v>
      </c>
      <c r="O12" s="13">
        <f t="shared" ca="1" si="5"/>
        <v>44927</v>
      </c>
      <c r="P12" s="13">
        <f ca="1">IF(O12="","",WORKDAY(O12-1,1,FERIADOS!$A$1:$A$840))</f>
        <v>44928</v>
      </c>
      <c r="Q12" s="21">
        <f ca="1">IF(O12="",0,NETWORKDAYS($C$4,P12,FERIADOS!$A$1:$A$830)-1)</f>
        <v>1323</v>
      </c>
      <c r="R12" s="605">
        <f t="shared" ca="1" si="6"/>
        <v>4.8808850000000001E-2</v>
      </c>
      <c r="S12" s="608">
        <f t="shared" ca="1" si="2"/>
        <v>3.0128196955321804E-2</v>
      </c>
      <c r="T12" s="14">
        <f t="shared" ca="1" si="0"/>
        <v>4.789053892742392</v>
      </c>
      <c r="U12" s="23">
        <f t="shared" ca="1" si="3"/>
        <v>3.0142629624256033E-2</v>
      </c>
      <c r="V12" s="11">
        <f t="shared" ca="1" si="1"/>
        <v>3.0113772512473994E-2</v>
      </c>
      <c r="W12" s="114">
        <f ca="1">IF(O12="","",IF($E$5="X",_xll.Spline(Curva!$T$3:$T$43,Curva!$G$3:$G$43,Q12),_xll.Spline(Curva!$AF$3:$AF$43,Curva!$AG$3:$AG$43,Q12)))</f>
        <v>9.3709363284394831E-2</v>
      </c>
      <c r="X12" s="22">
        <f t="shared" ca="1" si="4"/>
        <v>4.8217898120953284E-2</v>
      </c>
    </row>
    <row r="13" spans="2:24" ht="15" customHeight="1" x14ac:dyDescent="0.2">
      <c r="B13" s="30" t="s">
        <v>53</v>
      </c>
      <c r="C13" s="60">
        <f ca="1">(U1-V1)/2*1000*C12</f>
        <v>29514.074778125287</v>
      </c>
      <c r="F13" s="170"/>
      <c r="O13" s="13">
        <f t="shared" ca="1" si="5"/>
        <v>44743</v>
      </c>
      <c r="P13" s="13">
        <f ca="1">IF(O13="","",WORKDAY(O13-1,1,FERIADOS!$A$1:$A$840))</f>
        <v>44743</v>
      </c>
      <c r="Q13" s="21">
        <f ca="1">IF(O13="",0,NETWORKDAYS($C$4,P13,FERIADOS!$A$1:$A$830)-1)</f>
        <v>1196</v>
      </c>
      <c r="R13" s="605">
        <f t="shared" ca="1" si="6"/>
        <v>4.8808850000000001E-2</v>
      </c>
      <c r="S13" s="608">
        <f t="shared" ca="1" si="2"/>
        <v>3.1556317456424711E-2</v>
      </c>
      <c r="T13" s="14">
        <f t="shared" ca="1" si="0"/>
        <v>4.3293336384677179</v>
      </c>
      <c r="U13" s="23">
        <f t="shared" ca="1" si="3"/>
        <v>3.1569982819526651E-2</v>
      </c>
      <c r="V13" s="11">
        <f t="shared" ca="1" si="1"/>
        <v>3.1542659254192598E-2</v>
      </c>
      <c r="W13" s="114">
        <f ca="1">IF(O13="","",IF($E$5="X",_xll.Spline(Curva!$T$3:$T$43,Curva!$G$3:$G$43,Q13),_xll.Spline(Curva!$AF$3:$AF$43,Curva!$AG$3:$AG$43,Q13)))</f>
        <v>9.2659472668885412E-2</v>
      </c>
      <c r="X13" s="22">
        <f t="shared" ca="1" si="4"/>
        <v>4.8054776953538783E-2</v>
      </c>
    </row>
    <row r="14" spans="2:24" ht="15" customHeight="1" x14ac:dyDescent="0.2">
      <c r="B14" s="58" t="s">
        <v>61</v>
      </c>
      <c r="C14" s="59">
        <f ca="1">((100000/((1+W4-C20)^(Q4/252))-100000/((1+W4+C20)^(Q4/252)))/2)*C12*1000/100000</f>
        <v>17440.9093175218</v>
      </c>
      <c r="D14" s="65"/>
      <c r="F14" s="223"/>
      <c r="G14" s="223"/>
      <c r="H14" s="223"/>
      <c r="I14" s="223"/>
      <c r="J14" s="223"/>
      <c r="K14" s="37"/>
      <c r="L14" s="37"/>
      <c r="M14" s="37"/>
      <c r="N14" s="207"/>
      <c r="O14" s="13">
        <f t="shared" ca="1" si="5"/>
        <v>44562</v>
      </c>
      <c r="P14" s="13">
        <f ca="1">IF(O14="","",WORKDAY(O14-1,1,FERIADOS!$A$1:$A$840))</f>
        <v>44564</v>
      </c>
      <c r="Q14" s="21">
        <f ca="1">IF(O14="",0,NETWORKDAYS($C$4,P14,FERIADOS!$A$1:$A$830)-1)</f>
        <v>1072</v>
      </c>
      <c r="R14" s="605">
        <f t="shared" ca="1" si="6"/>
        <v>4.8808850000000001E-2</v>
      </c>
      <c r="S14" s="608">
        <f t="shared" ca="1" si="2"/>
        <v>3.3015993980640791E-2</v>
      </c>
      <c r="T14" s="14">
        <f t="shared" ca="1" si="0"/>
        <v>3.8804729284545543</v>
      </c>
      <c r="U14" s="23">
        <f t="shared" ca="1" si="3"/>
        <v>3.3028808817856324E-2</v>
      </c>
      <c r="V14" s="11">
        <f t="shared" ca="1" si="1"/>
        <v>3.3003185283686745E-2</v>
      </c>
      <c r="W14" s="114">
        <f ca="1">IF(O14="","",IF($E$5="X",_xll.Spline(Curva!$T$3:$T$43,Curva!$G$3:$G$43,Q14),_xll.Spline(Curva!$AF$3:$AF$43,Curva!$AG$3:$AG$43,Q14)))</f>
        <v>9.1409376749426841E-2</v>
      </c>
      <c r="X14" s="22">
        <f t="shared" ca="1" si="4"/>
        <v>4.7898593870732219E-2</v>
      </c>
    </row>
    <row r="15" spans="2:24" ht="15" customHeight="1" x14ac:dyDescent="0.2">
      <c r="B15" s="30" t="s">
        <v>54</v>
      </c>
      <c r="C15" s="32">
        <f ca="1">C13/C14*C12*1000/100000</f>
        <v>846.11628444379119</v>
      </c>
      <c r="G15" s="213"/>
      <c r="H15" s="213"/>
      <c r="I15" s="213"/>
      <c r="J15" s="213"/>
      <c r="K15" s="292"/>
      <c r="L15" s="292"/>
      <c r="M15" s="292"/>
      <c r="N15" s="292"/>
      <c r="O15" s="13">
        <f t="shared" ca="1" si="5"/>
        <v>44378</v>
      </c>
      <c r="P15" s="13">
        <f ca="1">IF(O15="","",WORKDAY(O15-1,1,FERIADOS!$A$1:$A$840))</f>
        <v>44378</v>
      </c>
      <c r="Q15" s="21">
        <f ca="1">IF(O15="",0,NETWORKDAYS($C$4,P15,FERIADOS!$A$1:$A$830)-1)</f>
        <v>944</v>
      </c>
      <c r="R15" s="605">
        <f t="shared" ca="1" si="6"/>
        <v>4.8808850000000001E-2</v>
      </c>
      <c r="S15" s="23">
        <f t="shared" ca="1" si="2"/>
        <v>3.4593613011605587E-2</v>
      </c>
      <c r="T15" s="14">
        <f t="shared" ca="1" si="0"/>
        <v>3.417132850816968</v>
      </c>
      <c r="U15" s="23">
        <f t="shared" ca="1" si="3"/>
        <v>3.460543666762414E-2</v>
      </c>
      <c r="V15" s="11">
        <f t="shared" ca="1" si="1"/>
        <v>3.4581794473334058E-2</v>
      </c>
      <c r="W15" s="114">
        <f ca="1">IF(O15="","",IF($E$5="X",_xll.Spline(Curva!$T$3:$T$43,Curva!$G$3:$G$43,Q15),_xll.Spline(Curva!$AF$3:$AF$43,Curva!$AG$3:$AG$43,Q15)))</f>
        <v>8.9708829467223916E-2</v>
      </c>
      <c r="X15" s="22">
        <f t="shared" ca="1" si="4"/>
        <v>4.772677918124385E-2</v>
      </c>
    </row>
    <row r="16" spans="2:24" ht="15" customHeight="1" x14ac:dyDescent="0.2">
      <c r="B16" s="30" t="str">
        <f>IF(E1="x","DURATION NTN-F PRINC-TX","DURATION NTN-F-TAXA")</f>
        <v>DURATION NTN-F-TAXA</v>
      </c>
      <c r="C16" s="31">
        <f ca="1">T1</f>
        <v>5.6418924539873636</v>
      </c>
      <c r="E16" s="61"/>
      <c r="G16" s="215"/>
      <c r="H16" s="215"/>
      <c r="I16" s="215"/>
      <c r="J16" s="215"/>
      <c r="K16" s="292"/>
      <c r="L16" s="292"/>
      <c r="M16" s="292"/>
      <c r="N16" s="292"/>
      <c r="O16" s="13">
        <f t="shared" ca="1" si="5"/>
        <v>44197</v>
      </c>
      <c r="P16" s="13">
        <f ca="1">IF(O16="","",WORKDAY(O16-1,1,FERIADOS!$A$1:$A$840))</f>
        <v>44200</v>
      </c>
      <c r="Q16" s="21">
        <f ca="1">IF(O16="",0,NETWORKDAYS($C$4,P16,FERIADOS!$A$1:$A$830)-1)</f>
        <v>821</v>
      </c>
      <c r="R16" s="605">
        <f t="shared" ca="1" si="6"/>
        <v>4.8808850000000001E-2</v>
      </c>
      <c r="S16" s="23">
        <f t="shared" ca="1" si="2"/>
        <v>3.6180587246763971E-2</v>
      </c>
      <c r="T16" s="14">
        <f t="shared" ca="1" si="0"/>
        <v>2.971892003732155</v>
      </c>
      <c r="U16" s="23">
        <f t="shared" ca="1" si="3"/>
        <v>3.6191341814738209E-2</v>
      </c>
      <c r="V16" s="11">
        <f t="shared" ca="1" si="1"/>
        <v>3.6169836855152411E-2</v>
      </c>
      <c r="W16" s="114">
        <f ca="1">IF(O16="","",IF($E$5="X",_xll.Spline(Curva!$T$3:$T$43,Curva!$G$3:$G$43,Q16),_xll.Spline(Curva!$AF$3:$AF$43,Curva!$AG$3:$AG$43,Q16)))</f>
        <v>8.720708718065695E-2</v>
      </c>
      <c r="X16" s="22">
        <f t="shared" ca="1" si="4"/>
        <v>4.7509307185236195E-2</v>
      </c>
    </row>
    <row r="17" spans="2:24" ht="15" customHeight="1" x14ac:dyDescent="0.2">
      <c r="B17" s="30" t="str">
        <f>IF(E1="X","CONVEX / 2 NTN-F PRINC-TX","CONVEX / 2-NTN-F-TAXA")</f>
        <v>CONVEX / 2-NTN-F-TAXA</v>
      </c>
      <c r="C17" s="31">
        <f ca="1">((SUM(U4:U108)+SUM(V4:V108)-2*SUM(S4:S108))/(SUM(S4:S108)))/(C20^2)</f>
        <v>45.88793660349058</v>
      </c>
      <c r="D17" s="270" t="s">
        <v>9</v>
      </c>
      <c r="E17" s="270"/>
      <c r="F17" s="270"/>
      <c r="G17" s="214"/>
      <c r="H17" s="214"/>
      <c r="I17" s="214"/>
      <c r="J17" s="214"/>
      <c r="K17" s="214"/>
      <c r="L17" s="214"/>
      <c r="M17" s="214"/>
      <c r="N17" s="214"/>
      <c r="O17" s="13">
        <f t="shared" ca="1" si="5"/>
        <v>44013</v>
      </c>
      <c r="P17" s="13">
        <f ca="1">IF(O17="","",WORKDAY(O17-1,1,FERIADOS!$A$1:$A$840))</f>
        <v>44013</v>
      </c>
      <c r="Q17" s="21">
        <f ca="1">IF(O17="",0,NETWORKDAYS($C$4,P17,FERIADOS!$A$1:$A$830)-1)</f>
        <v>693</v>
      </c>
      <c r="R17" s="605">
        <f t="shared" ca="1" si="6"/>
        <v>4.8808850000000001E-2</v>
      </c>
      <c r="S17" s="23">
        <f t="shared" ca="1" si="2"/>
        <v>3.7909421551296667E-2</v>
      </c>
      <c r="T17" s="14">
        <f t="shared" ca="1" si="0"/>
        <v>2.5085519433824879</v>
      </c>
      <c r="U17" s="23">
        <f t="shared" ca="1" si="3"/>
        <v>3.7918932953136579E-2</v>
      </c>
      <c r="V17" s="11">
        <f t="shared" ca="1" si="1"/>
        <v>3.7899913402515577E-2</v>
      </c>
      <c r="W17" s="114">
        <f ca="1">IF(O17="","",IF($E$5="X",_xll.Spline(Curva!$T$3:$T$43,Curva!$G$3:$G$43,Q17),_xll.Spline(Curva!$AF$3:$AF$43,Curva!$AG$3:$AG$43,Q17)))</f>
        <v>8.4204069181988084E-2</v>
      </c>
      <c r="X17" s="22">
        <f t="shared" ca="1" si="4"/>
        <v>4.7348093683049666E-2</v>
      </c>
    </row>
    <row r="18" spans="2:24" ht="18.75" customHeight="1" x14ac:dyDescent="0.2">
      <c r="B18" s="30" t="s">
        <v>59</v>
      </c>
      <c r="C18" s="88">
        <f ca="1">WORKDAY(C2,D18,FERIADOS!$A$1:$A$830)</f>
        <v>45272</v>
      </c>
      <c r="D18" s="97">
        <f ca="1">ROUND((SUMPRODUCT(S4:S99,Q4:Q99))/S1,0)</f>
        <v>1559</v>
      </c>
      <c r="E18" s="41"/>
      <c r="F18" s="165"/>
      <c r="G18" s="207"/>
      <c r="H18" s="207"/>
      <c r="I18" s="207"/>
      <c r="J18" s="207"/>
      <c r="K18" s="207"/>
      <c r="L18" s="207"/>
      <c r="M18" s="207"/>
      <c r="N18" s="207"/>
      <c r="O18" s="13">
        <f t="shared" ca="1" si="5"/>
        <v>43831</v>
      </c>
      <c r="P18" s="13">
        <f ca="1">IF(O18="","",WORKDAY(O18-1,1,FERIADOS!$A$1:$A$840))</f>
        <v>43832</v>
      </c>
      <c r="Q18" s="21">
        <f ca="1">IF(O18="",0,NETWORKDAYS($C$4,P18,FERIADOS!$A$1:$A$830)-1)</f>
        <v>570</v>
      </c>
      <c r="R18" s="605">
        <f t="shared" ca="1" si="6"/>
        <v>4.8808850000000001E-2</v>
      </c>
      <c r="S18" s="23">
        <f t="shared" ca="1" si="2"/>
        <v>3.9648507759247331E-2</v>
      </c>
      <c r="T18" s="14">
        <f t="shared" ca="1" si="0"/>
        <v>2.0633111110731379</v>
      </c>
      <c r="U18" s="23">
        <f t="shared" ca="1" si="3"/>
        <v>3.9656689696998558E-2</v>
      </c>
      <c r="V18" s="11">
        <f t="shared" ca="1" si="1"/>
        <v>3.9640328255679133E-2</v>
      </c>
      <c r="W18" s="114">
        <f ca="1">IF(O18="","",IF($E$5="X",_xll.Spline(Curva!$T$3:$T$43,Curva!$G$3:$G$43,Q18),_xll.Spline(Curva!$AF$3:$AF$43,Curva!$AG$3:$AG$43,Q18)))</f>
        <v>8.049839348405774E-2</v>
      </c>
      <c r="X18" s="22">
        <f t="shared" ca="1" si="4"/>
        <v>4.7236902994364831E-2</v>
      </c>
    </row>
    <row r="19" spans="2:24" ht="15" customHeight="1" x14ac:dyDescent="0.2">
      <c r="B19" s="30" t="s">
        <v>11</v>
      </c>
      <c r="C19" s="88">
        <f ca="1">WORKDAY(C2,D19,FERIADOS!$A$1:$A$830)</f>
        <v>45071</v>
      </c>
      <c r="D19" s="82">
        <f ca="1">T1*252</f>
        <v>1421.7568984048157</v>
      </c>
      <c r="E19" s="41"/>
      <c r="G19" s="206"/>
      <c r="H19" s="206"/>
      <c r="I19" s="206"/>
      <c r="J19" s="206"/>
      <c r="K19" s="187"/>
      <c r="L19" s="187"/>
      <c r="M19" s="187"/>
      <c r="N19" s="187"/>
      <c r="O19" s="13">
        <f t="shared" ca="1" si="5"/>
        <v>43647</v>
      </c>
      <c r="P19" s="13">
        <f ca="1">IF(O19="","",WORKDAY(O19-1,1,FERIADOS!$A$1:$A$840))</f>
        <v>43647</v>
      </c>
      <c r="Q19" s="21">
        <f ca="1">IF(O19="",0,NETWORKDAYS($C$4,P19,FERIADOS!$A$1:$A$830)-1)</f>
        <v>440</v>
      </c>
      <c r="R19" s="605">
        <f t="shared" ca="1" si="6"/>
        <v>4.8808850000000001E-2</v>
      </c>
      <c r="S19" s="23">
        <f t="shared" ca="1" si="2"/>
        <v>4.1573360909379985E-2</v>
      </c>
      <c r="T19" s="14">
        <f t="shared" ca="1" si="0"/>
        <v>1.5927313759997348</v>
      </c>
      <c r="U19" s="23">
        <f t="shared" ca="1" si="3"/>
        <v>4.157998325833543E-2</v>
      </c>
      <c r="V19" s="11">
        <f t="shared" ca="1" si="1"/>
        <v>4.1566740219070204E-2</v>
      </c>
      <c r="W19" s="114">
        <f ca="1">IF(O19="","",IF($E$5="X",_xll.Spline(Curva!$T$3:$T$43,Curva!$G$3:$G$43,Q19),_xll.Spline(Curva!$AF$3:$AF$43,Curva!$AG$3:$AG$43,Q19)))</f>
        <v>7.6689343730161674E-2</v>
      </c>
      <c r="X19" s="22">
        <f t="shared" ca="1" si="4"/>
        <v>4.7298353023857077E-2</v>
      </c>
    </row>
    <row r="20" spans="2:24" ht="15" customHeight="1" x14ac:dyDescent="0.2">
      <c r="B20" s="78" t="s">
        <v>22</v>
      </c>
      <c r="C20" s="77">
        <v>1E-4</v>
      </c>
      <c r="G20" s="206"/>
      <c r="H20" s="206"/>
      <c r="I20" s="206"/>
      <c r="J20" s="206"/>
      <c r="K20" s="187"/>
      <c r="L20" s="187"/>
      <c r="M20" s="187"/>
      <c r="N20" s="187"/>
      <c r="O20" s="13">
        <f t="shared" ca="1" si="5"/>
        <v>43466</v>
      </c>
      <c r="P20" s="13">
        <f ca="1">IF(O20="","",WORKDAY(O20-1,1,FERIADOS!$A$1:$A$840))</f>
        <v>43467</v>
      </c>
      <c r="Q20" s="21">
        <f ca="1">IF(O20="",0,NETWORKDAYS($C$4,P20,FERIADOS!$A$1:$A$830)-1)</f>
        <v>317</v>
      </c>
      <c r="R20" s="605">
        <f t="shared" ca="1" si="6"/>
        <v>4.8808850000000001E-2</v>
      </c>
      <c r="S20" s="23">
        <f t="shared" ca="1" si="2"/>
        <v>4.3480529513306755E-2</v>
      </c>
      <c r="T20" s="14">
        <f t="shared" ca="1" si="0"/>
        <v>1.1474905548642234</v>
      </c>
      <c r="U20" s="23">
        <f t="shared" ca="1" si="3"/>
        <v>4.3485519376826445E-2</v>
      </c>
      <c r="V20" s="11">
        <f t="shared" ca="1" si="1"/>
        <v>4.3475540677439042E-2</v>
      </c>
      <c r="W20" s="114">
        <f ca="1">IF(O20="","",IF($E$5="X",_xll.Spline(Curva!$T$3:$T$43,Curva!$G$3:$G$43,Q20),_xll.Spline(Curva!$AF$3:$AF$43,Curva!$AG$3:$AG$43,Q20)))</f>
        <v>7.2973606708275129E-2</v>
      </c>
      <c r="X20" s="22">
        <f t="shared" ca="1" si="4"/>
        <v>4.7508781685216737E-2</v>
      </c>
    </row>
    <row r="21" spans="2:24" ht="18.75" customHeight="1" x14ac:dyDescent="0.4">
      <c r="B21" s="30" t="s">
        <v>57</v>
      </c>
      <c r="C21" s="32">
        <f ca="1">T4</f>
        <v>8.4306179866613302</v>
      </c>
      <c r="E21" s="44"/>
      <c r="G21" s="207"/>
      <c r="H21" s="207"/>
      <c r="I21" s="207"/>
      <c r="J21" s="207"/>
      <c r="K21" s="207"/>
      <c r="L21" s="207"/>
      <c r="M21" s="207"/>
      <c r="N21" s="207"/>
      <c r="O21" s="13">
        <f t="shared" ca="1" si="5"/>
        <v>43282</v>
      </c>
      <c r="P21" s="13">
        <f ca="1">IF(O21="","",WORKDAY(O21-1,1,FERIADOS!$A$1:$A$840))</f>
        <v>43283</v>
      </c>
      <c r="Q21" s="21">
        <f ca="1">IF(O21="",0,NETWORKDAYS($C$4,P21,FERIADOS!$A$1:$A$830)-1)</f>
        <v>191</v>
      </c>
      <c r="R21" s="605">
        <f t="shared" ca="1" si="6"/>
        <v>4.8808850000000001E-2</v>
      </c>
      <c r="S21" s="23">
        <f t="shared" ca="1" si="2"/>
        <v>4.5524965730442374E-2</v>
      </c>
      <c r="T21" s="14">
        <f t="shared" ca="1" si="0"/>
        <v>0.69139020573183052</v>
      </c>
      <c r="U21" s="23">
        <f t="shared" ca="1" si="3"/>
        <v>4.5528113534353855E-2</v>
      </c>
      <c r="V21" s="11">
        <f t="shared" ca="1" si="1"/>
        <v>4.5521818431269394E-2</v>
      </c>
      <c r="W21" s="114">
        <f ca="1">IF(O21="","",IF($E$5="X",_xll.Spline(Curva!$T$3:$T$43,Curva!$G$3:$G$43,Q21),_xll.Spline(Curva!$AF$3:$AF$43,Curva!$AG$3:$AG$43,Q21)))</f>
        <v>7.139821260013135E-2</v>
      </c>
      <c r="X21" s="22">
        <f t="shared" ca="1" si="4"/>
        <v>4.7967879631777982E-2</v>
      </c>
    </row>
    <row r="22" spans="2:24" x14ac:dyDescent="0.2">
      <c r="B22" s="30" t="s">
        <v>58</v>
      </c>
      <c r="C22" s="31">
        <f ca="1">((U4+V4-2*S4)/(S4))/(C20^2)</f>
        <v>78.765718682341443</v>
      </c>
      <c r="G22" s="213"/>
      <c r="H22" s="213"/>
      <c r="I22" s="213"/>
      <c r="J22" s="213"/>
      <c r="K22" s="292"/>
      <c r="L22" s="292"/>
      <c r="M22" s="292"/>
      <c r="N22" s="292"/>
      <c r="O22" s="13">
        <f t="shared" ca="1" si="5"/>
        <v>43101</v>
      </c>
      <c r="P22" s="13">
        <f ca="1">IF(O22="","",WORKDAY(O22-1,1,FERIADOS!$A$1:$A$840))</f>
        <v>43102</v>
      </c>
      <c r="Q22" s="21">
        <f ca="1">IF(O22="",0,NETWORKDAYS($C$4,P22,FERIADOS!$A$1:$A$830)-1)</f>
        <v>67</v>
      </c>
      <c r="R22" s="605">
        <f t="shared" ca="1" si="6"/>
        <v>4.8808850000000001E-2</v>
      </c>
      <c r="S22" s="23">
        <f t="shared" ca="1" si="2"/>
        <v>4.7630779370903743E-2</v>
      </c>
      <c r="T22" s="14">
        <f t="shared" ca="1" si="0"/>
        <v>0.24252954794102555</v>
      </c>
      <c r="U22" s="23">
        <f t="shared" ca="1" si="3"/>
        <v>4.7631934624739115E-2</v>
      </c>
      <c r="V22" s="11">
        <f t="shared" ca="1" si="1"/>
        <v>4.7629624250461335E-2</v>
      </c>
      <c r="W22" s="114">
        <f ca="1">IF(O22="","",IF($E$5="X",_xll.Spline(Curva!$T$3:$T$43,Curva!$G$3:$G$43,Q22),_xll.Spline(Curva!$AF$3:$AF$43,Curva!$AG$3:$AG$43,Q22)))</f>
        <v>7.5564586424080815E-2</v>
      </c>
      <c r="X22" s="22">
        <f t="shared" ca="1" si="4"/>
        <v>4.8562269860376157E-2</v>
      </c>
    </row>
    <row r="23" spans="2:24" ht="14.25" customHeight="1" thickBot="1" x14ac:dyDescent="0.25">
      <c r="B23" s="79" t="s">
        <v>23</v>
      </c>
      <c r="C23" s="81">
        <v>0.01</v>
      </c>
      <c r="G23" s="215"/>
      <c r="H23" s="215"/>
      <c r="I23" s="215"/>
      <c r="J23" s="215"/>
      <c r="K23" s="292"/>
      <c r="L23" s="292"/>
      <c r="M23" s="292"/>
      <c r="N23" s="292"/>
      <c r="O23" s="13" t="str">
        <f t="shared" ca="1" si="5"/>
        <v/>
      </c>
      <c r="P23" s="13" t="str">
        <f ca="1">IF(O23="","",WORKDAY(O23-1,1,FERIADOS!$A$1:$A$840))</f>
        <v/>
      </c>
      <c r="Q23" s="21">
        <f ca="1">IF(O23="",0,NETWORKDAYS($C$4,P23,FERIADOS!$A$1:$A$830)-1)</f>
        <v>0</v>
      </c>
      <c r="R23" s="605" t="str">
        <f t="shared" ca="1" si="6"/>
        <v/>
      </c>
      <c r="S23" s="23" t="str">
        <f t="shared" ca="1" si="2"/>
        <v/>
      </c>
      <c r="T23" s="14" t="str">
        <f t="shared" ca="1" si="0"/>
        <v/>
      </c>
      <c r="U23" s="23" t="str">
        <f t="shared" ca="1" si="3"/>
        <v/>
      </c>
      <c r="V23" s="11" t="str">
        <f t="shared" ca="1" si="1"/>
        <v/>
      </c>
      <c r="W23" s="114" t="str">
        <f ca="1">IF(O23="","",IF($E$5="X",_xll.Spline(Curva!$T$3:$T$43,Curva!$G$3:$G$43,Q23),_xll.Spline(Curva!$AF$3:$AF$43,Curva!$AG$3:$AG$43,Q23)))</f>
        <v/>
      </c>
      <c r="X23" s="22">
        <f t="shared" ca="1" si="4"/>
        <v>0</v>
      </c>
    </row>
    <row r="24" spans="2:24" ht="18" customHeight="1" x14ac:dyDescent="0.4">
      <c r="C24" s="155" t="s">
        <v>66</v>
      </c>
      <c r="G24" s="214"/>
      <c r="H24" s="214"/>
      <c r="I24" s="214"/>
      <c r="J24" s="214"/>
      <c r="K24" s="214"/>
      <c r="L24" s="214"/>
      <c r="M24" s="214"/>
      <c r="N24" s="214"/>
      <c r="O24" s="13" t="str">
        <f t="shared" ca="1" si="5"/>
        <v/>
      </c>
      <c r="P24" s="13" t="str">
        <f ca="1">IF(O24="","",WORKDAY(O24-1,1,FERIADOS!$A$1:$A$840))</f>
        <v/>
      </c>
      <c r="Q24" s="21">
        <f ca="1">IF(O24="",0,NETWORKDAYS($C$4,P24,FERIADOS!$A$1:$A$830)-1)</f>
        <v>0</v>
      </c>
      <c r="R24" s="605" t="str">
        <f t="shared" ca="1" si="6"/>
        <v/>
      </c>
      <c r="S24" s="23" t="str">
        <f t="shared" ca="1" si="2"/>
        <v/>
      </c>
      <c r="T24" s="14" t="str">
        <f t="shared" ca="1" si="0"/>
        <v/>
      </c>
      <c r="U24" s="23" t="str">
        <f t="shared" ca="1" si="3"/>
        <v/>
      </c>
      <c r="V24" s="11" t="str">
        <f t="shared" ca="1" si="1"/>
        <v/>
      </c>
      <c r="W24" s="99" t="str">
        <f ca="1">IF(O24="","",IF($E$5="X",_xll.Spline(Curva!$T$3:$T$43,Curva!$G$3:$G$43,Q24),_xll.Spline(Curva!$AF$3:$AF$43,Curva!$AG$3:$AG$43,Q24)))</f>
        <v/>
      </c>
      <c r="X24" s="22">
        <f t="shared" ca="1" si="4"/>
        <v>0</v>
      </c>
    </row>
    <row r="25" spans="2:24" ht="15.75" customHeight="1" thickBot="1" x14ac:dyDescent="0.45">
      <c r="C25" s="156"/>
      <c r="G25" s="206"/>
      <c r="H25" s="206"/>
      <c r="I25" s="206"/>
      <c r="J25" s="206"/>
      <c r="K25" s="187"/>
      <c r="L25" s="187"/>
      <c r="M25" s="187"/>
      <c r="N25" s="187"/>
      <c r="O25" s="13" t="str">
        <f t="shared" ca="1" si="5"/>
        <v/>
      </c>
      <c r="P25" s="13" t="str">
        <f ca="1">IF(O25="","",WORKDAY(O25-1,1,FERIADOS!$A$1:$A$840))</f>
        <v/>
      </c>
      <c r="Q25" s="21">
        <f ca="1">IF(O25="",0,NETWORKDAYS($C$4,P25,FERIADOS!$A$1:$A$830)-1)</f>
        <v>0</v>
      </c>
      <c r="R25" s="605" t="str">
        <f t="shared" ca="1" si="6"/>
        <v/>
      </c>
      <c r="S25" s="23" t="str">
        <f t="shared" ca="1" si="2"/>
        <v/>
      </c>
      <c r="T25" s="14" t="str">
        <f t="shared" ca="1" si="0"/>
        <v/>
      </c>
      <c r="U25" s="23" t="str">
        <f t="shared" ca="1" si="3"/>
        <v/>
      </c>
      <c r="V25" s="11" t="str">
        <f t="shared" ca="1" si="1"/>
        <v/>
      </c>
      <c r="W25" s="99" t="str">
        <f ca="1">IF(O25="","",IF($E$5="X",_xll.Spline(Curva!$T$3:$T$43,Curva!$G$3:$G$43,Q25),_xll.Spline(Curva!$AF$3:$AF$43,Curva!$AG$3:$AG$43,Q25)))</f>
        <v/>
      </c>
      <c r="X25" s="22">
        <f t="shared" ca="1" si="4"/>
        <v>0</v>
      </c>
    </row>
    <row r="26" spans="2:24" ht="13.5" thickBot="1" x14ac:dyDescent="0.25">
      <c r="B26" s="84">
        <f>+C23</f>
        <v>0.01</v>
      </c>
      <c r="C26" s="85">
        <f>-C23</f>
        <v>-0.01</v>
      </c>
      <c r="G26" s="207"/>
      <c r="H26" s="207"/>
      <c r="I26" s="207"/>
      <c r="J26" s="207"/>
      <c r="K26" s="207"/>
      <c r="L26" s="207"/>
      <c r="M26" s="207"/>
      <c r="N26" s="207"/>
      <c r="O26" s="13" t="str">
        <f t="shared" ca="1" si="5"/>
        <v/>
      </c>
      <c r="P26" s="13" t="str">
        <f ca="1">IF(O26="","",WORKDAY(O26-1,1,FERIADOS!$A$1:$A$840))</f>
        <v/>
      </c>
      <c r="Q26" s="21">
        <f ca="1">IF(O26="",0,NETWORKDAYS($C$4,P26,FERIADOS!$A$1:$A$830)-1)</f>
        <v>0</v>
      </c>
      <c r="R26" s="605" t="str">
        <f t="shared" ca="1" si="6"/>
        <v/>
      </c>
      <c r="S26" s="23" t="str">
        <f t="shared" ca="1" si="2"/>
        <v/>
      </c>
      <c r="T26" s="14" t="str">
        <f t="shared" ca="1" si="0"/>
        <v/>
      </c>
      <c r="U26" s="23" t="str">
        <f t="shared" ca="1" si="3"/>
        <v/>
      </c>
      <c r="V26" s="11" t="str">
        <f t="shared" ca="1" si="1"/>
        <v/>
      </c>
      <c r="W26" s="99" t="str">
        <f ca="1">IF(O26="","",IF($E$5="X",_xll.Spline(Curva!$T$3:$T$43,Curva!$G$3:$G$43,Q26),_xll.Spline(Curva!$AF$3:$AF$43,Curva!$AG$3:$AG$43,Q26)))</f>
        <v/>
      </c>
      <c r="X26" s="22">
        <f t="shared" ca="1" si="4"/>
        <v>0</v>
      </c>
    </row>
    <row r="27" spans="2:24" x14ac:dyDescent="0.2">
      <c r="B27" s="89">
        <f ca="1">C10*(1-C16*C23+(C17*(C23^2)/2))</f>
        <v>989.61969401734461</v>
      </c>
      <c r="C27" s="90">
        <f ca="1">C10*(1+C16*C23+(C17*(C23^2)/2))</f>
        <v>1107.6759931298382</v>
      </c>
      <c r="G27" s="267"/>
      <c r="H27" s="267"/>
      <c r="I27" s="267"/>
      <c r="J27" s="267"/>
      <c r="K27" s="207"/>
      <c r="L27" s="207"/>
      <c r="M27" s="207"/>
      <c r="N27" s="207"/>
      <c r="O27" s="13" t="str">
        <f t="shared" ca="1" si="5"/>
        <v/>
      </c>
      <c r="P27" s="13" t="str">
        <f ca="1">IF(O27="","",WORKDAY(O27-1,1,FERIADOS!$A$1:$A$840))</f>
        <v/>
      </c>
      <c r="Q27" s="21">
        <f ca="1">IF(O27="",0,NETWORKDAYS($C$4,P27,FERIADOS!$A$1:$A$830)-1)</f>
        <v>0</v>
      </c>
      <c r="R27" s="605" t="str">
        <f t="shared" ca="1" si="6"/>
        <v/>
      </c>
      <c r="S27" s="23" t="str">
        <f t="shared" ca="1" si="2"/>
        <v/>
      </c>
      <c r="T27" s="14" t="str">
        <f t="shared" ca="1" si="0"/>
        <v/>
      </c>
      <c r="U27" s="23" t="str">
        <f t="shared" ca="1" si="3"/>
        <v/>
      </c>
      <c r="V27" s="11" t="str">
        <f t="shared" ca="1" si="1"/>
        <v/>
      </c>
      <c r="W27" s="99" t="str">
        <f ca="1">IF(O27="","",IF($E$5="X",_xll.Spline(Curva!$T$3:$T$43,Curva!$G$3:$G$43,Q27),_xll.Spline(Curva!$AF$3:$AF$43,Curva!$AG$3:$AG$43,Q27)))</f>
        <v/>
      </c>
      <c r="X27" s="22">
        <f t="shared" ca="1" si="4"/>
        <v>0</v>
      </c>
    </row>
    <row r="28" spans="2:24" ht="13.5" thickBot="1" x14ac:dyDescent="0.25">
      <c r="B28" s="91">
        <f ca="1">-C16*C23+(C17*(C23^2)/2)</f>
        <v>-5.4124527709699104E-2</v>
      </c>
      <c r="C28" s="86">
        <f ca="1">C16*C23+(C17*(C23^2)/2)</f>
        <v>5.8713321370048165E-2</v>
      </c>
      <c r="G28" s="264"/>
      <c r="H28" s="264"/>
      <c r="I28" s="264"/>
      <c r="J28" s="264"/>
      <c r="K28" s="207"/>
      <c r="L28" s="207"/>
      <c r="M28" s="207"/>
      <c r="N28" s="207"/>
      <c r="O28" s="13" t="str">
        <f t="shared" ca="1" si="5"/>
        <v/>
      </c>
      <c r="P28" s="13" t="str">
        <f ca="1">IF(O28="","",WORKDAY(O28-1,1,FERIADOS!$A$1:$A$840))</f>
        <v/>
      </c>
      <c r="Q28" s="21">
        <f ca="1">IF(O28="",0,NETWORKDAYS($C$4,P28,FERIADOS!$A$1:$A$830)-1)</f>
        <v>0</v>
      </c>
      <c r="R28" s="605" t="str">
        <f t="shared" ca="1" si="6"/>
        <v/>
      </c>
      <c r="S28" s="23" t="str">
        <f t="shared" ca="1" si="2"/>
        <v/>
      </c>
      <c r="T28" s="14" t="str">
        <f t="shared" ca="1" si="0"/>
        <v/>
      </c>
      <c r="U28" s="23" t="str">
        <f t="shared" ca="1" si="3"/>
        <v/>
      </c>
      <c r="V28" s="11" t="str">
        <f t="shared" ca="1" si="1"/>
        <v/>
      </c>
      <c r="W28" s="99" t="str">
        <f ca="1">IF(O28="","",IF($E$5="X",_xll.Spline(Curva!$T$3:$T$43,Curva!$G$3:$G$43,Q28),_xll.Spline(Curva!$AF$3:$AF$43,Curva!$AG$3:$AG$43,Q28)))</f>
        <v/>
      </c>
      <c r="X28" s="22">
        <f t="shared" ca="1" si="4"/>
        <v>0</v>
      </c>
    </row>
    <row r="29" spans="2:24" ht="12" customHeight="1" x14ac:dyDescent="0.2">
      <c r="G29" s="170"/>
      <c r="H29" s="170"/>
      <c r="I29" s="170"/>
      <c r="J29" s="170"/>
      <c r="K29" s="170"/>
      <c r="L29" s="170"/>
      <c r="M29" s="170"/>
      <c r="N29" s="212"/>
      <c r="O29" s="13" t="str">
        <f t="shared" ca="1" si="5"/>
        <v/>
      </c>
      <c r="P29" s="13" t="str">
        <f ca="1">IF(O29="","",WORKDAY(O29-1,1,FERIADOS!$A$1:$A$840))</f>
        <v/>
      </c>
      <c r="Q29" s="21">
        <f ca="1">IF(O29="",0,NETWORKDAYS($C$4,P29,FERIADOS!$A$1:$A$830)-1)</f>
        <v>0</v>
      </c>
      <c r="R29" s="605" t="str">
        <f t="shared" ca="1" si="6"/>
        <v/>
      </c>
      <c r="S29" s="23" t="str">
        <f t="shared" ca="1" si="2"/>
        <v/>
      </c>
      <c r="T29" s="14" t="str">
        <f t="shared" ca="1" si="0"/>
        <v/>
      </c>
      <c r="U29" s="23" t="str">
        <f t="shared" ca="1" si="3"/>
        <v/>
      </c>
      <c r="V29" s="11" t="str">
        <f t="shared" ca="1" si="1"/>
        <v/>
      </c>
      <c r="W29" s="99" t="str">
        <f ca="1">IF(O29="","",IF($E$5="X",_xll.Spline(Curva!$T$3:$T$43,Curva!$G$3:$G$43,Q29),_xll.Spline(Curva!$AF$3:$AF$43,Curva!$AG$3:$AG$43,Q29)))</f>
        <v/>
      </c>
      <c r="X29" s="22">
        <f t="shared" ca="1" si="4"/>
        <v>0</v>
      </c>
    </row>
    <row r="30" spans="2:24" ht="7.5" customHeight="1" x14ac:dyDescent="0.2">
      <c r="B30" s="188"/>
      <c r="C30" s="188"/>
      <c r="D30" s="188"/>
      <c r="E30" s="188"/>
      <c r="F30" s="188"/>
      <c r="G30" s="188"/>
      <c r="H30" s="188"/>
      <c r="I30" s="188"/>
      <c r="J30" s="188"/>
      <c r="K30" s="188"/>
      <c r="L30" s="188"/>
      <c r="M30" s="188"/>
      <c r="O30" s="13" t="str">
        <f t="shared" ca="1" si="5"/>
        <v/>
      </c>
      <c r="P30" s="13" t="str">
        <f ca="1">IF(O30="","",WORKDAY(O30-1,1,FERIADOS!$A$1:$A$840))</f>
        <v/>
      </c>
      <c r="Q30" s="21">
        <f ca="1">IF(O30="",0,NETWORKDAYS($C$4,P30,FERIADOS!$A$1:$A$830)-1)</f>
        <v>0</v>
      </c>
      <c r="R30" s="605" t="str">
        <f t="shared" ca="1" si="6"/>
        <v/>
      </c>
      <c r="S30" s="23" t="str">
        <f t="shared" ca="1" si="2"/>
        <v/>
      </c>
      <c r="T30" s="14" t="str">
        <f t="shared" ca="1" si="0"/>
        <v/>
      </c>
      <c r="U30" s="23" t="str">
        <f t="shared" ca="1" si="3"/>
        <v/>
      </c>
      <c r="V30" s="11" t="str">
        <f t="shared" ca="1" si="1"/>
        <v/>
      </c>
      <c r="W30" s="99" t="str">
        <f ca="1">IF(O30="","",IF($E$5="X",_xll.Spline(Curva!$T$3:$T$43,Curva!$G$3:$G$43,Q30),_xll.Spline(Curva!$AF$3:$AF$43,Curva!$AG$3:$AG$43,Q30)))</f>
        <v/>
      </c>
      <c r="X30" s="22">
        <f t="shared" ca="1" si="4"/>
        <v>0</v>
      </c>
    </row>
    <row r="31" spans="2:24" ht="10.5" customHeight="1" x14ac:dyDescent="0.2">
      <c r="B31" s="712"/>
      <c r="C31" s="712"/>
      <c r="D31" s="712"/>
      <c r="E31" s="712"/>
      <c r="F31" s="712"/>
      <c r="G31" s="712"/>
      <c r="H31" s="712"/>
      <c r="I31" s="712"/>
      <c r="J31" s="712"/>
      <c r="K31" s="712"/>
      <c r="L31" s="532"/>
      <c r="M31" s="532"/>
      <c r="N31" s="532"/>
      <c r="O31" s="13" t="str">
        <f t="shared" ca="1" si="5"/>
        <v/>
      </c>
      <c r="P31" s="13" t="str">
        <f ca="1">IF(O31="","",WORKDAY(O31-1,1,FERIADOS!$A$1:$A$840))</f>
        <v/>
      </c>
      <c r="Q31" s="21">
        <f ca="1">IF(O31="",0,NETWORKDAYS($C$4,P31,FERIADOS!$A$1:$A$830)-1)</f>
        <v>0</v>
      </c>
      <c r="R31" s="605" t="str">
        <f t="shared" ca="1" si="6"/>
        <v/>
      </c>
      <c r="S31" s="23" t="str">
        <f t="shared" ca="1" si="2"/>
        <v/>
      </c>
      <c r="T31" s="14" t="str">
        <f ca="1">IF(ISERROR((((U31-V31)/2)/S31)/$C$20),"",((((U31-V31)/2)/S31)/$C$20))</f>
        <v/>
      </c>
      <c r="U31" s="23" t="str">
        <f ca="1">IF(ISERROR(((R31/((1+$C$6-$C$20)^((Q31/252)))))),"",(((R31/((1+$C$6-$C$20)^((Q31/252)))))))</f>
        <v/>
      </c>
      <c r="V31" s="11" t="str">
        <f ca="1">IF(ISERROR(((R31/((1+$C$6+$C$20)^((Q31/252)))))),"",(((R31/((1+$C$6+$C$20)^((Q31/252)))))))</f>
        <v/>
      </c>
      <c r="W31" s="99" t="str">
        <f ca="1">IF(O31="","",IF($E$5="X",_xll.Spline(Curva!$T$3:$T$43,Curva!$G$3:$G$43,Q31),_xll.Spline(Curva!$AF$3:$AF$43,Curva!$AG$3:$AG$43,Q31)))</f>
        <v/>
      </c>
      <c r="X31" s="22">
        <f t="shared" ca="1" si="4"/>
        <v>0</v>
      </c>
    </row>
    <row r="32" spans="2:24" ht="10.5" customHeight="1" x14ac:dyDescent="0.2">
      <c r="B32" s="279"/>
      <c r="C32" s="280"/>
      <c r="D32" s="281"/>
      <c r="E32" s="280"/>
      <c r="F32" s="280"/>
      <c r="G32" s="282"/>
      <c r="H32" s="282"/>
      <c r="I32" s="282"/>
      <c r="J32" s="282"/>
      <c r="K32" s="282"/>
      <c r="L32" s="282"/>
      <c r="M32" s="282"/>
      <c r="N32" s="282"/>
      <c r="O32" s="13" t="str">
        <f t="shared" ca="1" si="5"/>
        <v/>
      </c>
      <c r="P32" s="13" t="str">
        <f ca="1">IF(O32="","",WORKDAY(O32-1,1,FERIADOS!$A$1:$A$840))</f>
        <v/>
      </c>
      <c r="Q32" s="21">
        <f ca="1">IF(O32="",0,NETWORKDAYS($C$4,P32,FERIADOS!$A$1:$A$830)-1)</f>
        <v>0</v>
      </c>
      <c r="R32" s="605" t="str">
        <f t="shared" ca="1" si="6"/>
        <v/>
      </c>
      <c r="S32" s="23" t="str">
        <f t="shared" ca="1" si="2"/>
        <v/>
      </c>
      <c r="T32" s="14" t="str">
        <f t="shared" ca="1" si="0"/>
        <v/>
      </c>
      <c r="U32" s="23" t="str">
        <f t="shared" ca="1" si="3"/>
        <v/>
      </c>
      <c r="V32" s="11" t="str">
        <f t="shared" ca="1" si="1"/>
        <v/>
      </c>
      <c r="W32" s="99" t="str">
        <f ca="1">IF(O32="","",IF($E$5="X",_xll.Spline(Curva!$T$3:$T$43,Curva!$G$3:$G$43,Q32),_xll.Spline(Curva!$AF$3:$AF$43,Curva!$AG$3:$AG$43,Q32)))</f>
        <v/>
      </c>
      <c r="X32" s="22">
        <f t="shared" ca="1" si="4"/>
        <v>0</v>
      </c>
    </row>
    <row r="33" spans="2:24" ht="10.5" customHeight="1" x14ac:dyDescent="0.2">
      <c r="B33" s="188"/>
      <c r="C33" s="188"/>
      <c r="D33" s="188"/>
      <c r="E33" s="283"/>
      <c r="F33" s="284"/>
      <c r="G33" s="284"/>
      <c r="H33" s="284"/>
      <c r="I33" s="284"/>
      <c r="J33" s="284"/>
      <c r="K33" s="284"/>
      <c r="L33" s="284"/>
      <c r="M33" s="284"/>
      <c r="N33" s="284"/>
      <c r="O33" s="13" t="str">
        <f t="shared" ca="1" si="5"/>
        <v/>
      </c>
      <c r="P33" s="13" t="str">
        <f ca="1">IF(O33="","",WORKDAY(O33-1,1,FERIADOS!$A$1:$A$840))</f>
        <v/>
      </c>
      <c r="Q33" s="21">
        <f ca="1">IF(O33="",0,NETWORKDAYS($C$4,P33,FERIADOS!$A$1:$A$830)-1)</f>
        <v>0</v>
      </c>
      <c r="R33" s="605" t="str">
        <f t="shared" ca="1" si="6"/>
        <v/>
      </c>
      <c r="S33" s="23" t="str">
        <f t="shared" ca="1" si="2"/>
        <v/>
      </c>
      <c r="T33" s="14" t="str">
        <f t="shared" ca="1" si="0"/>
        <v/>
      </c>
      <c r="U33" s="23" t="str">
        <f t="shared" ca="1" si="3"/>
        <v/>
      </c>
      <c r="V33" s="11" t="str">
        <f t="shared" ca="1" si="1"/>
        <v/>
      </c>
      <c r="W33" s="99" t="str">
        <f ca="1">IF(O33="","",IF($E$5="X",_xll.Spline(Curva!$T$3:$T$43,Curva!$G$3:$G$43,Q33),_xll.Spline(Curva!$AF$3:$AF$43,Curva!$AG$3:$AG$43,Q33)))</f>
        <v/>
      </c>
      <c r="X33" s="22">
        <f t="shared" ca="1" si="4"/>
        <v>0</v>
      </c>
    </row>
    <row r="34" spans="2:24" ht="10.5" customHeight="1" x14ac:dyDescent="0.2">
      <c r="B34" s="265">
        <f>IF($E$5="X",$C$7,$E$6)</f>
        <v>9.6250000000000002E-2</v>
      </c>
      <c r="C34" s="166">
        <f ca="1">VLOOKUP($C$3,$B$54:$D$60,3,FALSE)</f>
        <v>-35.499946579370942</v>
      </c>
      <c r="D34" s="287">
        <f ca="1">_xll.Spline(Curva!$T$3:$T$43,Curva!$C$3:$C$43,$Q$4+IF($E$5="X",0,$E$3))+$D$6/10000</f>
        <v>9.6257967247422693E-2</v>
      </c>
      <c r="E34" s="269"/>
      <c r="F34" s="288"/>
      <c r="G34" s="228"/>
      <c r="H34" s="228"/>
      <c r="I34" s="228"/>
      <c r="J34" s="228"/>
      <c r="K34" s="228"/>
      <c r="L34" s="228"/>
      <c r="M34" s="228"/>
      <c r="N34" s="228"/>
      <c r="O34" s="13" t="str">
        <f t="shared" ca="1" si="5"/>
        <v/>
      </c>
      <c r="P34" s="13" t="str">
        <f ca="1">IF(O34="","",WORKDAY(O34-1,1,FERIADOS!$A$1:$A$840))</f>
        <v/>
      </c>
      <c r="Q34" s="21">
        <f ca="1">IF(O34="",0,NETWORKDAYS($C$4,P34,FERIADOS!$A$1:$A$830)-1)</f>
        <v>0</v>
      </c>
      <c r="R34" s="605" t="str">
        <f t="shared" ca="1" si="6"/>
        <v/>
      </c>
      <c r="S34" s="23" t="str">
        <f t="shared" ca="1" si="2"/>
        <v/>
      </c>
      <c r="T34" s="14" t="str">
        <f t="shared" ca="1" si="0"/>
        <v/>
      </c>
      <c r="U34" s="23" t="str">
        <f t="shared" ca="1" si="3"/>
        <v/>
      </c>
      <c r="V34" s="11" t="str">
        <f t="shared" ca="1" si="1"/>
        <v/>
      </c>
      <c r="W34" s="99" t="str">
        <f ca="1">IF(O34="","",IF($E$5="X",_xll.Spline(Curva!$T$3:$T$43,Curva!$G$3:$G$43,Q34),_xll.Spline(Curva!$AF$3:$AF$43,Curva!$AG$3:$AG$43,Q34)))</f>
        <v/>
      </c>
      <c r="X34" s="22">
        <f t="shared" ca="1" si="4"/>
        <v>0</v>
      </c>
    </row>
    <row r="35" spans="2:24" ht="10.5" customHeight="1" x14ac:dyDescent="0.2">
      <c r="B35" s="285"/>
      <c r="C35" s="286"/>
      <c r="O35" s="13" t="str">
        <f t="shared" ca="1" si="5"/>
        <v/>
      </c>
      <c r="P35" s="13" t="str">
        <f ca="1">IF(O35="","",WORKDAY(O35-1,1,FERIADOS!$A$1:$A$840))</f>
        <v/>
      </c>
      <c r="Q35" s="21">
        <f ca="1">IF(O35="",0,NETWORKDAYS($C$4,P35,FERIADOS!$A$1:$A$830)-1)</f>
        <v>0</v>
      </c>
      <c r="R35" s="605" t="str">
        <f t="shared" ca="1" si="6"/>
        <v/>
      </c>
      <c r="S35" s="23" t="str">
        <f t="shared" ca="1" si="2"/>
        <v/>
      </c>
      <c r="T35" s="14" t="str">
        <f t="shared" ca="1" si="0"/>
        <v/>
      </c>
      <c r="U35" s="23" t="str">
        <f t="shared" ca="1" si="3"/>
        <v/>
      </c>
      <c r="V35" s="11" t="str">
        <f t="shared" ca="1" si="1"/>
        <v/>
      </c>
      <c r="W35" s="99" t="str">
        <f ca="1">IF(O35="","",IF($E$5="X",_xll.Spline(Curva!$T$3:$T$43,Curva!$G$3:$G$43,Q35),_xll.Spline(Curva!$AF$3:$AF$43,Curva!$AG$3:$AG$43,Q35)))</f>
        <v/>
      </c>
      <c r="X35" s="22">
        <f t="shared" ca="1" si="4"/>
        <v>0</v>
      </c>
    </row>
    <row r="36" spans="2:24" ht="10.5" customHeight="1" x14ac:dyDescent="0.2">
      <c r="B36" s="285"/>
      <c r="C36" s="286"/>
      <c r="O36" s="13" t="str">
        <f t="shared" ca="1" si="5"/>
        <v/>
      </c>
      <c r="P36" s="13" t="str">
        <f ca="1">IF(O36="","",WORKDAY(O36-1,1,FERIADOS!$A$1:$A$840))</f>
        <v/>
      </c>
      <c r="Q36" s="21">
        <f ca="1">IF(O36="",0,NETWORKDAYS($C$4,P36,FERIADOS!$A$1:$A$830)-1)</f>
        <v>0</v>
      </c>
      <c r="R36" s="605" t="str">
        <f t="shared" ca="1" si="6"/>
        <v/>
      </c>
      <c r="S36" s="23" t="str">
        <f t="shared" ca="1" si="2"/>
        <v/>
      </c>
      <c r="T36" s="14" t="str">
        <f t="shared" ref="T36:T41" ca="1" si="7">IF(ISERROR((((U36-V36)/2)/S36)/$C$20),"",((((U36-V36)/2)/S36)/$C$20))</f>
        <v/>
      </c>
      <c r="U36" s="23" t="str">
        <f t="shared" ref="U36:U41" ca="1" si="8">IF(ISERROR(((R36/((1+$C$6-$C$20)^((Q36/252)))))),"",(((R36/((1+$C$6-$C$20)^((Q36/252)))))))</f>
        <v/>
      </c>
      <c r="V36" s="11" t="str">
        <f t="shared" ref="V36:V41" ca="1" si="9">IF(ISERROR(((R36/((1+$C$6+$C$20)^((Q36/252)))))),"",(((R36/((1+$C$6+$C$20)^((Q36/252)))))))</f>
        <v/>
      </c>
      <c r="W36" s="99" t="str">
        <f ca="1">IF(O36="","",IF($E$5="X",_xll.Spline(Curva!$T$3:$T$43,Curva!$G$3:$G$43,Q36),_xll.Spline(Curva!$AF$3:$AF$43,Curva!$AG$3:$AG$43,Q36)))</f>
        <v/>
      </c>
      <c r="X36" s="22">
        <f t="shared" ca="1" si="4"/>
        <v>0</v>
      </c>
    </row>
    <row r="37" spans="2:24" ht="10.5" customHeight="1" thickBot="1" x14ac:dyDescent="0.25">
      <c r="B37" s="285"/>
      <c r="C37" s="286"/>
      <c r="O37" s="13" t="str">
        <f t="shared" ca="1" si="5"/>
        <v/>
      </c>
      <c r="P37" s="13" t="str">
        <f ca="1">IF(O37="","",WORKDAY(O37-1,1,FERIADOS!$A$1:$A$840))</f>
        <v/>
      </c>
      <c r="Q37" s="21">
        <f ca="1">IF(O37="",0,NETWORKDAYS($C$4,P37,FERIADOS!$A$1:$A$830)-1)</f>
        <v>0</v>
      </c>
      <c r="R37" s="605" t="str">
        <f t="shared" ca="1" si="6"/>
        <v/>
      </c>
      <c r="S37" s="23" t="str">
        <f t="shared" ca="1" si="2"/>
        <v/>
      </c>
      <c r="T37" s="14" t="str">
        <f t="shared" ca="1" si="7"/>
        <v/>
      </c>
      <c r="U37" s="23" t="str">
        <f t="shared" ca="1" si="8"/>
        <v/>
      </c>
      <c r="V37" s="11" t="str">
        <f t="shared" ca="1" si="9"/>
        <v/>
      </c>
      <c r="W37" s="99" t="str">
        <f ca="1">IF(O37="","",IF($E$5="X",_xll.Spline(Curva!$T$3:$T$43,Curva!$G$3:$G$43,Q37),_xll.Spline(Curva!$AF$3:$AF$43,Curva!$AG$3:$AG$43,Q37)))</f>
        <v/>
      </c>
      <c r="X37" s="22">
        <f t="shared" ca="1" si="4"/>
        <v>0</v>
      </c>
    </row>
    <row r="38" spans="2:24" ht="10.5" customHeight="1" x14ac:dyDescent="0.2">
      <c r="B38" s="318" t="s">
        <v>252</v>
      </c>
      <c r="C38" s="319"/>
      <c r="D38" s="320"/>
      <c r="E38" s="321"/>
      <c r="F38" s="321"/>
      <c r="G38" s="322"/>
      <c r="H38" s="417"/>
      <c r="I38" s="417"/>
      <c r="J38" s="417"/>
      <c r="O38" s="13" t="str">
        <f t="shared" ca="1" si="5"/>
        <v/>
      </c>
      <c r="P38" s="13" t="str">
        <f ca="1">IF(O38="","",WORKDAY(O38-1,1,FERIADOS!$A$1:$A$840))</f>
        <v/>
      </c>
      <c r="Q38" s="21">
        <f ca="1">IF(O38="",0,NETWORKDAYS($C$4,P38,FERIADOS!$A$1:$A$830)-1)</f>
        <v>0</v>
      </c>
      <c r="R38" s="605" t="str">
        <f t="shared" ca="1" si="6"/>
        <v/>
      </c>
      <c r="S38" s="23" t="str">
        <f t="shared" ca="1" si="2"/>
        <v/>
      </c>
      <c r="T38" s="14" t="str">
        <f t="shared" ca="1" si="7"/>
        <v/>
      </c>
      <c r="U38" s="23" t="str">
        <f t="shared" ca="1" si="8"/>
        <v/>
      </c>
      <c r="V38" s="11" t="str">
        <f t="shared" ca="1" si="9"/>
        <v/>
      </c>
      <c r="W38" s="99" t="str">
        <f ca="1">IF(O38="","",IF($E$5="X",_xll.Spline(Curva!$T$3:$T$43,Curva!$G$3:$G$43,Q38),_xll.Spline(Curva!$AF$3:$AF$43,Curva!$AG$3:$AG$43,Q38)))</f>
        <v/>
      </c>
      <c r="X38" s="22">
        <f t="shared" ca="1" si="4"/>
        <v>0</v>
      </c>
    </row>
    <row r="39" spans="2:24" ht="10.5" customHeight="1" x14ac:dyDescent="0.2">
      <c r="B39" s="323"/>
      <c r="C39" s="292"/>
      <c r="D39" s="324"/>
      <c r="E39" s="325"/>
      <c r="F39" s="325"/>
      <c r="G39" s="326"/>
      <c r="H39" s="417"/>
      <c r="I39" s="417"/>
      <c r="J39" s="417"/>
      <c r="O39" s="13" t="str">
        <f t="shared" ca="1" si="5"/>
        <v/>
      </c>
      <c r="P39" s="13" t="str">
        <f ca="1">IF(O39="","",WORKDAY(O39-1,1,FERIADOS!$A$1:$A$840))</f>
        <v/>
      </c>
      <c r="Q39" s="21">
        <f ca="1">IF(O39="",0,NETWORKDAYS($C$4,P39,FERIADOS!$A$1:$A$830)-1)</f>
        <v>0</v>
      </c>
      <c r="R39" s="605" t="str">
        <f t="shared" ca="1" si="6"/>
        <v/>
      </c>
      <c r="S39" s="23" t="str">
        <f t="shared" ca="1" si="2"/>
        <v/>
      </c>
      <c r="T39" s="14" t="str">
        <f t="shared" ca="1" si="7"/>
        <v/>
      </c>
      <c r="U39" s="23" t="str">
        <f t="shared" ca="1" si="8"/>
        <v/>
      </c>
      <c r="V39" s="11" t="str">
        <f t="shared" ca="1" si="9"/>
        <v/>
      </c>
      <c r="W39" s="99" t="str">
        <f ca="1">IF(O39="","",IF($E$5="X",_xll.Spline(Curva!$T$3:$T$43,Curva!$G$3:$G$43,Q39),_xll.Spline(Curva!$AF$3:$AF$43,Curva!$AG$3:$AG$43,Q39)))</f>
        <v/>
      </c>
      <c r="X39" s="22">
        <f t="shared" ca="1" si="4"/>
        <v>0</v>
      </c>
    </row>
    <row r="40" spans="2:24" ht="10.5" customHeight="1" x14ac:dyDescent="0.2">
      <c r="B40" s="327" t="s">
        <v>203</v>
      </c>
      <c r="C40" s="328" t="s">
        <v>199</v>
      </c>
      <c r="D40" s="329" t="s">
        <v>81</v>
      </c>
      <c r="E40" s="87" t="s">
        <v>87</v>
      </c>
      <c r="F40" s="19" t="s">
        <v>212</v>
      </c>
      <c r="G40" s="330" t="s">
        <v>211</v>
      </c>
      <c r="H40" s="87"/>
      <c r="I40" s="87"/>
      <c r="J40" s="87"/>
      <c r="O40" s="13" t="str">
        <f t="shared" ca="1" si="5"/>
        <v/>
      </c>
      <c r="P40" s="13" t="str">
        <f ca="1">IF(O40="","",WORKDAY(O40-1,1,FERIADOS!$A$1:$A$840))</f>
        <v/>
      </c>
      <c r="Q40" s="21">
        <f ca="1">IF(O40="",0,NETWORKDAYS($C$4,P40,FERIADOS!$A$1:$A$830)-1)</f>
        <v>0</v>
      </c>
      <c r="R40" s="605" t="str">
        <f t="shared" ca="1" si="6"/>
        <v/>
      </c>
      <c r="S40" s="23" t="str">
        <f t="shared" ca="1" si="2"/>
        <v/>
      </c>
      <c r="T40" s="14" t="str">
        <f t="shared" ca="1" si="7"/>
        <v/>
      </c>
      <c r="U40" s="23" t="str">
        <f t="shared" ca="1" si="8"/>
        <v/>
      </c>
      <c r="V40" s="11" t="str">
        <f t="shared" ca="1" si="9"/>
        <v/>
      </c>
      <c r="W40" s="99" t="str">
        <f ca="1">IF(O40="","",IF($E$5="X",_xll.Spline(Curva!$T$3:$T$43,Curva!$G$3:$G$43,Q40),_xll.Spline(Curva!$AF$3:$AF$43,Curva!$AG$3:$AG$43,Q40)))</f>
        <v/>
      </c>
      <c r="X40" s="22">
        <f t="shared" ca="1" si="4"/>
        <v>0</v>
      </c>
    </row>
    <row r="41" spans="2:24" ht="10.5" customHeight="1" thickBot="1" x14ac:dyDescent="0.25">
      <c r="B41" s="109" t="s">
        <v>157</v>
      </c>
      <c r="C41" s="248">
        <v>100000</v>
      </c>
      <c r="D41" s="249">
        <v>5</v>
      </c>
      <c r="E41" s="250">
        <v>0.1258</v>
      </c>
      <c r="F41" s="253">
        <f>E41+D41/10000+(IF(B41="C",-G41,G41))</f>
        <v>0.12631000000000001</v>
      </c>
      <c r="G41" s="331">
        <v>1.0000000000000001E-5</v>
      </c>
      <c r="H41" s="417"/>
      <c r="I41" s="417"/>
      <c r="J41" s="417"/>
      <c r="O41" s="13" t="str">
        <f t="shared" ca="1" si="5"/>
        <v/>
      </c>
      <c r="P41" s="13" t="str">
        <f ca="1">IF(O41="","",WORKDAY(O41-1,1,FERIADOS!$A$1:$A$840))</f>
        <v/>
      </c>
      <c r="Q41" s="21">
        <f ca="1">IF(O41="",0,NETWORKDAYS($C$4,P41,FERIADOS!$A$1:$A$830)-1)</f>
        <v>0</v>
      </c>
      <c r="R41" s="605" t="str">
        <f t="shared" ca="1" si="6"/>
        <v/>
      </c>
      <c r="S41" s="23" t="str">
        <f t="shared" ca="1" si="2"/>
        <v/>
      </c>
      <c r="T41" s="14" t="str">
        <f t="shared" ca="1" si="7"/>
        <v/>
      </c>
      <c r="U41" s="23" t="str">
        <f t="shared" ca="1" si="8"/>
        <v/>
      </c>
      <c r="V41" s="11" t="str">
        <f t="shared" ca="1" si="9"/>
        <v/>
      </c>
      <c r="W41" s="99" t="str">
        <f ca="1">IF(O41="","",IF($E$5="X",_xll.Spline(Curva!$T$3:$T$43,Curva!$G$3:$G$43,Q41),_xll.Spline(Curva!$AF$3:$AF$43,Curva!$AG$3:$AG$43,Q41)))</f>
        <v/>
      </c>
      <c r="X41" s="22">
        <f t="shared" ca="1" si="4"/>
        <v>0</v>
      </c>
    </row>
    <row r="42" spans="2:24" ht="15" customHeight="1" thickBot="1" x14ac:dyDescent="0.25">
      <c r="B42" s="332"/>
      <c r="C42" s="37"/>
      <c r="D42" s="37"/>
      <c r="E42" s="37">
        <f ca="1">100000/((E41+1)^((Q4+E3)/252))</f>
        <v>33433.950973450534</v>
      </c>
      <c r="F42" s="103" t="s">
        <v>210</v>
      </c>
      <c r="G42" s="333"/>
      <c r="H42" s="37"/>
      <c r="I42" s="37"/>
      <c r="J42" s="37"/>
      <c r="K42" s="209"/>
      <c r="L42" s="209"/>
      <c r="M42" s="209"/>
      <c r="N42" s="209"/>
      <c r="O42" s="13" t="str">
        <f t="shared" ca="1" si="5"/>
        <v/>
      </c>
      <c r="P42" s="13" t="str">
        <f ca="1">IF(O42="","",WORKDAY(O42-1,1,FERIADOS!$A$1:$A$840))</f>
        <v/>
      </c>
      <c r="Q42" s="21">
        <f ca="1">IF(O42="",0,NETWORKDAYS($C$4,P42,FERIADOS!$A$1:$A$830)-1)</f>
        <v>0</v>
      </c>
      <c r="R42" s="605" t="str">
        <f t="shared" ca="1" si="6"/>
        <v/>
      </c>
      <c r="S42" s="23" t="str">
        <f t="shared" ca="1" si="2"/>
        <v/>
      </c>
      <c r="T42" s="14" t="str">
        <f t="shared" ref="T42:T53" ca="1" si="10">IF(ISERROR((((U42-V42)/2)/S42)/$C$20),"",((((U42-V42)/2)/S42)/$C$20))</f>
        <v/>
      </c>
      <c r="U42" s="23" t="str">
        <f t="shared" ref="U42:U53" ca="1" si="11">IF(ISERROR(((R42/((1+$C$6-$C$20)^((Q42/252)))))),"",(((R42/((1+$C$6-$C$20)^((Q42/252)))))))</f>
        <v/>
      </c>
      <c r="V42" s="11" t="str">
        <f t="shared" ref="V42:V53" ca="1" si="12">IF(ISERROR(((R42/((1+$C$6+$C$20)^((Q42/252)))))),"",(((R42/((1+$C$6+$C$20)^((Q42/252)))))))</f>
        <v/>
      </c>
      <c r="W42" s="99" t="str">
        <f ca="1">IF(O42="","",IF($E$5="X",_xll.Spline(Curva!$T$3:$T$43,Curva!$G$3:$G$43,Q42),_xll.Spline(Curva!$AF$3:$AF$43,Curva!$AG$3:$AG$43,Q42)))</f>
        <v/>
      </c>
      <c r="X42" s="22">
        <f t="shared" ca="1" si="4"/>
        <v>0</v>
      </c>
    </row>
    <row r="43" spans="2:24" ht="10.5" customHeight="1" thickBot="1" x14ac:dyDescent="0.25">
      <c r="B43" s="332"/>
      <c r="C43" s="37"/>
      <c r="D43" s="37"/>
      <c r="E43" s="37"/>
      <c r="F43" s="251">
        <f ca="1">TRUNC(1000/((1+F41)^(Q4/252)),6)</f>
        <v>333.09954399999998</v>
      </c>
      <c r="G43" s="252">
        <f ca="1">C41*(ROUND(1000/((1+E41+D41/10000)^(Q4/252)),6)-F43)</f>
        <v>2733.3999999996195</v>
      </c>
      <c r="H43" s="540"/>
      <c r="I43" s="540"/>
      <c r="J43" s="540"/>
      <c r="K43" s="282"/>
      <c r="L43" s="282"/>
      <c r="M43" s="282"/>
      <c r="N43" s="282"/>
      <c r="O43" s="13" t="str">
        <f t="shared" ca="1" si="5"/>
        <v/>
      </c>
      <c r="P43" s="13" t="str">
        <f ca="1">IF(O43="","",WORKDAY(O43-1,1,FERIADOS!$A$1:$A$840))</f>
        <v/>
      </c>
      <c r="Q43" s="21">
        <f ca="1">IF(O43="",0,NETWORKDAYS($C$4,P43,FERIADOS!$A$1:$A$830)-1)</f>
        <v>0</v>
      </c>
      <c r="R43" s="605" t="str">
        <f t="shared" ca="1" si="6"/>
        <v/>
      </c>
      <c r="S43" s="23" t="str">
        <f t="shared" ca="1" si="2"/>
        <v/>
      </c>
      <c r="T43" s="14" t="str">
        <f t="shared" ca="1" si="10"/>
        <v/>
      </c>
      <c r="U43" s="23" t="str">
        <f t="shared" ca="1" si="11"/>
        <v/>
      </c>
      <c r="V43" s="11" t="str">
        <f t="shared" ca="1" si="12"/>
        <v/>
      </c>
      <c r="W43" s="99" t="str">
        <f ca="1">IF(O43="","",IF($E$5="X",_xll.Spline(Curva!$T$3:$T$43,Curva!$G$3:$G$43,Q43),_xll.Spline(Curva!$AF$3:$AF$43,Curva!$AG$3:$AG$43,Q43)))</f>
        <v/>
      </c>
      <c r="X43" s="22">
        <f t="shared" ca="1" si="4"/>
        <v>0</v>
      </c>
    </row>
    <row r="44" spans="2:24" ht="14.25" customHeight="1" thickBot="1" x14ac:dyDescent="0.25">
      <c r="B44" s="334"/>
      <c r="C44" s="335"/>
      <c r="D44" s="336"/>
      <c r="E44" s="337"/>
      <c r="F44" s="337"/>
      <c r="G44" s="338"/>
      <c r="H44" s="541"/>
      <c r="I44" s="541"/>
      <c r="J44" s="639"/>
      <c r="K44" s="290"/>
      <c r="L44" s="290"/>
      <c r="M44" s="290"/>
      <c r="N44" s="290"/>
      <c r="O44" s="13" t="str">
        <f t="shared" ca="1" si="5"/>
        <v/>
      </c>
      <c r="P44" s="13" t="str">
        <f ca="1">IF(O44="","",WORKDAY(O44-1,1,FERIADOS!$A$1:$A$840))</f>
        <v/>
      </c>
      <c r="Q44" s="21">
        <f ca="1">IF(O44="",0,NETWORKDAYS($C$4,P44,FERIADOS!$A$1:$A$830)-1)</f>
        <v>0</v>
      </c>
      <c r="R44" s="605" t="str">
        <f t="shared" ca="1" si="6"/>
        <v/>
      </c>
      <c r="S44" s="23" t="str">
        <f t="shared" ca="1" si="2"/>
        <v/>
      </c>
      <c r="T44" s="14" t="str">
        <f t="shared" ca="1" si="10"/>
        <v/>
      </c>
      <c r="U44" s="23" t="str">
        <f t="shared" ca="1" si="11"/>
        <v/>
      </c>
      <c r="V44" s="11" t="str">
        <f t="shared" ca="1" si="12"/>
        <v/>
      </c>
      <c r="W44" s="99" t="str">
        <f ca="1">IF(O44="","",IF($E$5="X",_xll.Spline(Curva!$T$3:$T$43,Curva!$G$3:$G$43,Q44),_xll.Spline(Curva!$AF$3:$AF$43,Curva!$AG$3:$AG$43,Q44)))</f>
        <v/>
      </c>
      <c r="X44" s="22">
        <f t="shared" ca="1" si="4"/>
        <v>0</v>
      </c>
    </row>
    <row r="45" spans="2:24" ht="10.5" customHeight="1" x14ac:dyDescent="0.2">
      <c r="K45" s="290"/>
      <c r="L45" s="290"/>
      <c r="M45" s="290"/>
      <c r="N45" s="290"/>
      <c r="O45" s="13" t="str">
        <f t="shared" ca="1" si="5"/>
        <v/>
      </c>
      <c r="P45" s="13" t="str">
        <f ca="1">IF(O45="","",WORKDAY(O45-1,1,FERIADOS!$A$1:$A$840))</f>
        <v/>
      </c>
      <c r="Q45" s="21">
        <f ca="1">IF(O45="",0,NETWORKDAYS($C$4,P45,FERIADOS!$A$1:$A$830)-1)</f>
        <v>0</v>
      </c>
      <c r="R45" s="605" t="str">
        <f t="shared" ca="1" si="6"/>
        <v/>
      </c>
      <c r="S45" s="23" t="str">
        <f t="shared" ca="1" si="2"/>
        <v/>
      </c>
      <c r="T45" s="14" t="str">
        <f t="shared" ca="1" si="10"/>
        <v/>
      </c>
      <c r="U45" s="23" t="str">
        <f t="shared" ca="1" si="11"/>
        <v/>
      </c>
      <c r="V45" s="11" t="str">
        <f t="shared" ca="1" si="12"/>
        <v/>
      </c>
      <c r="W45" s="99" t="str">
        <f ca="1">IF(O45="","",IF($E$5="X",_xll.Spline(Curva!$T$3:$T$43,Curva!$G$3:$G$43,Q45),_xll.Spline(Curva!$AF$3:$AF$43,Curva!$AG$3:$AG$43,Q45)))</f>
        <v/>
      </c>
      <c r="X45" s="22">
        <f t="shared" ca="1" si="4"/>
        <v>0</v>
      </c>
    </row>
    <row r="46" spans="2:24" ht="10.5" customHeight="1" x14ac:dyDescent="0.2">
      <c r="B46" s="285"/>
      <c r="C46" s="240"/>
      <c r="D46" s="287"/>
      <c r="E46" s="240"/>
      <c r="F46" s="288"/>
      <c r="G46" s="289"/>
      <c r="H46" s="289"/>
      <c r="I46" s="289"/>
      <c r="J46" s="289"/>
      <c r="K46" s="290"/>
      <c r="L46" s="290"/>
      <c r="M46" s="290"/>
      <c r="N46" s="290"/>
      <c r="O46" s="13" t="str">
        <f t="shared" ca="1" si="5"/>
        <v/>
      </c>
      <c r="P46" s="13" t="str">
        <f ca="1">IF(O46="","",WORKDAY(O46-1,1,FERIADOS!$A$1:$A$840))</f>
        <v/>
      </c>
      <c r="Q46" s="21">
        <f ca="1">IF(O46="",0,NETWORKDAYS($C$4,P46,FERIADOS!$A$1:$A$830)-1)</f>
        <v>0</v>
      </c>
      <c r="R46" s="605" t="str">
        <f t="shared" ca="1" si="6"/>
        <v/>
      </c>
      <c r="S46" s="23" t="str">
        <f t="shared" ca="1" si="2"/>
        <v/>
      </c>
      <c r="T46" s="14" t="str">
        <f t="shared" ca="1" si="10"/>
        <v/>
      </c>
      <c r="U46" s="23" t="str">
        <f t="shared" ca="1" si="11"/>
        <v/>
      </c>
      <c r="V46" s="11" t="str">
        <f t="shared" ca="1" si="12"/>
        <v/>
      </c>
      <c r="W46" s="99" t="str">
        <f ca="1">IF(O46="","",IF($E$5="X",_xll.Spline(Curva!$T$3:$T$43,Curva!$G$3:$G$43,Q46),_xll.Spline(Curva!$AF$3:$AF$43,Curva!$AG$3:$AG$43,Q46)))</f>
        <v/>
      </c>
      <c r="X46" s="22">
        <f t="shared" ca="1" si="4"/>
        <v>0</v>
      </c>
    </row>
    <row r="47" spans="2:24" ht="10.5" customHeight="1" x14ac:dyDescent="0.2">
      <c r="B47" s="285"/>
      <c r="C47" s="240"/>
      <c r="D47" s="287"/>
      <c r="E47" s="240"/>
      <c r="F47" s="288"/>
      <c r="G47" s="289"/>
      <c r="H47" s="289"/>
      <c r="I47" s="289"/>
      <c r="J47" s="289"/>
      <c r="K47" s="290"/>
      <c r="L47" s="290"/>
      <c r="M47" s="290"/>
      <c r="N47" s="290"/>
      <c r="O47" s="13" t="str">
        <f t="shared" ca="1" si="5"/>
        <v/>
      </c>
      <c r="P47" s="13" t="str">
        <f ca="1">IF(O47="","",WORKDAY(O47-1,1,FERIADOS!$A$1:$A$840))</f>
        <v/>
      </c>
      <c r="Q47" s="21">
        <f ca="1">IF(O47="",0,NETWORKDAYS($C$4,P47,FERIADOS!$A$1:$A$830)-1)</f>
        <v>0</v>
      </c>
      <c r="R47" s="605" t="str">
        <f t="shared" ca="1" si="6"/>
        <v/>
      </c>
      <c r="S47" s="23" t="str">
        <f t="shared" ca="1" si="2"/>
        <v/>
      </c>
      <c r="T47" s="14" t="str">
        <f t="shared" ca="1" si="10"/>
        <v/>
      </c>
      <c r="U47" s="23" t="str">
        <f t="shared" ca="1" si="11"/>
        <v/>
      </c>
      <c r="V47" s="11" t="str">
        <f t="shared" ca="1" si="12"/>
        <v/>
      </c>
      <c r="W47" s="99" t="str">
        <f ca="1">IF(O47="","",IF($E$5="X",_xll.Spline(Curva!$T$3:$T$43,Curva!$G$3:$G$43,Q47),_xll.Spline(Curva!$AF$3:$AF$43,Curva!$AG$3:$AG$43,Q47)))</f>
        <v/>
      </c>
      <c r="X47" s="22">
        <f t="shared" ca="1" si="4"/>
        <v>0</v>
      </c>
    </row>
    <row r="48" spans="2:24" ht="10.5" customHeight="1" x14ac:dyDescent="0.2">
      <c r="B48" s="285"/>
      <c r="C48" s="240"/>
      <c r="D48" s="287"/>
      <c r="E48" s="240"/>
      <c r="F48" s="288"/>
      <c r="G48" s="289"/>
      <c r="H48" s="289"/>
      <c r="I48" s="289"/>
      <c r="J48" s="289"/>
      <c r="K48" s="290"/>
      <c r="L48" s="290"/>
      <c r="M48" s="290"/>
      <c r="N48" s="290"/>
      <c r="O48" s="13" t="str">
        <f t="shared" ca="1" si="5"/>
        <v/>
      </c>
      <c r="P48" s="13" t="str">
        <f ca="1">IF(O48="","",WORKDAY(O48-1,1,FERIADOS!$A$1:$A$840))</f>
        <v/>
      </c>
      <c r="Q48" s="21">
        <f ca="1">IF(O48="",0,NETWORKDAYS($C$4,P48,FERIADOS!$A$1:$A$830)-1)</f>
        <v>0</v>
      </c>
      <c r="R48" s="605" t="str">
        <f t="shared" ca="1" si="6"/>
        <v/>
      </c>
      <c r="S48" s="23" t="str">
        <f t="shared" ca="1" si="2"/>
        <v/>
      </c>
      <c r="T48" s="14" t="str">
        <f t="shared" ca="1" si="10"/>
        <v/>
      </c>
      <c r="U48" s="23" t="str">
        <f t="shared" ca="1" si="11"/>
        <v/>
      </c>
      <c r="V48" s="11" t="str">
        <f t="shared" ca="1" si="12"/>
        <v/>
      </c>
      <c r="W48" s="99" t="str">
        <f ca="1">IF(O48="","",IF($E$5="X",_xll.Spline(Curva!$T$3:$T$43,Curva!$G$3:$G$43,Q48),_xll.Spline(Curva!$AF$3:$AF$43,Curva!$AG$3:$AG$43,Q48)))</f>
        <v/>
      </c>
      <c r="X48" s="22">
        <f t="shared" ca="1" si="4"/>
        <v>0</v>
      </c>
    </row>
    <row r="49" spans="2:24" ht="10.5" customHeight="1" x14ac:dyDescent="0.2">
      <c r="B49" s="285"/>
      <c r="C49" s="240"/>
      <c r="D49" s="287"/>
      <c r="E49" s="240"/>
      <c r="F49" s="288"/>
      <c r="G49" s="289"/>
      <c r="H49" s="289"/>
      <c r="I49" s="289"/>
      <c r="J49" s="289"/>
      <c r="K49" s="290"/>
      <c r="L49" s="290"/>
      <c r="M49" s="290"/>
      <c r="N49" s="290"/>
      <c r="O49" s="13" t="str">
        <f t="shared" ca="1" si="5"/>
        <v/>
      </c>
      <c r="P49" s="13" t="str">
        <f ca="1">IF(O49="","",WORKDAY(O49-1,1,FERIADOS!$A$1:$A$840))</f>
        <v/>
      </c>
      <c r="Q49" s="21">
        <f ca="1">IF(O49="",0,NETWORKDAYS($C$4,P49,FERIADOS!$A$1:$A$830)-1)</f>
        <v>0</v>
      </c>
      <c r="R49" s="605" t="str">
        <f t="shared" ca="1" si="6"/>
        <v/>
      </c>
      <c r="S49" s="23" t="str">
        <f t="shared" ca="1" si="2"/>
        <v/>
      </c>
      <c r="T49" s="14" t="str">
        <f t="shared" ca="1" si="10"/>
        <v/>
      </c>
      <c r="U49" s="23" t="str">
        <f t="shared" ca="1" si="11"/>
        <v/>
      </c>
      <c r="V49" s="11" t="str">
        <f t="shared" ca="1" si="12"/>
        <v/>
      </c>
      <c r="W49" s="99" t="str">
        <f ca="1">IF(O49="","",IF($E$5="X",_xll.Spline(Curva!$T$3:$T$43,Curva!$G$3:$G$43,Q49),_xll.Spline(Curva!$AF$3:$AF$43,Curva!$AG$3:$AG$43,Q49)))</f>
        <v/>
      </c>
      <c r="X49" s="22">
        <f t="shared" ca="1" si="4"/>
        <v>0</v>
      </c>
    </row>
    <row r="50" spans="2:24" ht="10.5" customHeight="1" thickBot="1" x14ac:dyDescent="0.25">
      <c r="B50" s="285"/>
      <c r="C50" s="240"/>
      <c r="D50" s="287"/>
      <c r="E50" s="240"/>
      <c r="F50" s="288"/>
      <c r="G50" s="583">
        <f ca="1">C18</f>
        <v>45272</v>
      </c>
      <c r="H50" s="289">
        <f ca="1">C13</f>
        <v>29514.074778125287</v>
      </c>
      <c r="I50" s="289">
        <f ca="1">C15</f>
        <v>846.11628444379119</v>
      </c>
      <c r="J50" s="289"/>
      <c r="K50" s="290"/>
      <c r="L50" s="290"/>
      <c r="M50" s="290"/>
      <c r="N50" s="290"/>
      <c r="O50" s="13" t="str">
        <f t="shared" ca="1" si="5"/>
        <v/>
      </c>
      <c r="P50" s="13" t="str">
        <f ca="1">IF(O50="","",WORKDAY(O50-1,1,FERIADOS!$A$1:$A$840))</f>
        <v/>
      </c>
      <c r="Q50" s="21">
        <f ca="1">IF(O50="",0,NETWORKDAYS($C$4,P50,FERIADOS!$A$1:$A$830)-1)</f>
        <v>0</v>
      </c>
      <c r="R50" s="605" t="str">
        <f t="shared" ca="1" si="6"/>
        <v/>
      </c>
      <c r="S50" s="23" t="str">
        <f t="shared" ca="1" si="2"/>
        <v/>
      </c>
      <c r="T50" s="14" t="str">
        <f t="shared" ca="1" si="10"/>
        <v/>
      </c>
      <c r="U50" s="23" t="str">
        <f t="shared" ca="1" si="11"/>
        <v/>
      </c>
      <c r="V50" s="11" t="str">
        <f t="shared" ca="1" si="12"/>
        <v/>
      </c>
      <c r="W50" s="99" t="str">
        <f ca="1">IF(O50="","",IF($E$5="X",_xll.Spline(Curva!$T$3:$T$43,Curva!$G$3:$G$43,Q50),_xll.Spline(Curva!$AF$3:$AF$43,Curva!$AG$3:$AG$43,Q50)))</f>
        <v/>
      </c>
      <c r="X50" s="22">
        <f t="shared" ca="1" si="4"/>
        <v>0</v>
      </c>
    </row>
    <row r="51" spans="2:24" ht="10.5" customHeight="1" x14ac:dyDescent="0.2">
      <c r="B51" s="722" t="s">
        <v>301</v>
      </c>
      <c r="C51" s="722"/>
      <c r="D51" s="722"/>
      <c r="E51" s="722"/>
      <c r="F51" s="722"/>
      <c r="G51" s="722"/>
      <c r="H51" s="722"/>
      <c r="I51" s="722"/>
      <c r="K51" s="580" t="s">
        <v>302</v>
      </c>
      <c r="L51" s="581"/>
      <c r="M51" s="581"/>
      <c r="N51" s="582"/>
      <c r="O51" s="13" t="str">
        <f t="shared" ca="1" si="5"/>
        <v/>
      </c>
      <c r="P51" s="13" t="str">
        <f ca="1">IF(O51="","",WORKDAY(O51-1,1,FERIADOS!$A$1:$A$840))</f>
        <v/>
      </c>
      <c r="Q51" s="21">
        <f ca="1">IF(O51="",0,NETWORKDAYS($C$4,P51,FERIADOS!$A$1:$A$830)-1)</f>
        <v>0</v>
      </c>
      <c r="R51" s="605" t="str">
        <f t="shared" ca="1" si="6"/>
        <v/>
      </c>
      <c r="S51" s="23" t="str">
        <f t="shared" ca="1" si="2"/>
        <v/>
      </c>
      <c r="T51" s="14" t="str">
        <f t="shared" ca="1" si="10"/>
        <v/>
      </c>
      <c r="U51" s="23" t="str">
        <f t="shared" ca="1" si="11"/>
        <v/>
      </c>
      <c r="V51" s="11" t="str">
        <f t="shared" ca="1" si="12"/>
        <v/>
      </c>
      <c r="W51" s="99" t="str">
        <f ca="1">IF(O51="","",IF($E$5="X",_xll.Spline(Curva!$T$3:$T$43,Curva!$G$3:$G$43,Q51),_xll.Spline(Curva!$AF$3:$AF$43,Curva!$AG$3:$AG$43,Q51)))</f>
        <v/>
      </c>
      <c r="X51" s="22">
        <f t="shared" ca="1" si="4"/>
        <v>0</v>
      </c>
    </row>
    <row r="52" spans="2:24" x14ac:dyDescent="0.2">
      <c r="B52" s="583" t="s">
        <v>51</v>
      </c>
      <c r="C52" s="542" t="s">
        <v>255</v>
      </c>
      <c r="D52" s="543" t="s">
        <v>228</v>
      </c>
      <c r="E52" s="544" t="s">
        <v>269</v>
      </c>
      <c r="F52" s="584" t="s">
        <v>270</v>
      </c>
      <c r="G52" s="584" t="s">
        <v>266</v>
      </c>
      <c r="H52" s="584" t="s">
        <v>304</v>
      </c>
      <c r="I52" s="584" t="s">
        <v>303</v>
      </c>
      <c r="K52" s="556" t="s">
        <v>51</v>
      </c>
      <c r="L52" s="557" t="s">
        <v>255</v>
      </c>
      <c r="M52" s="558" t="s">
        <v>228</v>
      </c>
      <c r="N52" s="559" t="s">
        <v>269</v>
      </c>
      <c r="O52" s="13" t="str">
        <f t="shared" ca="1" si="5"/>
        <v/>
      </c>
      <c r="P52" s="13" t="str">
        <f ca="1">IF(O52="","",WORKDAY(O52-1,1,FERIADOS!$A$1:$A$840))</f>
        <v/>
      </c>
      <c r="Q52" s="21">
        <f ca="1">IF(O52="",0,NETWORKDAYS($C$4,P52,FERIADOS!$A$1:$A$830)-1)</f>
        <v>0</v>
      </c>
      <c r="R52" s="605" t="str">
        <f t="shared" ca="1" si="6"/>
        <v/>
      </c>
      <c r="S52" s="23" t="str">
        <f t="shared" ca="1" si="2"/>
        <v/>
      </c>
      <c r="T52" s="14" t="str">
        <f t="shared" ca="1" si="10"/>
        <v/>
      </c>
      <c r="U52" s="23" t="str">
        <f t="shared" ca="1" si="11"/>
        <v/>
      </c>
      <c r="V52" s="11" t="str">
        <f t="shared" ca="1" si="12"/>
        <v/>
      </c>
      <c r="W52" s="99" t="str">
        <f ca="1">IF(O52="","",IF($E$5="X",_xll.Spline(Curva!$T$3:$T$43,Curva!$G$3:$G$43,Q52),_xll.Spline(Curva!$AF$3:$AF$43,Curva!$AG$3:$AG$43,Q52)))</f>
        <v/>
      </c>
      <c r="X52" s="22">
        <f t="shared" ca="1" si="4"/>
        <v>0</v>
      </c>
    </row>
    <row r="53" spans="2:24" x14ac:dyDescent="0.2">
      <c r="B53" s="585"/>
      <c r="C53" s="545"/>
      <c r="D53" s="546"/>
      <c r="E53" s="547"/>
      <c r="F53" s="586"/>
      <c r="G53" s="586"/>
      <c r="H53" s="586"/>
      <c r="I53" s="586"/>
      <c r="K53" s="560"/>
      <c r="L53" s="561"/>
      <c r="M53" s="562"/>
      <c r="N53" s="563"/>
      <c r="O53" s="13" t="str">
        <f t="shared" ca="1" si="5"/>
        <v/>
      </c>
      <c r="P53" s="13" t="str">
        <f ca="1">IF(O53="","",WORKDAY(O53-1,1,FERIADOS!$A$1:$A$840))</f>
        <v/>
      </c>
      <c r="Q53" s="21">
        <f ca="1">IF(O53="",0,NETWORKDAYS($C$4,P53,FERIADOS!$A$1:$A$830)-1)</f>
        <v>0</v>
      </c>
      <c r="R53" s="605" t="str">
        <f t="shared" ca="1" si="6"/>
        <v/>
      </c>
      <c r="S53" s="23" t="str">
        <f t="shared" ca="1" si="2"/>
        <v/>
      </c>
      <c r="T53" s="14" t="str">
        <f t="shared" ca="1" si="10"/>
        <v/>
      </c>
      <c r="U53" s="23" t="str">
        <f t="shared" ca="1" si="11"/>
        <v/>
      </c>
      <c r="V53" s="11" t="str">
        <f t="shared" ca="1" si="12"/>
        <v/>
      </c>
      <c r="W53" s="99" t="str">
        <f ca="1">IF(O53="","",IF($E$5="X",_xll.Spline(Curva!$T$3:$T$43,Curva!$G$3:$G$43,Q53),_xll.Spline(Curva!$AF$3:$AF$43,Curva!$AG$3:$AG$43,Q53)))</f>
        <v/>
      </c>
      <c r="X53" s="22">
        <f t="shared" ca="1" si="4"/>
        <v>0</v>
      </c>
    </row>
    <row r="54" spans="2:24" x14ac:dyDescent="0.2">
      <c r="B54" s="587">
        <v>42736</v>
      </c>
      <c r="C54" s="548" t="e">
        <f>VLOOKUP(B54,'ANDIMANTN-F'!$C$6:$F$15,4,FALSE)/100</f>
        <v>#N/A</v>
      </c>
      <c r="D54" s="549" t="e">
        <f>(C54-VLOOKUP(F54,Curva!$S$4:$AH$43,16,FALSE))*10000</f>
        <v>#N/A</v>
      </c>
      <c r="E54" s="550" t="e">
        <v>#N/A</v>
      </c>
      <c r="F54" s="588">
        <f>WORKDAY(B54-1,1,FERIADOS!$A$1:$A$830)</f>
        <v>42737</v>
      </c>
      <c r="G54" s="588" t="e">
        <v>#DIV/0!</v>
      </c>
      <c r="H54" s="593">
        <v>0</v>
      </c>
      <c r="I54" s="593" t="e">
        <v>#NUM!</v>
      </c>
      <c r="K54" s="564">
        <v>42736</v>
      </c>
      <c r="L54" s="565" t="e">
        <v>#N/A</v>
      </c>
      <c r="M54" s="566" t="e">
        <v>#N/A</v>
      </c>
      <c r="N54" s="567" t="e">
        <v>#N/A</v>
      </c>
      <c r="O54" s="13" t="str">
        <f t="shared" ca="1" si="5"/>
        <v/>
      </c>
      <c r="P54" s="13" t="str">
        <f ca="1">IF(O54="","",WORKDAY(O54-1,1,FERIADOS!$A$1:$A$840))</f>
        <v/>
      </c>
      <c r="Q54" s="21">
        <f ca="1">IF(O54="",0,NETWORKDAYS($C$4,P54,FERIADOS!$A$1:$A$830)-1)</f>
        <v>0</v>
      </c>
      <c r="R54" s="605" t="str">
        <f t="shared" ca="1" si="6"/>
        <v/>
      </c>
      <c r="S54" s="23" t="str">
        <f t="shared" ca="1" si="2"/>
        <v/>
      </c>
      <c r="T54" s="14" t="str">
        <f t="shared" ref="T54:T100" ca="1" si="13">IF(ISERROR((((U54-V54)/2)/S54)/$C$20),"",((((U54-V54)/2)/S54)/$C$20))</f>
        <v/>
      </c>
      <c r="U54" s="23" t="str">
        <f t="shared" ref="U54:U100" ca="1" si="14">IF(ISERROR(((R54/((1+$C$6-$C$20)^((Q54/252)))))),"",(((R54/((1+$C$6-$C$20)^((Q54/252)))))))</f>
        <v/>
      </c>
      <c r="V54" s="11" t="str">
        <f t="shared" ref="V54:V100" ca="1" si="15">IF(ISERROR(((R54/((1+$C$6+$C$20)^((Q54/252)))))),"",(((R54/((1+$C$6+$C$20)^((Q54/252)))))))</f>
        <v/>
      </c>
      <c r="W54" s="99" t="str">
        <f ca="1">IF(O54="","",IF($E$5="X",_xll.Spline(Curva!$T$3:$T$43,Curva!$G$3:$G$43,Q54),_xll.Spline(Curva!$AF$3:$AF$43,Curva!$AG$3:$AG$43,Q54)))</f>
        <v/>
      </c>
      <c r="X54" s="22">
        <f t="shared" ca="1" si="4"/>
        <v>0</v>
      </c>
    </row>
    <row r="55" spans="2:24" x14ac:dyDescent="0.2">
      <c r="B55" s="589">
        <v>43101</v>
      </c>
      <c r="C55" s="551">
        <f>VLOOKUP(B55,'ANDIMANTN-F'!$C$6:$F$15,4,FALSE)/100</f>
        <v>7.4700000000000003E-2</v>
      </c>
      <c r="D55" s="552">
        <f ca="1">(C55-VLOOKUP(F55,Curva!$S$4:$AH$43,16,FALSE))*10000</f>
        <v>-9.5017278130858642</v>
      </c>
      <c r="E55" s="543">
        <v>0.98895901462572933</v>
      </c>
      <c r="F55" s="583">
        <f>WORKDAY(B55-1,1,FERIADOS!$A$1:$A$830)</f>
        <v>43102</v>
      </c>
      <c r="G55" s="583">
        <v>43102</v>
      </c>
      <c r="H55" s="592">
        <v>1272.7260324418844</v>
      </c>
      <c r="I55" s="592">
        <v>524.93852686158266</v>
      </c>
      <c r="J55" s="114">
        <f ca="1">_xll.Spline(Curva!$S$3:$S$43,Curva!$G$3:$G$43,G55)</f>
        <v>7.5564586424080815E-2</v>
      </c>
      <c r="K55" s="564">
        <v>43101</v>
      </c>
      <c r="L55" s="565">
        <v>7.4700000000000003E-2</v>
      </c>
      <c r="M55" s="566">
        <v>-9.5017278130858642</v>
      </c>
      <c r="N55" s="567" t="e">
        <v>#NAME?</v>
      </c>
      <c r="O55" s="13" t="str">
        <f t="shared" ca="1" si="5"/>
        <v/>
      </c>
      <c r="P55" s="13" t="str">
        <f ca="1">IF(O55="","",WORKDAY(O55-1,1,FERIADOS!$A$1:$A$840))</f>
        <v/>
      </c>
      <c r="Q55" s="21">
        <f ca="1">IF(O55="",0,NETWORKDAYS($C$4,P55,FERIADOS!$A$1:$A$830)-1)</f>
        <v>0</v>
      </c>
      <c r="R55" s="605" t="str">
        <f t="shared" ca="1" si="6"/>
        <v/>
      </c>
      <c r="S55" s="23" t="str">
        <f t="shared" ca="1" si="2"/>
        <v/>
      </c>
      <c r="T55" s="14" t="str">
        <f t="shared" ca="1" si="13"/>
        <v/>
      </c>
      <c r="U55" s="23" t="str">
        <f t="shared" ca="1" si="14"/>
        <v/>
      </c>
      <c r="V55" s="11" t="str">
        <f t="shared" ca="1" si="15"/>
        <v/>
      </c>
      <c r="W55" s="99" t="str">
        <f ca="1">IF(O55="","",IF($E$5="X",_xll.Spline(Curva!$T$3:$T$43,Curva!$G$3:$G$43,Q55),_xll.Spline(Curva!$AF$3:$AF$43,Curva!$AG$3:$AG$43,Q55)))</f>
        <v/>
      </c>
      <c r="X55" s="22">
        <f t="shared" ca="1" si="4"/>
        <v>0</v>
      </c>
    </row>
    <row r="56" spans="2:24" x14ac:dyDescent="0.2">
      <c r="B56" s="587">
        <v>43466</v>
      </c>
      <c r="C56" s="548">
        <f>VLOOKUP(B56,'ANDIMANTN-F'!$C$6:$F$15,4,FALSE)/100</f>
        <v>7.2314000000000003E-2</v>
      </c>
      <c r="D56" s="549">
        <f ca="1">(C56-VLOOKUP(F56,Curva!$S$4:$AH$43,16,FALSE))*10000</f>
        <v>-6.8600161774722004</v>
      </c>
      <c r="E56" s="550">
        <v>0.99150109730152103</v>
      </c>
      <c r="F56" s="588">
        <f>WORKDAY(B56-1,1,FERIADOS!$A$1:$A$830)</f>
        <v>43467</v>
      </c>
      <c r="G56" s="588">
        <v>43440</v>
      </c>
      <c r="H56" s="593">
        <v>5857.5611282640775</v>
      </c>
      <c r="I56" s="593">
        <v>545.91648869429753</v>
      </c>
      <c r="J56" s="114">
        <f ca="1">_xll.Spline(Curva!$S$3:$S$43,Curva!$G$3:$G$43,G56)</f>
        <v>7.2744454543530901E-2</v>
      </c>
      <c r="K56" s="564">
        <v>43466</v>
      </c>
      <c r="L56" s="565">
        <v>7.2314000000000003E-2</v>
      </c>
      <c r="M56" s="566">
        <v>-6.8600161774722004</v>
      </c>
      <c r="N56" s="567" t="e">
        <v>#NAME?</v>
      </c>
      <c r="O56" s="13" t="str">
        <f t="shared" ca="1" si="5"/>
        <v/>
      </c>
      <c r="P56" s="13" t="str">
        <f ca="1">IF(O56="","",WORKDAY(O56-1,1,FERIADOS!$A$1:$A$840))</f>
        <v/>
      </c>
      <c r="Q56" s="21">
        <f ca="1">IF(O56="",0,NETWORKDAYS($C$4,P56,FERIADOS!$A$1:$A$830)-1)</f>
        <v>0</v>
      </c>
      <c r="R56" s="605" t="str">
        <f t="shared" ca="1" si="6"/>
        <v/>
      </c>
      <c r="S56" s="23" t="str">
        <f t="shared" ca="1" si="2"/>
        <v/>
      </c>
      <c r="T56" s="14" t="str">
        <f t="shared" ca="1" si="13"/>
        <v/>
      </c>
      <c r="U56" s="23" t="str">
        <f t="shared" ca="1" si="14"/>
        <v/>
      </c>
      <c r="V56" s="11" t="str">
        <f t="shared" ca="1" si="15"/>
        <v/>
      </c>
      <c r="W56" s="99" t="str">
        <f ca="1">IF(O56="","",IF($E$5="X",_xll.Spline(Curva!$T$3:$T$43,Curva!$G$3:$G$43,Q56),_xll.Spline(Curva!$AF$3:$AF$43,Curva!$AG$3:$AG$43,Q56)))</f>
        <v/>
      </c>
      <c r="X56" s="22">
        <f t="shared" ca="1" si="4"/>
        <v>0</v>
      </c>
    </row>
    <row r="57" spans="2:24" x14ac:dyDescent="0.2">
      <c r="B57" s="589">
        <v>44197</v>
      </c>
      <c r="C57" s="551">
        <f>VLOOKUP(B57,'ANDIMANTN-F'!$C$6:$F$15,4,FALSE)/100</f>
        <v>8.5815000000000002E-2</v>
      </c>
      <c r="D57" s="552">
        <f ca="1">(C57-VLOOKUP(F57,Curva!$S$4:$AH$43,16,FALSE))*10000</f>
        <v>-13.85003686345393</v>
      </c>
      <c r="E57" s="543">
        <v>0.99638396366125592</v>
      </c>
      <c r="F57" s="583">
        <f>WORKDAY(B57-1,1,FERIADOS!$A$1:$A$830)</f>
        <v>44200</v>
      </c>
      <c r="G57" s="583">
        <v>44036</v>
      </c>
      <c r="H57" s="592">
        <v>13760.854495509233</v>
      </c>
      <c r="I57" s="592">
        <v>603.00113989598401</v>
      </c>
      <c r="J57" s="114">
        <f ca="1">_xll.Spline(Curva!$S$3:$S$43,Curva!$G$3:$G$43,G57)</f>
        <v>8.4661973305130936E-2</v>
      </c>
      <c r="K57" s="564">
        <v>44197</v>
      </c>
      <c r="L57" s="565">
        <v>8.5815000000000002E-2</v>
      </c>
      <c r="M57" s="566">
        <v>-13.85003686345393</v>
      </c>
      <c r="N57" s="567" t="e">
        <v>#NAME?</v>
      </c>
      <c r="O57" s="13" t="str">
        <f t="shared" ca="1" si="5"/>
        <v/>
      </c>
      <c r="P57" s="13" t="str">
        <f ca="1">IF(O57="","",WORKDAY(O57-1,1,FERIADOS!$A$1:$A$840))</f>
        <v/>
      </c>
      <c r="Q57" s="21">
        <f ca="1">IF(O57="",0,NETWORKDAYS($C$4,P57,FERIADOS!$A$1:$A$830)-1)</f>
        <v>0</v>
      </c>
      <c r="R57" s="605" t="str">
        <f t="shared" ca="1" si="6"/>
        <v/>
      </c>
      <c r="S57" s="23" t="str">
        <f t="shared" ca="1" si="2"/>
        <v/>
      </c>
      <c r="T57" s="14" t="str">
        <f t="shared" ca="1" si="13"/>
        <v/>
      </c>
      <c r="U57" s="23" t="str">
        <f t="shared" ca="1" si="14"/>
        <v/>
      </c>
      <c r="V57" s="11" t="str">
        <f t="shared" ca="1" si="15"/>
        <v/>
      </c>
      <c r="W57" s="99" t="str">
        <f ca="1">IF(O57="","",IF($E$5="X",_xll.Spline(Curva!$T$3:$T$43,Curva!$G$3:$G$43,Q57),_xll.Spline(Curva!$AF$3:$AF$43,Curva!$AG$3:$AG$43,Q57)))</f>
        <v/>
      </c>
      <c r="X57" s="22">
        <f t="shared" ca="1" si="4"/>
        <v>0</v>
      </c>
    </row>
    <row r="58" spans="2:24" x14ac:dyDescent="0.2">
      <c r="B58" s="587">
        <v>44927</v>
      </c>
      <c r="C58" s="548">
        <f>VLOOKUP(B58,'ANDIMANTN-F'!$C$6:$F$15,4,FALSE)/100</f>
        <v>9.1509000000000007E-2</v>
      </c>
      <c r="D58" s="549">
        <f ca="1">(C58-VLOOKUP(F58,Curva!$S$4:$AH$43,16,FALSE))*10000</f>
        <v>-21.910135082721659</v>
      </c>
      <c r="E58" s="550">
        <v>0.99448012140361308</v>
      </c>
      <c r="F58" s="588">
        <f>WORKDAY(B58-1,1,FERIADOS!$A$1:$A$830)</f>
        <v>44928</v>
      </c>
      <c r="G58" s="588">
        <v>44530</v>
      </c>
      <c r="H58" s="593">
        <v>20136.160399031323</v>
      </c>
      <c r="I58" s="593">
        <v>671.3583496390587</v>
      </c>
      <c r="J58" s="114">
        <f ca="1">_xll.Spline(Curva!$S$3:$S$43,Curva!$G$3:$G$43,G58)</f>
        <v>9.1090687576993429E-2</v>
      </c>
      <c r="K58" s="564">
        <v>44927</v>
      </c>
      <c r="L58" s="565">
        <v>9.1509000000000007E-2</v>
      </c>
      <c r="M58" s="566">
        <v>-21.910135082721659</v>
      </c>
      <c r="N58" s="567" t="e">
        <v>#NAME?</v>
      </c>
      <c r="O58" s="13" t="str">
        <f t="shared" ca="1" si="5"/>
        <v/>
      </c>
      <c r="P58" s="13" t="str">
        <f ca="1">IF(O58="","",WORKDAY(O58-1,1,FERIADOS!$A$1:$A$840))</f>
        <v/>
      </c>
      <c r="Q58" s="21">
        <f ca="1">IF(O58="",0,NETWORKDAYS($C$4,P58,FERIADOS!$A$1:$A$830)-1)</f>
        <v>0</v>
      </c>
      <c r="R58" s="605" t="str">
        <f t="shared" ca="1" si="6"/>
        <v/>
      </c>
      <c r="S58" s="23" t="str">
        <f t="shared" ca="1" si="2"/>
        <v/>
      </c>
      <c r="T58" s="14" t="str">
        <f t="shared" ca="1" si="13"/>
        <v/>
      </c>
      <c r="U58" s="23" t="str">
        <f t="shared" ca="1" si="14"/>
        <v/>
      </c>
      <c r="V58" s="11" t="str">
        <f t="shared" ca="1" si="15"/>
        <v/>
      </c>
      <c r="W58" s="99" t="str">
        <f ca="1">IF(O58="","",IF($E$5="X",_xll.Spline(Curva!$T$3:$T$43,Curva!$G$3:$G$43,Q58),_xll.Spline(Curva!$AF$3:$AF$43,Curva!$AG$3:$AG$43,Q58)))</f>
        <v/>
      </c>
      <c r="X58" s="22">
        <f t="shared" ca="1" si="4"/>
        <v>0</v>
      </c>
    </row>
    <row r="59" spans="2:24" x14ac:dyDescent="0.2">
      <c r="B59" s="589">
        <v>45658</v>
      </c>
      <c r="C59" s="551">
        <f>VLOOKUP(B59,'ANDIMANTN-F'!$C$6:$F$15,4,FALSE)/100</f>
        <v>9.3969000000000011E-2</v>
      </c>
      <c r="D59" s="552">
        <f ca="1">(C59-VLOOKUP(F59,Curva!$S$4:$AH$43,16,FALSE))*10000</f>
        <v>-32.310067232923096</v>
      </c>
      <c r="E59" s="543">
        <v>0.98888998453298516</v>
      </c>
      <c r="F59" s="583">
        <f>WORKDAY(B59-1,1,FERIADOS!$A$1:$A$830)</f>
        <v>45659</v>
      </c>
      <c r="G59" s="583">
        <v>44935</v>
      </c>
      <c r="H59" s="592">
        <v>25398.35262027612</v>
      </c>
      <c r="I59" s="592">
        <v>753.23712434423851</v>
      </c>
      <c r="J59" s="114">
        <f ca="1">_xll.Spline(Curva!$S$3:$S$43,Curva!$G$3:$G$43,G59)</f>
        <v>9.3740579294354642E-2</v>
      </c>
      <c r="K59" s="564">
        <v>45658</v>
      </c>
      <c r="L59" s="565">
        <v>9.3969000000000011E-2</v>
      </c>
      <c r="M59" s="566">
        <v>-32.310067232923096</v>
      </c>
      <c r="N59" s="567" t="e">
        <v>#NAME?</v>
      </c>
      <c r="O59" s="13" t="str">
        <f t="shared" ca="1" si="5"/>
        <v/>
      </c>
      <c r="P59" s="13" t="str">
        <f ca="1">IF(O59="","",WORKDAY(O59-1,1,FERIADOS!$A$1:$A$840))</f>
        <v/>
      </c>
      <c r="Q59" s="21">
        <f ca="1">IF(O59="",0,NETWORKDAYS($C$4,P59,FERIADOS!$A$1:$A$830)-1)</f>
        <v>0</v>
      </c>
      <c r="R59" s="605" t="str">
        <f t="shared" ca="1" si="6"/>
        <v/>
      </c>
      <c r="S59" s="23" t="str">
        <f t="shared" ca="1" si="2"/>
        <v/>
      </c>
      <c r="T59" s="14" t="str">
        <f t="shared" ca="1" si="13"/>
        <v/>
      </c>
      <c r="U59" s="23" t="str">
        <f t="shared" ca="1" si="14"/>
        <v/>
      </c>
      <c r="V59" s="11" t="str">
        <f t="shared" ca="1" si="15"/>
        <v/>
      </c>
      <c r="W59" s="99" t="str">
        <f ca="1">IF(O59="","",IF($E$5="X",_xll.Spline(Curva!$T$3:$T$43,Curva!$G$3:$G$43,Q59),_xll.Spline(Curva!$AF$3:$AF$43,Curva!$AG$3:$AG$43,Q59)))</f>
        <v/>
      </c>
      <c r="X59" s="22">
        <f t="shared" ca="1" si="4"/>
        <v>0</v>
      </c>
    </row>
    <row r="60" spans="2:24" x14ac:dyDescent="0.2">
      <c r="B60" s="587">
        <v>46388</v>
      </c>
      <c r="C60" s="548">
        <f>VLOOKUP(B60,'ANDIMANTN-F'!$C$6:$F$15,4,FALSE)/100</f>
        <v>9.6250000000000002E-2</v>
      </c>
      <c r="D60" s="549">
        <f ca="1">(C60-VLOOKUP(F60,Curva!$S$4:$AH$43,16,FALSE))*10000</f>
        <v>-35.499946579370942</v>
      </c>
      <c r="E60" s="550">
        <v>0.99083091697876025</v>
      </c>
      <c r="F60" s="588">
        <f>WORKDAY(B60-1,1,FERIADOS!$A$1:$A$830)</f>
        <v>46391</v>
      </c>
      <c r="G60" s="588">
        <v>45272</v>
      </c>
      <c r="H60" s="593">
        <v>29514.074778125287</v>
      </c>
      <c r="I60" s="593">
        <v>846.11628444379119</v>
      </c>
      <c r="J60" s="114">
        <f ca="1">_xll.Spline(Curva!$S$3:$S$43,Curva!$G$3:$G$43,G60)</f>
        <v>9.5545344977734911E-2</v>
      </c>
      <c r="K60" s="560">
        <v>46388</v>
      </c>
      <c r="L60" s="568">
        <v>9.6250000000000002E-2</v>
      </c>
      <c r="M60" s="568">
        <v>-35.499946579370942</v>
      </c>
      <c r="N60" s="569" t="e">
        <v>#NAME?</v>
      </c>
      <c r="O60" s="13" t="str">
        <f t="shared" ca="1" si="5"/>
        <v/>
      </c>
      <c r="P60" s="13" t="str">
        <f ca="1">IF(O60="","",WORKDAY(O60-1,1,FERIADOS!$A$1:$A$840))</f>
        <v/>
      </c>
      <c r="Q60" s="21">
        <f ca="1">IF(O60="",0,NETWORKDAYS($C$4,P60,FERIADOS!$A$1:$A$830)-1)</f>
        <v>0</v>
      </c>
      <c r="R60" s="605" t="str">
        <f t="shared" ca="1" si="6"/>
        <v/>
      </c>
      <c r="S60" s="23" t="str">
        <f t="shared" ca="1" si="2"/>
        <v/>
      </c>
      <c r="T60" s="14" t="str">
        <f t="shared" ca="1" si="13"/>
        <v/>
      </c>
      <c r="U60" s="23" t="str">
        <f t="shared" ca="1" si="14"/>
        <v/>
      </c>
      <c r="V60" s="11" t="str">
        <f t="shared" ca="1" si="15"/>
        <v/>
      </c>
      <c r="W60" s="99" t="str">
        <f ca="1">IF(O60="","",IF($E$5="X",_xll.Spline(Curva!$T$3:$T$43,Curva!$G$3:$G$43,Q60),_xll.Spline(Curva!$AF$3:$AF$43,Curva!$AG$3:$AG$43,Q60)))</f>
        <v/>
      </c>
      <c r="X60" s="22">
        <f t="shared" ca="1" si="4"/>
        <v>0</v>
      </c>
    </row>
    <row r="61" spans="2:24" x14ac:dyDescent="0.2">
      <c r="B61" s="585"/>
      <c r="C61" s="553"/>
      <c r="D61" s="553"/>
      <c r="E61" s="553"/>
      <c r="F61" s="590"/>
      <c r="G61" s="590"/>
      <c r="H61" s="590"/>
      <c r="I61" s="590"/>
      <c r="K61" s="560"/>
      <c r="L61" s="568"/>
      <c r="M61" s="568"/>
      <c r="N61" s="569"/>
      <c r="O61" s="13" t="str">
        <f t="shared" ca="1" si="5"/>
        <v/>
      </c>
      <c r="P61" s="13" t="str">
        <f ca="1">IF(O61="","",WORKDAY(O61-1,1,FERIADOS!$A$1:$A$840))</f>
        <v/>
      </c>
      <c r="Q61" s="21">
        <f ca="1">IF(O61="",0,NETWORKDAYS($C$4,P61,FERIADOS!$A$1:$A$830)-1)</f>
        <v>0</v>
      </c>
      <c r="R61" s="605" t="str">
        <f t="shared" ca="1" si="6"/>
        <v/>
      </c>
      <c r="S61" s="23" t="str">
        <f t="shared" ca="1" si="2"/>
        <v/>
      </c>
      <c r="T61" s="14" t="str">
        <f t="shared" ca="1" si="13"/>
        <v/>
      </c>
      <c r="U61" s="23" t="str">
        <f t="shared" ca="1" si="14"/>
        <v/>
      </c>
      <c r="V61" s="11" t="str">
        <f t="shared" ca="1" si="15"/>
        <v/>
      </c>
      <c r="W61" s="99" t="str">
        <f ca="1">IF(O61="","",IF($E$5="X",_xll.Spline(Curva!$T$3:$T$43,Curva!$G$3:$G$43,Q61),_xll.Spline(Curva!$AF$3:$AF$43,Curva!$AG$3:$AG$43,Q61)))</f>
        <v/>
      </c>
      <c r="X61" s="22">
        <f t="shared" ca="1" si="4"/>
        <v>0</v>
      </c>
    </row>
    <row r="62" spans="2:24" x14ac:dyDescent="0.2">
      <c r="B62" s="585"/>
      <c r="C62" s="553"/>
      <c r="D62" s="553"/>
      <c r="E62" s="553"/>
      <c r="F62" s="590"/>
      <c r="G62" s="590"/>
      <c r="H62" s="590"/>
      <c r="I62" s="590"/>
      <c r="K62" s="560"/>
      <c r="L62" s="568"/>
      <c r="M62" s="568"/>
      <c r="N62" s="569"/>
      <c r="O62" s="13" t="str">
        <f t="shared" ca="1" si="5"/>
        <v/>
      </c>
      <c r="P62" s="13" t="str">
        <f ca="1">IF(O62="","",WORKDAY(O62-1,1,FERIADOS!$A$1:$A$840))</f>
        <v/>
      </c>
      <c r="Q62" s="21">
        <f ca="1">IF(O62="",0,NETWORKDAYS($C$4,P62,FERIADOS!$A$1:$A$830)-1)</f>
        <v>0</v>
      </c>
      <c r="R62" s="605" t="str">
        <f t="shared" ca="1" si="6"/>
        <v/>
      </c>
      <c r="S62" s="23" t="str">
        <f t="shared" ca="1" si="2"/>
        <v/>
      </c>
      <c r="T62" s="14" t="str">
        <f t="shared" ca="1" si="13"/>
        <v/>
      </c>
      <c r="U62" s="23" t="str">
        <f t="shared" ca="1" si="14"/>
        <v/>
      </c>
      <c r="V62" s="11" t="str">
        <f t="shared" ca="1" si="15"/>
        <v/>
      </c>
      <c r="W62" s="99" t="str">
        <f ca="1">IF(O62="","",IF($E$5="X",_xll.Spline(Curva!$T$3:$T$43,Curva!$G$3:$G$43,Q62),_xll.Spline(Curva!$AF$3:$AF$43,Curva!$AG$3:$AG$43,Q62)))</f>
        <v/>
      </c>
      <c r="X62" s="22">
        <f t="shared" ca="1" si="4"/>
        <v>0</v>
      </c>
    </row>
    <row r="63" spans="2:24" x14ac:dyDescent="0.2">
      <c r="B63" s="583" t="s">
        <v>252</v>
      </c>
      <c r="C63" s="542" t="s">
        <v>255</v>
      </c>
      <c r="D63" s="543" t="s">
        <v>228</v>
      </c>
      <c r="E63" s="542" t="s">
        <v>269</v>
      </c>
      <c r="F63" s="584" t="s">
        <v>270</v>
      </c>
      <c r="G63" s="584" t="s">
        <v>266</v>
      </c>
      <c r="H63" s="584" t="s">
        <v>304</v>
      </c>
      <c r="I63" s="584" t="s">
        <v>303</v>
      </c>
      <c r="K63" s="556" t="s">
        <v>252</v>
      </c>
      <c r="L63" s="557" t="s">
        <v>255</v>
      </c>
      <c r="M63" s="558" t="s">
        <v>228</v>
      </c>
      <c r="N63" s="570" t="s">
        <v>269</v>
      </c>
      <c r="O63" s="13" t="str">
        <f t="shared" ca="1" si="5"/>
        <v/>
      </c>
      <c r="P63" s="13" t="str">
        <f ca="1">IF(O63="","",WORKDAY(O63-1,1,FERIADOS!$A$1:$A$840))</f>
        <v/>
      </c>
      <c r="Q63" s="21">
        <f ca="1">IF(O63="",0,NETWORKDAYS($C$4,P63,FERIADOS!$A$1:$A$830)-1)</f>
        <v>0</v>
      </c>
      <c r="R63" s="605" t="str">
        <f t="shared" ca="1" si="6"/>
        <v/>
      </c>
      <c r="S63" s="23" t="str">
        <f t="shared" ca="1" si="2"/>
        <v/>
      </c>
      <c r="T63" s="14" t="str">
        <f t="shared" ca="1" si="13"/>
        <v/>
      </c>
      <c r="U63" s="23" t="str">
        <f t="shared" ca="1" si="14"/>
        <v/>
      </c>
      <c r="V63" s="11" t="str">
        <f t="shared" ca="1" si="15"/>
        <v/>
      </c>
      <c r="W63" s="99" t="str">
        <f ca="1">IF(O63="","",IF($E$5="X",_xll.Spline(Curva!$T$3:$T$43,Curva!$G$3:$G$43,Q63),_xll.Spline(Curva!$AF$3:$AF$43,Curva!$AG$3:$AG$43,Q63)))</f>
        <v/>
      </c>
      <c r="X63" s="22">
        <f t="shared" ca="1" si="4"/>
        <v>0</v>
      </c>
    </row>
    <row r="64" spans="2:24" x14ac:dyDescent="0.2">
      <c r="B64" s="585"/>
      <c r="C64" s="554"/>
      <c r="D64" s="555"/>
      <c r="E64" s="554"/>
      <c r="F64" s="555"/>
      <c r="G64" s="555"/>
      <c r="H64" s="555"/>
      <c r="I64" s="555"/>
      <c r="K64" s="560"/>
      <c r="L64" s="571"/>
      <c r="M64" s="572"/>
      <c r="N64" s="573"/>
      <c r="O64" s="13" t="str">
        <f t="shared" ca="1" si="5"/>
        <v/>
      </c>
      <c r="P64" s="13" t="str">
        <f ca="1">IF(O64="","",WORKDAY(O64-1,1,FERIADOS!$A$1:$A$840))</f>
        <v/>
      </c>
      <c r="Q64" s="21">
        <f ca="1">IF(O64="",0,NETWORKDAYS($C$4,P64,FERIADOS!$A$1:$A$830)-1)</f>
        <v>0</v>
      </c>
      <c r="R64" s="605" t="str">
        <f t="shared" ca="1" si="6"/>
        <v/>
      </c>
      <c r="S64" s="23" t="str">
        <f t="shared" ca="1" si="2"/>
        <v/>
      </c>
      <c r="T64" s="14" t="str">
        <f t="shared" ca="1" si="13"/>
        <v/>
      </c>
      <c r="U64" s="23" t="str">
        <f t="shared" ca="1" si="14"/>
        <v/>
      </c>
      <c r="V64" s="11" t="str">
        <f t="shared" ca="1" si="15"/>
        <v/>
      </c>
      <c r="W64" s="99" t="str">
        <f ca="1">IF(O64="","",IF($E$5="X",_xll.Spline(Curva!$T$3:$T$43,Curva!$G$3:$G$43,Q64),_xll.Spline(Curva!$AF$3:$AF$43,Curva!$AG$3:$AG$43,Q64)))</f>
        <v/>
      </c>
      <c r="X64" s="22">
        <f t="shared" ca="1" si="4"/>
        <v>0</v>
      </c>
    </row>
    <row r="65" spans="1:24" x14ac:dyDescent="0.2">
      <c r="B65" s="591"/>
      <c r="C65" s="551"/>
      <c r="D65" s="552"/>
      <c r="E65" s="543"/>
      <c r="F65" s="583"/>
      <c r="G65" s="583"/>
      <c r="H65" s="583"/>
      <c r="I65" s="583"/>
      <c r="K65" s="564"/>
      <c r="L65" s="565"/>
      <c r="M65" s="566"/>
      <c r="N65" s="567"/>
      <c r="O65" s="13" t="str">
        <f t="shared" ca="1" si="5"/>
        <v/>
      </c>
      <c r="P65" s="13" t="str">
        <f ca="1">IF(O65="","",WORKDAY(O65-1,1,FERIADOS!$A$1:$A$840))</f>
        <v/>
      </c>
      <c r="Q65" s="21">
        <f ca="1">IF(O65="",0,NETWORKDAYS($C$4,P65,FERIADOS!$A$1:$A$830)-1)</f>
        <v>0</v>
      </c>
      <c r="R65" s="605" t="str">
        <f t="shared" ca="1" si="6"/>
        <v/>
      </c>
      <c r="S65" s="23" t="str">
        <f t="shared" ca="1" si="2"/>
        <v/>
      </c>
      <c r="T65" s="14" t="str">
        <f t="shared" ca="1" si="13"/>
        <v/>
      </c>
      <c r="U65" s="23" t="str">
        <f t="shared" ca="1" si="14"/>
        <v/>
      </c>
      <c r="V65" s="11" t="str">
        <f t="shared" ca="1" si="15"/>
        <v/>
      </c>
      <c r="W65" s="99" t="str">
        <f ca="1">IF(O65="","",IF($E$5="X",_xll.Spline(Curva!$T$3:$T$43,Curva!$G$3:$G$43,Q65),_xll.Spline(Curva!$AF$3:$AF$43,Curva!$AG$3:$AG$43,Q65)))</f>
        <v/>
      </c>
      <c r="X65" s="22">
        <f t="shared" ca="1" si="4"/>
        <v>0</v>
      </c>
    </row>
    <row r="66" spans="1:24" x14ac:dyDescent="0.2">
      <c r="A66" s="133">
        <f ca="1">NETWORKDAYS($C$2,B66,FERIADOS!$A$1:$A$830)-1</f>
        <v>-184</v>
      </c>
      <c r="B66" s="591">
        <v>42736</v>
      </c>
      <c r="C66" s="551" t="e">
        <f>VLOOKUP(B66,LTN!$C$4:$F$22,4,FALSE)/100</f>
        <v>#N/A</v>
      </c>
      <c r="D66" s="552" t="e">
        <f>(C66-VLOOKUP(F66,Curva!$S$4:$AH$43,20,FALSE))*10000</f>
        <v>#N/A</v>
      </c>
      <c r="E66" s="543" t="e">
        <f>(((1+C66)^(1/252)-1))/((1+VLOOKUP('NTN-F'!F66,Curva!$S$4:$AI$46,17,FALSE))^(1/252)-1)</f>
        <v>#N/A</v>
      </c>
      <c r="F66" s="583">
        <f>WORKDAY(B66-1,1,FERIADOS!$A$1:$A$830)</f>
        <v>42737</v>
      </c>
      <c r="G66" s="583">
        <f t="shared" ref="G66:G76" si="16">F66</f>
        <v>42737</v>
      </c>
      <c r="H66" s="592" t="e">
        <f t="shared" ref="H66:H76" ca="1" si="17">((100000/((1+C66-0.01%)^(A66/252))-100000/((1+C66+0.01%)^(A66/252)))/2)*500</f>
        <v>#N/A</v>
      </c>
      <c r="I66" s="592">
        <v>500</v>
      </c>
      <c r="J66" s="114" t="e">
        <f>VLOOKUP(F66,Curva!$S$4:$AH$43,16,FALSE)</f>
        <v>#N/A</v>
      </c>
      <c r="K66" s="564">
        <v>42736</v>
      </c>
      <c r="L66" s="565" t="e">
        <v>#N/A</v>
      </c>
      <c r="M66" s="566" t="e">
        <v>#N/A</v>
      </c>
      <c r="N66" s="567" t="e">
        <v>#N/A</v>
      </c>
      <c r="O66" s="13" t="str">
        <f ca="1">IF($E$1="X","",IF(ISERROR(IF(EDATE(#REF!,-6)&lt;=$C$4,"",EDATE(#REF!,-6))),"",(IF(EDATE(#REF!,-6)&lt;=$C$4,"",EDATE(#REF!,-6)))))</f>
        <v/>
      </c>
      <c r="P66" s="13" t="str">
        <f ca="1">IF(O66="","",WORKDAY(O66-1,1,FERIADOS!$A$1:$A$840))</f>
        <v/>
      </c>
      <c r="Q66" s="21">
        <f ca="1">IF(O66="",0,NETWORKDAYS($C$4,P66,FERIADOS!$A$1:$A$830)-1)</f>
        <v>0</v>
      </c>
      <c r="R66" s="605" t="str">
        <f t="shared" ca="1" si="6"/>
        <v/>
      </c>
      <c r="S66" s="23" t="str">
        <f t="shared" ca="1" si="2"/>
        <v/>
      </c>
      <c r="T66" s="14" t="str">
        <f t="shared" ca="1" si="13"/>
        <v/>
      </c>
      <c r="U66" s="23" t="str">
        <f t="shared" ca="1" si="14"/>
        <v/>
      </c>
      <c r="V66" s="11" t="str">
        <f t="shared" ca="1" si="15"/>
        <v/>
      </c>
      <c r="W66" s="99" t="str">
        <f ca="1">IF(O66="","",IF($E$5="X",_xll.Spline(Curva!$T$3:$T$43,Curva!$G$3:$G$43,Q66),_xll.Spline(Curva!$AF$3:$AF$43,Curva!$AG$3:$AG$43,Q66)))</f>
        <v/>
      </c>
      <c r="X66" s="22">
        <f t="shared" ca="1" si="4"/>
        <v>0</v>
      </c>
    </row>
    <row r="67" spans="1:24" x14ac:dyDescent="0.2">
      <c r="A67" s="133">
        <f ca="1">NETWORKDAYS($C$2,B67,FERIADOS!$A$1:$A$830)-1</f>
        <v>5</v>
      </c>
      <c r="B67" s="587">
        <v>43009</v>
      </c>
      <c r="C67" s="548">
        <f>VLOOKUP(B67,LTN!$C$4:$F$22,4,FALSE)/100</f>
        <v>8.1734000000000015E-2</v>
      </c>
      <c r="D67" s="549">
        <f ca="1">(C67-VLOOKUP(F67,Curva!$S$4:$AH$43,16,FALSE))*10000</f>
        <v>3.15687557986874</v>
      </c>
      <c r="E67" s="550">
        <f ca="1">(((1+C67)^(1/252)-1))/((1+VLOOKUP('NTN-F'!F67,Curva!$S$4:$AI$46,17,FALSE))^(1/252)-1)</f>
        <v>1.0036933305300588</v>
      </c>
      <c r="F67" s="588">
        <f>WORKDAY(B67-1,1,FERIADOS!$A$1:$A$830)</f>
        <v>43010</v>
      </c>
      <c r="G67" s="588">
        <f t="shared" si="16"/>
        <v>43010</v>
      </c>
      <c r="H67" s="593">
        <f t="shared" ca="1" si="17"/>
        <v>91.567634546663612</v>
      </c>
      <c r="I67" s="593">
        <v>500</v>
      </c>
      <c r="J67" s="114">
        <f ca="1">VLOOKUP(F67,Curva!$S$4:$AH$43,16,FALSE)</f>
        <v>8.1418312442013141E-2</v>
      </c>
      <c r="K67" s="564">
        <v>43009</v>
      </c>
      <c r="L67" s="565">
        <v>8.1734000000000015E-2</v>
      </c>
      <c r="M67" s="566">
        <v>3.15687557986874</v>
      </c>
      <c r="N67" s="567">
        <v>1.0036933305300588</v>
      </c>
      <c r="O67" s="13" t="str">
        <f t="shared" ca="1" si="5"/>
        <v/>
      </c>
      <c r="P67" s="13" t="str">
        <f ca="1">IF(O67="","",WORKDAY(O67-1,1,FERIADOS!$A$1:$A$840))</f>
        <v/>
      </c>
      <c r="Q67" s="21">
        <f ca="1">IF(O67="",0,NETWORKDAYS($C$4,P67,FERIADOS!$A$1:$A$830)-1)</f>
        <v>0</v>
      </c>
      <c r="R67" s="605" t="str">
        <f t="shared" ca="1" si="6"/>
        <v/>
      </c>
      <c r="S67" s="23" t="str">
        <f t="shared" ca="1" si="2"/>
        <v/>
      </c>
      <c r="T67" s="14" t="str">
        <f t="shared" ca="1" si="13"/>
        <v/>
      </c>
      <c r="U67" s="23" t="str">
        <f t="shared" ca="1" si="14"/>
        <v/>
      </c>
      <c r="V67" s="11" t="str">
        <f t="shared" ca="1" si="15"/>
        <v/>
      </c>
      <c r="W67" s="99" t="str">
        <f ca="1">IF(O67="","",IF($E$5="X",_xll.Spline(Curva!$T$3:$T$43,Curva!$G$3:$G$43,Q67),_xll.Spline(Curva!$AF$3:$AF$43,Curva!$AG$3:$AG$43,Q67)))</f>
        <v/>
      </c>
      <c r="X67" s="22">
        <f t="shared" ca="1" si="4"/>
        <v>0</v>
      </c>
    </row>
    <row r="68" spans="1:24" x14ac:dyDescent="0.2">
      <c r="A68" s="133">
        <f ca="1">NETWORKDAYS($C$2,B68,FERIADOS!$A$1:$A$830)-1</f>
        <v>66</v>
      </c>
      <c r="B68" s="591">
        <v>43101</v>
      </c>
      <c r="C68" s="551">
        <f>VLOOKUP(B68,LTN!$C$4:$F$22,4,FALSE)/100</f>
        <v>7.4185000000000001E-2</v>
      </c>
      <c r="D68" s="552">
        <f ca="1">(C68-VLOOKUP(F68,Curva!$S$4:$AH$43,16,FALSE))*10000</f>
        <v>-14.651727813085881</v>
      </c>
      <c r="E68" s="543">
        <f ca="1">(((1+C68)^(1/252)-1))/((1+VLOOKUP('NTN-F'!F68,Curva!$S$4:$AI$46,17,FALSE))^(1/252)-1)</f>
        <v>0.98237826304668141</v>
      </c>
      <c r="F68" s="583">
        <f>WORKDAY(B68-1,1,FERIADOS!$A$1:$A$830)</f>
        <v>43102</v>
      </c>
      <c r="G68" s="583">
        <f t="shared" si="16"/>
        <v>43102</v>
      </c>
      <c r="H68" s="592">
        <f t="shared" ca="1" si="17"/>
        <v>1196.4500091271475</v>
      </c>
      <c r="I68" s="592">
        <v>500</v>
      </c>
      <c r="J68" s="114">
        <f ca="1">VLOOKUP(F68,Curva!$S$4:$AH$43,16,FALSE)</f>
        <v>7.5650172781308589E-2</v>
      </c>
      <c r="K68" s="564">
        <v>43101</v>
      </c>
      <c r="L68" s="565">
        <v>7.4185000000000001E-2</v>
      </c>
      <c r="M68" s="566">
        <v>-14.651727813085881</v>
      </c>
      <c r="N68" s="567">
        <v>0.98237826304668141</v>
      </c>
      <c r="O68" s="13" t="str">
        <f t="shared" ca="1" si="5"/>
        <v/>
      </c>
      <c r="P68" s="13" t="str">
        <f ca="1">IF(O68="","",WORKDAY(O68-1,1,FERIADOS!$A$1:$A$840))</f>
        <v/>
      </c>
      <c r="Q68" s="21">
        <f ca="1">IF(O68="",0,NETWORKDAYS($C$4,P68,FERIADOS!$A$1:$A$830)-1)</f>
        <v>0</v>
      </c>
      <c r="R68" s="605" t="str">
        <f t="shared" ca="1" si="6"/>
        <v/>
      </c>
      <c r="S68" s="23" t="str">
        <f t="shared" ref="S68:S100" ca="1" si="18">IF(ISERROR(ROUND((R68/((1+$C$6)^((Q68/252)))),12)),"",(R68/((1+$C$6)^((Q68/252)))))</f>
        <v/>
      </c>
      <c r="T68" s="14" t="str">
        <f t="shared" ca="1" si="13"/>
        <v/>
      </c>
      <c r="U68" s="23" t="str">
        <f t="shared" ca="1" si="14"/>
        <v/>
      </c>
      <c r="V68" s="11" t="str">
        <f t="shared" ca="1" si="15"/>
        <v/>
      </c>
      <c r="W68" s="99" t="str">
        <f ca="1">IF(O68="","",IF($E$5="X",_xll.Spline(Curva!$T$3:$T$43,Curva!$G$3:$G$43,Q68),_xll.Spline(Curva!$AF$3:$AF$43,Curva!$AG$3:$AG$43,Q68)))</f>
        <v/>
      </c>
      <c r="X68" s="22">
        <f t="shared" ref="X68:X100" ca="1" si="19">IF(R68="",0,S68*((1+W68)^(Q68/252)))</f>
        <v>0</v>
      </c>
    </row>
    <row r="69" spans="1:24" x14ac:dyDescent="0.2">
      <c r="A69" s="133">
        <f ca="1">NETWORKDAYS($C$2,B69,FERIADOS!$A$1:$A$830)-1</f>
        <v>127</v>
      </c>
      <c r="B69" s="587">
        <v>43191</v>
      </c>
      <c r="C69" s="548">
        <f>VLOOKUP(B69,LTN!$C$4:$F$22,4,FALSE)/100</f>
        <v>7.1982999999999991E-2</v>
      </c>
      <c r="D69" s="549">
        <f ca="1">(C69-VLOOKUP(F69,Curva!$S$4:$AH$43,16,FALSE))*10000</f>
        <v>-4.6694273345351807</v>
      </c>
      <c r="E69" s="550">
        <f ca="1">(((1+C69)^(1/252)-1))/((1+VLOOKUP('NTN-F'!F69,Curva!$S$4:$AI$46,17,FALSE))^(1/252)-1)</f>
        <v>0.99469645284916164</v>
      </c>
      <c r="F69" s="588">
        <f>WORKDAY(B69-1,1,FERIADOS!$A$1:$A$830)</f>
        <v>43192</v>
      </c>
      <c r="G69" s="588">
        <f t="shared" si="16"/>
        <v>43192</v>
      </c>
      <c r="H69" s="593">
        <f t="shared" ca="1" si="17"/>
        <v>2269.7161422984209</v>
      </c>
      <c r="I69" s="593">
        <v>500</v>
      </c>
      <c r="J69" s="114">
        <f ca="1">VLOOKUP(F69,Curva!$S$4:$AH$43,16,FALSE)</f>
        <v>7.244994273345351E-2</v>
      </c>
      <c r="K69" s="564">
        <v>43191</v>
      </c>
      <c r="L69" s="565">
        <v>7.1982999999999991E-2</v>
      </c>
      <c r="M69" s="566">
        <v>-4.6694273345351807</v>
      </c>
      <c r="N69" s="567">
        <v>0.99469645284916164</v>
      </c>
      <c r="O69" s="13" t="str">
        <f t="shared" ref="O69:O100" ca="1" si="20">IF($E$1="X","",IF(ISERROR(IF(EDATE(O68,-6)&lt;=$C$4,"",EDATE(O68,-6))),"",(IF(EDATE(O68,-6)&lt;=$C$4,"",EDATE(O68,-6)))))</f>
        <v/>
      </c>
      <c r="P69" s="13" t="str">
        <f ca="1">IF(O69="","",WORKDAY(O69-1,1,FERIADOS!$A$1:$A$840))</f>
        <v/>
      </c>
      <c r="Q69" s="21">
        <f ca="1">IF(O69="",0,NETWORKDAYS($C$4,P69,FERIADOS!$A$1:$A$830)-1)</f>
        <v>0</v>
      </c>
      <c r="R69" s="605" t="str">
        <f t="shared" ref="R69:R100" ca="1" si="21">IF(O69="","",(ROUND(IF($E$1="X",1,1.1^0.5-1),8)))</f>
        <v/>
      </c>
      <c r="S69" s="23" t="str">
        <f t="shared" ca="1" si="18"/>
        <v/>
      </c>
      <c r="T69" s="14" t="str">
        <f t="shared" ca="1" si="13"/>
        <v/>
      </c>
      <c r="U69" s="23" t="str">
        <f t="shared" ca="1" si="14"/>
        <v/>
      </c>
      <c r="V69" s="11" t="str">
        <f t="shared" ca="1" si="15"/>
        <v/>
      </c>
      <c r="W69" s="99" t="str">
        <f ca="1">IF(O69="","",IF($E$5="X",_xll.Spline(Curva!$T$3:$T$43,Curva!$G$3:$G$43,Q69),_xll.Spline(Curva!$AF$3:$AF$43,Curva!$AG$3:$AG$43,Q69)))</f>
        <v/>
      </c>
      <c r="X69" s="22">
        <f t="shared" ca="1" si="19"/>
        <v>0</v>
      </c>
    </row>
    <row r="70" spans="1:24" x14ac:dyDescent="0.2">
      <c r="A70" s="133">
        <f ca="1">NETWORKDAYS($C$2,B70,FERIADOS!$A$1:$A$830)-1</f>
        <v>190</v>
      </c>
      <c r="B70" s="591">
        <v>43282</v>
      </c>
      <c r="C70" s="551">
        <f>VLOOKUP(B70,LTN!$C$4:$F$22,4,FALSE)/100</f>
        <v>7.0999999999999994E-2</v>
      </c>
      <c r="D70" s="552">
        <f ca="1">(C70-VLOOKUP(F70,Curva!$S$4:$AH$43,16,FALSE))*10000</f>
        <v>-4.5006485092598245</v>
      </c>
      <c r="E70" s="543">
        <f ca="1">(((1+C70)^(1/252)-1))/((1+VLOOKUP('NTN-F'!F70,Curva!$S$4:$AI$46,17,FALSE))^(1/252)-1)</f>
        <v>0.99460889133046559</v>
      </c>
      <c r="F70" s="583">
        <f>WORKDAY(B70-1,1,FERIADOS!$A$1:$A$830)</f>
        <v>43283</v>
      </c>
      <c r="G70" s="583">
        <f t="shared" si="16"/>
        <v>43283</v>
      </c>
      <c r="H70" s="592">
        <f t="shared" ca="1" si="17"/>
        <v>3342.5143574932008</v>
      </c>
      <c r="I70" s="592">
        <v>500</v>
      </c>
      <c r="J70" s="114">
        <f ca="1">VLOOKUP(F70,Curva!$S$4:$AH$43,16,FALSE)</f>
        <v>7.1450064850925976E-2</v>
      </c>
      <c r="K70" s="564">
        <v>43282</v>
      </c>
      <c r="L70" s="565">
        <v>7.0999999999999994E-2</v>
      </c>
      <c r="M70" s="566">
        <v>-4.5006485092598245</v>
      </c>
      <c r="N70" s="567">
        <v>0.99460889133046559</v>
      </c>
      <c r="O70" s="13" t="str">
        <f t="shared" ca="1" si="20"/>
        <v/>
      </c>
      <c r="P70" s="13" t="str">
        <f ca="1">IF(O70="","",WORKDAY(O70-1,1,FERIADOS!$A$1:$A$840))</f>
        <v/>
      </c>
      <c r="Q70" s="21">
        <f ca="1">IF(O70="",0,NETWORKDAYS($C$4,P70,FERIADOS!$A$1:$A$830)-1)</f>
        <v>0</v>
      </c>
      <c r="R70" s="605" t="str">
        <f t="shared" ca="1" si="21"/>
        <v/>
      </c>
      <c r="S70" s="23" t="str">
        <f t="shared" ca="1" si="18"/>
        <v/>
      </c>
      <c r="T70" s="14" t="str">
        <f t="shared" ca="1" si="13"/>
        <v/>
      </c>
      <c r="U70" s="23" t="str">
        <f t="shared" ca="1" si="14"/>
        <v/>
      </c>
      <c r="V70" s="11" t="str">
        <f t="shared" ca="1" si="15"/>
        <v/>
      </c>
      <c r="W70" s="99" t="str">
        <f ca="1">IF(O70="","",IF($E$5="X",_xll.Spline(Curva!$T$3:$T$43,Curva!$G$3:$G$43,Q70),_xll.Spline(Curva!$AF$3:$AF$43,Curva!$AG$3:$AG$43,Q70)))</f>
        <v/>
      </c>
      <c r="X70" s="22">
        <f t="shared" ca="1" si="19"/>
        <v>0</v>
      </c>
    </row>
    <row r="71" spans="1:24" x14ac:dyDescent="0.2">
      <c r="A71" s="133">
        <f ca="1">NETWORKDAYS($C$2,B71,FERIADOS!$A$1:$A$830)-1</f>
        <v>255</v>
      </c>
      <c r="B71" s="587">
        <v>43374</v>
      </c>
      <c r="C71" s="548">
        <f>VLOOKUP(B71,LTN!$C$4:$F$22,4,FALSE)/100</f>
        <v>7.1452000000000002E-2</v>
      </c>
      <c r="D71" s="549">
        <f ca="1">(C71-VLOOKUP(F71,Curva!$S$4:$AH$43,16,FALSE))*10000</f>
        <v>-2.4800317919167201</v>
      </c>
      <c r="E71" s="550">
        <f ca="1">(((1+C71)^(1/252)-1))/((1+VLOOKUP('NTN-F'!F71,Curva!$S$4:$AI$46,17,FALSE))^(1/252)-1)</f>
        <v>0.99716619473331414</v>
      </c>
      <c r="F71" s="588">
        <f>WORKDAY(B71-1,1,FERIADOS!$A$1:$A$830)</f>
        <v>43374</v>
      </c>
      <c r="G71" s="588">
        <f t="shared" si="16"/>
        <v>43374</v>
      </c>
      <c r="H71" s="593">
        <f t="shared" ca="1" si="17"/>
        <v>4403.595203653822</v>
      </c>
      <c r="I71" s="593">
        <v>500</v>
      </c>
      <c r="J71" s="114">
        <f ca="1">VLOOKUP(F71,Curva!$S$4:$AH$43,16,FALSE)</f>
        <v>7.1700003179191674E-2</v>
      </c>
      <c r="K71" s="564">
        <v>43374</v>
      </c>
      <c r="L71" s="565">
        <v>7.1452000000000002E-2</v>
      </c>
      <c r="M71" s="566">
        <v>-2.4800317919167201</v>
      </c>
      <c r="N71" s="567">
        <v>0.99716619473331414</v>
      </c>
      <c r="O71" s="13" t="str">
        <f t="shared" ca="1" si="20"/>
        <v/>
      </c>
      <c r="P71" s="13" t="str">
        <f ca="1">IF(O71="","",WORKDAY(O71-1,1,FERIADOS!$A$1:$A$840))</f>
        <v/>
      </c>
      <c r="Q71" s="21">
        <f ca="1">IF(O71="",0,NETWORKDAYS($C$4,P71,FERIADOS!$A$1:$A$830)-1)</f>
        <v>0</v>
      </c>
      <c r="R71" s="605" t="str">
        <f t="shared" ca="1" si="21"/>
        <v/>
      </c>
      <c r="S71" s="23" t="str">
        <f t="shared" ca="1" si="18"/>
        <v/>
      </c>
      <c r="T71" s="14" t="str">
        <f t="shared" ca="1" si="13"/>
        <v/>
      </c>
      <c r="U71" s="23" t="str">
        <f t="shared" ca="1" si="14"/>
        <v/>
      </c>
      <c r="V71" s="11" t="str">
        <f t="shared" ca="1" si="15"/>
        <v/>
      </c>
      <c r="W71" s="99" t="str">
        <f ca="1">IF(O71="","",IF($E$5="X",_xll.Spline(Curva!$T$3:$T$43,Curva!$G$3:$G$43,Q71),_xll.Spline(Curva!$AF$3:$AF$43,Curva!$AG$3:$AG$43,Q71)))</f>
        <v/>
      </c>
      <c r="X71" s="22">
        <f t="shared" ca="1" si="19"/>
        <v>0</v>
      </c>
    </row>
    <row r="72" spans="1:24" x14ac:dyDescent="0.2">
      <c r="A72" s="133">
        <f ca="1">NETWORKDAYS($C$2,B72,FERIADOS!$A$1:$A$830)-1</f>
        <v>316</v>
      </c>
      <c r="B72" s="591">
        <v>43466</v>
      </c>
      <c r="C72" s="551">
        <f>VLOOKUP(B72,LTN!$C$4:$F$22,4,FALSE)/100</f>
        <v>7.2800000000000004E-2</v>
      </c>
      <c r="D72" s="552">
        <f ca="1">(C72-VLOOKUP(F72,Curva!$S$4:$AH$43,16,FALSE))*10000</f>
        <v>-2.000016177472197</v>
      </c>
      <c r="E72" s="543">
        <f ca="1">(((1+C72)^(1/252)-1))/((1+VLOOKUP('NTN-F'!F72,Curva!$S$4:$AI$46,17,FALSE))^(1/252)-1)</f>
        <v>0.99770230897999312</v>
      </c>
      <c r="F72" s="583">
        <f>WORKDAY(B72-1,1,FERIADOS!$A$1:$A$830)</f>
        <v>43467</v>
      </c>
      <c r="G72" s="583">
        <f t="shared" si="16"/>
        <v>43467</v>
      </c>
      <c r="H72" s="592">
        <f t="shared" ca="1" si="17"/>
        <v>5351.4099731037277</v>
      </c>
      <c r="I72" s="592">
        <v>500</v>
      </c>
      <c r="J72" s="114">
        <f ca="1">VLOOKUP(F72,Curva!$S$4:$AH$43,16,FALSE)</f>
        <v>7.3000001617747223E-2</v>
      </c>
      <c r="K72" s="564">
        <v>43466</v>
      </c>
      <c r="L72" s="565">
        <v>7.2800000000000004E-2</v>
      </c>
      <c r="M72" s="566">
        <v>-2.000016177472197</v>
      </c>
      <c r="N72" s="567">
        <v>0.99770230897999312</v>
      </c>
      <c r="O72" s="13" t="str">
        <f t="shared" ca="1" si="20"/>
        <v/>
      </c>
      <c r="P72" s="13" t="str">
        <f ca="1">IF(O72="","",WORKDAY(O72-1,1,FERIADOS!$A$1:$A$840))</f>
        <v/>
      </c>
      <c r="Q72" s="21">
        <f ca="1">IF(O72="",0,NETWORKDAYS($C$4,P72,FERIADOS!$A$1:$A$830)-1)</f>
        <v>0</v>
      </c>
      <c r="R72" s="605" t="str">
        <f t="shared" ca="1" si="21"/>
        <v/>
      </c>
      <c r="S72" s="23" t="str">
        <f t="shared" ca="1" si="18"/>
        <v/>
      </c>
      <c r="T72" s="14" t="str">
        <f t="shared" ca="1" si="13"/>
        <v/>
      </c>
      <c r="U72" s="23" t="str">
        <f t="shared" ca="1" si="14"/>
        <v/>
      </c>
      <c r="V72" s="11" t="str">
        <f t="shared" ca="1" si="15"/>
        <v/>
      </c>
      <c r="W72" s="99" t="str">
        <f ca="1">IF(O72="","",IF($E$5="X",_xll.Spline(Curva!$T$3:$T$43,Curva!$G$3:$G$43,Q72),_xll.Spline(Curva!$AF$3:$AF$43,Curva!$AG$3:$AG$43,Q72)))</f>
        <v/>
      </c>
      <c r="X72" s="22">
        <f t="shared" ca="1" si="19"/>
        <v>0</v>
      </c>
    </row>
    <row r="73" spans="1:24" x14ac:dyDescent="0.2">
      <c r="A73" s="133">
        <f ca="1">NETWORKDAYS($C$2,B73,FERIADOS!$A$1:$A$830)-1</f>
        <v>378</v>
      </c>
      <c r="B73" s="587">
        <v>43556</v>
      </c>
      <c r="C73" s="548">
        <f>VLOOKUP(B73,LTN!$C$4:$F$22,4,FALSE)/100</f>
        <v>7.46E-2</v>
      </c>
      <c r="D73" s="549">
        <f ca="1">(C73-VLOOKUP(F73,Curva!$S$4:$AH$43,16,FALSE))*10000</f>
        <v>-0.99991483438532924</v>
      </c>
      <c r="E73" s="550">
        <f ca="1">(((1+C73)^(1/252)-1))/((1+VLOOKUP('NTN-F'!F73,Curva!$S$4:$AI$46,17,FALSE))^(1/252)-1)</f>
        <v>0.99893627519111139</v>
      </c>
      <c r="F73" s="588">
        <f>WORKDAY(B73-1,1,FERIADOS!$A$1:$A$830)</f>
        <v>43556</v>
      </c>
      <c r="G73" s="588">
        <f t="shared" si="16"/>
        <v>43556</v>
      </c>
      <c r="H73" s="593">
        <f t="shared" ca="1" si="17"/>
        <v>6265.3332851987216</v>
      </c>
      <c r="I73" s="593">
        <v>500</v>
      </c>
      <c r="J73" s="114">
        <f ca="1">VLOOKUP(F73,Curva!$S$4:$AH$43,16,FALSE)</f>
        <v>7.4699991483438533E-2</v>
      </c>
      <c r="K73" s="564">
        <v>43556</v>
      </c>
      <c r="L73" s="565">
        <v>7.46E-2</v>
      </c>
      <c r="M73" s="566">
        <v>-0.99991483438532924</v>
      </c>
      <c r="N73" s="567">
        <v>0.99893627519111139</v>
      </c>
      <c r="O73" s="13" t="str">
        <f t="shared" ca="1" si="20"/>
        <v/>
      </c>
      <c r="P73" s="13" t="str">
        <f ca="1">IF(O73="","",WORKDAY(O73-1,1,FERIADOS!$A$1:$A$840))</f>
        <v/>
      </c>
      <c r="Q73" s="21">
        <f ca="1">IF(O73="",0,NETWORKDAYS($C$4,P73,FERIADOS!$A$1:$A$830)-1)</f>
        <v>0</v>
      </c>
      <c r="R73" s="605" t="str">
        <f t="shared" ca="1" si="21"/>
        <v/>
      </c>
      <c r="S73" s="23" t="str">
        <f t="shared" ca="1" si="18"/>
        <v/>
      </c>
      <c r="T73" s="14" t="str">
        <f t="shared" ca="1" si="13"/>
        <v/>
      </c>
      <c r="U73" s="23" t="str">
        <f t="shared" ca="1" si="14"/>
        <v/>
      </c>
      <c r="V73" s="11" t="str">
        <f t="shared" ca="1" si="15"/>
        <v/>
      </c>
      <c r="W73" s="99" t="str">
        <f ca="1">IF(O73="","",IF($E$5="X",_xll.Spline(Curva!$T$3:$T$43,Curva!$G$3:$G$43,Q73),_xll.Spline(Curva!$AF$3:$AF$43,Curva!$AG$3:$AG$43,Q73)))</f>
        <v/>
      </c>
      <c r="X73" s="22">
        <f t="shared" ca="1" si="19"/>
        <v>0</v>
      </c>
    </row>
    <row r="74" spans="1:24" x14ac:dyDescent="0.2">
      <c r="A74" s="133">
        <f ca="1">NETWORKDAYS($C$2,B74,FERIADOS!$A$1:$A$830)-1</f>
        <v>440</v>
      </c>
      <c r="B74" s="591">
        <v>43647</v>
      </c>
      <c r="C74" s="551">
        <f>VLOOKUP(B74,LTN!$C$4:$F$22,4,FALSE)/100</f>
        <v>7.6700000000000004E-2</v>
      </c>
      <c r="D74" s="552">
        <f ca="1">(C74-VLOOKUP(F74,Curva!$S$4:$AH$43,16,FALSE))*10000</f>
        <v>-2.24405270754513E-5</v>
      </c>
      <c r="E74" s="543">
        <f ca="1">(((1+C74)^(1/252)-1))/((1+VLOOKUP('NTN-F'!F74,Curva!$S$4:$AI$46,17,FALSE))^(1/252)-1)</f>
        <v>1.0001339631361112</v>
      </c>
      <c r="F74" s="583">
        <f>WORKDAY(B74-1,1,FERIADOS!$A$1:$A$830)</f>
        <v>43647</v>
      </c>
      <c r="G74" s="583">
        <f t="shared" si="16"/>
        <v>43647</v>
      </c>
      <c r="H74" s="592">
        <f t="shared" ca="1" si="17"/>
        <v>7126.7093221031246</v>
      </c>
      <c r="I74" s="592">
        <v>500</v>
      </c>
      <c r="J74" s="114">
        <f ca="1">VLOOKUP(F74,Curva!$S$4:$AH$43,16,FALSE)</f>
        <v>7.6700002244052712E-2</v>
      </c>
      <c r="K74" s="564">
        <v>43647</v>
      </c>
      <c r="L74" s="565">
        <v>7.6700000000000004E-2</v>
      </c>
      <c r="M74" s="566">
        <v>-2.24405270754513E-5</v>
      </c>
      <c r="N74" s="567">
        <v>1.0001339631361112</v>
      </c>
      <c r="O74" s="13" t="str">
        <f t="shared" ca="1" si="20"/>
        <v/>
      </c>
      <c r="P74" s="13" t="str">
        <f ca="1">IF(O74="","",WORKDAY(O74-1,1,FERIADOS!$A$1:$A$840))</f>
        <v/>
      </c>
      <c r="Q74" s="21">
        <f ca="1">IF(O74="",0,NETWORKDAYS($C$4,P74,FERIADOS!$A$1:$A$830)-1)</f>
        <v>0</v>
      </c>
      <c r="R74" s="605" t="str">
        <f t="shared" ca="1" si="21"/>
        <v/>
      </c>
      <c r="S74" s="23" t="str">
        <f t="shared" ca="1" si="18"/>
        <v/>
      </c>
      <c r="T74" s="14" t="str">
        <f t="shared" ca="1" si="13"/>
        <v/>
      </c>
      <c r="U74" s="23" t="str">
        <f t="shared" ca="1" si="14"/>
        <v/>
      </c>
      <c r="V74" s="11" t="str">
        <f t="shared" ca="1" si="15"/>
        <v/>
      </c>
      <c r="W74" s="99" t="str">
        <f ca="1">IF(O74="","",IF($E$5="X",_xll.Spline(Curva!$T$3:$T$43,Curva!$G$3:$G$43,Q74),_xll.Spline(Curva!$AF$3:$AF$43,Curva!$AG$3:$AG$43,Q74)))</f>
        <v/>
      </c>
      <c r="X74" s="22">
        <f t="shared" ca="1" si="19"/>
        <v>0</v>
      </c>
    </row>
    <row r="75" spans="1:24" x14ac:dyDescent="0.2">
      <c r="A75" s="133">
        <f ca="1">NETWORKDAYS($C$2,B75,FERIADOS!$A$1:$A$830)-1</f>
        <v>506</v>
      </c>
      <c r="B75" s="587">
        <v>43739</v>
      </c>
      <c r="C75" s="548">
        <f>VLOOKUP(B75,LTN!$C$4:$F$22,4,FALSE)/100</f>
        <v>7.9114000000000004E-2</v>
      </c>
      <c r="D75" s="549">
        <f ca="1">(C75-VLOOKUP(F75,Curva!$S$4:$AH$43,16,FALSE))*10000</f>
        <v>1.1402266612946244</v>
      </c>
      <c r="E75" s="550">
        <f ca="1">(((1+C75)^(1/252)-1))/((1+VLOOKUP('NTN-F'!F75,Curva!$S$4:$AI$46,17,FALSE))^(1/252)-1)</f>
        <v>1.0014477970911526</v>
      </c>
      <c r="F75" s="588">
        <f>WORKDAY(B75-1,1,FERIADOS!$A$1:$A$830)</f>
        <v>43739</v>
      </c>
      <c r="G75" s="588">
        <f t="shared" si="16"/>
        <v>43739</v>
      </c>
      <c r="H75" s="593">
        <f t="shared" ca="1" si="17"/>
        <v>7984.6441899280762</v>
      </c>
      <c r="I75" s="593">
        <v>500</v>
      </c>
      <c r="J75" s="114">
        <f ca="1">VLOOKUP(F75,Curva!$S$4:$AH$43,16,FALSE)</f>
        <v>7.8999977333870541E-2</v>
      </c>
      <c r="K75" s="564">
        <v>43739</v>
      </c>
      <c r="L75" s="565">
        <v>7.9114000000000004E-2</v>
      </c>
      <c r="M75" s="566">
        <v>1.1402266612946244</v>
      </c>
      <c r="N75" s="567">
        <v>1.0014477970911526</v>
      </c>
      <c r="O75" s="13" t="str">
        <f t="shared" ca="1" si="20"/>
        <v/>
      </c>
      <c r="P75" s="13" t="str">
        <f ca="1">IF(O75="","",WORKDAY(O75-1,1,FERIADOS!$A$1:$A$840))</f>
        <v/>
      </c>
      <c r="Q75" s="21">
        <f ca="1">IF(O75="",0,NETWORKDAYS($C$4,P75,FERIADOS!$A$1:$A$830)-1)</f>
        <v>0</v>
      </c>
      <c r="R75" s="605" t="str">
        <f t="shared" ca="1" si="21"/>
        <v/>
      </c>
      <c r="S75" s="23" t="str">
        <f t="shared" ca="1" si="18"/>
        <v/>
      </c>
      <c r="T75" s="14" t="str">
        <f t="shared" ca="1" si="13"/>
        <v/>
      </c>
      <c r="U75" s="23" t="str">
        <f t="shared" ca="1" si="14"/>
        <v/>
      </c>
      <c r="V75" s="11" t="str">
        <f t="shared" ca="1" si="15"/>
        <v/>
      </c>
      <c r="W75" s="99" t="str">
        <f ca="1">IF(O75="","",IF($E$5="X",_xll.Spline(Curva!$T$3:$T$43,Curva!$G$3:$G$43,Q75),_xll.Spline(Curva!$AF$3:$AF$43,Curva!$AG$3:$AG$43,Q75)))</f>
        <v/>
      </c>
      <c r="X75" s="22">
        <f t="shared" ca="1" si="19"/>
        <v>0</v>
      </c>
    </row>
    <row r="76" spans="1:24" ht="13.5" thickBot="1" x14ac:dyDescent="0.25">
      <c r="A76" s="133">
        <f ca="1">NETWORKDAYS($C$2,B76,FERIADOS!$A$1:$A$830)-1</f>
        <v>569</v>
      </c>
      <c r="B76" s="591">
        <v>43831</v>
      </c>
      <c r="C76" s="551">
        <f>VLOOKUP(B76,LTN!$C$4:$F$22,4,FALSE)/100</f>
        <v>8.0478000000000008E-2</v>
      </c>
      <c r="D76" s="552">
        <f ca="1">(C76-VLOOKUP(F76,Curva!$S$4:$AH$43,16,FALSE))*10000</f>
        <v>-0.21971822441277378</v>
      </c>
      <c r="E76" s="543">
        <f ca="1">(((1+C76)^(1/252)-1))/((1+VLOOKUP('NTN-F'!F76,Curva!$S$4:$AI$46,17,FALSE))^(1/252)-1)</f>
        <v>0.99975617883032408</v>
      </c>
      <c r="F76" s="583">
        <f>WORKDAY(B76-1,1,FERIADOS!$A$1:$A$830)</f>
        <v>43832</v>
      </c>
      <c r="G76" s="583">
        <f t="shared" si="16"/>
        <v>43832</v>
      </c>
      <c r="H76" s="592">
        <f t="shared" ca="1" si="17"/>
        <v>8773.3039944250777</v>
      </c>
      <c r="I76" s="592">
        <v>500</v>
      </c>
      <c r="J76" s="114">
        <f ca="1">VLOOKUP(F76,Curva!$S$4:$AH$43,16,FALSE)</f>
        <v>8.0499971822441285E-2</v>
      </c>
      <c r="K76" s="574">
        <v>43831</v>
      </c>
      <c r="L76" s="575">
        <v>8.0478000000000008E-2</v>
      </c>
      <c r="M76" s="576">
        <v>-0.21971822441277378</v>
      </c>
      <c r="N76" s="577">
        <v>0.99975617883032408</v>
      </c>
      <c r="O76" s="13" t="str">
        <f t="shared" ca="1" si="20"/>
        <v/>
      </c>
      <c r="P76" s="13" t="str">
        <f ca="1">IF(O76="","",WORKDAY(O76-1,1,FERIADOS!$A$1:$A$840))</f>
        <v/>
      </c>
      <c r="Q76" s="21">
        <f ca="1">IF(O76="",0,NETWORKDAYS($C$4,P76,FERIADOS!$A$1:$A$830)-1)</f>
        <v>0</v>
      </c>
      <c r="R76" s="605" t="str">
        <f t="shared" ca="1" si="21"/>
        <v/>
      </c>
      <c r="S76" s="23" t="str">
        <f t="shared" ca="1" si="18"/>
        <v/>
      </c>
      <c r="T76" s="14" t="str">
        <f t="shared" ca="1" si="13"/>
        <v/>
      </c>
      <c r="U76" s="23" t="str">
        <f t="shared" ca="1" si="14"/>
        <v/>
      </c>
      <c r="V76" s="11" t="str">
        <f t="shared" ca="1" si="15"/>
        <v/>
      </c>
      <c r="W76" s="99" t="str">
        <f ca="1">IF(O76="","",IF($E$5="X",_xll.Spline(Curva!$T$3:$T$43,Curva!$G$3:$G$43,Q76),_xll.Spline(Curva!$AF$3:$AF$43,Curva!$AG$3:$AG$43,Q76)))</f>
        <v/>
      </c>
      <c r="X76" s="22">
        <f t="shared" ca="1" si="19"/>
        <v>0</v>
      </c>
    </row>
    <row r="77" spans="1:24" ht="13.5" thickBot="1" x14ac:dyDescent="0.25">
      <c r="A77" s="133">
        <f ca="1">NETWORKDAYS($C$2,B77,FERIADOS!$A$1:$A$830)-1</f>
        <v>693</v>
      </c>
      <c r="B77" s="587">
        <v>44013</v>
      </c>
      <c r="C77" s="548">
        <f>VLOOKUP(B77,LTN!$C$4:$F$22,4,FALSE)/100</f>
        <v>8.4198999999999996E-2</v>
      </c>
      <c r="D77" s="549">
        <f ca="1">(C77-VLOOKUP(F77,Curva!$S$4:$AH$43,16,FALSE))*10000</f>
        <v>-1.0235101152444859E-2</v>
      </c>
      <c r="E77" s="550">
        <f ca="1">(((1+C77)^(1/252)-1))/((1+VLOOKUP('NTN-F'!F77,Curva!$S$4:$AI$46,17,FALSE))^(1/252)-1)</f>
        <v>0.99994215867549974</v>
      </c>
      <c r="F77" s="588">
        <f>WORKDAY(B77-1,1,FERIADOS!$A$1:$A$830)</f>
        <v>44013</v>
      </c>
      <c r="G77" s="588">
        <f t="shared" ref="G77:G78" si="22">F77</f>
        <v>44013</v>
      </c>
      <c r="H77" s="593">
        <f t="shared" ref="H77:H78" ca="1" si="23">((100000/((1+C77-0.01%)^(A77/252))-100000/((1+C77+0.01%)^(A77/252)))/2)*500</f>
        <v>10154.158781373553</v>
      </c>
      <c r="I77" s="593">
        <v>500</v>
      </c>
      <c r="J77" s="114">
        <f ca="1">VLOOKUP(F77,Curva!$S$4:$AH$43,16,FALSE)</f>
        <v>8.4200023510115241E-2</v>
      </c>
      <c r="K77" s="574">
        <v>44013</v>
      </c>
      <c r="L77" s="575">
        <v>8.4198999999999996E-2</v>
      </c>
      <c r="M77" s="576">
        <v>-1.0235101152444859E-2</v>
      </c>
      <c r="N77" s="577">
        <v>0.99994215867549974</v>
      </c>
      <c r="O77" s="13" t="str">
        <f t="shared" ca="1" si="20"/>
        <v/>
      </c>
      <c r="P77" s="13" t="str">
        <f ca="1">IF(O77="","",WORKDAY(O77-1,1,FERIADOS!$A$1:$A$840))</f>
        <v/>
      </c>
      <c r="Q77" s="21">
        <f ca="1">IF(O77="",0,NETWORKDAYS($C$4,P77,FERIADOS!$A$1:$A$830)-1)</f>
        <v>0</v>
      </c>
      <c r="R77" s="605" t="str">
        <f t="shared" ca="1" si="21"/>
        <v/>
      </c>
      <c r="S77" s="23" t="str">
        <f t="shared" ca="1" si="18"/>
        <v/>
      </c>
      <c r="T77" s="14" t="str">
        <f t="shared" ca="1" si="13"/>
        <v/>
      </c>
      <c r="U77" s="23" t="str">
        <f t="shared" ca="1" si="14"/>
        <v/>
      </c>
      <c r="V77" s="11" t="str">
        <f t="shared" ca="1" si="15"/>
        <v/>
      </c>
      <c r="W77" s="99" t="str">
        <f ca="1">IF(O77="","",IF($E$5="X",_xll.Spline(Curva!$T$3:$T$43,Curva!$G$3:$G$43,Q77),_xll.Spline(Curva!$AF$3:$AF$43,Curva!$AG$3:$AG$43,Q77)))</f>
        <v/>
      </c>
      <c r="X77" s="22">
        <f t="shared" ca="1" si="19"/>
        <v>0</v>
      </c>
    </row>
    <row r="78" spans="1:24" ht="13.5" thickBot="1" x14ac:dyDescent="0.25">
      <c r="A78" s="133">
        <f ca="1">NETWORKDAYS($C$2,B78,FERIADOS!$A$1:$A$830)-1</f>
        <v>944</v>
      </c>
      <c r="B78" s="591">
        <v>44378</v>
      </c>
      <c r="C78" s="551">
        <f>VLOOKUP(B78,LTN!$C$4:$F$22,4,FALSE)/100</f>
        <v>8.9700000000000002E-2</v>
      </c>
      <c r="D78" s="552">
        <f ca="1">(C78-VLOOKUP(F78,Curva!$S$4:$AH$43,16,FALSE))*10000</f>
        <v>-3.3991988113157845E-5</v>
      </c>
      <c r="E78" s="543">
        <f ca="1">(((1+C78)^(1/252)-1))/((1+VLOOKUP('NTN-F'!F78,Curva!$S$4:$AI$46,17,FALSE))^(1/252)-1)</f>
        <v>0.99990566922562407</v>
      </c>
      <c r="F78" s="583">
        <f>WORKDAY(B78-1,1,FERIADOS!$A$1:$A$830)</f>
        <v>44378</v>
      </c>
      <c r="G78" s="583">
        <f t="shared" si="22"/>
        <v>44378</v>
      </c>
      <c r="H78" s="592">
        <f t="shared" ca="1" si="23"/>
        <v>12458.951670756505</v>
      </c>
      <c r="I78" s="592">
        <v>500</v>
      </c>
      <c r="J78" s="114">
        <f ca="1">VLOOKUP(F78,Curva!$S$4:$AH$43,16,FALSE)</f>
        <v>8.9700003399198813E-2</v>
      </c>
      <c r="K78" s="574">
        <v>44378</v>
      </c>
      <c r="L78" s="575">
        <v>8.9700000000000002E-2</v>
      </c>
      <c r="M78" s="576">
        <v>-3.3991988113157845E-5</v>
      </c>
      <c r="N78" s="577">
        <v>0.99990566922562407</v>
      </c>
      <c r="O78" s="13" t="str">
        <f t="shared" ca="1" si="20"/>
        <v/>
      </c>
      <c r="P78" s="13" t="str">
        <f ca="1">IF(O78="","",WORKDAY(O78-1,1,FERIADOS!$A$1:$A$840))</f>
        <v/>
      </c>
      <c r="Q78" s="21">
        <f ca="1">IF(O78="",0,NETWORKDAYS($C$4,P78,FERIADOS!$A$1:$A$830)-1)</f>
        <v>0</v>
      </c>
      <c r="R78" s="605" t="str">
        <f t="shared" ca="1" si="21"/>
        <v/>
      </c>
      <c r="S78" s="23" t="str">
        <f t="shared" ca="1" si="18"/>
        <v/>
      </c>
      <c r="T78" s="14" t="str">
        <f t="shared" ca="1" si="13"/>
        <v/>
      </c>
      <c r="U78" s="23" t="str">
        <f t="shared" ca="1" si="14"/>
        <v/>
      </c>
      <c r="V78" s="11" t="str">
        <f t="shared" ca="1" si="15"/>
        <v/>
      </c>
      <c r="W78" s="99" t="str">
        <f ca="1">IF(O78="","",IF($E$5="X",_xll.Spline(Curva!$T$3:$T$43,Curva!$G$3:$G$43,Q78),_xll.Spline(Curva!$AF$3:$AF$43,Curva!$AG$3:$AG$43,Q78)))</f>
        <v/>
      </c>
      <c r="X78" s="22">
        <f t="shared" ca="1" si="19"/>
        <v>0</v>
      </c>
    </row>
    <row r="79" spans="1:24" x14ac:dyDescent="0.2">
      <c r="B79" s="106"/>
      <c r="C79" s="613"/>
      <c r="D79" s="261"/>
      <c r="E79" s="133"/>
      <c r="F79" s="8"/>
      <c r="G79" s="55"/>
      <c r="H79" s="55"/>
      <c r="I79" s="55"/>
      <c r="J79" s="55"/>
      <c r="K79" s="65"/>
      <c r="L79" s="65"/>
      <c r="M79" s="65"/>
      <c r="N79" s="537"/>
      <c r="O79" s="13" t="str">
        <f t="shared" ca="1" si="20"/>
        <v/>
      </c>
      <c r="P79" s="13" t="str">
        <f ca="1">IF(O79="","",WORKDAY(O79-1,1,FERIADOS!$A$1:$A$840))</f>
        <v/>
      </c>
      <c r="Q79" s="21">
        <f ca="1">IF(O79="",0,NETWORKDAYS($C$4,P79,FERIADOS!$A$1:$A$830)-1)</f>
        <v>0</v>
      </c>
      <c r="R79" s="605" t="str">
        <f t="shared" ca="1" si="21"/>
        <v/>
      </c>
      <c r="S79" s="23" t="str">
        <f t="shared" ca="1" si="18"/>
        <v/>
      </c>
      <c r="T79" s="14" t="str">
        <f t="shared" ca="1" si="13"/>
        <v/>
      </c>
      <c r="U79" s="23" t="str">
        <f t="shared" ca="1" si="14"/>
        <v/>
      </c>
      <c r="V79" s="11" t="str">
        <f t="shared" ca="1" si="15"/>
        <v/>
      </c>
      <c r="W79" s="99" t="str">
        <f ca="1">IF(O79="","",IF($E$5="X",_xll.Spline(Curva!$T$3:$T$43,Curva!$G$3:$G$43,Q79),_xll.Spline(Curva!$AF$3:$AF$43,Curva!$AG$3:$AG$43,Q79)))</f>
        <v/>
      </c>
      <c r="X79" s="22">
        <f t="shared" ca="1" si="19"/>
        <v>0</v>
      </c>
    </row>
    <row r="80" spans="1:24" x14ac:dyDescent="0.2">
      <c r="B80" s="106"/>
      <c r="C80" s="613"/>
      <c r="D80" s="261"/>
      <c r="E80" s="133"/>
      <c r="F80" s="8"/>
      <c r="G80" s="55"/>
      <c r="H80" s="55"/>
      <c r="I80" s="55"/>
      <c r="J80" s="55"/>
      <c r="K80" s="65"/>
      <c r="L80" s="65"/>
      <c r="M80" s="65"/>
      <c r="N80" s="537"/>
      <c r="O80" s="13" t="str">
        <f t="shared" ca="1" si="20"/>
        <v/>
      </c>
      <c r="P80" s="13" t="str">
        <f ca="1">IF(O80="","",WORKDAY(O80-1,1,FERIADOS!$A$1:$A$840))</f>
        <v/>
      </c>
      <c r="Q80" s="21">
        <f ca="1">IF(O80="",0,NETWORKDAYS($C$4,P80,FERIADOS!$A$1:$A$830)-1)</f>
        <v>0</v>
      </c>
      <c r="R80" s="605" t="str">
        <f t="shared" ca="1" si="21"/>
        <v/>
      </c>
      <c r="S80" s="23" t="str">
        <f t="shared" ca="1" si="18"/>
        <v/>
      </c>
      <c r="T80" s="14" t="str">
        <f t="shared" ca="1" si="13"/>
        <v/>
      </c>
      <c r="U80" s="23" t="str">
        <f t="shared" ca="1" si="14"/>
        <v/>
      </c>
      <c r="V80" s="11" t="str">
        <f t="shared" ca="1" si="15"/>
        <v/>
      </c>
      <c r="W80" s="99" t="str">
        <f ca="1">IF(O80="","",IF($E$5="X",_xll.Spline(Curva!$T$3:$T$43,Curva!$G$3:$G$43,Q80),_xll.Spline(Curva!$AF$3:$AF$43,Curva!$AG$3:$AG$43,Q80)))</f>
        <v/>
      </c>
      <c r="X80" s="22">
        <f t="shared" ca="1" si="19"/>
        <v>0</v>
      </c>
    </row>
    <row r="81" spans="2:24" x14ac:dyDescent="0.2">
      <c r="B81" s="106"/>
      <c r="C81" s="613"/>
      <c r="D81" s="261"/>
      <c r="E81" s="133"/>
      <c r="F81" s="8"/>
      <c r="G81" s="55"/>
      <c r="H81" s="55"/>
      <c r="I81" s="55"/>
      <c r="J81" s="55"/>
      <c r="K81" s="65"/>
      <c r="L81" s="65"/>
      <c r="M81" s="65"/>
      <c r="N81" s="537"/>
      <c r="O81" s="13" t="str">
        <f t="shared" ca="1" si="20"/>
        <v/>
      </c>
      <c r="P81" s="13" t="str">
        <f ca="1">IF(O81="","",WORKDAY(O81-1,1,FERIADOS!$A$1:$A$840))</f>
        <v/>
      </c>
      <c r="Q81" s="21">
        <f ca="1">IF(O81="",0,NETWORKDAYS($C$4,P81,FERIADOS!$A$1:$A$830)-1)</f>
        <v>0</v>
      </c>
      <c r="R81" s="605" t="str">
        <f t="shared" ca="1" si="21"/>
        <v/>
      </c>
      <c r="S81" s="23" t="str">
        <f t="shared" ca="1" si="18"/>
        <v/>
      </c>
      <c r="T81" s="14" t="str">
        <f t="shared" ca="1" si="13"/>
        <v/>
      </c>
      <c r="U81" s="23" t="str">
        <f t="shared" ca="1" si="14"/>
        <v/>
      </c>
      <c r="V81" s="11" t="str">
        <f t="shared" ca="1" si="15"/>
        <v/>
      </c>
      <c r="W81" s="99" t="str">
        <f ca="1">IF(O81="","",IF($E$5="X",_xll.Spline(Curva!$T$3:$T$43,Curva!$G$3:$G$43,Q81),_xll.Spline(Curva!$AF$3:$AF$43,Curva!$AG$3:$AG$43,Q81)))</f>
        <v/>
      </c>
      <c r="X81" s="22">
        <f t="shared" ca="1" si="19"/>
        <v>0</v>
      </c>
    </row>
    <row r="82" spans="2:24" x14ac:dyDescent="0.2">
      <c r="B82" s="106"/>
      <c r="C82" s="613"/>
      <c r="D82" s="261"/>
      <c r="E82" s="133"/>
      <c r="F82" s="8"/>
      <c r="G82" s="55"/>
      <c r="H82" s="55"/>
      <c r="I82" s="55"/>
      <c r="J82" s="55"/>
      <c r="K82" s="65"/>
      <c r="L82" s="65"/>
      <c r="M82" s="65"/>
      <c r="N82" s="537"/>
      <c r="O82" s="13" t="str">
        <f t="shared" ca="1" si="20"/>
        <v/>
      </c>
      <c r="P82" s="13" t="str">
        <f ca="1">IF(O82="","",WORKDAY(O82-1,1,FERIADOS!$A$1:$A$840))</f>
        <v/>
      </c>
      <c r="Q82" s="21">
        <f ca="1">IF(O82="",0,NETWORKDAYS($C$4,P82,FERIADOS!$A$1:$A$830)-1)</f>
        <v>0</v>
      </c>
      <c r="R82" s="605" t="str">
        <f t="shared" ca="1" si="21"/>
        <v/>
      </c>
      <c r="S82" s="23" t="str">
        <f t="shared" ca="1" si="18"/>
        <v/>
      </c>
      <c r="T82" s="14" t="str">
        <f t="shared" ca="1" si="13"/>
        <v/>
      </c>
      <c r="U82" s="23" t="str">
        <f t="shared" ca="1" si="14"/>
        <v/>
      </c>
      <c r="V82" s="11" t="str">
        <f t="shared" ca="1" si="15"/>
        <v/>
      </c>
      <c r="W82" s="99" t="str">
        <f ca="1">IF(O82="","",IF($E$5="X",_xll.Spline(Curva!$T$3:$T$43,Curva!$G$3:$G$43,Q82),_xll.Spline(Curva!$AF$3:$AF$43,Curva!$AG$3:$AG$43,Q82)))</f>
        <v/>
      </c>
      <c r="X82" s="22">
        <f t="shared" ca="1" si="19"/>
        <v>0</v>
      </c>
    </row>
    <row r="83" spans="2:24" x14ac:dyDescent="0.2">
      <c r="B83" s="106"/>
      <c r="C83" s="613"/>
      <c r="D83" s="261"/>
      <c r="E83" s="133"/>
      <c r="F83" s="8"/>
      <c r="G83" s="55"/>
      <c r="H83" s="55"/>
      <c r="I83" s="55"/>
      <c r="J83" s="55"/>
      <c r="K83" s="65">
        <v>43466</v>
      </c>
      <c r="L83" s="65">
        <v>0.166042</v>
      </c>
      <c r="M83" s="65">
        <v>-10.579834439999047</v>
      </c>
      <c r="N83" s="537">
        <v>0.99632592467261683</v>
      </c>
      <c r="O83" s="13" t="str">
        <f t="shared" ca="1" si="20"/>
        <v/>
      </c>
      <c r="P83" s="13" t="str">
        <f ca="1">IF(O83="","",WORKDAY(O83-1,1,FERIADOS!$A$1:$A$840))</f>
        <v/>
      </c>
      <c r="Q83" s="21">
        <f ca="1">IF(O83="",0,NETWORKDAYS($C$4,P83,FERIADOS!$A$1:$A$830)-1)</f>
        <v>0</v>
      </c>
      <c r="R83" s="605" t="str">
        <f t="shared" ca="1" si="21"/>
        <v/>
      </c>
      <c r="S83" s="23" t="str">
        <f t="shared" ca="1" si="18"/>
        <v/>
      </c>
      <c r="T83" s="14" t="str">
        <f t="shared" ca="1" si="13"/>
        <v/>
      </c>
      <c r="U83" s="23" t="str">
        <f t="shared" ca="1" si="14"/>
        <v/>
      </c>
      <c r="V83" s="11" t="str">
        <f t="shared" ca="1" si="15"/>
        <v/>
      </c>
      <c r="W83" s="99" t="str">
        <f ca="1">IF(O83="","",IF($E$5="X",_xll.Spline(Curva!$T$3:$T$43,Curva!$G$3:$G$43,Q83),_xll.Spline(Curva!$AF$3:$AF$43,Curva!$AG$3:$AG$43,Q83)))</f>
        <v/>
      </c>
      <c r="X83" s="22">
        <f t="shared" ca="1" si="19"/>
        <v>0</v>
      </c>
    </row>
    <row r="84" spans="2:24" x14ac:dyDescent="0.2">
      <c r="B84" s="106"/>
      <c r="C84" s="613"/>
      <c r="D84" s="261"/>
      <c r="E84" s="133"/>
      <c r="F84" s="8"/>
      <c r="G84" s="55"/>
      <c r="H84" s="55"/>
      <c r="I84" s="55"/>
      <c r="J84" s="55"/>
      <c r="K84" s="65">
        <v>44197</v>
      </c>
      <c r="L84" s="65">
        <v>0.16539000000000001</v>
      </c>
      <c r="M84" s="65">
        <v>-8.0998722673233932</v>
      </c>
      <c r="N84" s="537">
        <v>0.99620638188203336</v>
      </c>
      <c r="O84" s="13" t="str">
        <f t="shared" ca="1" si="20"/>
        <v/>
      </c>
      <c r="P84" s="13" t="str">
        <f ca="1">IF(O84="","",WORKDAY(O84-1,1,FERIADOS!$A$1:$A$840))</f>
        <v/>
      </c>
      <c r="Q84" s="21">
        <f ca="1">IF(O84="",0,NETWORKDAYS($C$4,P84,FERIADOS!$A$1:$A$830)-1)</f>
        <v>0</v>
      </c>
      <c r="R84" s="605" t="str">
        <f t="shared" ca="1" si="21"/>
        <v/>
      </c>
      <c r="S84" s="23" t="str">
        <f t="shared" ca="1" si="18"/>
        <v/>
      </c>
      <c r="T84" s="14" t="str">
        <f t="shared" ca="1" si="13"/>
        <v/>
      </c>
      <c r="U84" s="23" t="str">
        <f t="shared" ca="1" si="14"/>
        <v/>
      </c>
      <c r="V84" s="11" t="str">
        <f t="shared" ca="1" si="15"/>
        <v/>
      </c>
      <c r="W84" s="99" t="str">
        <f ca="1">IF(O84="","",IF($E$5="X",_xll.Spline(Curva!$T$3:$T$43,Curva!$G$3:$G$43,Q84),_xll.Spline(Curva!$AF$3:$AF$43,Curva!$AG$3:$AG$43,Q84)))</f>
        <v/>
      </c>
      <c r="X84" s="22">
        <f t="shared" ca="1" si="19"/>
        <v>0</v>
      </c>
    </row>
    <row r="85" spans="2:24" x14ac:dyDescent="0.2">
      <c r="B85" s="106"/>
      <c r="C85" s="613"/>
      <c r="D85" s="261"/>
      <c r="E85" s="133"/>
      <c r="F85" s="8"/>
      <c r="G85" s="55"/>
      <c r="H85" s="55"/>
      <c r="I85" s="55"/>
      <c r="J85" s="55"/>
      <c r="K85" s="65">
        <v>44927</v>
      </c>
      <c r="L85" s="65">
        <v>0.16489000000000001</v>
      </c>
      <c r="M85" s="65">
        <v>-6.1000639317840282</v>
      </c>
      <c r="N85" s="537">
        <v>0.99637445167980854</v>
      </c>
      <c r="O85" s="13" t="str">
        <f t="shared" ca="1" si="20"/>
        <v/>
      </c>
      <c r="P85" s="13" t="str">
        <f ca="1">IF(O85="","",WORKDAY(O85-1,1,FERIADOS!$A$1:$A$840))</f>
        <v/>
      </c>
      <c r="Q85" s="21">
        <f ca="1">IF(O85="",0,NETWORKDAYS($C$4,P85,FERIADOS!$A$1:$A$830)-1)</f>
        <v>0</v>
      </c>
      <c r="R85" s="605" t="str">
        <f t="shared" ca="1" si="21"/>
        <v/>
      </c>
      <c r="S85" s="23" t="str">
        <f t="shared" ca="1" si="18"/>
        <v/>
      </c>
      <c r="T85" s="14" t="str">
        <f t="shared" ca="1" si="13"/>
        <v/>
      </c>
      <c r="U85" s="23" t="str">
        <f t="shared" ca="1" si="14"/>
        <v/>
      </c>
      <c r="V85" s="11" t="str">
        <f t="shared" ca="1" si="15"/>
        <v/>
      </c>
      <c r="W85" s="99" t="str">
        <f ca="1">IF(O85="","",IF($E$5="X",_xll.Spline(Curva!$T$3:$T$43,Curva!$G$3:$G$43,Q85),_xll.Spline(Curva!$AF$3:$AF$43,Curva!$AG$3:$AG$43,Q85)))</f>
        <v/>
      </c>
      <c r="X85" s="22">
        <f t="shared" ca="1" si="19"/>
        <v>0</v>
      </c>
    </row>
    <row r="86" spans="2:24" x14ac:dyDescent="0.2">
      <c r="B86" s="106"/>
      <c r="C86" s="613"/>
      <c r="D86" s="261"/>
      <c r="E86" s="133"/>
      <c r="F86" s="8"/>
      <c r="G86" s="55"/>
      <c r="H86" s="55"/>
      <c r="I86" s="55"/>
      <c r="J86" s="55"/>
      <c r="K86" s="65">
        <v>45658</v>
      </c>
      <c r="L86" s="65">
        <v>0.16508099999999998</v>
      </c>
      <c r="M86" s="65">
        <v>-6.190009086775583</v>
      </c>
      <c r="N86" s="537">
        <v>0.99702354728302456</v>
      </c>
      <c r="O86" s="13" t="str">
        <f t="shared" ca="1" si="20"/>
        <v/>
      </c>
      <c r="P86" s="13" t="str">
        <f ca="1">IF(O86="","",WORKDAY(O86-1,1,FERIADOS!$A$1:$A$840))</f>
        <v/>
      </c>
      <c r="Q86" s="21">
        <f ca="1">IF(O86="",0,NETWORKDAYS($C$4,P86,FERIADOS!$A$1:$A$830)-1)</f>
        <v>0</v>
      </c>
      <c r="R86" s="605" t="str">
        <f t="shared" ca="1" si="21"/>
        <v/>
      </c>
      <c r="S86" s="23" t="str">
        <f t="shared" ca="1" si="18"/>
        <v/>
      </c>
      <c r="T86" s="14" t="str">
        <f t="shared" ca="1" si="13"/>
        <v/>
      </c>
      <c r="U86" s="23" t="str">
        <f t="shared" ca="1" si="14"/>
        <v/>
      </c>
      <c r="V86" s="11" t="str">
        <f t="shared" ca="1" si="15"/>
        <v/>
      </c>
      <c r="W86" s="99" t="str">
        <f ca="1">IF(O86="","",IF($E$5="X",_xll.Spline(Curva!$T$3:$T$43,Curva!$G$3:$G$43,Q86),_xll.Spline(Curva!$AF$3:$AF$43,Curva!$AG$3:$AG$43,Q86)))</f>
        <v/>
      </c>
      <c r="X86" s="22">
        <f t="shared" ca="1" si="19"/>
        <v>0</v>
      </c>
    </row>
    <row r="87" spans="2:24" x14ac:dyDescent="0.2">
      <c r="B87" s="106"/>
      <c r="C87" s="613"/>
      <c r="D87" s="261"/>
      <c r="E87" s="133"/>
      <c r="F87" s="8"/>
      <c r="G87" s="55"/>
      <c r="H87" s="55"/>
      <c r="I87" s="55"/>
      <c r="J87" s="55"/>
      <c r="K87" s="65"/>
      <c r="L87" s="65"/>
      <c r="M87" s="65"/>
      <c r="N87" s="537"/>
      <c r="O87" s="13" t="str">
        <f t="shared" ca="1" si="20"/>
        <v/>
      </c>
      <c r="P87" s="13" t="str">
        <f ca="1">IF(O87="","",WORKDAY(O87-1,1,FERIADOS!$A$1:$A$840))</f>
        <v/>
      </c>
      <c r="Q87" s="21">
        <f ca="1">IF(O87="",0,NETWORKDAYS($C$4,P87,FERIADOS!$A$1:$A$830)-1)</f>
        <v>0</v>
      </c>
      <c r="R87" s="605" t="str">
        <f t="shared" ca="1" si="21"/>
        <v/>
      </c>
      <c r="S87" s="23" t="str">
        <f t="shared" ca="1" si="18"/>
        <v/>
      </c>
      <c r="T87" s="14" t="str">
        <f t="shared" ca="1" si="13"/>
        <v/>
      </c>
      <c r="U87" s="23" t="str">
        <f t="shared" ca="1" si="14"/>
        <v/>
      </c>
      <c r="V87" s="11" t="str">
        <f t="shared" ca="1" si="15"/>
        <v/>
      </c>
      <c r="W87" s="99" t="str">
        <f ca="1">IF(O87="","",IF($E$5="X",_xll.Spline(Curva!$T$3:$T$43,Curva!$G$3:$G$43,Q87),_xll.Spline(Curva!$AF$3:$AF$43,Curva!$AG$3:$AG$43,Q87)))</f>
        <v/>
      </c>
      <c r="X87" s="22">
        <f t="shared" ca="1" si="19"/>
        <v>0</v>
      </c>
    </row>
    <row r="88" spans="2:24" x14ac:dyDescent="0.2">
      <c r="B88" s="106"/>
      <c r="C88" s="613"/>
      <c r="D88" s="261"/>
      <c r="E88" s="133"/>
      <c r="F88" s="8"/>
      <c r="G88" s="55"/>
      <c r="H88" s="55"/>
      <c r="I88" s="55"/>
      <c r="J88" s="55"/>
      <c r="K88" s="65"/>
      <c r="L88" s="65"/>
      <c r="M88" s="65"/>
      <c r="N88" s="537"/>
      <c r="O88" s="13" t="str">
        <f t="shared" ca="1" si="20"/>
        <v/>
      </c>
      <c r="P88" s="13" t="str">
        <f ca="1">IF(O88="","",WORKDAY(O88-1,1,FERIADOS!$A$1:$A$840))</f>
        <v/>
      </c>
      <c r="Q88" s="21">
        <f ca="1">IF(O88="",0,NETWORKDAYS($C$4,P88,FERIADOS!$A$1:$A$830)-1)</f>
        <v>0</v>
      </c>
      <c r="R88" s="605" t="str">
        <f t="shared" ca="1" si="21"/>
        <v/>
      </c>
      <c r="S88" s="23" t="str">
        <f t="shared" ca="1" si="18"/>
        <v/>
      </c>
      <c r="T88" s="14" t="str">
        <f t="shared" ca="1" si="13"/>
        <v/>
      </c>
      <c r="U88" s="23" t="str">
        <f t="shared" ca="1" si="14"/>
        <v/>
      </c>
      <c r="V88" s="11" t="str">
        <f t="shared" ca="1" si="15"/>
        <v/>
      </c>
      <c r="W88" s="99" t="str">
        <f ca="1">IF(O88="","",IF($E$5="X",_xll.Spline(Curva!$T$3:$T$43,Curva!$G$3:$G$43,Q88),_xll.Spline(Curva!$AF$3:$AF$43,Curva!$AG$3:$AG$43,Q88)))</f>
        <v/>
      </c>
      <c r="X88" s="22">
        <f t="shared" ca="1" si="19"/>
        <v>0</v>
      </c>
    </row>
    <row r="89" spans="2:24" x14ac:dyDescent="0.2">
      <c r="B89" s="106"/>
      <c r="C89" s="613"/>
      <c r="D89" s="261"/>
      <c r="E89" s="133"/>
      <c r="F89" s="8"/>
      <c r="G89" s="55"/>
      <c r="H89" s="55"/>
      <c r="I89" s="55"/>
      <c r="J89" s="55"/>
      <c r="K89" s="65"/>
      <c r="L89" s="65"/>
      <c r="M89" s="65"/>
      <c r="N89" s="537"/>
      <c r="O89" s="13" t="str">
        <f t="shared" ca="1" si="20"/>
        <v/>
      </c>
      <c r="P89" s="13" t="str">
        <f ca="1">IF(O89="","",WORKDAY(O89-1,1,FERIADOS!$A$1:$A$840))</f>
        <v/>
      </c>
      <c r="Q89" s="21">
        <f ca="1">IF(O89="",0,NETWORKDAYS($C$4,P89,FERIADOS!$A$1:$A$830)-1)</f>
        <v>0</v>
      </c>
      <c r="R89" s="605" t="str">
        <f t="shared" ca="1" si="21"/>
        <v/>
      </c>
      <c r="S89" s="23" t="str">
        <f t="shared" ca="1" si="18"/>
        <v/>
      </c>
      <c r="T89" s="14" t="str">
        <f t="shared" ca="1" si="13"/>
        <v/>
      </c>
      <c r="U89" s="23" t="str">
        <f t="shared" ca="1" si="14"/>
        <v/>
      </c>
      <c r="V89" s="11" t="str">
        <f t="shared" ca="1" si="15"/>
        <v/>
      </c>
      <c r="W89" s="99" t="str">
        <f ca="1">IF(O89="","",IF($E$5="X",_xll.Spline(Curva!$T$3:$T$43,Curva!$G$3:$G$43,Q89),_xll.Spline(Curva!$AF$3:$AF$43,Curva!$AG$3:$AG$43,Q89)))</f>
        <v/>
      </c>
      <c r="X89" s="22">
        <f t="shared" ca="1" si="19"/>
        <v>0</v>
      </c>
    </row>
    <row r="90" spans="2:24" x14ac:dyDescent="0.2">
      <c r="B90" s="106"/>
      <c r="C90" s="613"/>
      <c r="D90" s="261"/>
      <c r="E90" s="133"/>
      <c r="F90" s="8"/>
      <c r="G90" s="55"/>
      <c r="H90" s="55"/>
      <c r="I90" s="55"/>
      <c r="J90" s="55"/>
      <c r="K90" s="65" t="s">
        <v>252</v>
      </c>
      <c r="L90" s="65" t="s">
        <v>255</v>
      </c>
      <c r="M90" s="65" t="s">
        <v>228</v>
      </c>
      <c r="N90" s="537" t="s">
        <v>269</v>
      </c>
      <c r="O90" s="13" t="str">
        <f t="shared" ca="1" si="20"/>
        <v/>
      </c>
      <c r="P90" s="13" t="str">
        <f ca="1">IF(O90="","",WORKDAY(O90-1,1,FERIADOS!$A$1:$A$840))</f>
        <v/>
      </c>
      <c r="Q90" s="21">
        <f ca="1">IF(O90="",0,NETWORKDAYS($C$4,P90,FERIADOS!$A$1:$A$830)-1)</f>
        <v>0</v>
      </c>
      <c r="R90" s="605" t="str">
        <f t="shared" ca="1" si="21"/>
        <v/>
      </c>
      <c r="S90" s="23" t="str">
        <f t="shared" ca="1" si="18"/>
        <v/>
      </c>
      <c r="T90" s="14" t="str">
        <f t="shared" ca="1" si="13"/>
        <v/>
      </c>
      <c r="U90" s="23" t="str">
        <f t="shared" ca="1" si="14"/>
        <v/>
      </c>
      <c r="V90" s="11" t="str">
        <f t="shared" ca="1" si="15"/>
        <v/>
      </c>
      <c r="W90" s="99" t="str">
        <f ca="1">IF(O90="","",IF($E$5="X",_xll.Spline(Curva!$T$3:$T$43,Curva!$G$3:$G$43,Q90),_xll.Spline(Curva!$AF$3:$AF$43,Curva!$AG$3:$AG$43,Q90)))</f>
        <v/>
      </c>
      <c r="X90" s="22">
        <f t="shared" ca="1" si="19"/>
        <v>0</v>
      </c>
    </row>
    <row r="91" spans="2:24" x14ac:dyDescent="0.2">
      <c r="B91" s="106"/>
      <c r="C91" s="613"/>
      <c r="D91" s="261"/>
      <c r="E91" s="133"/>
      <c r="F91" s="8"/>
      <c r="G91" s="55"/>
      <c r="H91" s="55"/>
      <c r="I91" s="55"/>
      <c r="J91" s="55"/>
      <c r="K91" s="65"/>
      <c r="L91" s="65"/>
      <c r="M91" s="65"/>
      <c r="N91" s="537"/>
      <c r="O91" s="13" t="str">
        <f t="shared" ca="1" si="20"/>
        <v/>
      </c>
      <c r="P91" s="13" t="str">
        <f ca="1">IF(O91="","",WORKDAY(O91-1,1,FERIADOS!$A$1:$A$840))</f>
        <v/>
      </c>
      <c r="Q91" s="21">
        <f ca="1">IF(O91="",0,NETWORKDAYS($C$4,P91,FERIADOS!$A$1:$A$830)-1)</f>
        <v>0</v>
      </c>
      <c r="R91" s="605" t="str">
        <f t="shared" ca="1" si="21"/>
        <v/>
      </c>
      <c r="S91" s="23" t="str">
        <f t="shared" ca="1" si="18"/>
        <v/>
      </c>
      <c r="T91" s="14" t="str">
        <f t="shared" ca="1" si="13"/>
        <v/>
      </c>
      <c r="U91" s="23" t="str">
        <f t="shared" ca="1" si="14"/>
        <v/>
      </c>
      <c r="V91" s="11" t="str">
        <f t="shared" ca="1" si="15"/>
        <v/>
      </c>
      <c r="W91" s="99" t="str">
        <f ca="1">IF(O91="","",IF($E$5="X",_xll.Spline(Curva!$T$3:$T$43,Curva!$G$3:$G$43,Q91),_xll.Spline(Curva!$AF$3:$AF$43,Curva!$AG$3:$AG$43,Q91)))</f>
        <v/>
      </c>
      <c r="X91" s="22">
        <f t="shared" ca="1" si="19"/>
        <v>0</v>
      </c>
    </row>
    <row r="92" spans="2:24" x14ac:dyDescent="0.2">
      <c r="B92" s="106"/>
      <c r="C92" s="232"/>
      <c r="D92" s="261"/>
      <c r="E92" s="133"/>
      <c r="F92" s="8"/>
      <c r="G92" s="55"/>
      <c r="H92" s="55"/>
      <c r="I92" s="55"/>
      <c r="J92" s="55"/>
      <c r="K92" s="65"/>
      <c r="L92" s="65"/>
      <c r="M92" s="65"/>
      <c r="N92" s="537"/>
      <c r="O92" s="13" t="str">
        <f t="shared" ca="1" si="20"/>
        <v/>
      </c>
      <c r="P92" s="13" t="str">
        <f ca="1">IF(O92="","",WORKDAY(O92-1,1,FERIADOS!$A$1:$A$840))</f>
        <v/>
      </c>
      <c r="Q92" s="21">
        <f ca="1">IF(O92="",0,NETWORKDAYS($C$4,P92,FERIADOS!$A$1:$A$830)-1)</f>
        <v>0</v>
      </c>
      <c r="R92" s="605" t="str">
        <f t="shared" ca="1" si="21"/>
        <v/>
      </c>
      <c r="S92" s="23" t="str">
        <f t="shared" ca="1" si="18"/>
        <v/>
      </c>
      <c r="T92" s="14" t="str">
        <f t="shared" ca="1" si="13"/>
        <v/>
      </c>
      <c r="U92" s="23" t="str">
        <f t="shared" ca="1" si="14"/>
        <v/>
      </c>
      <c r="V92" s="11" t="str">
        <f t="shared" ca="1" si="15"/>
        <v/>
      </c>
      <c r="W92" s="99" t="str">
        <f ca="1">IF(O92="","",IF($E$5="X",_xll.Spline(Curva!$T$3:$T$43,Curva!$G$3:$G$43,Q92),_xll.Spline(Curva!$AF$3:$AF$43,Curva!$AG$3:$AG$43,Q92)))</f>
        <v/>
      </c>
      <c r="X92" s="22">
        <f t="shared" ca="1" si="19"/>
        <v>0</v>
      </c>
    </row>
    <row r="93" spans="2:24" x14ac:dyDescent="0.2">
      <c r="B93" s="106"/>
      <c r="C93" s="232"/>
      <c r="D93" s="261"/>
      <c r="E93" s="133"/>
      <c r="F93" s="8"/>
      <c r="G93" s="55"/>
      <c r="H93" s="55"/>
      <c r="I93" s="55"/>
      <c r="J93" s="55"/>
      <c r="K93" s="65">
        <v>42278</v>
      </c>
      <c r="L93" s="65" t="e">
        <v>#N/A</v>
      </c>
      <c r="M93" s="65" t="e">
        <v>#N/A</v>
      </c>
      <c r="N93" s="537" t="e">
        <v>#N/A</v>
      </c>
      <c r="O93" s="13" t="str">
        <f t="shared" ca="1" si="20"/>
        <v/>
      </c>
      <c r="P93" s="13" t="str">
        <f ca="1">IF(O93="","",WORKDAY(O93-1,1,FERIADOS!$A$1:$A$840))</f>
        <v/>
      </c>
      <c r="Q93" s="21">
        <f ca="1">IF(O93="",0,NETWORKDAYS($C$4,P93,FERIADOS!$A$1:$A$830)-1)</f>
        <v>0</v>
      </c>
      <c r="R93" s="605" t="str">
        <f t="shared" ca="1" si="21"/>
        <v/>
      </c>
      <c r="S93" s="23" t="str">
        <f t="shared" ca="1" si="18"/>
        <v/>
      </c>
      <c r="T93" s="14" t="str">
        <f t="shared" ca="1" si="13"/>
        <v/>
      </c>
      <c r="U93" s="23" t="str">
        <f t="shared" ca="1" si="14"/>
        <v/>
      </c>
      <c r="V93" s="11" t="str">
        <f t="shared" ca="1" si="15"/>
        <v/>
      </c>
      <c r="W93" s="99" t="str">
        <f ca="1">IF(O93="","",IF($E$5="X",_xll.Spline(Curva!$T$3:$T$43,Curva!$G$3:$G$43,Q93),_xll.Spline(Curva!$AF$3:$AF$43,Curva!$AG$3:$AG$43,Q93)))</f>
        <v/>
      </c>
      <c r="X93" s="22">
        <f t="shared" ca="1" si="19"/>
        <v>0</v>
      </c>
    </row>
    <row r="94" spans="2:24" x14ac:dyDescent="0.2">
      <c r="B94" s="106"/>
      <c r="C94" s="232"/>
      <c r="D94" s="261"/>
      <c r="E94" s="133"/>
      <c r="F94" s="8"/>
      <c r="G94" s="55"/>
      <c r="H94" s="55"/>
      <c r="I94" s="55"/>
      <c r="J94" s="55"/>
      <c r="K94" s="65">
        <v>42370</v>
      </c>
      <c r="L94" s="65">
        <v>0.14250400000000002</v>
      </c>
      <c r="M94" s="65" t="e">
        <v>#N/A</v>
      </c>
      <c r="N94" s="537" t="e">
        <v>#N/A</v>
      </c>
      <c r="O94" s="13" t="str">
        <f t="shared" ca="1" si="20"/>
        <v/>
      </c>
      <c r="P94" s="13" t="str">
        <f ca="1">IF(O94="","",WORKDAY(O94-1,1,FERIADOS!$A$1:$A$840))</f>
        <v/>
      </c>
      <c r="Q94" s="21">
        <f ca="1">IF(O94="",0,NETWORKDAYS($C$4,P94,FERIADOS!$A$1:$A$830)-1)</f>
        <v>0</v>
      </c>
      <c r="R94" s="605" t="str">
        <f t="shared" ca="1" si="21"/>
        <v/>
      </c>
      <c r="S94" s="23" t="str">
        <f t="shared" ca="1" si="18"/>
        <v/>
      </c>
      <c r="T94" s="14" t="str">
        <f t="shared" ca="1" si="13"/>
        <v/>
      </c>
      <c r="U94" s="23" t="str">
        <f t="shared" ca="1" si="14"/>
        <v/>
      </c>
      <c r="V94" s="11" t="str">
        <f t="shared" ca="1" si="15"/>
        <v/>
      </c>
      <c r="W94" s="99" t="str">
        <f ca="1">IF(O94="","",IF($E$5="X",_xll.Spline(Curva!$T$3:$T$43,Curva!$G$3:$G$43,Q94),_xll.Spline(Curva!$AF$3:$AF$43,Curva!$AG$3:$AG$43,Q94)))</f>
        <v/>
      </c>
      <c r="X94" s="22">
        <f t="shared" ca="1" si="19"/>
        <v>0</v>
      </c>
    </row>
    <row r="95" spans="2:24" x14ac:dyDescent="0.2">
      <c r="B95" s="106"/>
      <c r="C95" s="232"/>
      <c r="D95" s="261"/>
      <c r="E95" s="133"/>
      <c r="F95" s="8"/>
      <c r="G95" s="55"/>
      <c r="H95" s="55"/>
      <c r="I95" s="55"/>
      <c r="J95" s="55"/>
      <c r="K95" s="65">
        <v>42461</v>
      </c>
      <c r="L95" s="65">
        <v>0.147231</v>
      </c>
      <c r="M95" s="65">
        <v>-1.6884524287041902</v>
      </c>
      <c r="N95" s="537">
        <v>0.99768179794711209</v>
      </c>
      <c r="O95" s="13" t="str">
        <f t="shared" ca="1" si="20"/>
        <v/>
      </c>
      <c r="P95" s="13" t="str">
        <f ca="1">IF(O95="","",WORKDAY(O95-1,1,FERIADOS!$A$1:$A$840))</f>
        <v/>
      </c>
      <c r="Q95" s="21">
        <f ca="1">IF(O95="",0,NETWORKDAYS($C$4,P95,FERIADOS!$A$1:$A$830)-1)</f>
        <v>0</v>
      </c>
      <c r="R95" s="605" t="str">
        <f t="shared" ca="1" si="21"/>
        <v/>
      </c>
      <c r="S95" s="23" t="str">
        <f t="shared" ca="1" si="18"/>
        <v/>
      </c>
      <c r="T95" s="14" t="str">
        <f t="shared" ca="1" si="13"/>
        <v/>
      </c>
      <c r="U95" s="23" t="str">
        <f t="shared" ca="1" si="14"/>
        <v/>
      </c>
      <c r="V95" s="11" t="str">
        <f t="shared" ca="1" si="15"/>
        <v/>
      </c>
      <c r="W95" s="99" t="str">
        <f ca="1">IF(O95="","",IF($E$5="X",_xll.Spline(Curva!$T$3:$T$43,Curva!$G$3:$G$43,Q95),_xll.Spline(Curva!$AF$3:$AF$43,Curva!$AG$3:$AG$43,Q95)))</f>
        <v/>
      </c>
      <c r="X95" s="22">
        <f t="shared" ca="1" si="19"/>
        <v>0</v>
      </c>
    </row>
    <row r="96" spans="2:24" x14ac:dyDescent="0.2">
      <c r="B96" s="106"/>
      <c r="C96" s="232"/>
      <c r="D96" s="261"/>
      <c r="E96" s="133"/>
      <c r="F96" s="8"/>
      <c r="G96" s="55"/>
      <c r="H96" s="55"/>
      <c r="I96" s="55"/>
      <c r="J96" s="55"/>
      <c r="K96" s="65">
        <v>42552</v>
      </c>
      <c r="L96" s="65">
        <v>0.15093699999999999</v>
      </c>
      <c r="M96" s="65">
        <v>-9.1288571212266856</v>
      </c>
      <c r="N96" s="537">
        <v>0.99335687688051</v>
      </c>
      <c r="O96" s="13" t="str">
        <f t="shared" ca="1" si="20"/>
        <v/>
      </c>
      <c r="P96" s="13" t="str">
        <f ca="1">IF(O96="","",WORKDAY(O96-1,1,FERIADOS!$A$1:$A$840))</f>
        <v/>
      </c>
      <c r="Q96" s="21">
        <f ca="1">IF(O96="",0,NETWORKDAYS($C$4,P96,FERIADOS!$A$1:$A$830)-1)</f>
        <v>0</v>
      </c>
      <c r="R96" s="605" t="str">
        <f t="shared" ca="1" si="21"/>
        <v/>
      </c>
      <c r="S96" s="23" t="str">
        <f t="shared" ca="1" si="18"/>
        <v/>
      </c>
      <c r="T96" s="14" t="str">
        <f t="shared" ca="1" si="13"/>
        <v/>
      </c>
      <c r="U96" s="23" t="str">
        <f t="shared" ca="1" si="14"/>
        <v/>
      </c>
      <c r="V96" s="11" t="str">
        <f t="shared" ca="1" si="15"/>
        <v/>
      </c>
      <c r="W96" s="99" t="str">
        <f ca="1">IF(O96="","",IF($E$5="X",_xll.Spline(Curva!$T$3:$T$43,Curva!$G$3:$G$43,Q96),_xll.Spline(Curva!$AF$3:$AF$43,Curva!$AG$3:$AG$43,Q96)))</f>
        <v/>
      </c>
      <c r="X96" s="22">
        <f t="shared" ca="1" si="19"/>
        <v>0</v>
      </c>
    </row>
    <row r="97" spans="2:24" x14ac:dyDescent="0.2">
      <c r="B97" s="106"/>
      <c r="C97" s="232"/>
      <c r="D97" s="261"/>
      <c r="E97" s="133"/>
      <c r="F97" s="8"/>
      <c r="G97" s="55"/>
      <c r="H97" s="55"/>
      <c r="I97" s="55"/>
      <c r="J97" s="55"/>
      <c r="K97" s="65">
        <v>42644</v>
      </c>
      <c r="L97" s="65">
        <v>0.15564600000000001</v>
      </c>
      <c r="M97" s="65">
        <v>-9.5392893583950986</v>
      </c>
      <c r="N97" s="537">
        <v>0.99337078295218251</v>
      </c>
      <c r="O97" s="13" t="str">
        <f t="shared" ca="1" si="20"/>
        <v/>
      </c>
      <c r="P97" s="13" t="str">
        <f ca="1">IF(O97="","",WORKDAY(O97-1,1,FERIADOS!$A$1:$A$840))</f>
        <v/>
      </c>
      <c r="Q97" s="21">
        <f ca="1">IF(O97="",0,NETWORKDAYS($C$4,P97,FERIADOS!$A$1:$A$830)-1)</f>
        <v>0</v>
      </c>
      <c r="R97" s="605" t="str">
        <f t="shared" ca="1" si="21"/>
        <v/>
      </c>
      <c r="S97" s="23" t="str">
        <f t="shared" ca="1" si="18"/>
        <v/>
      </c>
      <c r="T97" s="14" t="str">
        <f t="shared" ca="1" si="13"/>
        <v/>
      </c>
      <c r="U97" s="23" t="str">
        <f t="shared" ca="1" si="14"/>
        <v/>
      </c>
      <c r="V97" s="11" t="str">
        <f t="shared" ca="1" si="15"/>
        <v/>
      </c>
      <c r="W97" s="99" t="str">
        <f ca="1">IF(O97="","",IF($E$5="X",_xll.Spline(Curva!$T$3:$T$43,Curva!$G$3:$G$43,Q97),_xll.Spline(Curva!$AF$3:$AF$43,Curva!$AG$3:$AG$43,Q97)))</f>
        <v/>
      </c>
      <c r="X97" s="22">
        <f t="shared" ca="1" si="19"/>
        <v>0</v>
      </c>
    </row>
    <row r="98" spans="2:24" x14ac:dyDescent="0.2">
      <c r="B98" s="106"/>
      <c r="C98" s="232"/>
      <c r="D98" s="261"/>
      <c r="E98" s="133"/>
      <c r="F98" s="8"/>
      <c r="G98" s="55"/>
      <c r="H98" s="55"/>
      <c r="I98" s="55"/>
      <c r="J98" s="55"/>
      <c r="K98" s="65">
        <v>42736</v>
      </c>
      <c r="L98" s="65">
        <v>0.157698</v>
      </c>
      <c r="M98" s="65">
        <v>-10.020641354998583</v>
      </c>
      <c r="N98" s="537">
        <v>0.99331601491283972</v>
      </c>
      <c r="O98" s="13" t="str">
        <f t="shared" ca="1" si="20"/>
        <v/>
      </c>
      <c r="P98" s="13" t="str">
        <f ca="1">IF(O98="","",WORKDAY(O98-1,1,FERIADOS!$A$1:$A$840))</f>
        <v/>
      </c>
      <c r="Q98" s="21">
        <f ca="1">IF(O98="",0,NETWORKDAYS($C$4,P98,FERIADOS!$A$1:$A$830)-1)</f>
        <v>0</v>
      </c>
      <c r="R98" s="605" t="str">
        <f t="shared" ca="1" si="21"/>
        <v/>
      </c>
      <c r="S98" s="23" t="str">
        <f t="shared" ca="1" si="18"/>
        <v/>
      </c>
      <c r="T98" s="14" t="str">
        <f t="shared" ca="1" si="13"/>
        <v/>
      </c>
      <c r="U98" s="23" t="str">
        <f t="shared" ca="1" si="14"/>
        <v/>
      </c>
      <c r="V98" s="11" t="str">
        <f t="shared" ca="1" si="15"/>
        <v/>
      </c>
      <c r="W98" s="99" t="str">
        <f ca="1">IF(O98="","",IF($E$5="X",_xll.Spline(Curva!$T$3:$T$43,Curva!$G$3:$G$43,Q98),_xll.Spline(Curva!$AF$3:$AF$43,Curva!$AG$3:$AG$43,Q98)))</f>
        <v/>
      </c>
      <c r="X98" s="22">
        <f t="shared" ca="1" si="19"/>
        <v>0</v>
      </c>
    </row>
    <row r="99" spans="2:24" x14ac:dyDescent="0.2">
      <c r="B99" s="106"/>
      <c r="C99" s="232"/>
      <c r="D99" s="261"/>
      <c r="E99" s="133"/>
      <c r="F99" s="8"/>
      <c r="G99" s="55"/>
      <c r="H99" s="55"/>
      <c r="I99" s="55"/>
      <c r="J99" s="55"/>
      <c r="K99" s="65">
        <v>42917</v>
      </c>
      <c r="L99" s="65">
        <v>0.16269700000000001</v>
      </c>
      <c r="M99" s="65">
        <v>-5.0300912028786176</v>
      </c>
      <c r="N99" s="537">
        <v>0.99647272313320479</v>
      </c>
      <c r="O99" s="13" t="str">
        <f t="shared" ca="1" si="20"/>
        <v/>
      </c>
      <c r="P99" s="13" t="str">
        <f ca="1">IF(O99="","",WORKDAY(O99-1,1,FERIADOS!$A$1:$A$840))</f>
        <v/>
      </c>
      <c r="Q99" s="21">
        <f ca="1">IF(O99="",0,NETWORKDAYS($C$4,P99,FERIADOS!$A$1:$A$830)-1)</f>
        <v>0</v>
      </c>
      <c r="R99" s="605" t="str">
        <f t="shared" ca="1" si="21"/>
        <v/>
      </c>
      <c r="S99" s="23" t="str">
        <f t="shared" ca="1" si="18"/>
        <v/>
      </c>
      <c r="T99" s="14" t="str">
        <f t="shared" ca="1" si="13"/>
        <v/>
      </c>
      <c r="U99" s="23" t="str">
        <f t="shared" ca="1" si="14"/>
        <v/>
      </c>
      <c r="V99" s="11" t="str">
        <f t="shared" ca="1" si="15"/>
        <v/>
      </c>
      <c r="W99" s="99" t="str">
        <f ca="1">IF(O99="","",IF($E$5="X",_xll.Spline(Curva!$T$3:$T$43,Curva!$G$3:$G$43,Q99),_xll.Spline(Curva!$AF$3:$AF$43,Curva!$AG$3:$AG$43,Q99)))</f>
        <v/>
      </c>
      <c r="X99" s="22">
        <f t="shared" ca="1" si="19"/>
        <v>0</v>
      </c>
    </row>
    <row r="100" spans="2:24" x14ac:dyDescent="0.2">
      <c r="B100" s="106"/>
      <c r="C100" s="232"/>
      <c r="D100" s="261"/>
      <c r="E100" s="133"/>
      <c r="F100" s="8"/>
      <c r="G100" s="55"/>
      <c r="H100" s="55"/>
      <c r="I100" s="55"/>
      <c r="J100" s="55"/>
      <c r="K100" s="65">
        <v>43009</v>
      </c>
      <c r="L100" s="65">
        <v>0.16424800000000001</v>
      </c>
      <c r="M100" s="65">
        <v>-4.520380888565767</v>
      </c>
      <c r="N100" s="537">
        <v>0.99685098835381514</v>
      </c>
      <c r="O100" s="13" t="str">
        <f t="shared" ca="1" si="20"/>
        <v/>
      </c>
      <c r="P100" s="13" t="str">
        <f ca="1">IF(O100="","",WORKDAY(O100-1,1,FERIADOS!$A$1:$A$840))</f>
        <v/>
      </c>
      <c r="Q100" s="21">
        <f ca="1">IF(O100="",0,NETWORKDAYS($C$4,P100,FERIADOS!$A$1:$A$830)-1)</f>
        <v>0</v>
      </c>
      <c r="R100" s="605" t="str">
        <f t="shared" ca="1" si="21"/>
        <v/>
      </c>
      <c r="S100" s="23" t="str">
        <f t="shared" ca="1" si="18"/>
        <v/>
      </c>
      <c r="T100" s="14" t="str">
        <f t="shared" ca="1" si="13"/>
        <v/>
      </c>
      <c r="U100" s="23" t="str">
        <f t="shared" ca="1" si="14"/>
        <v/>
      </c>
      <c r="V100" s="11" t="str">
        <f t="shared" ca="1" si="15"/>
        <v/>
      </c>
      <c r="W100" s="99" t="str">
        <f ca="1">IF(O100="","",IF($E$5="X",_xll.Spline(Curva!$T$3:$T$43,Curva!$G$3:$G$43,Q100),_xll.Spline(Curva!$AF$3:$AF$43,Curva!$AG$3:$AG$43,Q100)))</f>
        <v/>
      </c>
      <c r="X100" s="22">
        <f t="shared" ca="1" si="19"/>
        <v>0</v>
      </c>
    </row>
    <row r="101" spans="2:24" x14ac:dyDescent="0.2">
      <c r="B101" s="106"/>
      <c r="C101" s="232"/>
      <c r="D101" s="261"/>
      <c r="E101" s="133"/>
      <c r="F101" s="8"/>
      <c r="G101" s="55"/>
      <c r="H101" s="55"/>
      <c r="I101" s="55"/>
      <c r="J101" s="55"/>
      <c r="K101" s="65">
        <v>43101</v>
      </c>
      <c r="L101" s="65">
        <v>0.16472899999999999</v>
      </c>
      <c r="M101" s="65">
        <v>-5.7102333739092455</v>
      </c>
      <c r="N101" s="537">
        <v>0.99625504653918884</v>
      </c>
      <c r="O101" s="13"/>
      <c r="P101" s="13"/>
      <c r="Q101" s="21"/>
      <c r="R101" s="22"/>
      <c r="S101" s="23"/>
      <c r="T101" s="14"/>
      <c r="U101" s="23"/>
      <c r="V101" s="11"/>
      <c r="W101" s="55"/>
    </row>
    <row r="102" spans="2:24" x14ac:dyDescent="0.2">
      <c r="B102" s="106"/>
      <c r="C102" s="232"/>
      <c r="D102" s="261"/>
      <c r="E102" s="133"/>
      <c r="F102" s="8"/>
      <c r="G102" s="55"/>
      <c r="H102" s="55"/>
      <c r="I102" s="55"/>
      <c r="J102" s="55"/>
      <c r="K102" s="65">
        <v>43282</v>
      </c>
      <c r="L102" s="65">
        <v>0.16634399999999999</v>
      </c>
      <c r="M102" s="65">
        <v>-5.5598158769282202</v>
      </c>
      <c r="N102" s="537">
        <v>0.99645412914589881</v>
      </c>
      <c r="O102" s="13"/>
      <c r="P102" s="13"/>
      <c r="Q102" s="21"/>
      <c r="R102" s="22"/>
      <c r="S102" s="23"/>
      <c r="T102" s="14"/>
      <c r="U102" s="23"/>
      <c r="V102" s="11"/>
      <c r="W102" s="55"/>
    </row>
    <row r="103" spans="2:24" x14ac:dyDescent="0.2">
      <c r="B103" s="106"/>
      <c r="C103" s="232"/>
      <c r="D103" s="261"/>
      <c r="E103" s="133"/>
      <c r="F103" s="8"/>
      <c r="G103" s="55"/>
      <c r="H103" s="55"/>
      <c r="I103" s="55"/>
      <c r="J103" s="55"/>
      <c r="K103" s="65">
        <v>43466</v>
      </c>
      <c r="L103" s="65">
        <v>0.16653099999999998</v>
      </c>
      <c r="M103" s="65">
        <v>-5.6898344399991529</v>
      </c>
      <c r="N103" s="537">
        <v>0.9964602320967243</v>
      </c>
      <c r="O103" s="13"/>
      <c r="P103" s="13"/>
      <c r="Q103" s="21"/>
      <c r="R103" s="22"/>
      <c r="S103" s="23"/>
      <c r="T103" s="14"/>
      <c r="U103" s="23"/>
      <c r="V103" s="11"/>
      <c r="W103" s="55"/>
    </row>
    <row r="104" spans="2:24" x14ac:dyDescent="0.2">
      <c r="B104" s="106"/>
      <c r="C104" s="232"/>
      <c r="D104" s="261"/>
      <c r="E104" s="133"/>
      <c r="F104" s="8"/>
      <c r="G104" s="55"/>
      <c r="H104" s="55"/>
      <c r="I104" s="55"/>
      <c r="J104" s="55"/>
      <c r="K104" s="65">
        <v>43647</v>
      </c>
      <c r="L104" s="65">
        <v>0.16657</v>
      </c>
      <c r="M104" s="65">
        <v>-5.2997688099620799</v>
      </c>
      <c r="N104" s="537">
        <v>0.99673056713126362</v>
      </c>
      <c r="O104" s="13"/>
      <c r="P104" s="13"/>
      <c r="Q104" s="21"/>
      <c r="R104" s="22"/>
      <c r="S104" s="23"/>
      <c r="T104" s="14"/>
      <c r="U104" s="23"/>
      <c r="V104" s="11"/>
      <c r="W104" s="55"/>
    </row>
    <row r="105" spans="2:24" x14ac:dyDescent="0.2">
      <c r="B105" s="106"/>
      <c r="C105" s="232"/>
      <c r="D105" s="261"/>
      <c r="E105" s="133"/>
      <c r="F105" s="8"/>
      <c r="G105" s="55"/>
      <c r="H105" s="55"/>
      <c r="I105" s="55"/>
      <c r="J105" s="55"/>
      <c r="K105" s="65"/>
      <c r="L105" s="65"/>
      <c r="M105" s="65"/>
      <c r="N105" s="537"/>
      <c r="O105" s="13"/>
      <c r="P105" s="13"/>
      <c r="Q105" s="21"/>
      <c r="R105" s="22"/>
      <c r="S105" s="23"/>
      <c r="T105" s="14"/>
      <c r="U105" s="23"/>
      <c r="V105" s="11"/>
      <c r="W105" s="55"/>
    </row>
    <row r="106" spans="2:24" x14ac:dyDescent="0.2">
      <c r="B106" s="106"/>
      <c r="C106" s="232"/>
      <c r="D106" s="261"/>
      <c r="E106" s="133"/>
      <c r="F106" s="8"/>
      <c r="G106" s="55"/>
      <c r="H106" s="55"/>
      <c r="I106" s="55"/>
      <c r="J106" s="55"/>
      <c r="K106" s="65"/>
      <c r="L106" s="65"/>
      <c r="M106" s="65"/>
      <c r="N106" s="537"/>
      <c r="O106"/>
      <c r="P106"/>
      <c r="Q106"/>
      <c r="R106"/>
      <c r="S106" s="23"/>
      <c r="T106" s="14"/>
      <c r="U106" s="23"/>
      <c r="V106" s="11"/>
      <c r="W106" s="55"/>
    </row>
    <row r="107" spans="2:24" x14ac:dyDescent="0.2">
      <c r="B107" s="106"/>
      <c r="C107" s="232"/>
      <c r="D107" s="261"/>
      <c r="E107" s="133"/>
      <c r="F107" s="8"/>
      <c r="G107" s="55"/>
      <c r="H107" s="55"/>
      <c r="I107" s="55"/>
      <c r="J107" s="55"/>
      <c r="K107" s="65"/>
      <c r="L107" s="65"/>
      <c r="M107" s="65"/>
      <c r="N107" s="537"/>
      <c r="O107"/>
      <c r="P107"/>
      <c r="Q107"/>
      <c r="R107"/>
      <c r="S107" s="23"/>
      <c r="T107" s="14"/>
      <c r="U107" s="23"/>
      <c r="V107" s="11"/>
      <c r="W107" s="55"/>
    </row>
    <row r="108" spans="2:24" x14ac:dyDescent="0.2">
      <c r="B108" s="106"/>
      <c r="C108" s="232"/>
      <c r="D108" s="261"/>
      <c r="E108" s="133"/>
      <c r="F108" s="8"/>
      <c r="G108" s="55"/>
      <c r="H108" s="55"/>
      <c r="I108" s="55"/>
      <c r="J108" s="55"/>
      <c r="K108" s="65"/>
      <c r="L108" s="65"/>
      <c r="M108" s="65"/>
      <c r="N108" s="537"/>
      <c r="O108"/>
      <c r="P108" s="258"/>
      <c r="Q108"/>
      <c r="R108"/>
      <c r="S108" s="23"/>
      <c r="T108" s="14"/>
      <c r="U108" s="23"/>
      <c r="V108" s="11"/>
      <c r="W108" s="55"/>
    </row>
    <row r="109" spans="2:24" x14ac:dyDescent="0.2">
      <c r="B109" s="106"/>
      <c r="C109" s="232"/>
      <c r="D109" s="261"/>
      <c r="E109" s="133"/>
      <c r="F109" s="8"/>
      <c r="G109" s="55"/>
      <c r="H109" s="55"/>
      <c r="I109" s="55"/>
      <c r="J109" s="55"/>
      <c r="K109" s="65"/>
      <c r="L109" s="65"/>
      <c r="M109" s="65"/>
      <c r="N109" s="537"/>
      <c r="O109"/>
      <c r="P109" s="260"/>
      <c r="Q109"/>
      <c r="R109"/>
    </row>
    <row r="110" spans="2:24" x14ac:dyDescent="0.2">
      <c r="B110" s="106"/>
      <c r="C110" s="232"/>
      <c r="D110" s="261"/>
      <c r="E110" s="133"/>
      <c r="F110" s="8"/>
      <c r="G110" s="55"/>
      <c r="H110" s="55"/>
      <c r="I110" s="55"/>
      <c r="J110" s="55"/>
      <c r="K110" s="65"/>
      <c r="L110" s="65"/>
      <c r="M110" s="65"/>
      <c r="N110" s="537"/>
      <c r="O110"/>
      <c r="P110" s="260"/>
      <c r="Q110"/>
      <c r="R110"/>
    </row>
    <row r="111" spans="2:24" x14ac:dyDescent="0.2">
      <c r="B111" s="106"/>
      <c r="C111" s="232"/>
      <c r="D111" s="261"/>
      <c r="E111" s="133"/>
      <c r="F111" s="8"/>
      <c r="G111" s="55"/>
      <c r="H111" s="55"/>
      <c r="I111" s="55"/>
      <c r="J111" s="55"/>
      <c r="K111" s="65"/>
      <c r="L111" s="65"/>
      <c r="M111" s="65"/>
      <c r="N111" s="537"/>
      <c r="O111"/>
      <c r="P111" s="260"/>
      <c r="Q111"/>
      <c r="R111"/>
    </row>
    <row r="112" spans="2:24" x14ac:dyDescent="0.2">
      <c r="B112" s="106"/>
      <c r="C112" s="232"/>
      <c r="D112" s="261"/>
      <c r="E112" s="133"/>
      <c r="F112" s="8"/>
      <c r="G112" s="55"/>
      <c r="H112" s="55"/>
      <c r="I112" s="55"/>
      <c r="J112" s="55"/>
      <c r="K112" s="65"/>
      <c r="L112" s="65"/>
      <c r="M112" s="65"/>
      <c r="N112" s="537"/>
      <c r="O112"/>
      <c r="P112" s="260"/>
      <c r="Q112"/>
      <c r="R112"/>
    </row>
    <row r="113" spans="2:18" x14ac:dyDescent="0.2">
      <c r="B113" s="106"/>
      <c r="C113" s="232"/>
      <c r="D113" s="261"/>
      <c r="E113" s="133"/>
      <c r="F113" s="8"/>
      <c r="G113" s="55"/>
      <c r="H113" s="55"/>
      <c r="I113" s="55"/>
      <c r="J113" s="55"/>
      <c r="K113" s="65"/>
      <c r="L113" s="65"/>
      <c r="M113" s="65"/>
      <c r="N113" s="537"/>
      <c r="O113"/>
      <c r="P113" s="260"/>
      <c r="Q113"/>
      <c r="R113"/>
    </row>
    <row r="114" spans="2:18" x14ac:dyDescent="0.2">
      <c r="B114" s="106"/>
      <c r="C114" s="232"/>
      <c r="D114" s="261"/>
      <c r="E114" s="133"/>
      <c r="F114" s="8"/>
      <c r="G114" s="55"/>
      <c r="H114" s="55"/>
      <c r="I114" s="55"/>
      <c r="J114" s="55"/>
      <c r="K114" s="65"/>
      <c r="L114" s="65"/>
      <c r="M114" s="65"/>
      <c r="N114" s="537"/>
      <c r="O114"/>
      <c r="P114" s="260"/>
      <c r="Q114"/>
      <c r="R114"/>
    </row>
    <row r="115" spans="2:18" x14ac:dyDescent="0.2">
      <c r="B115" s="106"/>
      <c r="C115" s="232"/>
      <c r="D115" s="261"/>
      <c r="E115" s="133"/>
      <c r="F115" s="8"/>
      <c r="G115" s="55"/>
      <c r="H115" s="55"/>
      <c r="I115" s="55"/>
      <c r="J115" s="55"/>
      <c r="K115" s="65"/>
      <c r="L115" s="65"/>
      <c r="M115" s="65"/>
      <c r="N115" s="537"/>
      <c r="O115"/>
      <c r="P115" s="260"/>
      <c r="Q115"/>
      <c r="R115"/>
    </row>
    <row r="116" spans="2:18" x14ac:dyDescent="0.2">
      <c r="B116" s="106"/>
      <c r="C116" s="232"/>
      <c r="D116" s="261"/>
      <c r="E116" s="133"/>
      <c r="F116" s="8"/>
      <c r="G116" s="55"/>
      <c r="H116" s="55"/>
      <c r="I116" s="55"/>
      <c r="J116" s="55"/>
      <c r="K116" s="65"/>
      <c r="L116" s="65"/>
      <c r="M116" s="65"/>
      <c r="N116" s="537"/>
      <c r="O116"/>
      <c r="P116" s="260"/>
      <c r="Q116"/>
      <c r="R116"/>
    </row>
    <row r="117" spans="2:18" x14ac:dyDescent="0.2">
      <c r="B117" s="106"/>
      <c r="C117" s="232"/>
      <c r="D117" s="261"/>
      <c r="E117" s="133"/>
      <c r="F117" s="8"/>
      <c r="G117" s="55"/>
      <c r="H117" s="55"/>
      <c r="I117" s="55"/>
      <c r="J117" s="55"/>
      <c r="K117" s="65"/>
      <c r="L117" s="65"/>
      <c r="M117" s="65"/>
      <c r="N117" s="537"/>
      <c r="O117"/>
      <c r="P117" s="260"/>
      <c r="Q117"/>
      <c r="R117"/>
    </row>
    <row r="118" spans="2:18" x14ac:dyDescent="0.2">
      <c r="B118" s="106"/>
      <c r="C118" s="232"/>
      <c r="D118" s="261"/>
      <c r="E118" s="133"/>
      <c r="F118" s="8"/>
      <c r="G118" s="55"/>
      <c r="H118" s="55"/>
      <c r="I118" s="55"/>
      <c r="J118" s="55"/>
      <c r="K118" s="65"/>
      <c r="L118" s="65"/>
      <c r="M118" s="65"/>
      <c r="N118" s="537"/>
      <c r="O118"/>
      <c r="P118" s="260"/>
      <c r="Q118"/>
      <c r="R118"/>
    </row>
    <row r="119" spans="2:18" x14ac:dyDescent="0.2">
      <c r="B119" s="106"/>
      <c r="C119" s="232"/>
      <c r="D119" s="261"/>
      <c r="E119" s="133"/>
      <c r="F119" s="8"/>
      <c r="G119" s="55"/>
      <c r="H119" s="55"/>
      <c r="I119" s="55"/>
      <c r="J119" s="55"/>
      <c r="K119" s="65"/>
      <c r="L119" s="65"/>
      <c r="M119" s="65"/>
      <c r="N119" s="537"/>
      <c r="O119"/>
      <c r="P119" s="260"/>
      <c r="Q119"/>
      <c r="R119"/>
    </row>
    <row r="120" spans="2:18" x14ac:dyDescent="0.2">
      <c r="B120" s="106"/>
      <c r="C120" s="232"/>
      <c r="D120" s="261"/>
      <c r="E120" s="133"/>
      <c r="F120" s="8"/>
      <c r="G120" s="55"/>
      <c r="H120" s="55"/>
      <c r="I120" s="55"/>
      <c r="J120" s="55"/>
      <c r="K120" s="65"/>
      <c r="L120" s="65"/>
      <c r="M120" s="65"/>
      <c r="N120" s="537"/>
      <c r="O120"/>
      <c r="P120" s="260"/>
      <c r="Q120" s="258"/>
      <c r="R120" s="258"/>
    </row>
    <row r="121" spans="2:18" x14ac:dyDescent="0.2">
      <c r="B121" s="106"/>
      <c r="C121" s="232"/>
      <c r="D121" s="261"/>
      <c r="E121" s="133"/>
      <c r="F121" s="8"/>
      <c r="G121" s="55"/>
      <c r="H121" s="55"/>
      <c r="I121" s="55"/>
      <c r="J121" s="55"/>
      <c r="K121" s="65"/>
      <c r="L121" s="65"/>
      <c r="M121" s="65"/>
      <c r="N121" s="537"/>
      <c r="O121"/>
      <c r="P121" s="260"/>
      <c r="Q121" s="183"/>
      <c r="R121" s="183"/>
    </row>
    <row r="122" spans="2:18" x14ac:dyDescent="0.2">
      <c r="B122" s="106"/>
      <c r="C122" s="232"/>
      <c r="D122" s="261"/>
      <c r="E122" s="133"/>
      <c r="F122" s="8"/>
      <c r="G122" s="55"/>
      <c r="H122" s="55"/>
      <c r="I122" s="55"/>
      <c r="J122" s="55"/>
      <c r="K122" s="65"/>
      <c r="L122" s="65"/>
      <c r="M122" s="65"/>
      <c r="N122" s="537"/>
      <c r="O122"/>
      <c r="P122" s="260"/>
      <c r="Q122"/>
      <c r="R122"/>
    </row>
    <row r="123" spans="2:18" x14ac:dyDescent="0.2">
      <c r="B123" s="106"/>
      <c r="C123" s="232"/>
      <c r="D123" s="261"/>
      <c r="E123" s="133"/>
      <c r="F123" s="8"/>
      <c r="G123" s="55"/>
      <c r="H123" s="55"/>
      <c r="I123" s="55"/>
      <c r="J123" s="55"/>
      <c r="K123" s="65"/>
      <c r="L123" s="65"/>
      <c r="M123" s="65"/>
      <c r="N123" s="537"/>
      <c r="O123" s="276"/>
      <c r="P123" s="275"/>
      <c r="Q123" s="211"/>
      <c r="R123"/>
    </row>
    <row r="124" spans="2:18" x14ac:dyDescent="0.2">
      <c r="B124" s="106"/>
      <c r="C124" s="232"/>
      <c r="D124" s="261"/>
      <c r="E124" s="133"/>
      <c r="F124" s="8"/>
      <c r="G124" s="55"/>
      <c r="H124" s="55"/>
      <c r="I124" s="55"/>
      <c r="J124" s="55"/>
      <c r="K124" s="65"/>
      <c r="L124" s="65"/>
      <c r="M124" s="65"/>
      <c r="N124" s="537"/>
      <c r="O124" s="276"/>
      <c r="P124" s="275"/>
      <c r="Q124" s="211"/>
      <c r="R124"/>
    </row>
    <row r="125" spans="2:18" x14ac:dyDescent="0.2">
      <c r="B125" s="106"/>
      <c r="C125" s="232"/>
      <c r="D125" s="261"/>
      <c r="E125" s="133"/>
      <c r="F125" s="8"/>
      <c r="G125" s="55"/>
      <c r="H125" s="55"/>
      <c r="I125" s="55"/>
      <c r="J125" s="55"/>
      <c r="K125" s="65"/>
      <c r="L125" s="65"/>
      <c r="M125" s="65"/>
      <c r="N125" s="537"/>
      <c r="O125" s="276"/>
      <c r="P125" s="275"/>
      <c r="Q125" s="211"/>
      <c r="R125"/>
    </row>
    <row r="126" spans="2:18" x14ac:dyDescent="0.2">
      <c r="B126" s="106"/>
      <c r="C126" s="232"/>
      <c r="D126" s="261"/>
      <c r="E126" s="133"/>
      <c r="F126" s="8"/>
      <c r="G126" s="55"/>
      <c r="H126" s="55"/>
      <c r="I126" s="55"/>
      <c r="J126" s="55"/>
      <c r="K126" s="65"/>
      <c r="L126" s="65"/>
      <c r="M126" s="65"/>
      <c r="N126" s="537"/>
      <c r="O126"/>
      <c r="P126" s="260"/>
      <c r="Q126"/>
      <c r="R126"/>
    </row>
    <row r="127" spans="2:18" x14ac:dyDescent="0.2">
      <c r="B127" s="106"/>
      <c r="C127" s="232"/>
      <c r="D127" s="261"/>
      <c r="E127" s="133"/>
      <c r="F127" s="8"/>
      <c r="G127" s="55"/>
      <c r="H127" s="55"/>
      <c r="I127" s="55"/>
      <c r="J127" s="55"/>
      <c r="K127" s="65"/>
      <c r="L127" s="65"/>
      <c r="M127" s="65"/>
      <c r="N127" s="537"/>
      <c r="O127"/>
      <c r="P127" s="260"/>
      <c r="Q127"/>
      <c r="R127"/>
    </row>
    <row r="128" spans="2:18" x14ac:dyDescent="0.2">
      <c r="B128" s="106"/>
      <c r="C128" s="232"/>
      <c r="D128" s="261"/>
      <c r="E128" s="133"/>
      <c r="F128" s="8"/>
      <c r="G128" s="55"/>
      <c r="H128" s="55"/>
      <c r="I128" s="55"/>
      <c r="J128" s="55"/>
      <c r="K128" s="65"/>
      <c r="L128" s="65"/>
      <c r="M128" s="65"/>
      <c r="N128" s="537"/>
      <c r="O128"/>
      <c r="P128" s="260"/>
      <c r="Q128"/>
      <c r="R128"/>
    </row>
    <row r="129" spans="2:18" x14ac:dyDescent="0.2">
      <c r="B129" s="106"/>
      <c r="C129" s="232"/>
      <c r="D129" s="261"/>
      <c r="E129" s="133"/>
      <c r="F129" s="8"/>
      <c r="G129" s="55"/>
      <c r="H129" s="55"/>
      <c r="I129" s="55"/>
      <c r="J129" s="55"/>
      <c r="K129" s="65"/>
      <c r="L129" s="65"/>
      <c r="M129" s="65"/>
      <c r="N129" s="537"/>
      <c r="O129"/>
      <c r="P129" s="260"/>
      <c r="Q129"/>
      <c r="R129"/>
    </row>
    <row r="130" spans="2:18" x14ac:dyDescent="0.2">
      <c r="B130" s="106"/>
      <c r="C130" s="232"/>
      <c r="D130" s="261"/>
      <c r="E130" s="133"/>
      <c r="F130" s="8"/>
      <c r="G130" s="55"/>
      <c r="H130" s="55"/>
      <c r="I130" s="55"/>
      <c r="J130" s="55"/>
      <c r="K130" s="65"/>
      <c r="L130" s="65"/>
      <c r="M130" s="65"/>
      <c r="N130" s="537"/>
      <c r="O130"/>
      <c r="P130" s="260"/>
      <c r="Q130"/>
      <c r="R130"/>
    </row>
    <row r="131" spans="2:18" x14ac:dyDescent="0.2">
      <c r="B131" s="106"/>
      <c r="C131" s="232"/>
      <c r="D131" s="261"/>
      <c r="E131" s="133"/>
      <c r="F131" s="8"/>
      <c r="G131" s="55"/>
      <c r="H131" s="55"/>
      <c r="I131" s="55"/>
      <c r="J131" s="55"/>
      <c r="K131" s="65"/>
      <c r="L131" s="65"/>
      <c r="M131" s="65"/>
      <c r="N131" s="537"/>
      <c r="O131"/>
      <c r="P131" s="260"/>
      <c r="Q131"/>
      <c r="R131"/>
    </row>
    <row r="132" spans="2:18" x14ac:dyDescent="0.2">
      <c r="B132" s="106"/>
      <c r="C132" s="232"/>
      <c r="D132" s="261"/>
      <c r="E132" s="133"/>
      <c r="F132" s="8"/>
      <c r="G132" s="55"/>
      <c r="H132" s="55"/>
      <c r="I132" s="55"/>
      <c r="J132" s="55"/>
      <c r="K132" s="65"/>
      <c r="L132" s="65"/>
      <c r="M132" s="65"/>
      <c r="N132" s="537"/>
      <c r="O132"/>
      <c r="P132" s="260"/>
      <c r="Q132"/>
      <c r="R132"/>
    </row>
    <row r="133" spans="2:18" x14ac:dyDescent="0.2">
      <c r="B133" s="106"/>
      <c r="C133" s="232"/>
      <c r="D133" s="261"/>
      <c r="E133" s="133"/>
      <c r="F133" s="8"/>
      <c r="G133" s="55"/>
      <c r="H133" s="55"/>
      <c r="I133" s="55"/>
      <c r="J133" s="55"/>
      <c r="K133" s="65"/>
      <c r="L133" s="65"/>
      <c r="M133" s="65"/>
      <c r="N133" s="537"/>
      <c r="O133"/>
      <c r="P133" s="260"/>
      <c r="Q133"/>
      <c r="R133"/>
    </row>
    <row r="134" spans="2:18" x14ac:dyDescent="0.2">
      <c r="B134" s="106"/>
      <c r="C134" s="232"/>
      <c r="D134" s="261"/>
      <c r="E134" s="133"/>
      <c r="F134" s="8"/>
      <c r="G134" s="55"/>
      <c r="H134" s="55"/>
      <c r="I134" s="55"/>
      <c r="J134" s="55"/>
      <c r="K134" s="65"/>
      <c r="L134" s="65"/>
      <c r="M134" s="65"/>
      <c r="N134" s="537"/>
      <c r="O134"/>
      <c r="P134" s="260"/>
      <c r="Q134"/>
      <c r="R134"/>
    </row>
    <row r="135" spans="2:18" x14ac:dyDescent="0.2">
      <c r="B135" s="106"/>
      <c r="C135" s="232"/>
      <c r="D135" s="261"/>
      <c r="E135" s="133"/>
      <c r="F135" s="8"/>
      <c r="G135" s="55"/>
      <c r="H135" s="55"/>
      <c r="I135" s="55"/>
      <c r="J135" s="55"/>
      <c r="K135" s="65"/>
      <c r="L135" s="65"/>
      <c r="M135" s="65"/>
      <c r="N135" s="537"/>
      <c r="O135"/>
      <c r="P135" s="260"/>
      <c r="Q135"/>
      <c r="R135"/>
    </row>
    <row r="136" spans="2:18" x14ac:dyDescent="0.2">
      <c r="B136" s="106"/>
      <c r="C136" s="232"/>
      <c r="D136" s="261"/>
      <c r="E136" s="133"/>
      <c r="F136" s="8"/>
      <c r="G136" s="55"/>
      <c r="H136" s="55"/>
      <c r="I136" s="55"/>
      <c r="J136" s="55"/>
      <c r="K136" s="65"/>
      <c r="L136" s="65"/>
      <c r="M136" s="65"/>
      <c r="N136" s="537"/>
      <c r="O136"/>
      <c r="P136" s="260"/>
      <c r="Q136"/>
      <c r="R136"/>
    </row>
    <row r="137" spans="2:18" x14ac:dyDescent="0.2">
      <c r="B137" s="106"/>
      <c r="C137" s="232"/>
      <c r="D137" s="261"/>
      <c r="E137" s="133"/>
      <c r="F137" s="8"/>
      <c r="G137" s="55"/>
      <c r="H137" s="55"/>
      <c r="I137" s="55"/>
      <c r="J137" s="55"/>
      <c r="K137" s="65"/>
      <c r="L137" s="65"/>
      <c r="M137" s="65"/>
      <c r="N137" s="537"/>
      <c r="O137"/>
      <c r="P137" s="260"/>
      <c r="Q137"/>
      <c r="R137"/>
    </row>
    <row r="138" spans="2:18" x14ac:dyDescent="0.2">
      <c r="B138" s="106"/>
      <c r="C138" s="232"/>
      <c r="D138" s="261"/>
      <c r="E138" s="133"/>
      <c r="F138" s="8"/>
      <c r="G138" s="55"/>
      <c r="H138" s="55"/>
      <c r="I138" s="55"/>
      <c r="J138" s="55"/>
      <c r="K138" s="65"/>
      <c r="L138" s="65"/>
      <c r="M138" s="65"/>
      <c r="N138" s="537"/>
      <c r="O138"/>
      <c r="P138" s="260"/>
      <c r="Q138"/>
      <c r="R138"/>
    </row>
    <row r="139" spans="2:18" x14ac:dyDescent="0.2">
      <c r="B139" s="106"/>
      <c r="C139" s="232"/>
      <c r="D139" s="261"/>
      <c r="E139" s="133"/>
      <c r="F139" s="8"/>
      <c r="G139" s="55"/>
      <c r="H139" s="55"/>
      <c r="I139" s="55"/>
      <c r="J139" s="55"/>
      <c r="K139" s="65"/>
      <c r="L139" s="65"/>
      <c r="M139" s="65"/>
      <c r="N139" s="537"/>
      <c r="O139"/>
      <c r="P139" s="260"/>
      <c r="Q139"/>
      <c r="R139"/>
    </row>
    <row r="140" spans="2:18" x14ac:dyDescent="0.2">
      <c r="B140" s="106"/>
      <c r="C140" s="232"/>
      <c r="D140" s="261"/>
      <c r="E140" s="133"/>
      <c r="F140" s="8"/>
      <c r="G140" s="55"/>
      <c r="H140" s="55"/>
      <c r="I140" s="55"/>
      <c r="J140" s="55"/>
      <c r="K140" s="65"/>
      <c r="L140" s="65"/>
      <c r="M140" s="65"/>
      <c r="N140" s="537"/>
      <c r="O140"/>
      <c r="P140" s="260"/>
      <c r="Q140"/>
      <c r="R140"/>
    </row>
    <row r="141" spans="2:18" x14ac:dyDescent="0.2">
      <c r="B141" s="106"/>
      <c r="C141" s="232"/>
      <c r="D141" s="261"/>
      <c r="E141" s="133"/>
      <c r="F141" s="8"/>
      <c r="G141" s="55"/>
      <c r="H141" s="55"/>
      <c r="I141" s="55"/>
      <c r="J141" s="55"/>
      <c r="K141" s="65"/>
      <c r="L141" s="65"/>
      <c r="M141" s="65"/>
      <c r="N141" s="537"/>
      <c r="O141"/>
      <c r="P141" s="260"/>
      <c r="Q141"/>
      <c r="R141"/>
    </row>
    <row r="142" spans="2:18" x14ac:dyDescent="0.2">
      <c r="B142" s="106"/>
      <c r="C142" s="232"/>
      <c r="D142" s="261"/>
      <c r="E142" s="133"/>
      <c r="F142" s="8"/>
      <c r="G142" s="55"/>
      <c r="H142" s="55"/>
      <c r="I142" s="55"/>
      <c r="J142" s="55"/>
      <c r="K142" s="65"/>
      <c r="L142" s="65"/>
      <c r="M142" s="65"/>
      <c r="N142" s="537"/>
      <c r="O142"/>
      <c r="P142" s="260"/>
      <c r="Q142"/>
      <c r="R142"/>
    </row>
    <row r="143" spans="2:18" x14ac:dyDescent="0.2">
      <c r="B143" s="106"/>
      <c r="C143" s="232"/>
      <c r="D143" s="261"/>
      <c r="E143" s="133"/>
      <c r="F143" s="8"/>
      <c r="G143" s="55"/>
      <c r="H143" s="55"/>
      <c r="I143" s="55"/>
      <c r="J143" s="55"/>
      <c r="K143" s="65"/>
      <c r="L143" s="65"/>
      <c r="M143" s="65"/>
      <c r="N143" s="537"/>
      <c r="O143"/>
      <c r="P143" s="260"/>
      <c r="Q143"/>
      <c r="R143"/>
    </row>
    <row r="144" spans="2:18" x14ac:dyDescent="0.2">
      <c r="B144" s="106"/>
      <c r="C144" s="232"/>
      <c r="D144" s="261"/>
      <c r="E144" s="133"/>
      <c r="F144" s="8"/>
      <c r="G144" s="55"/>
      <c r="H144" s="55"/>
      <c r="I144" s="55"/>
      <c r="J144" s="55"/>
      <c r="K144" s="65"/>
      <c r="L144" s="65"/>
      <c r="M144" s="65"/>
      <c r="N144" s="537"/>
      <c r="O144"/>
      <c r="P144" s="260"/>
      <c r="Q144"/>
      <c r="R144"/>
    </row>
    <row r="145" spans="2:18" x14ac:dyDescent="0.2">
      <c r="B145" s="106"/>
      <c r="C145" s="232"/>
      <c r="D145" s="261"/>
      <c r="E145" s="133"/>
      <c r="F145" s="8"/>
      <c r="G145" s="55"/>
      <c r="H145" s="55"/>
      <c r="I145" s="55"/>
      <c r="J145" s="55"/>
      <c r="K145" s="65"/>
      <c r="L145" s="65"/>
      <c r="M145" s="65"/>
      <c r="N145" s="537"/>
      <c r="O145"/>
      <c r="P145" s="260"/>
      <c r="Q145"/>
      <c r="R145"/>
    </row>
    <row r="146" spans="2:18" x14ac:dyDescent="0.2">
      <c r="B146" s="106"/>
      <c r="C146" s="232"/>
      <c r="D146" s="261"/>
      <c r="E146" s="133"/>
      <c r="F146" s="8"/>
      <c r="G146" s="55"/>
      <c r="H146" s="55"/>
      <c r="I146" s="55"/>
      <c r="J146" s="55"/>
      <c r="K146" s="65"/>
      <c r="L146" s="65"/>
      <c r="M146" s="65"/>
      <c r="N146" s="537"/>
      <c r="O146"/>
      <c r="P146" s="260"/>
      <c r="Q146"/>
      <c r="R146"/>
    </row>
    <row r="147" spans="2:18" x14ac:dyDescent="0.2">
      <c r="B147" s="106"/>
      <c r="C147" s="232"/>
      <c r="D147" s="261"/>
      <c r="E147" s="133"/>
      <c r="F147" s="8"/>
      <c r="G147" s="55"/>
      <c r="H147" s="55"/>
      <c r="I147" s="55"/>
      <c r="J147" s="55"/>
      <c r="K147" s="65"/>
      <c r="L147" s="65"/>
      <c r="M147" s="65"/>
      <c r="N147" s="537"/>
      <c r="O147"/>
      <c r="P147" s="260"/>
      <c r="Q147"/>
      <c r="R147"/>
    </row>
    <row r="148" spans="2:18" x14ac:dyDescent="0.2">
      <c r="B148" s="106"/>
      <c r="C148" s="232"/>
      <c r="D148" s="261"/>
      <c r="E148" s="133"/>
      <c r="F148" s="8"/>
      <c r="G148" s="55"/>
      <c r="H148" s="55"/>
      <c r="I148" s="55"/>
      <c r="J148" s="55"/>
      <c r="K148" s="65"/>
      <c r="L148" s="65"/>
      <c r="M148" s="65"/>
      <c r="N148" s="537"/>
      <c r="O148"/>
      <c r="P148" s="260"/>
      <c r="Q148"/>
      <c r="R148"/>
    </row>
    <row r="149" spans="2:18" x14ac:dyDescent="0.2">
      <c r="B149" s="106"/>
      <c r="C149" s="232"/>
      <c r="D149" s="261"/>
      <c r="E149" s="133"/>
      <c r="F149" s="8"/>
      <c r="G149" s="55"/>
      <c r="H149" s="55"/>
      <c r="I149" s="55"/>
      <c r="J149" s="55"/>
      <c r="K149" s="65"/>
      <c r="L149" s="65"/>
      <c r="M149" s="65"/>
      <c r="N149" s="537"/>
      <c r="O149"/>
      <c r="P149" s="260"/>
      <c r="Q149"/>
      <c r="R149"/>
    </row>
    <row r="150" spans="2:18" x14ac:dyDescent="0.2">
      <c r="B150" s="106"/>
      <c r="C150" s="232"/>
      <c r="D150" s="261"/>
      <c r="E150" s="133"/>
      <c r="F150" s="8"/>
      <c r="G150" s="55"/>
      <c r="H150" s="55"/>
      <c r="I150" s="55"/>
      <c r="J150" s="55"/>
      <c r="K150" s="65"/>
      <c r="L150" s="65"/>
      <c r="M150" s="65"/>
      <c r="N150" s="537"/>
      <c r="O150"/>
      <c r="P150" s="260"/>
      <c r="Q150"/>
      <c r="R150"/>
    </row>
    <row r="151" spans="2:18" x14ac:dyDescent="0.2">
      <c r="B151" s="106"/>
      <c r="C151" s="232"/>
      <c r="D151" s="261"/>
      <c r="E151" s="133"/>
      <c r="F151" s="8"/>
      <c r="G151" s="55"/>
      <c r="H151" s="55"/>
      <c r="I151" s="55"/>
      <c r="J151" s="55"/>
      <c r="K151" s="65"/>
      <c r="L151" s="65"/>
      <c r="M151" s="65"/>
      <c r="N151" s="537"/>
      <c r="O151"/>
      <c r="P151" s="260"/>
      <c r="Q151"/>
      <c r="R151"/>
    </row>
    <row r="152" spans="2:18" x14ac:dyDescent="0.2">
      <c r="B152" s="106"/>
      <c r="C152" s="232"/>
      <c r="D152" s="261"/>
      <c r="E152" s="133"/>
      <c r="F152" s="8"/>
      <c r="G152" s="55"/>
      <c r="H152" s="55"/>
      <c r="I152" s="55"/>
      <c r="J152" s="55"/>
      <c r="K152" s="65"/>
      <c r="L152" s="65"/>
      <c r="M152" s="65"/>
      <c r="N152" s="537"/>
      <c r="O152"/>
      <c r="P152" s="260"/>
      <c r="Q152"/>
      <c r="R152"/>
    </row>
    <row r="153" spans="2:18" x14ac:dyDescent="0.2">
      <c r="B153" s="106"/>
      <c r="C153" s="232"/>
      <c r="D153" s="261"/>
      <c r="E153" s="133"/>
      <c r="F153" s="8"/>
      <c r="G153" s="55"/>
      <c r="H153" s="55"/>
      <c r="I153" s="55"/>
      <c r="J153" s="55"/>
      <c r="K153" s="65"/>
      <c r="L153" s="65"/>
      <c r="M153" s="65"/>
      <c r="N153" s="537"/>
      <c r="O153"/>
      <c r="P153" s="260"/>
      <c r="Q153"/>
      <c r="R153"/>
    </row>
    <row r="154" spans="2:18" x14ac:dyDescent="0.2">
      <c r="B154" s="106"/>
      <c r="C154" s="232"/>
      <c r="D154" s="261"/>
      <c r="E154" s="133"/>
      <c r="F154" s="8"/>
      <c r="G154" s="55"/>
      <c r="H154" s="55"/>
      <c r="I154" s="55"/>
      <c r="J154" s="55"/>
      <c r="K154" s="65"/>
      <c r="L154" s="65"/>
      <c r="M154" s="65"/>
      <c r="N154" s="537"/>
      <c r="O154"/>
      <c r="P154" s="260"/>
      <c r="Q154"/>
      <c r="R154"/>
    </row>
    <row r="155" spans="2:18" x14ac:dyDescent="0.2">
      <c r="B155" s="106"/>
      <c r="C155" s="232"/>
      <c r="D155" s="261"/>
      <c r="E155" s="133"/>
      <c r="F155" s="8"/>
      <c r="G155" s="55"/>
      <c r="H155" s="55"/>
      <c r="I155" s="55"/>
      <c r="J155" s="55"/>
      <c r="K155" s="65"/>
      <c r="L155" s="65"/>
      <c r="M155" s="65"/>
      <c r="N155" s="537"/>
      <c r="O155"/>
      <c r="P155" s="260"/>
      <c r="Q155"/>
      <c r="R155"/>
    </row>
    <row r="156" spans="2:18" x14ac:dyDescent="0.2">
      <c r="B156" s="106"/>
      <c r="C156" s="232"/>
      <c r="D156" s="261"/>
      <c r="E156" s="133"/>
      <c r="F156" s="8"/>
      <c r="G156" s="55"/>
      <c r="H156" s="55"/>
      <c r="I156" s="55"/>
      <c r="J156" s="55"/>
      <c r="K156" s="65"/>
      <c r="L156" s="65"/>
      <c r="M156" s="65"/>
      <c r="N156" s="537"/>
      <c r="O156"/>
      <c r="P156" s="260"/>
      <c r="Q156"/>
      <c r="R156"/>
    </row>
    <row r="157" spans="2:18" x14ac:dyDescent="0.2">
      <c r="B157" s="106"/>
      <c r="C157" s="232"/>
      <c r="D157" s="261"/>
      <c r="E157" s="133"/>
      <c r="F157" s="8"/>
      <c r="G157" s="55"/>
      <c r="H157" s="55"/>
      <c r="I157" s="55"/>
      <c r="J157" s="55"/>
      <c r="K157" s="65"/>
      <c r="L157" s="65"/>
      <c r="M157" s="65"/>
      <c r="N157" s="537"/>
      <c r="O157"/>
      <c r="P157" s="260"/>
      <c r="Q157"/>
      <c r="R157"/>
    </row>
    <row r="158" spans="2:18" x14ac:dyDescent="0.2">
      <c r="B158" s="106"/>
      <c r="C158" s="232"/>
      <c r="D158" s="261"/>
      <c r="E158" s="133"/>
      <c r="F158" s="8"/>
      <c r="G158" s="55"/>
      <c r="H158" s="55"/>
      <c r="I158" s="55"/>
      <c r="J158" s="55"/>
      <c r="K158" s="65"/>
      <c r="L158" s="65"/>
      <c r="M158" s="65"/>
      <c r="N158" s="537"/>
      <c r="O158"/>
      <c r="P158" s="260"/>
      <c r="Q158"/>
      <c r="R158"/>
    </row>
    <row r="159" spans="2:18" x14ac:dyDescent="0.2">
      <c r="B159" s="106"/>
      <c r="C159" s="232"/>
      <c r="D159" s="261"/>
      <c r="E159" s="133"/>
      <c r="F159" s="8"/>
      <c r="G159" s="55"/>
      <c r="H159" s="55"/>
      <c r="I159" s="55"/>
      <c r="J159" s="55"/>
      <c r="K159" s="65"/>
      <c r="L159" s="65"/>
      <c r="M159" s="65"/>
      <c r="N159" s="537"/>
      <c r="O159"/>
      <c r="P159" s="260"/>
      <c r="Q159"/>
      <c r="R159"/>
    </row>
    <row r="160" spans="2:18" x14ac:dyDescent="0.2">
      <c r="B160" s="106"/>
      <c r="C160" s="232"/>
      <c r="D160" s="261"/>
      <c r="E160" s="133"/>
      <c r="F160" s="8"/>
      <c r="G160" s="55"/>
      <c r="H160" s="55"/>
      <c r="I160" s="55"/>
      <c r="J160" s="55"/>
      <c r="K160" s="65"/>
      <c r="L160" s="65"/>
      <c r="M160" s="65"/>
      <c r="N160" s="537"/>
      <c r="O160"/>
      <c r="P160" s="260"/>
      <c r="Q160"/>
      <c r="R160"/>
    </row>
    <row r="161" spans="2:18" x14ac:dyDescent="0.2">
      <c r="B161" s="106"/>
      <c r="C161" s="232"/>
      <c r="D161" s="261"/>
      <c r="E161" s="133"/>
      <c r="F161" s="8"/>
      <c r="G161" s="55"/>
      <c r="H161" s="55"/>
      <c r="I161" s="55"/>
      <c r="J161" s="55"/>
      <c r="K161" s="65"/>
      <c r="L161" s="65"/>
      <c r="M161" s="65"/>
      <c r="N161" s="537"/>
      <c r="O161"/>
      <c r="P161" s="260"/>
      <c r="Q161"/>
      <c r="R161"/>
    </row>
    <row r="162" spans="2:18" x14ac:dyDescent="0.2">
      <c r="B162" s="106"/>
      <c r="C162" s="232"/>
      <c r="D162" s="261"/>
      <c r="E162" s="133"/>
      <c r="F162" s="8"/>
      <c r="G162" s="55"/>
      <c r="H162" s="55"/>
      <c r="I162" s="55"/>
      <c r="J162" s="55"/>
      <c r="K162" s="65"/>
      <c r="L162" s="65"/>
      <c r="M162" s="65"/>
      <c r="N162" s="537"/>
      <c r="O162"/>
      <c r="P162" s="260"/>
      <c r="Q162"/>
      <c r="R162"/>
    </row>
    <row r="163" spans="2:18" x14ac:dyDescent="0.2">
      <c r="B163" s="106"/>
      <c r="C163" s="232"/>
      <c r="D163" s="261"/>
      <c r="E163" s="133"/>
      <c r="F163" s="8"/>
      <c r="G163" s="55"/>
      <c r="H163" s="55"/>
      <c r="I163" s="55"/>
      <c r="J163" s="55"/>
      <c r="K163" s="65"/>
      <c r="L163" s="65"/>
      <c r="M163" s="65"/>
      <c r="N163" s="537"/>
      <c r="O163"/>
      <c r="P163" s="260"/>
      <c r="Q163"/>
      <c r="R163"/>
    </row>
    <row r="164" spans="2:18" x14ac:dyDescent="0.2">
      <c r="B164" s="106"/>
      <c r="C164" s="232"/>
      <c r="D164" s="261"/>
      <c r="E164" s="133"/>
      <c r="F164" s="8"/>
      <c r="G164" s="55"/>
      <c r="H164" s="55"/>
      <c r="I164" s="55"/>
      <c r="J164" s="55"/>
      <c r="K164" s="65"/>
      <c r="L164" s="65"/>
      <c r="M164" s="65"/>
      <c r="N164" s="537"/>
      <c r="O164"/>
      <c r="P164" s="260"/>
      <c r="Q164"/>
      <c r="R164"/>
    </row>
    <row r="165" spans="2:18" x14ac:dyDescent="0.2">
      <c r="B165" s="106"/>
      <c r="C165" s="232"/>
      <c r="D165" s="261"/>
      <c r="E165" s="133"/>
      <c r="F165" s="8"/>
      <c r="G165" s="55"/>
      <c r="H165" s="55"/>
      <c r="I165" s="55"/>
      <c r="J165" s="55"/>
      <c r="K165" s="65"/>
      <c r="L165" s="65"/>
      <c r="M165" s="65"/>
      <c r="N165" s="537"/>
      <c r="O165"/>
      <c r="P165" s="260"/>
      <c r="Q165"/>
      <c r="R165"/>
    </row>
    <row r="166" spans="2:18" x14ac:dyDescent="0.2">
      <c r="B166" s="106"/>
      <c r="C166" s="232"/>
      <c r="D166" s="261"/>
      <c r="E166" s="133"/>
      <c r="F166" s="8"/>
      <c r="G166" s="55"/>
      <c r="H166" s="55"/>
      <c r="I166" s="55"/>
      <c r="J166" s="55"/>
      <c r="K166" s="65"/>
      <c r="L166" s="65"/>
      <c r="M166" s="65"/>
      <c r="N166" s="537"/>
      <c r="O166"/>
      <c r="P166" s="260"/>
      <c r="Q166"/>
      <c r="R166"/>
    </row>
    <row r="167" spans="2:18" x14ac:dyDescent="0.2">
      <c r="B167" s="106"/>
      <c r="C167" s="232"/>
      <c r="D167" s="261"/>
      <c r="E167" s="133"/>
      <c r="F167" s="8"/>
      <c r="G167" s="55"/>
      <c r="H167" s="55"/>
      <c r="I167" s="55"/>
      <c r="J167" s="55"/>
      <c r="K167" s="65"/>
      <c r="L167" s="65"/>
      <c r="M167" s="65"/>
      <c r="N167" s="537"/>
      <c r="O167"/>
      <c r="P167" s="260"/>
      <c r="Q167"/>
      <c r="R167"/>
    </row>
    <row r="168" spans="2:18" x14ac:dyDescent="0.2">
      <c r="B168" s="106"/>
      <c r="C168" s="232"/>
      <c r="D168" s="261"/>
      <c r="E168" s="133"/>
      <c r="F168" s="8"/>
      <c r="G168" s="55"/>
      <c r="H168" s="55"/>
      <c r="I168" s="55"/>
      <c r="J168" s="55"/>
      <c r="K168" s="65"/>
      <c r="L168" s="65"/>
      <c r="M168" s="65"/>
      <c r="N168" s="537"/>
      <c r="O168"/>
      <c r="P168" s="260"/>
      <c r="Q168"/>
      <c r="R168"/>
    </row>
    <row r="169" spans="2:18" x14ac:dyDescent="0.2">
      <c r="B169" s="106"/>
      <c r="C169" s="232"/>
      <c r="D169" s="261"/>
      <c r="E169" s="133"/>
      <c r="F169" s="8"/>
      <c r="G169" s="55"/>
      <c r="H169" s="55"/>
      <c r="I169" s="55"/>
      <c r="J169" s="55"/>
      <c r="K169" s="65"/>
      <c r="L169" s="65"/>
      <c r="M169" s="65"/>
      <c r="N169" s="537"/>
      <c r="O169"/>
      <c r="P169" s="260"/>
      <c r="Q169"/>
      <c r="R169"/>
    </row>
    <row r="170" spans="2:18" x14ac:dyDescent="0.2">
      <c r="B170" s="106"/>
      <c r="C170" s="232"/>
      <c r="D170" s="261"/>
      <c r="E170" s="133"/>
      <c r="F170" s="8"/>
      <c r="G170" s="55"/>
      <c r="H170" s="55"/>
      <c r="I170" s="55"/>
      <c r="J170" s="55"/>
      <c r="K170" s="65"/>
      <c r="L170" s="65"/>
      <c r="M170" s="65"/>
      <c r="N170" s="537"/>
      <c r="O170"/>
      <c r="P170" s="260"/>
      <c r="Q170"/>
      <c r="R170"/>
    </row>
    <row r="171" spans="2:18" x14ac:dyDescent="0.2">
      <c r="B171" s="106"/>
      <c r="C171" s="232"/>
      <c r="D171" s="261"/>
      <c r="E171" s="133"/>
      <c r="F171" s="8"/>
      <c r="G171" s="55"/>
      <c r="H171" s="55"/>
      <c r="I171" s="55"/>
      <c r="J171" s="55"/>
      <c r="K171" s="65"/>
      <c r="L171" s="65"/>
      <c r="M171" s="65"/>
      <c r="N171" s="537"/>
      <c r="O171"/>
      <c r="P171" s="260"/>
      <c r="Q171"/>
      <c r="R171"/>
    </row>
    <row r="172" spans="2:18" x14ac:dyDescent="0.2">
      <c r="B172" s="106"/>
      <c r="C172" s="232"/>
      <c r="D172" s="261"/>
      <c r="E172" s="133"/>
      <c r="F172" s="8"/>
      <c r="G172" s="55"/>
      <c r="H172" s="55"/>
      <c r="I172" s="55"/>
      <c r="J172" s="55"/>
      <c r="K172" s="65"/>
      <c r="L172" s="65"/>
      <c r="M172" s="65"/>
      <c r="N172" s="537"/>
      <c r="O172"/>
      <c r="P172" s="260"/>
      <c r="Q172"/>
      <c r="R172"/>
    </row>
    <row r="173" spans="2:18" x14ac:dyDescent="0.2">
      <c r="B173" s="106"/>
      <c r="C173" s="232"/>
      <c r="D173" s="261"/>
      <c r="E173" s="133"/>
      <c r="F173" s="8"/>
      <c r="G173" s="55"/>
      <c r="H173" s="55"/>
      <c r="I173" s="55"/>
      <c r="J173" s="55"/>
      <c r="K173" s="65"/>
      <c r="L173" s="65"/>
      <c r="M173" s="65"/>
      <c r="N173" s="537"/>
      <c r="O173"/>
      <c r="P173" s="260"/>
      <c r="Q173"/>
      <c r="R173"/>
    </row>
    <row r="174" spans="2:18" x14ac:dyDescent="0.2">
      <c r="B174" s="106"/>
      <c r="C174" s="232"/>
      <c r="D174" s="261"/>
      <c r="E174" s="133"/>
      <c r="F174" s="8"/>
      <c r="G174" s="55"/>
      <c r="H174" s="55"/>
      <c r="I174" s="55"/>
      <c r="J174" s="55"/>
      <c r="K174" s="65"/>
      <c r="L174" s="65"/>
      <c r="M174" s="65"/>
      <c r="N174" s="537"/>
      <c r="O174"/>
      <c r="P174" s="260"/>
      <c r="Q174"/>
      <c r="R174"/>
    </row>
    <row r="175" spans="2:18" x14ac:dyDescent="0.2">
      <c r="B175" s="106"/>
      <c r="C175" s="232"/>
      <c r="D175" s="261"/>
      <c r="E175" s="133"/>
      <c r="F175" s="8"/>
      <c r="G175" s="55"/>
      <c r="H175" s="55"/>
      <c r="I175" s="55"/>
      <c r="J175" s="55"/>
      <c r="K175" s="65"/>
      <c r="L175" s="65"/>
      <c r="M175" s="65"/>
      <c r="N175" s="537"/>
      <c r="O175"/>
      <c r="P175" s="260"/>
      <c r="Q175"/>
      <c r="R175"/>
    </row>
    <row r="176" spans="2:18" x14ac:dyDescent="0.2">
      <c r="B176" s="106"/>
      <c r="C176" s="232"/>
      <c r="D176" s="261"/>
      <c r="E176" s="133"/>
      <c r="F176" s="8"/>
      <c r="G176" s="55"/>
      <c r="H176" s="55"/>
      <c r="I176" s="55"/>
      <c r="J176" s="55"/>
      <c r="K176" s="65"/>
      <c r="L176" s="65"/>
      <c r="M176" s="65"/>
      <c r="N176" s="537"/>
      <c r="O176"/>
      <c r="P176" s="260"/>
      <c r="Q176"/>
      <c r="R176"/>
    </row>
    <row r="177" spans="2:18" x14ac:dyDescent="0.2">
      <c r="B177" s="106"/>
      <c r="C177" s="232"/>
      <c r="D177" s="261"/>
      <c r="E177" s="133"/>
      <c r="F177" s="8"/>
      <c r="G177" s="55"/>
      <c r="H177" s="55"/>
      <c r="I177" s="55"/>
      <c r="J177" s="55"/>
      <c r="K177" s="65"/>
      <c r="L177" s="65"/>
      <c r="M177" s="65"/>
      <c r="N177" s="537"/>
      <c r="O177"/>
      <c r="P177" s="260"/>
      <c r="Q177"/>
      <c r="R177"/>
    </row>
    <row r="178" spans="2:18" x14ac:dyDescent="0.2">
      <c r="B178" s="106"/>
      <c r="C178" s="232"/>
      <c r="D178" s="261"/>
      <c r="E178" s="133"/>
      <c r="F178" s="8"/>
      <c r="G178" s="55"/>
      <c r="H178" s="55"/>
      <c r="I178" s="55"/>
      <c r="J178" s="55"/>
      <c r="K178" s="65"/>
      <c r="L178" s="65"/>
      <c r="M178" s="65"/>
      <c r="N178" s="537"/>
      <c r="O178"/>
      <c r="P178" s="260"/>
      <c r="Q178"/>
      <c r="R178"/>
    </row>
    <row r="179" spans="2:18" x14ac:dyDescent="0.2">
      <c r="B179" s="106"/>
      <c r="C179" s="232"/>
      <c r="D179" s="261"/>
      <c r="E179" s="133"/>
      <c r="F179" s="8"/>
      <c r="G179" s="55"/>
      <c r="H179" s="55"/>
      <c r="I179" s="55"/>
      <c r="J179" s="55"/>
      <c r="K179" s="65"/>
      <c r="L179" s="65"/>
      <c r="M179" s="65"/>
      <c r="N179" s="537"/>
      <c r="O179"/>
      <c r="P179" s="260"/>
      <c r="Q179"/>
      <c r="R179"/>
    </row>
    <row r="180" spans="2:18" x14ac:dyDescent="0.2">
      <c r="B180" s="106"/>
      <c r="C180" s="232"/>
      <c r="D180" s="261"/>
      <c r="E180" s="133"/>
      <c r="F180" s="8"/>
      <c r="G180" s="55"/>
      <c r="H180" s="55"/>
      <c r="I180" s="55"/>
      <c r="J180" s="55"/>
      <c r="K180" s="65"/>
      <c r="L180" s="65"/>
      <c r="M180" s="65"/>
      <c r="N180" s="537"/>
      <c r="O180"/>
      <c r="P180" s="260"/>
      <c r="Q180"/>
      <c r="R180"/>
    </row>
    <row r="181" spans="2:18" x14ac:dyDescent="0.2">
      <c r="B181" s="106"/>
      <c r="C181" s="232"/>
      <c r="D181" s="261"/>
      <c r="E181" s="133"/>
      <c r="F181" s="8"/>
      <c r="G181" s="55"/>
      <c r="H181" s="55"/>
      <c r="I181" s="55"/>
      <c r="J181" s="55"/>
      <c r="K181" s="65"/>
      <c r="L181" s="65"/>
      <c r="M181" s="65"/>
      <c r="N181" s="537"/>
      <c r="O181"/>
      <c r="P181" s="260"/>
      <c r="Q181"/>
      <c r="R181"/>
    </row>
    <row r="182" spans="2:18" x14ac:dyDescent="0.2">
      <c r="B182" s="106"/>
      <c r="C182" s="232"/>
      <c r="D182" s="261"/>
      <c r="E182" s="133"/>
      <c r="F182" s="8"/>
      <c r="G182" s="55"/>
      <c r="H182" s="55"/>
      <c r="I182" s="55"/>
      <c r="J182" s="55"/>
      <c r="K182" s="65"/>
      <c r="L182" s="65"/>
      <c r="M182" s="65"/>
      <c r="N182" s="537"/>
      <c r="O182"/>
      <c r="P182" s="260"/>
      <c r="Q182"/>
      <c r="R182"/>
    </row>
    <row r="183" spans="2:18" x14ac:dyDescent="0.2">
      <c r="B183" s="106"/>
      <c r="C183" s="232"/>
      <c r="D183" s="261"/>
      <c r="E183" s="133"/>
      <c r="F183" s="8"/>
      <c r="G183" s="55"/>
      <c r="H183" s="55"/>
      <c r="I183" s="55"/>
      <c r="J183" s="55"/>
      <c r="K183" s="65"/>
      <c r="L183" s="65"/>
      <c r="M183" s="65"/>
      <c r="N183" s="537"/>
      <c r="O183"/>
      <c r="P183" s="260"/>
      <c r="Q183"/>
      <c r="R183"/>
    </row>
    <row r="184" spans="2:18" x14ac:dyDescent="0.2">
      <c r="B184" s="106"/>
      <c r="C184" s="232"/>
      <c r="D184" s="261"/>
      <c r="E184" s="133"/>
      <c r="F184" s="8"/>
      <c r="G184" s="55"/>
      <c r="H184" s="55"/>
      <c r="I184" s="55"/>
      <c r="J184" s="55"/>
      <c r="K184" s="65"/>
      <c r="L184" s="65"/>
      <c r="M184" s="65"/>
      <c r="N184" s="537"/>
      <c r="O184"/>
      <c r="P184" s="260"/>
      <c r="Q184"/>
      <c r="R184"/>
    </row>
    <row r="185" spans="2:18" x14ac:dyDescent="0.2">
      <c r="B185" s="106"/>
      <c r="C185" s="232"/>
      <c r="D185" s="261"/>
      <c r="E185" s="133"/>
      <c r="F185" s="8"/>
      <c r="G185" s="55"/>
      <c r="H185" s="55"/>
      <c r="I185" s="55"/>
      <c r="J185" s="55"/>
      <c r="K185" s="65"/>
      <c r="L185" s="65"/>
      <c r="M185" s="65"/>
      <c r="N185" s="537"/>
      <c r="O185"/>
      <c r="P185" s="260"/>
      <c r="Q185"/>
      <c r="R185"/>
    </row>
    <row r="186" spans="2:18" x14ac:dyDescent="0.2">
      <c r="B186" s="106"/>
      <c r="C186" s="232"/>
      <c r="D186" s="261"/>
      <c r="E186" s="133"/>
      <c r="F186" s="8"/>
      <c r="G186" s="55"/>
      <c r="H186" s="55"/>
      <c r="I186" s="55"/>
      <c r="J186" s="55"/>
      <c r="K186" s="65"/>
      <c r="L186" s="65"/>
      <c r="M186" s="65"/>
      <c r="N186" s="537"/>
      <c r="O186"/>
      <c r="P186" s="260"/>
      <c r="Q186"/>
      <c r="R186"/>
    </row>
    <row r="187" spans="2:18" x14ac:dyDescent="0.2">
      <c r="B187" s="106"/>
      <c r="C187" s="232"/>
      <c r="D187" s="261"/>
      <c r="E187" s="133"/>
      <c r="F187" s="8"/>
      <c r="G187" s="55"/>
      <c r="H187" s="55"/>
      <c r="I187" s="55"/>
      <c r="J187" s="55"/>
      <c r="K187" s="65"/>
      <c r="L187" s="65"/>
      <c r="M187" s="65"/>
      <c r="N187" s="537"/>
      <c r="O187"/>
      <c r="P187" s="260"/>
      <c r="Q187"/>
      <c r="R187"/>
    </row>
    <row r="188" spans="2:18" x14ac:dyDescent="0.2">
      <c r="B188" s="106"/>
      <c r="C188" s="232"/>
      <c r="D188" s="261"/>
      <c r="E188" s="133"/>
      <c r="F188" s="8"/>
      <c r="G188" s="55"/>
      <c r="H188" s="55"/>
      <c r="I188" s="55"/>
      <c r="J188" s="55"/>
      <c r="K188" s="65"/>
      <c r="L188" s="65"/>
      <c r="M188" s="65"/>
      <c r="N188" s="537"/>
      <c r="O188"/>
      <c r="P188" s="260"/>
      <c r="Q188"/>
      <c r="R188"/>
    </row>
    <row r="189" spans="2:18" x14ac:dyDescent="0.2">
      <c r="B189" s="106"/>
      <c r="C189" s="232"/>
      <c r="D189" s="261"/>
      <c r="E189" s="133"/>
      <c r="F189" s="8"/>
      <c r="G189" s="55"/>
      <c r="H189" s="55"/>
      <c r="I189" s="55"/>
      <c r="J189" s="55"/>
      <c r="K189" s="65"/>
      <c r="L189" s="65"/>
      <c r="M189" s="65"/>
      <c r="N189" s="537"/>
      <c r="O189"/>
      <c r="P189" s="260"/>
      <c r="Q189"/>
      <c r="R189"/>
    </row>
    <row r="190" spans="2:18" x14ac:dyDescent="0.2">
      <c r="B190" s="106"/>
      <c r="C190" s="232"/>
      <c r="D190" s="261"/>
      <c r="E190" s="133"/>
      <c r="F190" s="8"/>
      <c r="G190" s="55"/>
      <c r="H190" s="55"/>
      <c r="I190" s="55"/>
      <c r="J190" s="55"/>
      <c r="K190" s="65"/>
      <c r="L190" s="65"/>
      <c r="M190" s="65"/>
      <c r="N190" s="537"/>
      <c r="O190"/>
      <c r="P190" s="260"/>
      <c r="Q190"/>
      <c r="R190"/>
    </row>
    <row r="191" spans="2:18" x14ac:dyDescent="0.2">
      <c r="B191" s="106"/>
      <c r="C191" s="232"/>
      <c r="D191" s="261"/>
      <c r="E191" s="133"/>
      <c r="F191" s="8"/>
      <c r="G191" s="55"/>
      <c r="H191" s="55"/>
      <c r="I191" s="55"/>
      <c r="J191" s="55"/>
      <c r="K191" s="65"/>
      <c r="L191" s="65"/>
      <c r="M191" s="65"/>
      <c r="N191" s="537"/>
      <c r="O191"/>
      <c r="P191" s="260"/>
      <c r="Q191"/>
      <c r="R191"/>
    </row>
    <row r="192" spans="2:18" x14ac:dyDescent="0.2">
      <c r="B192" s="106"/>
      <c r="C192" s="232"/>
      <c r="D192" s="261"/>
      <c r="E192" s="133"/>
      <c r="F192" s="8"/>
      <c r="G192" s="55"/>
      <c r="H192" s="55"/>
      <c r="I192" s="55"/>
      <c r="J192" s="55"/>
      <c r="K192" s="65"/>
      <c r="L192" s="65"/>
      <c r="M192" s="65"/>
      <c r="N192" s="537"/>
      <c r="O192"/>
      <c r="P192" s="260"/>
      <c r="Q192"/>
      <c r="R192"/>
    </row>
    <row r="193" spans="2:18" x14ac:dyDescent="0.2">
      <c r="B193" s="106"/>
      <c r="C193" s="232"/>
      <c r="D193" s="261"/>
      <c r="E193" s="133"/>
      <c r="F193" s="8"/>
      <c r="G193" s="55"/>
      <c r="H193" s="55"/>
      <c r="I193" s="55"/>
      <c r="J193" s="55"/>
      <c r="K193" s="65"/>
      <c r="L193" s="65"/>
      <c r="M193" s="65"/>
      <c r="N193" s="537"/>
      <c r="O193"/>
      <c r="P193" s="260"/>
      <c r="Q193"/>
      <c r="R193"/>
    </row>
    <row r="194" spans="2:18" x14ac:dyDescent="0.2">
      <c r="B194" s="106"/>
      <c r="C194" s="232"/>
      <c r="D194" s="261"/>
      <c r="E194" s="133"/>
      <c r="F194" s="8"/>
      <c r="G194" s="55"/>
      <c r="H194" s="55"/>
      <c r="I194" s="55"/>
      <c r="J194" s="55"/>
      <c r="K194" s="65"/>
      <c r="L194" s="65"/>
      <c r="M194" s="65"/>
      <c r="N194" s="537"/>
      <c r="O194"/>
      <c r="P194" s="260"/>
      <c r="Q194"/>
      <c r="R194"/>
    </row>
    <row r="195" spans="2:18" x14ac:dyDescent="0.2">
      <c r="B195" s="106"/>
      <c r="C195" s="232"/>
      <c r="D195" s="261"/>
      <c r="E195" s="133"/>
      <c r="F195" s="8"/>
      <c r="G195" s="55"/>
      <c r="H195" s="55"/>
      <c r="I195" s="55"/>
      <c r="J195" s="55"/>
      <c r="K195" s="65"/>
      <c r="L195" s="65"/>
      <c r="M195" s="65"/>
      <c r="N195" s="537"/>
      <c r="O195"/>
      <c r="P195" s="260"/>
      <c r="Q195"/>
      <c r="R195"/>
    </row>
    <row r="196" spans="2:18" x14ac:dyDescent="0.2">
      <c r="B196" s="106"/>
      <c r="C196" s="232"/>
      <c r="D196" s="261"/>
      <c r="E196" s="133"/>
      <c r="F196" s="8"/>
      <c r="G196" s="55"/>
      <c r="H196" s="55"/>
      <c r="I196" s="55"/>
      <c r="J196" s="55"/>
      <c r="K196" s="65"/>
      <c r="L196" s="65"/>
      <c r="M196" s="65"/>
      <c r="N196" s="537"/>
      <c r="O196"/>
      <c r="P196" s="260"/>
      <c r="Q196"/>
      <c r="R196"/>
    </row>
    <row r="197" spans="2:18" x14ac:dyDescent="0.2">
      <c r="B197" s="106"/>
      <c r="C197" s="232"/>
      <c r="D197" s="261"/>
      <c r="E197" s="133"/>
      <c r="F197" s="8"/>
      <c r="G197" s="55"/>
      <c r="H197" s="55"/>
      <c r="I197" s="55"/>
      <c r="J197" s="55"/>
      <c r="K197" s="65"/>
      <c r="L197" s="65"/>
      <c r="M197" s="65"/>
      <c r="N197" s="537"/>
      <c r="O197"/>
      <c r="P197" s="260"/>
      <c r="Q197"/>
      <c r="R197"/>
    </row>
    <row r="198" spans="2:18" x14ac:dyDescent="0.2">
      <c r="B198" s="106"/>
      <c r="C198" s="232"/>
      <c r="D198" s="261"/>
      <c r="E198" s="133"/>
      <c r="F198" s="8"/>
      <c r="G198" s="55"/>
      <c r="H198" s="55"/>
      <c r="I198" s="55"/>
      <c r="J198" s="55"/>
      <c r="K198" s="65"/>
      <c r="L198" s="65"/>
      <c r="M198" s="65"/>
      <c r="N198" s="537"/>
      <c r="O198"/>
      <c r="P198" s="260"/>
      <c r="Q198"/>
      <c r="R198"/>
    </row>
    <row r="199" spans="2:18" x14ac:dyDescent="0.2">
      <c r="B199" s="106"/>
      <c r="C199" s="232"/>
      <c r="D199" s="261"/>
      <c r="E199" s="133"/>
      <c r="F199" s="8"/>
      <c r="G199" s="55"/>
      <c r="H199" s="55"/>
      <c r="I199" s="55"/>
      <c r="J199" s="55"/>
      <c r="K199" s="65"/>
      <c r="L199" s="65"/>
      <c r="M199" s="65"/>
      <c r="N199" s="537"/>
      <c r="O199"/>
      <c r="P199" s="260"/>
      <c r="Q199"/>
      <c r="R199"/>
    </row>
    <row r="200" spans="2:18" x14ac:dyDescent="0.2">
      <c r="B200" s="106"/>
      <c r="C200" s="232"/>
      <c r="D200" s="261"/>
      <c r="E200" s="133"/>
      <c r="F200" s="8"/>
      <c r="G200" s="55"/>
      <c r="H200" s="55"/>
      <c r="I200" s="55"/>
      <c r="J200" s="55"/>
      <c r="K200" s="65"/>
      <c r="L200" s="65"/>
      <c r="M200" s="65"/>
      <c r="N200" s="537"/>
      <c r="O200"/>
      <c r="P200" s="260"/>
      <c r="Q200"/>
      <c r="R200"/>
    </row>
    <row r="201" spans="2:18" x14ac:dyDescent="0.2">
      <c r="B201" s="106"/>
      <c r="C201" s="232"/>
      <c r="D201" s="261"/>
      <c r="E201" s="133"/>
      <c r="F201" s="8"/>
      <c r="G201" s="55"/>
      <c r="H201" s="55"/>
      <c r="I201" s="55"/>
      <c r="J201" s="55"/>
      <c r="K201" s="65"/>
      <c r="L201" s="65"/>
      <c r="M201" s="65"/>
      <c r="N201" s="537"/>
      <c r="O201"/>
      <c r="P201" s="260"/>
      <c r="Q201"/>
      <c r="R201"/>
    </row>
    <row r="202" spans="2:18" x14ac:dyDescent="0.2">
      <c r="B202" s="106"/>
      <c r="C202" s="232"/>
      <c r="D202" s="261"/>
      <c r="E202" s="133"/>
      <c r="F202" s="8"/>
      <c r="G202" s="55"/>
      <c r="H202" s="55"/>
      <c r="I202" s="55"/>
      <c r="J202" s="55"/>
      <c r="K202" s="65"/>
      <c r="L202" s="65"/>
      <c r="M202" s="65"/>
      <c r="N202" s="537"/>
      <c r="O202"/>
      <c r="P202" s="260"/>
      <c r="Q202"/>
      <c r="R202"/>
    </row>
    <row r="203" spans="2:18" x14ac:dyDescent="0.2">
      <c r="B203" s="106"/>
      <c r="C203" s="232"/>
      <c r="D203" s="261"/>
      <c r="E203" s="133"/>
      <c r="F203" s="8"/>
      <c r="G203" s="55"/>
      <c r="H203" s="55"/>
      <c r="I203" s="55"/>
      <c r="J203" s="55"/>
      <c r="K203" s="65"/>
      <c r="L203" s="65"/>
      <c r="M203" s="65"/>
      <c r="N203" s="537"/>
      <c r="O203"/>
      <c r="P203" s="260"/>
      <c r="Q203"/>
      <c r="R203"/>
    </row>
    <row r="204" spans="2:18" x14ac:dyDescent="0.2">
      <c r="B204" s="106"/>
      <c r="C204" s="232"/>
      <c r="D204" s="261"/>
      <c r="E204" s="133"/>
      <c r="F204" s="8"/>
      <c r="G204" s="55"/>
      <c r="H204" s="55"/>
      <c r="I204" s="55"/>
      <c r="J204" s="55"/>
      <c r="K204" s="65"/>
      <c r="L204" s="65"/>
      <c r="M204" s="65"/>
      <c r="N204" s="537"/>
      <c r="O204"/>
      <c r="P204" s="260"/>
      <c r="Q204"/>
      <c r="R204"/>
    </row>
    <row r="205" spans="2:18" x14ac:dyDescent="0.2">
      <c r="B205" s="106"/>
      <c r="C205" s="232"/>
      <c r="D205" s="261"/>
      <c r="E205" s="133"/>
      <c r="F205" s="8"/>
      <c r="G205" s="55"/>
      <c r="H205" s="55"/>
      <c r="I205" s="55"/>
      <c r="J205" s="55"/>
      <c r="K205" s="65"/>
      <c r="L205" s="65"/>
      <c r="M205" s="65"/>
      <c r="N205" s="537"/>
      <c r="O205"/>
      <c r="P205" s="260"/>
      <c r="Q205"/>
      <c r="R205"/>
    </row>
    <row r="206" spans="2:18" x14ac:dyDescent="0.2">
      <c r="B206" s="106"/>
      <c r="C206" s="232"/>
      <c r="D206" s="261"/>
      <c r="E206" s="133"/>
      <c r="F206" s="8"/>
      <c r="G206" s="55"/>
      <c r="H206" s="55"/>
      <c r="I206" s="55"/>
      <c r="J206" s="55"/>
      <c r="K206" s="65"/>
      <c r="L206" s="65"/>
      <c r="M206" s="65"/>
      <c r="N206" s="537"/>
      <c r="O206"/>
      <c r="P206" s="260"/>
      <c r="Q206"/>
      <c r="R206"/>
    </row>
    <row r="207" spans="2:18" x14ac:dyDescent="0.2">
      <c r="B207" s="106"/>
      <c r="C207" s="232"/>
      <c r="D207" s="261"/>
      <c r="E207" s="133"/>
      <c r="F207" s="8"/>
      <c r="G207" s="55"/>
      <c r="H207" s="55"/>
      <c r="I207" s="55"/>
      <c r="J207" s="55"/>
      <c r="K207" s="65"/>
      <c r="L207" s="65"/>
      <c r="M207" s="65"/>
      <c r="N207" s="537"/>
      <c r="O207"/>
      <c r="P207" s="260"/>
      <c r="Q207"/>
      <c r="R207"/>
    </row>
    <row r="208" spans="2:18" x14ac:dyDescent="0.2">
      <c r="B208" s="106"/>
      <c r="C208" s="232"/>
      <c r="D208" s="261"/>
      <c r="E208" s="133"/>
      <c r="F208" s="8"/>
      <c r="G208" s="55"/>
      <c r="H208" s="55"/>
      <c r="I208" s="55"/>
      <c r="J208" s="55"/>
      <c r="K208" s="65"/>
      <c r="L208" s="65"/>
      <c r="M208" s="65"/>
      <c r="N208" s="537"/>
      <c r="O208"/>
      <c r="P208" s="260"/>
      <c r="Q208"/>
      <c r="R208"/>
    </row>
    <row r="209" spans="2:18" x14ac:dyDescent="0.2">
      <c r="B209" s="106"/>
      <c r="C209" s="232"/>
      <c r="D209" s="261"/>
      <c r="E209" s="133"/>
      <c r="F209" s="8"/>
      <c r="G209" s="55"/>
      <c r="H209" s="55"/>
      <c r="I209" s="55"/>
      <c r="J209" s="55"/>
      <c r="K209" s="65"/>
      <c r="L209" s="65"/>
      <c r="M209" s="65"/>
      <c r="N209" s="537"/>
      <c r="O209"/>
      <c r="P209" s="260"/>
      <c r="Q209"/>
      <c r="R209"/>
    </row>
    <row r="210" spans="2:18" x14ac:dyDescent="0.2">
      <c r="B210" s="106"/>
      <c r="C210" s="232"/>
      <c r="D210" s="261"/>
      <c r="E210" s="133"/>
      <c r="F210" s="8"/>
      <c r="G210" s="55"/>
      <c r="H210" s="55"/>
      <c r="I210" s="55"/>
      <c r="J210" s="55"/>
      <c r="K210" s="65"/>
      <c r="L210" s="65"/>
      <c r="M210" s="65"/>
      <c r="N210" s="537"/>
      <c r="O210"/>
      <c r="P210" s="260"/>
      <c r="Q210"/>
      <c r="R210"/>
    </row>
    <row r="211" spans="2:18" x14ac:dyDescent="0.2">
      <c r="B211" s="106"/>
      <c r="C211" s="232"/>
      <c r="D211" s="261"/>
      <c r="E211" s="133"/>
      <c r="F211" s="8"/>
      <c r="G211" s="55"/>
      <c r="H211" s="55"/>
      <c r="I211" s="55"/>
      <c r="J211" s="55"/>
      <c r="K211" s="65"/>
      <c r="L211" s="65"/>
      <c r="M211" s="65"/>
      <c r="N211" s="537"/>
      <c r="O211"/>
      <c r="P211" s="260"/>
      <c r="Q211"/>
      <c r="R211"/>
    </row>
    <row r="212" spans="2:18" x14ac:dyDescent="0.2">
      <c r="B212" s="106"/>
      <c r="C212" s="232"/>
      <c r="D212" s="261"/>
      <c r="E212" s="133"/>
      <c r="F212" s="8"/>
      <c r="G212" s="55"/>
      <c r="H212" s="55"/>
      <c r="I212" s="55"/>
      <c r="J212" s="55"/>
      <c r="K212" s="65"/>
      <c r="L212" s="65"/>
      <c r="M212" s="65"/>
      <c r="N212" s="537"/>
      <c r="O212"/>
      <c r="P212" s="260"/>
      <c r="Q212"/>
      <c r="R212"/>
    </row>
    <row r="213" spans="2:18" x14ac:dyDescent="0.2">
      <c r="B213" s="106"/>
      <c r="C213" s="232"/>
      <c r="D213" s="261"/>
      <c r="E213" s="133"/>
      <c r="F213" s="8"/>
      <c r="G213" s="55"/>
      <c r="H213" s="55"/>
      <c r="I213" s="55"/>
      <c r="J213" s="55"/>
      <c r="K213" s="65"/>
      <c r="L213" s="65"/>
      <c r="M213" s="65"/>
      <c r="N213" s="537"/>
      <c r="O213"/>
      <c r="P213" s="260"/>
      <c r="Q213"/>
      <c r="R213"/>
    </row>
    <row r="214" spans="2:18" x14ac:dyDescent="0.2">
      <c r="B214" s="106"/>
      <c r="C214" s="232"/>
      <c r="D214" s="261"/>
      <c r="E214" s="133"/>
      <c r="F214" s="8"/>
      <c r="G214" s="55"/>
      <c r="H214" s="55"/>
      <c r="I214" s="55"/>
      <c r="J214" s="55"/>
      <c r="K214" s="65"/>
      <c r="L214" s="65"/>
      <c r="M214" s="65"/>
      <c r="N214" s="537"/>
      <c r="O214"/>
      <c r="P214" s="260"/>
      <c r="Q214"/>
      <c r="R214"/>
    </row>
    <row r="215" spans="2:18" x14ac:dyDescent="0.2">
      <c r="B215" s="106"/>
      <c r="C215" s="232"/>
      <c r="D215" s="261"/>
      <c r="E215" s="133"/>
      <c r="F215" s="8"/>
      <c r="G215" s="55"/>
      <c r="H215" s="55"/>
      <c r="I215" s="55"/>
      <c r="J215" s="55"/>
      <c r="K215" s="65"/>
      <c r="L215" s="65"/>
      <c r="M215" s="65"/>
      <c r="N215" s="537"/>
      <c r="O215"/>
      <c r="P215" s="260"/>
      <c r="Q215"/>
      <c r="R215"/>
    </row>
    <row r="216" spans="2:18" x14ac:dyDescent="0.2">
      <c r="B216" s="106"/>
      <c r="C216" s="232"/>
      <c r="D216" s="261"/>
      <c r="E216" s="133"/>
      <c r="F216" s="8"/>
      <c r="G216" s="55"/>
      <c r="H216" s="55"/>
      <c r="I216" s="55"/>
      <c r="J216" s="55"/>
      <c r="K216" s="65"/>
      <c r="L216" s="65"/>
      <c r="M216" s="65"/>
      <c r="N216" s="537"/>
      <c r="O216"/>
      <c r="P216" s="260"/>
      <c r="Q216"/>
      <c r="R216"/>
    </row>
    <row r="217" spans="2:18" x14ac:dyDescent="0.2">
      <c r="B217" s="106"/>
      <c r="C217" s="232"/>
      <c r="D217" s="261"/>
      <c r="E217" s="133"/>
      <c r="F217" s="8"/>
      <c r="G217" s="55"/>
      <c r="H217" s="55"/>
      <c r="I217" s="55"/>
      <c r="J217" s="55"/>
      <c r="K217" s="65"/>
      <c r="L217" s="65"/>
      <c r="M217" s="65"/>
      <c r="N217" s="537"/>
      <c r="O217"/>
      <c r="P217" s="260"/>
      <c r="Q217"/>
      <c r="R217"/>
    </row>
    <row r="218" spans="2:18" x14ac:dyDescent="0.2">
      <c r="B218" s="106"/>
      <c r="C218" s="232"/>
      <c r="D218" s="261"/>
      <c r="E218" s="133"/>
      <c r="F218" s="8"/>
      <c r="G218" s="55"/>
      <c r="H218" s="55"/>
      <c r="I218" s="55"/>
      <c r="J218" s="55"/>
      <c r="K218" s="65"/>
      <c r="L218" s="65"/>
      <c r="M218" s="65"/>
      <c r="N218" s="537"/>
      <c r="O218"/>
      <c r="P218" s="260"/>
      <c r="Q218"/>
      <c r="R218"/>
    </row>
    <row r="219" spans="2:18" x14ac:dyDescent="0.2">
      <c r="B219" s="106"/>
      <c r="C219" s="232"/>
      <c r="D219" s="261"/>
      <c r="E219" s="133"/>
      <c r="F219" s="8"/>
      <c r="G219" s="55"/>
      <c r="H219" s="55"/>
      <c r="I219" s="55"/>
      <c r="J219" s="55"/>
      <c r="K219" s="65"/>
      <c r="L219" s="65"/>
      <c r="M219" s="65"/>
      <c r="N219" s="537"/>
      <c r="O219"/>
      <c r="P219" s="260"/>
      <c r="Q219"/>
      <c r="R219"/>
    </row>
    <row r="220" spans="2:18" x14ac:dyDescent="0.2">
      <c r="B220" s="106"/>
      <c r="C220" s="232"/>
      <c r="D220" s="261"/>
      <c r="E220" s="133"/>
      <c r="F220" s="8"/>
      <c r="G220" s="55"/>
      <c r="H220" s="55"/>
      <c r="I220" s="55"/>
      <c r="J220" s="55"/>
      <c r="K220" s="65"/>
      <c r="L220" s="65"/>
      <c r="M220" s="65"/>
      <c r="N220" s="537"/>
      <c r="O220"/>
      <c r="P220" s="260"/>
      <c r="Q220"/>
      <c r="R220"/>
    </row>
    <row r="221" spans="2:18" x14ac:dyDescent="0.2">
      <c r="B221" s="106"/>
      <c r="C221" s="232"/>
      <c r="D221" s="261"/>
      <c r="E221" s="133"/>
      <c r="F221" s="8"/>
      <c r="G221" s="55"/>
      <c r="H221" s="55"/>
      <c r="I221" s="55"/>
      <c r="J221" s="55"/>
      <c r="K221" s="65"/>
      <c r="L221" s="65"/>
      <c r="M221" s="65"/>
      <c r="N221" s="537"/>
      <c r="O221"/>
      <c r="P221" s="260"/>
      <c r="Q221"/>
      <c r="R221"/>
    </row>
    <row r="222" spans="2:18" x14ac:dyDescent="0.2">
      <c r="B222" s="106"/>
      <c r="C222" s="232"/>
      <c r="D222" s="261"/>
      <c r="E222" s="133"/>
      <c r="F222" s="8"/>
      <c r="G222" s="55"/>
      <c r="H222" s="55"/>
      <c r="I222" s="55"/>
      <c r="J222" s="55"/>
      <c r="K222" s="65"/>
      <c r="L222" s="65"/>
      <c r="M222" s="65"/>
      <c r="N222" s="537"/>
      <c r="O222"/>
      <c r="P222" s="260"/>
      <c r="Q222"/>
      <c r="R222"/>
    </row>
    <row r="223" spans="2:18" x14ac:dyDescent="0.2">
      <c r="B223" s="106"/>
      <c r="C223" s="232"/>
      <c r="D223" s="261"/>
      <c r="E223" s="133"/>
      <c r="F223" s="8"/>
      <c r="G223" s="55"/>
      <c r="H223" s="55"/>
      <c r="I223" s="55"/>
      <c r="J223" s="55"/>
      <c r="K223" s="65"/>
      <c r="L223" s="65"/>
      <c r="M223" s="65"/>
      <c r="N223" s="537"/>
      <c r="O223"/>
      <c r="P223" s="260"/>
      <c r="Q223"/>
      <c r="R223"/>
    </row>
    <row r="224" spans="2:18" x14ac:dyDescent="0.2">
      <c r="B224" s="106"/>
      <c r="C224" s="232"/>
      <c r="D224" s="261"/>
      <c r="E224" s="133"/>
      <c r="F224" s="8"/>
      <c r="G224" s="55"/>
      <c r="H224" s="55"/>
      <c r="I224" s="55"/>
      <c r="J224" s="55"/>
      <c r="K224" s="65"/>
      <c r="L224" s="65"/>
      <c r="M224" s="65"/>
      <c r="N224" s="537"/>
      <c r="O224"/>
      <c r="P224" s="260"/>
      <c r="Q224"/>
      <c r="R224"/>
    </row>
    <row r="225" spans="2:18" x14ac:dyDescent="0.2">
      <c r="B225" s="106"/>
      <c r="C225" s="232"/>
      <c r="D225" s="261"/>
      <c r="E225" s="133"/>
      <c r="F225" s="8"/>
      <c r="G225" s="55"/>
      <c r="H225" s="55"/>
      <c r="I225" s="55"/>
      <c r="J225" s="55"/>
      <c r="K225" s="65"/>
      <c r="L225" s="65"/>
      <c r="M225" s="65"/>
      <c r="N225" s="537"/>
      <c r="O225"/>
      <c r="P225" s="260"/>
      <c r="Q225"/>
      <c r="R225"/>
    </row>
    <row r="226" spans="2:18" x14ac:dyDescent="0.2">
      <c r="B226" s="106"/>
      <c r="C226" s="232"/>
      <c r="D226" s="261"/>
      <c r="E226" s="133"/>
      <c r="F226" s="8"/>
      <c r="G226" s="55"/>
      <c r="H226" s="55"/>
      <c r="I226" s="55"/>
      <c r="J226" s="55"/>
      <c r="K226" s="65"/>
      <c r="L226" s="65"/>
      <c r="M226" s="65"/>
      <c r="N226" s="537"/>
      <c r="O226"/>
      <c r="P226" s="260"/>
      <c r="Q226"/>
      <c r="R226"/>
    </row>
    <row r="227" spans="2:18" x14ac:dyDescent="0.2">
      <c r="B227" s="106"/>
      <c r="C227" s="232"/>
      <c r="D227" s="261"/>
      <c r="E227" s="133"/>
      <c r="F227" s="8"/>
      <c r="G227" s="55"/>
      <c r="H227" s="55"/>
      <c r="I227" s="55"/>
      <c r="J227" s="55"/>
      <c r="K227" s="65"/>
      <c r="L227" s="65"/>
      <c r="M227" s="65"/>
      <c r="N227" s="537"/>
      <c r="O227"/>
      <c r="P227" s="260"/>
      <c r="Q227"/>
      <c r="R227"/>
    </row>
    <row r="228" spans="2:18" x14ac:dyDescent="0.2">
      <c r="B228" s="106"/>
      <c r="C228" s="232"/>
      <c r="D228" s="261"/>
      <c r="E228" s="133"/>
      <c r="F228" s="8"/>
      <c r="G228" s="55"/>
      <c r="H228" s="55"/>
      <c r="I228" s="55"/>
      <c r="J228" s="55"/>
      <c r="K228" s="65"/>
      <c r="L228" s="65"/>
      <c r="M228" s="65"/>
      <c r="N228" s="537"/>
      <c r="O228"/>
      <c r="P228" s="260"/>
      <c r="Q228"/>
      <c r="R228"/>
    </row>
    <row r="229" spans="2:18" x14ac:dyDescent="0.2">
      <c r="B229" s="106"/>
      <c r="C229" s="232"/>
      <c r="D229" s="261"/>
      <c r="E229" s="133"/>
      <c r="F229" s="8"/>
      <c r="G229" s="55"/>
      <c r="H229" s="55"/>
      <c r="I229" s="55"/>
      <c r="J229" s="55"/>
      <c r="K229" s="65"/>
      <c r="L229" s="65"/>
      <c r="M229" s="65"/>
      <c r="N229" s="537"/>
      <c r="O229"/>
      <c r="P229" s="260"/>
      <c r="Q229"/>
      <c r="R229"/>
    </row>
    <row r="230" spans="2:18" x14ac:dyDescent="0.2">
      <c r="B230" s="106"/>
      <c r="C230" s="232"/>
      <c r="D230" s="261"/>
      <c r="E230" s="133"/>
      <c r="F230" s="8"/>
      <c r="G230" s="55"/>
      <c r="H230" s="55"/>
      <c r="I230" s="55"/>
      <c r="J230" s="55"/>
      <c r="K230" s="65"/>
      <c r="L230" s="65"/>
      <c r="M230" s="65"/>
      <c r="N230" s="537"/>
      <c r="O230"/>
      <c r="P230" s="260"/>
      <c r="Q230"/>
      <c r="R230"/>
    </row>
    <row r="231" spans="2:18" x14ac:dyDescent="0.2">
      <c r="B231" s="106"/>
      <c r="C231" s="232"/>
      <c r="D231" s="261"/>
      <c r="E231" s="133"/>
      <c r="F231" s="8"/>
      <c r="G231" s="55"/>
      <c r="H231" s="55"/>
      <c r="I231" s="55"/>
      <c r="J231" s="55"/>
      <c r="K231" s="65"/>
      <c r="L231" s="65"/>
      <c r="M231" s="65"/>
      <c r="N231" s="537"/>
      <c r="O231"/>
      <c r="P231" s="260"/>
      <c r="Q231"/>
      <c r="R231"/>
    </row>
    <row r="232" spans="2:18" x14ac:dyDescent="0.2">
      <c r="B232" s="106"/>
      <c r="C232" s="232"/>
      <c r="D232" s="261"/>
      <c r="E232" s="133"/>
      <c r="F232" s="8"/>
      <c r="G232" s="55"/>
      <c r="H232" s="55"/>
      <c r="I232" s="55"/>
      <c r="J232" s="55"/>
      <c r="K232" s="65"/>
      <c r="L232" s="65"/>
      <c r="M232" s="65"/>
      <c r="N232" s="537"/>
      <c r="O232"/>
      <c r="P232" s="260"/>
      <c r="Q232"/>
      <c r="R232"/>
    </row>
    <row r="233" spans="2:18" x14ac:dyDescent="0.2">
      <c r="B233" s="106"/>
      <c r="C233" s="232"/>
      <c r="D233" s="261"/>
      <c r="E233" s="133"/>
      <c r="F233" s="8"/>
      <c r="G233" s="55"/>
      <c r="H233" s="55"/>
      <c r="I233" s="55"/>
      <c r="J233" s="55"/>
      <c r="K233" s="65"/>
      <c r="L233" s="65"/>
      <c r="M233" s="65"/>
      <c r="N233" s="537"/>
      <c r="O233"/>
      <c r="P233" s="260"/>
      <c r="Q233"/>
      <c r="R233"/>
    </row>
    <row r="234" spans="2:18" x14ac:dyDescent="0.2">
      <c r="B234" s="106"/>
      <c r="C234" s="232"/>
      <c r="D234" s="261"/>
      <c r="E234" s="133"/>
      <c r="F234" s="8"/>
      <c r="G234" s="55"/>
      <c r="H234" s="55"/>
      <c r="I234" s="55"/>
      <c r="J234" s="55"/>
      <c r="K234" s="65"/>
      <c r="L234" s="65"/>
      <c r="M234" s="65"/>
      <c r="N234" s="537"/>
      <c r="O234"/>
      <c r="P234" s="260"/>
      <c r="Q234"/>
      <c r="R234"/>
    </row>
    <row r="235" spans="2:18" x14ac:dyDescent="0.2">
      <c r="B235" s="106"/>
      <c r="C235" s="232"/>
      <c r="D235" s="261"/>
      <c r="E235" s="133"/>
      <c r="F235" s="8"/>
      <c r="G235" s="55"/>
      <c r="H235" s="55"/>
      <c r="I235" s="55"/>
      <c r="J235" s="55"/>
      <c r="K235" s="65"/>
      <c r="L235" s="65"/>
      <c r="M235" s="65"/>
      <c r="N235" s="537"/>
      <c r="O235"/>
      <c r="P235" s="260"/>
      <c r="Q235"/>
      <c r="R235"/>
    </row>
    <row r="236" spans="2:18" x14ac:dyDescent="0.2">
      <c r="B236" s="106"/>
      <c r="C236" s="232"/>
      <c r="D236" s="261"/>
      <c r="E236" s="133"/>
      <c r="F236" s="8"/>
      <c r="G236" s="55"/>
      <c r="H236" s="55"/>
      <c r="I236" s="55"/>
      <c r="J236" s="55"/>
      <c r="K236" s="65"/>
      <c r="L236" s="65"/>
      <c r="M236" s="65"/>
      <c r="N236" s="537"/>
      <c r="O236"/>
      <c r="P236" s="260"/>
      <c r="Q236"/>
      <c r="R236"/>
    </row>
    <row r="237" spans="2:18" x14ac:dyDescent="0.2">
      <c r="B237" s="106"/>
      <c r="C237" s="232"/>
      <c r="D237" s="261"/>
      <c r="E237" s="133"/>
      <c r="F237" s="8"/>
      <c r="G237" s="55"/>
      <c r="H237" s="55"/>
      <c r="I237" s="55"/>
      <c r="J237" s="55"/>
      <c r="K237" s="65"/>
      <c r="L237" s="65"/>
      <c r="M237" s="65"/>
      <c r="N237" s="537"/>
      <c r="O237"/>
      <c r="P237" s="260"/>
      <c r="Q237"/>
      <c r="R237"/>
    </row>
    <row r="238" spans="2:18" x14ac:dyDescent="0.2">
      <c r="B238" s="106"/>
      <c r="C238" s="232"/>
      <c r="D238" s="261"/>
      <c r="E238" s="133"/>
      <c r="F238" s="8"/>
      <c r="G238" s="55"/>
      <c r="H238" s="55"/>
      <c r="I238" s="55"/>
      <c r="J238" s="55"/>
      <c r="K238" s="65"/>
      <c r="L238" s="65"/>
      <c r="M238" s="65"/>
      <c r="N238" s="537"/>
      <c r="O238"/>
      <c r="P238" s="260"/>
      <c r="Q238"/>
      <c r="R238"/>
    </row>
    <row r="239" spans="2:18" x14ac:dyDescent="0.2">
      <c r="B239" s="106"/>
      <c r="C239" s="232"/>
      <c r="D239" s="261"/>
      <c r="E239" s="133"/>
      <c r="F239" s="8"/>
      <c r="G239" s="55"/>
      <c r="H239" s="55"/>
      <c r="I239" s="55"/>
      <c r="J239" s="55"/>
      <c r="K239" s="65"/>
      <c r="L239" s="65"/>
      <c r="M239" s="65"/>
      <c r="N239" s="537"/>
      <c r="O239"/>
      <c r="P239" s="260"/>
      <c r="Q239"/>
      <c r="R239"/>
    </row>
    <row r="240" spans="2:18" x14ac:dyDescent="0.2">
      <c r="B240" s="106"/>
      <c r="C240" s="232"/>
      <c r="D240" s="261"/>
      <c r="E240" s="133"/>
      <c r="F240" s="8"/>
      <c r="G240" s="55"/>
      <c r="H240" s="55"/>
      <c r="I240" s="55"/>
      <c r="J240" s="55"/>
      <c r="K240" s="65"/>
      <c r="L240" s="65"/>
      <c r="M240" s="65"/>
      <c r="N240" s="537"/>
      <c r="O240"/>
      <c r="P240" s="260"/>
      <c r="Q240"/>
      <c r="R240"/>
    </row>
    <row r="241" spans="2:18" x14ac:dyDescent="0.2">
      <c r="B241" s="106"/>
      <c r="C241" s="232"/>
      <c r="D241" s="261"/>
      <c r="E241" s="133"/>
      <c r="F241" s="8"/>
      <c r="G241" s="55"/>
      <c r="H241" s="55"/>
      <c r="I241" s="55"/>
      <c r="J241" s="55"/>
      <c r="K241" s="65"/>
      <c r="L241" s="65"/>
      <c r="M241" s="65"/>
      <c r="N241" s="537"/>
      <c r="O241"/>
      <c r="P241" s="260"/>
      <c r="Q241"/>
      <c r="R241"/>
    </row>
    <row r="242" spans="2:18" x14ac:dyDescent="0.2">
      <c r="B242" s="106"/>
      <c r="C242" s="232"/>
      <c r="D242" s="261"/>
      <c r="E242" s="133"/>
      <c r="F242" s="8"/>
      <c r="G242" s="55"/>
      <c r="H242" s="55"/>
      <c r="I242" s="55"/>
      <c r="J242" s="55"/>
      <c r="K242" s="65"/>
      <c r="L242" s="65"/>
      <c r="M242" s="65"/>
      <c r="N242" s="537"/>
      <c r="O242"/>
      <c r="P242" s="260"/>
      <c r="Q242"/>
      <c r="R242"/>
    </row>
    <row r="243" spans="2:18" x14ac:dyDescent="0.2">
      <c r="B243" s="106"/>
      <c r="C243" s="232"/>
      <c r="D243" s="261"/>
      <c r="E243" s="133"/>
      <c r="F243" s="8"/>
      <c r="G243" s="55"/>
      <c r="H243" s="55"/>
      <c r="I243" s="55"/>
      <c r="J243" s="55"/>
      <c r="K243" s="65"/>
      <c r="L243" s="65"/>
      <c r="M243" s="65"/>
      <c r="N243" s="537"/>
      <c r="O243"/>
      <c r="P243" s="260"/>
      <c r="Q243"/>
      <c r="R243"/>
    </row>
    <row r="244" spans="2:18" x14ac:dyDescent="0.2">
      <c r="B244" s="106"/>
      <c r="C244" s="232"/>
      <c r="D244" s="261"/>
      <c r="E244" s="133"/>
      <c r="F244" s="8"/>
      <c r="G244" s="55"/>
      <c r="H244" s="55"/>
      <c r="I244" s="55"/>
      <c r="J244" s="55"/>
      <c r="K244" s="65"/>
      <c r="L244" s="65"/>
      <c r="M244" s="65"/>
      <c r="N244" s="537"/>
      <c r="O244"/>
      <c r="P244" s="260"/>
      <c r="Q244"/>
      <c r="R244"/>
    </row>
    <row r="245" spans="2:18" x14ac:dyDescent="0.2">
      <c r="B245" s="106"/>
      <c r="C245" s="232"/>
      <c r="D245" s="261"/>
      <c r="E245" s="133"/>
      <c r="F245" s="8"/>
      <c r="G245" s="55"/>
      <c r="H245" s="55"/>
      <c r="I245" s="55"/>
      <c r="J245" s="55"/>
      <c r="K245" s="65"/>
      <c r="L245" s="65"/>
      <c r="M245" s="65"/>
      <c r="N245" s="537"/>
      <c r="O245"/>
      <c r="P245" s="260"/>
      <c r="Q245"/>
      <c r="R245"/>
    </row>
    <row r="246" spans="2:18" x14ac:dyDescent="0.2">
      <c r="B246" s="106"/>
      <c r="C246" s="232"/>
      <c r="D246" s="261"/>
      <c r="E246" s="133"/>
      <c r="F246" s="8"/>
      <c r="G246" s="55"/>
      <c r="H246" s="55"/>
      <c r="I246" s="55"/>
      <c r="J246" s="55"/>
      <c r="K246" s="65"/>
      <c r="L246" s="65"/>
      <c r="M246" s="65"/>
      <c r="N246" s="537"/>
      <c r="O246"/>
      <c r="P246" s="260"/>
      <c r="Q246"/>
      <c r="R246"/>
    </row>
    <row r="247" spans="2:18" x14ac:dyDescent="0.2">
      <c r="B247" s="106"/>
      <c r="C247" s="232"/>
      <c r="D247" s="261"/>
      <c r="E247" s="133"/>
      <c r="F247" s="8"/>
      <c r="G247" s="55"/>
      <c r="H247" s="55"/>
      <c r="I247" s="55"/>
      <c r="J247" s="55"/>
      <c r="K247" s="65"/>
      <c r="L247" s="65"/>
      <c r="M247" s="65"/>
      <c r="N247" s="537"/>
      <c r="O247"/>
      <c r="P247" s="260"/>
      <c r="Q247"/>
      <c r="R247"/>
    </row>
    <row r="248" spans="2:18" x14ac:dyDescent="0.2">
      <c r="B248" s="106"/>
      <c r="C248" s="232"/>
      <c r="D248" s="261"/>
      <c r="E248" s="133"/>
      <c r="F248" s="8"/>
      <c r="G248" s="55"/>
      <c r="H248" s="55"/>
      <c r="I248" s="55"/>
      <c r="J248" s="55"/>
      <c r="K248" s="65"/>
      <c r="L248" s="65"/>
      <c r="M248" s="65"/>
      <c r="N248" s="537"/>
      <c r="O248"/>
      <c r="P248" s="260"/>
      <c r="Q248"/>
      <c r="R248"/>
    </row>
    <row r="249" spans="2:18" x14ac:dyDescent="0.2">
      <c r="B249" s="106"/>
      <c r="C249" s="232"/>
      <c r="D249" s="261"/>
      <c r="E249" s="133"/>
      <c r="F249" s="8"/>
      <c r="G249" s="55"/>
      <c r="H249" s="55"/>
      <c r="I249" s="55"/>
      <c r="J249" s="55"/>
      <c r="K249" s="65"/>
      <c r="L249" s="65"/>
      <c r="M249" s="65"/>
      <c r="N249" s="537"/>
      <c r="O249"/>
      <c r="P249" s="260"/>
      <c r="Q249"/>
      <c r="R249"/>
    </row>
    <row r="250" spans="2:18" x14ac:dyDescent="0.2">
      <c r="B250" s="106"/>
      <c r="C250" s="232"/>
      <c r="D250" s="261"/>
      <c r="E250" s="133"/>
      <c r="F250" s="8"/>
      <c r="G250" s="55"/>
      <c r="H250" s="55"/>
      <c r="I250" s="55"/>
      <c r="J250" s="55"/>
      <c r="K250" s="65"/>
      <c r="L250" s="65"/>
      <c r="M250" s="65"/>
      <c r="N250" s="537"/>
      <c r="O250"/>
      <c r="P250" s="260"/>
      <c r="Q250"/>
      <c r="R250"/>
    </row>
    <row r="251" spans="2:18" x14ac:dyDescent="0.2">
      <c r="B251" s="106"/>
      <c r="C251" s="232"/>
      <c r="D251" s="261"/>
      <c r="E251" s="133"/>
      <c r="F251" s="8"/>
      <c r="G251" s="55"/>
      <c r="H251" s="55"/>
      <c r="I251" s="55"/>
      <c r="J251" s="55"/>
      <c r="K251" s="65"/>
      <c r="L251" s="65"/>
      <c r="M251" s="65"/>
      <c r="N251" s="537"/>
      <c r="O251"/>
      <c r="P251" s="260"/>
      <c r="Q251"/>
      <c r="R251"/>
    </row>
    <row r="252" spans="2:18" x14ac:dyDescent="0.2">
      <c r="B252" s="106"/>
      <c r="C252" s="232"/>
      <c r="D252" s="261"/>
      <c r="E252" s="133"/>
      <c r="F252" s="8"/>
      <c r="G252" s="55"/>
      <c r="H252" s="55"/>
      <c r="I252" s="55"/>
      <c r="J252" s="55"/>
      <c r="K252" s="65"/>
      <c r="L252" s="65"/>
      <c r="M252" s="65"/>
      <c r="N252" s="537"/>
      <c r="O252"/>
      <c r="P252" s="260"/>
      <c r="Q252"/>
      <c r="R252"/>
    </row>
    <row r="253" spans="2:18" x14ac:dyDescent="0.2">
      <c r="B253" s="106"/>
      <c r="C253" s="232"/>
      <c r="D253" s="261"/>
      <c r="E253" s="133"/>
      <c r="F253" s="8"/>
      <c r="G253" s="55"/>
      <c r="H253" s="55"/>
      <c r="I253" s="55"/>
      <c r="J253" s="55"/>
      <c r="K253" s="65"/>
      <c r="L253" s="65"/>
      <c r="M253" s="65"/>
      <c r="N253" s="537"/>
      <c r="O253"/>
      <c r="P253" s="260"/>
      <c r="Q253"/>
      <c r="R253"/>
    </row>
    <row r="254" spans="2:18" x14ac:dyDescent="0.2">
      <c r="B254" s="106"/>
      <c r="C254" s="232"/>
      <c r="D254" s="261"/>
      <c r="E254" s="133"/>
      <c r="F254" s="8"/>
      <c r="G254" s="55"/>
      <c r="H254" s="55"/>
      <c r="I254" s="55"/>
      <c r="J254" s="55"/>
      <c r="K254" s="65"/>
      <c r="L254" s="65"/>
      <c r="M254" s="65"/>
      <c r="N254" s="537"/>
      <c r="O254"/>
      <c r="P254" s="260"/>
      <c r="Q254"/>
      <c r="R254"/>
    </row>
    <row r="255" spans="2:18" x14ac:dyDescent="0.2">
      <c r="B255" s="106"/>
      <c r="C255" s="232"/>
      <c r="D255" s="261"/>
      <c r="E255" s="133"/>
      <c r="F255" s="8"/>
      <c r="G255" s="55"/>
      <c r="H255" s="55"/>
      <c r="I255" s="55"/>
      <c r="J255" s="55"/>
      <c r="K255" s="65"/>
      <c r="L255" s="65"/>
      <c r="M255" s="65"/>
      <c r="N255" s="537"/>
      <c r="O255"/>
      <c r="P255" s="260"/>
      <c r="Q255"/>
      <c r="R255"/>
    </row>
    <row r="256" spans="2:18" x14ac:dyDescent="0.2">
      <c r="B256" s="106"/>
      <c r="C256" s="232"/>
      <c r="D256" s="261"/>
      <c r="E256" s="133"/>
      <c r="F256" s="8"/>
      <c r="G256" s="55"/>
      <c r="H256" s="55"/>
      <c r="I256" s="55"/>
      <c r="J256" s="55"/>
      <c r="K256" s="65"/>
      <c r="L256" s="65"/>
      <c r="M256" s="65"/>
      <c r="N256" s="537"/>
      <c r="O256"/>
      <c r="P256" s="260"/>
      <c r="Q256"/>
      <c r="R256"/>
    </row>
    <row r="257" spans="2:18" x14ac:dyDescent="0.2">
      <c r="B257" s="106"/>
      <c r="C257" s="232"/>
      <c r="D257" s="261"/>
      <c r="E257" s="133"/>
      <c r="F257" s="8"/>
      <c r="G257" s="55"/>
      <c r="H257" s="55"/>
      <c r="I257" s="55"/>
      <c r="J257" s="55"/>
      <c r="K257" s="65"/>
      <c r="L257" s="65"/>
      <c r="M257" s="65"/>
      <c r="N257" s="537"/>
      <c r="O257"/>
      <c r="P257" s="260"/>
      <c r="Q257"/>
      <c r="R257"/>
    </row>
    <row r="258" spans="2:18" x14ac:dyDescent="0.2">
      <c r="B258" s="106"/>
      <c r="C258" s="232"/>
      <c r="D258" s="261"/>
      <c r="E258" s="133"/>
      <c r="F258" s="8"/>
      <c r="G258" s="55"/>
      <c r="H258" s="55"/>
      <c r="I258" s="55"/>
      <c r="J258" s="55"/>
      <c r="K258" s="65"/>
      <c r="L258" s="65"/>
      <c r="M258" s="65"/>
      <c r="N258" s="537"/>
      <c r="O258"/>
      <c r="P258" s="260"/>
      <c r="Q258"/>
      <c r="R258"/>
    </row>
    <row r="259" spans="2:18" x14ac:dyDescent="0.2">
      <c r="B259" s="106"/>
      <c r="C259" s="232"/>
      <c r="D259" s="261"/>
      <c r="E259" s="133"/>
      <c r="F259" s="8"/>
      <c r="G259" s="55"/>
      <c r="H259" s="55"/>
      <c r="I259" s="55"/>
      <c r="J259" s="55"/>
      <c r="K259" s="65"/>
      <c r="L259" s="65"/>
      <c r="M259" s="65"/>
      <c r="N259" s="537"/>
      <c r="O259"/>
      <c r="P259" s="260"/>
      <c r="Q259"/>
      <c r="R259"/>
    </row>
    <row r="260" spans="2:18" x14ac:dyDescent="0.2">
      <c r="B260" s="106"/>
      <c r="C260" s="232"/>
      <c r="D260" s="261"/>
      <c r="E260" s="133"/>
      <c r="F260" s="8"/>
      <c r="G260" s="55"/>
      <c r="H260" s="55"/>
      <c r="I260" s="55"/>
      <c r="J260" s="55"/>
      <c r="K260" s="65"/>
      <c r="L260" s="65"/>
      <c r="M260" s="65"/>
      <c r="N260" s="537"/>
      <c r="O260"/>
      <c r="P260" s="260"/>
      <c r="Q260"/>
      <c r="R260"/>
    </row>
    <row r="261" spans="2:18" x14ac:dyDescent="0.2">
      <c r="B261" s="106"/>
      <c r="C261" s="232"/>
      <c r="D261" s="261"/>
      <c r="E261" s="133"/>
      <c r="F261" s="8"/>
      <c r="G261" s="55"/>
      <c r="H261" s="55"/>
      <c r="I261" s="55"/>
      <c r="J261" s="55"/>
      <c r="K261" s="65"/>
      <c r="L261" s="65"/>
      <c r="M261" s="65"/>
      <c r="N261" s="537"/>
      <c r="O261"/>
      <c r="P261" s="260"/>
      <c r="Q261"/>
      <c r="R261"/>
    </row>
    <row r="262" spans="2:18" x14ac:dyDescent="0.2">
      <c r="B262" s="106"/>
      <c r="C262" s="232"/>
      <c r="D262" s="261"/>
      <c r="E262" s="133"/>
      <c r="F262" s="8"/>
      <c r="G262" s="55"/>
      <c r="H262" s="55"/>
      <c r="I262" s="55"/>
      <c r="J262" s="55"/>
      <c r="K262" s="65"/>
      <c r="L262" s="65"/>
      <c r="M262" s="65"/>
      <c r="N262" s="537"/>
      <c r="O262"/>
      <c r="P262" s="260"/>
      <c r="Q262"/>
      <c r="R262"/>
    </row>
    <row r="263" spans="2:18" x14ac:dyDescent="0.2">
      <c r="B263" s="106"/>
      <c r="C263" s="232"/>
      <c r="D263" s="261"/>
      <c r="E263" s="133"/>
      <c r="F263" s="8"/>
      <c r="G263" s="55"/>
      <c r="H263" s="55"/>
      <c r="I263" s="55"/>
      <c r="J263" s="55"/>
      <c r="K263" s="65"/>
      <c r="L263" s="65"/>
      <c r="M263" s="65"/>
      <c r="N263" s="537"/>
      <c r="O263"/>
      <c r="P263" s="260"/>
      <c r="Q263"/>
      <c r="R263"/>
    </row>
    <row r="264" spans="2:18" x14ac:dyDescent="0.2">
      <c r="B264" s="106"/>
      <c r="C264" s="232"/>
      <c r="D264" s="261"/>
      <c r="E264" s="133"/>
      <c r="F264" s="8"/>
      <c r="G264" s="55"/>
      <c r="H264" s="55"/>
      <c r="I264" s="55"/>
      <c r="J264" s="55"/>
      <c r="K264" s="65"/>
      <c r="L264" s="65"/>
      <c r="M264" s="65"/>
      <c r="N264" s="537"/>
      <c r="O264"/>
      <c r="P264" s="260"/>
      <c r="Q264"/>
      <c r="R264"/>
    </row>
    <row r="265" spans="2:18" x14ac:dyDescent="0.2">
      <c r="B265" s="106"/>
      <c r="C265" s="232"/>
      <c r="D265" s="261"/>
      <c r="E265" s="133"/>
      <c r="F265" s="8"/>
      <c r="G265" s="55"/>
      <c r="H265" s="55"/>
      <c r="I265" s="55"/>
      <c r="J265" s="55"/>
      <c r="K265" s="65"/>
      <c r="L265" s="65"/>
      <c r="M265" s="65"/>
      <c r="N265" s="537"/>
      <c r="O265"/>
      <c r="P265" s="260"/>
      <c r="Q265"/>
      <c r="R265"/>
    </row>
    <row r="266" spans="2:18" x14ac:dyDescent="0.2">
      <c r="B266" s="106"/>
      <c r="C266" s="232"/>
      <c r="D266" s="261"/>
      <c r="E266" s="133"/>
      <c r="F266" s="8"/>
      <c r="G266" s="55"/>
      <c r="H266" s="55"/>
      <c r="I266" s="55"/>
      <c r="J266" s="55"/>
      <c r="K266" s="65"/>
      <c r="L266" s="65"/>
      <c r="M266" s="65"/>
      <c r="N266" s="537"/>
      <c r="O266"/>
      <c r="P266" s="260"/>
      <c r="Q266"/>
      <c r="R266"/>
    </row>
    <row r="267" spans="2:18" x14ac:dyDescent="0.2">
      <c r="B267" s="106"/>
      <c r="C267" s="232"/>
      <c r="D267" s="261"/>
      <c r="E267" s="133"/>
      <c r="F267" s="8"/>
      <c r="G267" s="55"/>
      <c r="H267" s="55"/>
      <c r="I267" s="55"/>
      <c r="J267" s="55"/>
      <c r="K267" s="65"/>
      <c r="L267" s="65"/>
      <c r="M267" s="65"/>
      <c r="N267" s="537"/>
      <c r="O267"/>
      <c r="P267" s="260"/>
      <c r="Q267"/>
      <c r="R267"/>
    </row>
    <row r="268" spans="2:18" x14ac:dyDescent="0.2">
      <c r="B268" s="106"/>
      <c r="C268" s="232"/>
      <c r="D268" s="261"/>
      <c r="E268" s="133"/>
      <c r="F268" s="8"/>
      <c r="G268" s="55"/>
      <c r="H268" s="55"/>
      <c r="I268" s="55"/>
      <c r="J268" s="55"/>
      <c r="K268" s="65"/>
      <c r="L268" s="65"/>
      <c r="M268" s="65"/>
      <c r="N268" s="537"/>
      <c r="O268"/>
      <c r="P268" s="260"/>
      <c r="Q268"/>
      <c r="R268"/>
    </row>
    <row r="269" spans="2:18" x14ac:dyDescent="0.2">
      <c r="B269" s="106"/>
      <c r="C269" s="232"/>
      <c r="D269" s="261"/>
      <c r="E269" s="133"/>
      <c r="F269" s="8"/>
      <c r="G269" s="55"/>
      <c r="H269" s="55"/>
      <c r="I269" s="55"/>
      <c r="J269" s="55"/>
      <c r="K269" s="65"/>
      <c r="L269" s="65"/>
      <c r="M269" s="65"/>
      <c r="N269" s="537"/>
      <c r="O269"/>
      <c r="P269" s="260"/>
      <c r="Q269"/>
      <c r="R269"/>
    </row>
    <row r="270" spans="2:18" x14ac:dyDescent="0.2">
      <c r="B270" s="106"/>
      <c r="C270" s="232"/>
      <c r="D270" s="261"/>
      <c r="E270" s="133"/>
      <c r="F270" s="8"/>
      <c r="G270" s="55"/>
      <c r="H270" s="55"/>
      <c r="I270" s="55"/>
      <c r="J270" s="55"/>
      <c r="K270" s="65"/>
      <c r="L270" s="65"/>
      <c r="M270" s="65"/>
      <c r="N270" s="537"/>
      <c r="O270"/>
      <c r="P270" s="260"/>
      <c r="Q270"/>
      <c r="R270"/>
    </row>
    <row r="271" spans="2:18" x14ac:dyDescent="0.2">
      <c r="B271" s="106"/>
      <c r="C271" s="232"/>
      <c r="D271" s="261"/>
      <c r="E271" s="133"/>
      <c r="F271" s="8"/>
      <c r="G271" s="55"/>
      <c r="H271" s="55"/>
      <c r="I271" s="55"/>
      <c r="J271" s="55"/>
      <c r="K271" s="65"/>
      <c r="L271" s="65"/>
      <c r="M271" s="65"/>
      <c r="N271" s="537"/>
      <c r="O271"/>
      <c r="P271" s="260"/>
      <c r="Q271"/>
      <c r="R271"/>
    </row>
    <row r="272" spans="2:18" x14ac:dyDescent="0.2">
      <c r="B272" s="106"/>
      <c r="C272" s="232"/>
      <c r="D272" s="261"/>
      <c r="E272" s="133"/>
      <c r="F272" s="8"/>
      <c r="G272" s="55"/>
      <c r="H272" s="55"/>
      <c r="I272" s="55"/>
      <c r="J272" s="55"/>
      <c r="K272" s="65"/>
      <c r="L272" s="65"/>
      <c r="M272" s="65"/>
      <c r="N272" s="537"/>
      <c r="O272"/>
      <c r="P272" s="260"/>
      <c r="Q272"/>
      <c r="R272"/>
    </row>
    <row r="273" spans="2:18" x14ac:dyDescent="0.2">
      <c r="B273" s="106"/>
      <c r="C273" s="232"/>
      <c r="D273" s="261"/>
      <c r="E273" s="133"/>
      <c r="F273" s="8"/>
      <c r="G273" s="55"/>
      <c r="H273" s="55"/>
      <c r="I273" s="55"/>
      <c r="J273" s="55"/>
      <c r="K273" s="65"/>
      <c r="L273" s="65"/>
      <c r="M273" s="65"/>
      <c r="N273" s="537"/>
      <c r="O273"/>
      <c r="P273" s="260"/>
      <c r="Q273"/>
      <c r="R273"/>
    </row>
    <row r="274" spans="2:18" x14ac:dyDescent="0.2">
      <c r="B274" s="106"/>
      <c r="C274" s="232"/>
      <c r="D274" s="261"/>
      <c r="E274" s="133"/>
      <c r="F274" s="8"/>
      <c r="G274" s="55"/>
      <c r="H274" s="55"/>
      <c r="I274" s="55"/>
      <c r="J274" s="55"/>
      <c r="K274" s="65"/>
      <c r="L274" s="65"/>
      <c r="M274" s="65"/>
      <c r="N274" s="537"/>
      <c r="O274"/>
      <c r="P274" s="260"/>
      <c r="Q274"/>
      <c r="R274"/>
    </row>
    <row r="275" spans="2:18" x14ac:dyDescent="0.2">
      <c r="B275" s="106"/>
      <c r="C275" s="232"/>
      <c r="D275" s="261"/>
      <c r="E275" s="133"/>
      <c r="F275" s="8"/>
      <c r="G275" s="55"/>
      <c r="H275" s="55"/>
      <c r="I275" s="55"/>
      <c r="J275" s="55"/>
      <c r="K275" s="65"/>
      <c r="L275" s="65"/>
      <c r="M275" s="65"/>
      <c r="N275" s="537"/>
      <c r="O275"/>
      <c r="P275" s="260"/>
      <c r="Q275"/>
      <c r="R275"/>
    </row>
    <row r="276" spans="2:18" x14ac:dyDescent="0.2">
      <c r="B276" s="106"/>
      <c r="C276" s="232"/>
      <c r="D276" s="261"/>
      <c r="E276" s="133"/>
      <c r="F276" s="8"/>
      <c r="G276" s="55"/>
      <c r="H276" s="55"/>
      <c r="I276" s="55"/>
      <c r="J276" s="55"/>
      <c r="K276" s="65"/>
      <c r="L276" s="65"/>
      <c r="M276" s="65"/>
      <c r="N276" s="537"/>
      <c r="O276"/>
      <c r="P276" s="260"/>
      <c r="Q276"/>
      <c r="R276"/>
    </row>
    <row r="277" spans="2:18" x14ac:dyDescent="0.2">
      <c r="B277" s="106"/>
      <c r="C277" s="232"/>
      <c r="D277" s="261"/>
      <c r="E277" s="133"/>
      <c r="F277" s="8"/>
      <c r="G277" s="55"/>
      <c r="H277" s="55"/>
      <c r="I277" s="55"/>
      <c r="J277" s="55"/>
      <c r="K277" s="65"/>
      <c r="L277" s="65"/>
      <c r="M277" s="65"/>
      <c r="N277" s="537"/>
      <c r="O277"/>
      <c r="P277" s="260"/>
      <c r="Q277"/>
      <c r="R277"/>
    </row>
    <row r="278" spans="2:18" x14ac:dyDescent="0.2">
      <c r="B278" s="106"/>
      <c r="C278" s="232"/>
      <c r="D278" s="261"/>
      <c r="E278" s="133"/>
      <c r="F278" s="8"/>
      <c r="G278" s="55"/>
      <c r="H278" s="55"/>
      <c r="I278" s="55"/>
      <c r="J278" s="55"/>
      <c r="K278" s="65"/>
      <c r="L278" s="65"/>
      <c r="M278" s="65"/>
      <c r="N278" s="537"/>
      <c r="O278"/>
      <c r="P278" s="260"/>
      <c r="Q278"/>
      <c r="R278"/>
    </row>
    <row r="279" spans="2:18" x14ac:dyDescent="0.2">
      <c r="B279" s="106"/>
      <c r="C279" s="232"/>
      <c r="D279" s="261"/>
      <c r="E279" s="133"/>
      <c r="F279" s="8"/>
      <c r="G279" s="55"/>
      <c r="H279" s="55"/>
      <c r="I279" s="55"/>
      <c r="J279" s="55"/>
      <c r="K279" s="65"/>
      <c r="L279" s="65"/>
      <c r="M279" s="65"/>
      <c r="N279" s="537"/>
      <c r="O279"/>
      <c r="P279" s="260"/>
      <c r="Q279"/>
      <c r="R279"/>
    </row>
    <row r="280" spans="2:18" x14ac:dyDescent="0.2">
      <c r="B280" s="106"/>
      <c r="C280" s="232"/>
      <c r="D280" s="261"/>
      <c r="E280" s="133"/>
      <c r="F280" s="8"/>
      <c r="G280" s="55"/>
      <c r="H280" s="55"/>
      <c r="I280" s="55"/>
      <c r="J280" s="55"/>
      <c r="K280" s="65"/>
      <c r="L280" s="65"/>
      <c r="M280" s="65"/>
      <c r="N280" s="537"/>
      <c r="O280"/>
      <c r="P280" s="260"/>
      <c r="Q280"/>
      <c r="R280"/>
    </row>
    <row r="281" spans="2:18" x14ac:dyDescent="0.2">
      <c r="B281" s="106"/>
      <c r="C281" s="232"/>
      <c r="D281" s="261"/>
      <c r="E281" s="133"/>
      <c r="F281" s="8"/>
      <c r="G281" s="55"/>
      <c r="H281" s="55"/>
      <c r="I281" s="55"/>
      <c r="J281" s="55"/>
      <c r="K281" s="65"/>
      <c r="L281" s="65"/>
      <c r="M281" s="65"/>
      <c r="N281" s="537"/>
      <c r="O281"/>
      <c r="P281" s="260"/>
      <c r="Q281"/>
      <c r="R281"/>
    </row>
    <row r="282" spans="2:18" x14ac:dyDescent="0.2">
      <c r="B282" s="106"/>
      <c r="C282" s="232"/>
      <c r="D282" s="261"/>
      <c r="E282" s="133"/>
      <c r="F282" s="8"/>
      <c r="G282" s="55"/>
      <c r="H282" s="55"/>
      <c r="I282" s="55"/>
      <c r="J282" s="55"/>
      <c r="K282" s="65"/>
      <c r="L282" s="65"/>
      <c r="M282" s="65"/>
      <c r="N282" s="537"/>
      <c r="O282"/>
      <c r="P282" s="260"/>
      <c r="Q282"/>
      <c r="R282"/>
    </row>
    <row r="283" spans="2:18" x14ac:dyDescent="0.2">
      <c r="B283" s="106"/>
      <c r="C283" s="232"/>
      <c r="D283" s="261"/>
      <c r="E283" s="133"/>
      <c r="F283" s="8"/>
      <c r="G283" s="55"/>
      <c r="H283" s="55"/>
      <c r="I283" s="55"/>
      <c r="J283" s="55"/>
      <c r="K283" s="65"/>
      <c r="L283" s="65"/>
      <c r="M283" s="65"/>
      <c r="N283" s="537"/>
      <c r="O283"/>
      <c r="P283" s="260"/>
      <c r="Q283"/>
      <c r="R283"/>
    </row>
    <row r="284" spans="2:18" x14ac:dyDescent="0.2">
      <c r="B284" s="106"/>
      <c r="C284" s="232"/>
      <c r="D284" s="261"/>
      <c r="E284" s="133"/>
      <c r="F284" s="8"/>
      <c r="G284" s="55"/>
      <c r="H284" s="55"/>
      <c r="I284" s="55"/>
      <c r="J284" s="55"/>
      <c r="K284" s="65"/>
      <c r="L284" s="65"/>
      <c r="M284" s="65"/>
      <c r="N284" s="537"/>
      <c r="O284"/>
      <c r="P284" s="260"/>
      <c r="Q284"/>
      <c r="R284"/>
    </row>
    <row r="285" spans="2:18" x14ac:dyDescent="0.2">
      <c r="B285" s="106"/>
      <c r="C285" s="232"/>
      <c r="D285" s="261"/>
      <c r="E285" s="133"/>
      <c r="F285" s="8"/>
      <c r="G285" s="55"/>
      <c r="H285" s="55"/>
      <c r="I285" s="55"/>
      <c r="J285" s="55"/>
      <c r="K285" s="65"/>
      <c r="L285" s="65"/>
      <c r="M285" s="65"/>
      <c r="N285" s="537"/>
      <c r="O285"/>
      <c r="P285" s="260"/>
      <c r="Q285"/>
      <c r="R285"/>
    </row>
    <row r="286" spans="2:18" x14ac:dyDescent="0.2">
      <c r="B286" s="106"/>
      <c r="C286" s="232"/>
      <c r="D286" s="261"/>
      <c r="E286" s="133"/>
      <c r="F286" s="8"/>
      <c r="G286" s="55"/>
      <c r="H286" s="55"/>
      <c r="I286" s="55"/>
      <c r="J286" s="55"/>
      <c r="K286" s="65"/>
      <c r="L286" s="65"/>
      <c r="M286" s="65"/>
      <c r="N286" s="537"/>
      <c r="O286"/>
      <c r="P286" s="260"/>
      <c r="Q286"/>
      <c r="R286"/>
    </row>
    <row r="287" spans="2:18" x14ac:dyDescent="0.2">
      <c r="B287" s="106"/>
      <c r="C287" s="232"/>
      <c r="D287" s="261"/>
      <c r="E287" s="133"/>
      <c r="F287" s="8"/>
      <c r="G287" s="55"/>
      <c r="H287" s="55"/>
      <c r="I287" s="55"/>
      <c r="J287" s="55"/>
      <c r="K287" s="65"/>
      <c r="L287" s="65"/>
      <c r="M287" s="65"/>
      <c r="N287" s="537"/>
      <c r="O287"/>
      <c r="P287" s="260"/>
      <c r="Q287"/>
      <c r="R287"/>
    </row>
    <row r="288" spans="2:18" x14ac:dyDescent="0.2">
      <c r="B288" s="106"/>
      <c r="C288" s="232"/>
      <c r="D288" s="261"/>
      <c r="E288" s="133"/>
      <c r="F288" s="8"/>
      <c r="G288" s="55"/>
      <c r="H288" s="55"/>
      <c r="I288" s="55"/>
      <c r="J288" s="55"/>
      <c r="K288" s="65"/>
      <c r="L288" s="65"/>
      <c r="M288" s="65"/>
      <c r="N288" s="537"/>
      <c r="O288"/>
      <c r="P288" s="260"/>
      <c r="Q288"/>
      <c r="R288"/>
    </row>
    <row r="289" spans="2:18" x14ac:dyDescent="0.2">
      <c r="B289" s="106"/>
      <c r="C289" s="232"/>
      <c r="D289" s="261"/>
      <c r="E289" s="133"/>
      <c r="F289" s="8"/>
      <c r="G289" s="55"/>
      <c r="H289" s="55"/>
      <c r="I289" s="55"/>
      <c r="J289" s="55"/>
      <c r="K289" s="65"/>
      <c r="L289" s="65"/>
      <c r="M289" s="65"/>
      <c r="N289" s="537"/>
      <c r="O289"/>
      <c r="P289" s="260"/>
      <c r="Q289"/>
      <c r="R289"/>
    </row>
    <row r="290" spans="2:18" x14ac:dyDescent="0.2">
      <c r="B290" s="106"/>
      <c r="C290" s="232"/>
      <c r="D290" s="261"/>
      <c r="E290" s="133"/>
      <c r="F290" s="8"/>
      <c r="G290" s="55"/>
      <c r="H290" s="55"/>
      <c r="I290" s="55"/>
      <c r="J290" s="55"/>
      <c r="K290" s="65"/>
      <c r="L290" s="65"/>
      <c r="M290" s="65"/>
      <c r="N290" s="537"/>
      <c r="O290"/>
      <c r="P290" s="260"/>
      <c r="Q290"/>
      <c r="R290"/>
    </row>
    <row r="291" spans="2:18" x14ac:dyDescent="0.2">
      <c r="B291" s="106"/>
      <c r="C291" s="232"/>
      <c r="D291" s="261"/>
      <c r="E291" s="133"/>
      <c r="F291" s="8"/>
      <c r="G291" s="55"/>
      <c r="H291" s="55"/>
      <c r="I291" s="55"/>
      <c r="J291" s="55"/>
      <c r="K291" s="65"/>
      <c r="L291" s="65"/>
      <c r="M291" s="65"/>
      <c r="N291" s="537"/>
      <c r="O291"/>
      <c r="P291" s="260"/>
      <c r="Q291"/>
      <c r="R291"/>
    </row>
    <row r="292" spans="2:18" x14ac:dyDescent="0.2">
      <c r="B292" s="106"/>
      <c r="C292" s="232"/>
      <c r="D292" s="261"/>
      <c r="E292" s="133"/>
      <c r="F292" s="8"/>
      <c r="G292" s="55"/>
      <c r="H292" s="55"/>
      <c r="I292" s="55"/>
      <c r="J292" s="55"/>
      <c r="K292" s="65"/>
      <c r="L292" s="65"/>
      <c r="M292" s="65"/>
      <c r="N292" s="537"/>
      <c r="O292"/>
      <c r="P292" s="260"/>
      <c r="Q292"/>
      <c r="R292"/>
    </row>
    <row r="293" spans="2:18" x14ac:dyDescent="0.2">
      <c r="B293" s="106"/>
      <c r="C293" s="232"/>
      <c r="D293" s="261"/>
      <c r="E293" s="133"/>
      <c r="F293" s="8"/>
      <c r="G293" s="55"/>
      <c r="H293" s="55"/>
      <c r="I293" s="55"/>
      <c r="J293" s="55"/>
      <c r="K293" s="65"/>
      <c r="L293" s="65"/>
      <c r="M293" s="65"/>
      <c r="N293" s="537"/>
      <c r="O293"/>
      <c r="P293" s="260"/>
      <c r="Q293"/>
      <c r="R293"/>
    </row>
    <row r="294" spans="2:18" x14ac:dyDescent="0.2">
      <c r="B294" s="106"/>
      <c r="C294" s="232"/>
      <c r="D294" s="261"/>
      <c r="E294" s="133"/>
      <c r="F294" s="8"/>
      <c r="G294" s="55"/>
      <c r="H294" s="55"/>
      <c r="I294" s="55"/>
      <c r="J294" s="55"/>
      <c r="K294" s="65"/>
      <c r="L294" s="65"/>
      <c r="M294" s="65"/>
      <c r="N294" s="537"/>
      <c r="O294"/>
      <c r="P294" s="260"/>
      <c r="Q294"/>
      <c r="R294"/>
    </row>
    <row r="295" spans="2:18" x14ac:dyDescent="0.2">
      <c r="B295" s="106"/>
      <c r="C295" s="232"/>
      <c r="D295" s="261"/>
      <c r="E295" s="133"/>
      <c r="F295" s="8"/>
      <c r="G295" s="55"/>
      <c r="H295" s="55"/>
      <c r="I295" s="55"/>
      <c r="J295" s="55"/>
      <c r="K295" s="65"/>
      <c r="L295" s="65"/>
      <c r="M295" s="65"/>
      <c r="N295" s="537"/>
      <c r="O295"/>
      <c r="P295" s="260"/>
      <c r="Q295"/>
      <c r="R295"/>
    </row>
    <row r="296" spans="2:18" x14ac:dyDescent="0.2">
      <c r="B296" s="106"/>
      <c r="C296" s="232"/>
      <c r="D296" s="261"/>
      <c r="E296" s="133"/>
      <c r="F296" s="8"/>
      <c r="G296" s="55"/>
      <c r="H296" s="55"/>
      <c r="I296" s="55"/>
      <c r="J296" s="55"/>
      <c r="K296" s="65"/>
      <c r="L296" s="65"/>
      <c r="M296" s="65"/>
      <c r="N296" s="537"/>
      <c r="O296"/>
      <c r="P296" s="260"/>
      <c r="Q296"/>
      <c r="R296"/>
    </row>
    <row r="297" spans="2:18" x14ac:dyDescent="0.2">
      <c r="B297" s="106"/>
      <c r="C297" s="232"/>
      <c r="D297" s="261"/>
      <c r="E297" s="133"/>
      <c r="F297" s="8"/>
      <c r="G297" s="55"/>
      <c r="H297" s="55"/>
      <c r="I297" s="55"/>
      <c r="J297" s="55"/>
      <c r="K297" s="65"/>
      <c r="L297" s="65"/>
      <c r="M297" s="65"/>
      <c r="N297" s="537"/>
      <c r="O297"/>
      <c r="P297" s="260"/>
      <c r="Q297"/>
      <c r="R297"/>
    </row>
    <row r="298" spans="2:18" x14ac:dyDescent="0.2">
      <c r="B298" s="106"/>
      <c r="C298" s="232"/>
      <c r="D298" s="261"/>
      <c r="E298" s="133"/>
      <c r="F298" s="8"/>
      <c r="G298" s="55"/>
      <c r="H298" s="55"/>
      <c r="I298" s="55"/>
      <c r="J298" s="55"/>
      <c r="K298" s="65"/>
      <c r="L298" s="65"/>
      <c r="M298" s="65"/>
      <c r="N298" s="537"/>
      <c r="O298"/>
      <c r="P298" s="260"/>
      <c r="Q298"/>
      <c r="R298"/>
    </row>
    <row r="299" spans="2:18" x14ac:dyDescent="0.2">
      <c r="B299" s="106"/>
      <c r="C299" s="232"/>
      <c r="D299" s="261"/>
      <c r="E299" s="133"/>
      <c r="F299" s="8"/>
      <c r="G299" s="55"/>
      <c r="H299" s="55"/>
      <c r="I299" s="55"/>
      <c r="J299" s="55"/>
      <c r="K299" s="65"/>
      <c r="L299" s="65"/>
      <c r="M299" s="65"/>
      <c r="N299" s="537"/>
      <c r="O299"/>
      <c r="P299" s="260"/>
      <c r="Q299"/>
      <c r="R299"/>
    </row>
    <row r="300" spans="2:18" x14ac:dyDescent="0.2">
      <c r="B300" s="106"/>
      <c r="C300" s="232"/>
      <c r="D300" s="261"/>
      <c r="E300" s="133"/>
      <c r="F300" s="8"/>
      <c r="G300" s="55"/>
      <c r="H300" s="55"/>
      <c r="I300" s="55"/>
      <c r="J300" s="55"/>
      <c r="K300" s="65"/>
      <c r="L300" s="65"/>
      <c r="M300" s="65"/>
      <c r="N300" s="537"/>
      <c r="O300"/>
      <c r="P300" s="260"/>
      <c r="Q300"/>
      <c r="R300"/>
    </row>
    <row r="301" spans="2:18" x14ac:dyDescent="0.2">
      <c r="B301" s="106"/>
      <c r="C301" s="232"/>
      <c r="D301" s="261"/>
      <c r="E301" s="133"/>
      <c r="F301" s="8"/>
      <c r="G301" s="55"/>
      <c r="H301" s="55"/>
      <c r="I301" s="55"/>
      <c r="J301" s="55"/>
      <c r="K301" s="65"/>
      <c r="L301" s="65"/>
      <c r="M301" s="65"/>
      <c r="N301" s="537"/>
      <c r="O301"/>
      <c r="P301" s="260"/>
      <c r="Q301"/>
      <c r="R301"/>
    </row>
    <row r="302" spans="2:18" x14ac:dyDescent="0.2">
      <c r="B302" s="106"/>
      <c r="C302" s="232"/>
      <c r="D302" s="261"/>
      <c r="E302" s="133"/>
      <c r="F302" s="8"/>
      <c r="G302" s="55"/>
      <c r="H302" s="55"/>
      <c r="I302" s="55"/>
      <c r="J302" s="55"/>
      <c r="K302" s="65"/>
      <c r="L302" s="65"/>
      <c r="M302" s="65"/>
      <c r="N302" s="537"/>
      <c r="O302"/>
      <c r="P302" s="260"/>
      <c r="Q302"/>
      <c r="R302"/>
    </row>
    <row r="303" spans="2:18" x14ac:dyDescent="0.2">
      <c r="B303" s="106"/>
      <c r="C303" s="232"/>
      <c r="D303" s="261"/>
      <c r="E303" s="133"/>
      <c r="F303" s="8"/>
      <c r="G303" s="55"/>
      <c r="H303" s="55"/>
      <c r="I303" s="55"/>
      <c r="J303" s="55"/>
      <c r="K303" s="65"/>
      <c r="L303" s="65"/>
      <c r="M303" s="65"/>
      <c r="N303" s="537"/>
      <c r="O303"/>
      <c r="P303" s="260"/>
      <c r="Q303"/>
      <c r="R303"/>
    </row>
    <row r="304" spans="2:18" x14ac:dyDescent="0.2">
      <c r="B304" s="106"/>
      <c r="C304" s="232"/>
      <c r="D304" s="261"/>
      <c r="E304" s="133"/>
      <c r="F304" s="8"/>
      <c r="G304" s="55"/>
      <c r="H304" s="55"/>
      <c r="I304" s="55"/>
      <c r="J304" s="55"/>
      <c r="K304" s="65"/>
      <c r="L304" s="65"/>
      <c r="M304" s="65"/>
      <c r="N304" s="537"/>
      <c r="O304"/>
      <c r="P304" s="260"/>
      <c r="Q304"/>
      <c r="R304"/>
    </row>
    <row r="305" spans="2:18" x14ac:dyDescent="0.2">
      <c r="B305" s="106"/>
      <c r="C305" s="232"/>
      <c r="D305" s="261"/>
      <c r="E305" s="133"/>
      <c r="F305" s="8"/>
      <c r="G305" s="55"/>
      <c r="H305" s="55"/>
      <c r="I305" s="55"/>
      <c r="J305" s="55"/>
      <c r="K305" s="65"/>
      <c r="L305" s="65"/>
      <c r="M305" s="65"/>
      <c r="N305" s="537"/>
      <c r="O305"/>
      <c r="P305" s="260"/>
      <c r="Q305"/>
      <c r="R305"/>
    </row>
    <row r="306" spans="2:18" x14ac:dyDescent="0.2">
      <c r="B306" s="106"/>
      <c r="C306" s="232"/>
      <c r="D306" s="261"/>
      <c r="E306" s="133"/>
      <c r="F306" s="8"/>
      <c r="G306" s="55"/>
      <c r="H306" s="55"/>
      <c r="I306" s="55"/>
      <c r="J306" s="55"/>
      <c r="K306" s="65"/>
      <c r="L306" s="65"/>
      <c r="M306" s="65"/>
      <c r="N306" s="537"/>
      <c r="O306"/>
      <c r="P306" s="260"/>
      <c r="Q306"/>
      <c r="R306"/>
    </row>
    <row r="307" spans="2:18" x14ac:dyDescent="0.2">
      <c r="B307" s="106"/>
      <c r="C307" s="232"/>
      <c r="D307" s="261"/>
      <c r="E307" s="133"/>
      <c r="F307" s="8"/>
      <c r="G307" s="55"/>
      <c r="H307" s="55"/>
      <c r="I307" s="55"/>
      <c r="J307" s="55"/>
      <c r="K307" s="65"/>
      <c r="L307" s="65"/>
      <c r="M307" s="65"/>
      <c r="N307" s="537"/>
      <c r="O307"/>
      <c r="P307" s="260"/>
      <c r="Q307"/>
      <c r="R307"/>
    </row>
    <row r="308" spans="2:18" x14ac:dyDescent="0.2">
      <c r="B308" s="106"/>
      <c r="C308" s="232"/>
      <c r="D308" s="261"/>
      <c r="E308" s="133"/>
      <c r="F308" s="8"/>
      <c r="G308" s="55"/>
      <c r="H308" s="55"/>
      <c r="I308" s="55"/>
      <c r="J308" s="55"/>
      <c r="K308" s="65"/>
      <c r="L308" s="65"/>
      <c r="M308" s="65"/>
      <c r="N308" s="537"/>
      <c r="O308"/>
      <c r="P308" s="260"/>
      <c r="Q308"/>
      <c r="R308"/>
    </row>
    <row r="309" spans="2:18" x14ac:dyDescent="0.2">
      <c r="B309" s="106"/>
      <c r="C309" s="232"/>
      <c r="D309" s="261"/>
      <c r="E309" s="133"/>
      <c r="F309" s="8"/>
      <c r="G309" s="55"/>
      <c r="H309" s="55"/>
      <c r="I309" s="55"/>
      <c r="J309" s="55"/>
      <c r="K309" s="65"/>
      <c r="L309" s="65"/>
      <c r="M309" s="65"/>
      <c r="N309" s="537"/>
      <c r="O309"/>
      <c r="P309" s="260"/>
      <c r="Q309"/>
      <c r="R309"/>
    </row>
    <row r="310" spans="2:18" x14ac:dyDescent="0.2">
      <c r="B310" s="106"/>
      <c r="C310" s="232"/>
      <c r="D310" s="261"/>
      <c r="E310" s="133"/>
      <c r="F310" s="8"/>
      <c r="G310" s="55"/>
      <c r="H310" s="55"/>
      <c r="I310" s="55"/>
      <c r="J310" s="55"/>
      <c r="K310" s="65"/>
      <c r="L310" s="65"/>
      <c r="M310" s="65"/>
      <c r="N310" s="537"/>
      <c r="O310"/>
      <c r="P310" s="260"/>
      <c r="Q310"/>
      <c r="R310"/>
    </row>
    <row r="311" spans="2:18" x14ac:dyDescent="0.2">
      <c r="B311" s="106"/>
      <c r="C311" s="232"/>
      <c r="D311" s="261"/>
      <c r="E311" s="133"/>
      <c r="F311" s="8"/>
      <c r="G311" s="55"/>
      <c r="H311" s="55"/>
      <c r="I311" s="55"/>
      <c r="J311" s="55"/>
      <c r="K311" s="65"/>
      <c r="L311" s="65"/>
      <c r="M311" s="65"/>
      <c r="N311" s="537"/>
      <c r="O311"/>
      <c r="P311" s="260"/>
      <c r="Q311"/>
      <c r="R311"/>
    </row>
    <row r="312" spans="2:18" x14ac:dyDescent="0.2">
      <c r="B312" s="106"/>
      <c r="C312" s="232"/>
      <c r="D312" s="261"/>
      <c r="E312" s="133"/>
      <c r="F312" s="8"/>
      <c r="G312" s="55"/>
      <c r="H312" s="55"/>
      <c r="I312" s="55"/>
      <c r="J312" s="55"/>
      <c r="K312" s="65"/>
      <c r="L312" s="65"/>
      <c r="M312" s="65"/>
      <c r="N312" s="537"/>
      <c r="O312"/>
      <c r="P312" s="260"/>
      <c r="Q312"/>
      <c r="R312"/>
    </row>
    <row r="313" spans="2:18" x14ac:dyDescent="0.2">
      <c r="B313" s="106"/>
      <c r="C313" s="232"/>
      <c r="D313" s="261"/>
      <c r="E313" s="133"/>
      <c r="F313" s="8"/>
      <c r="G313" s="55"/>
      <c r="H313" s="55"/>
      <c r="I313" s="55"/>
      <c r="J313" s="55"/>
      <c r="K313" s="65"/>
      <c r="L313" s="65"/>
      <c r="M313" s="65"/>
      <c r="N313" s="537"/>
      <c r="O313"/>
      <c r="P313" s="260"/>
      <c r="Q313"/>
      <c r="R313"/>
    </row>
    <row r="314" spans="2:18" x14ac:dyDescent="0.2">
      <c r="B314" s="106"/>
      <c r="C314" s="232"/>
      <c r="D314" s="261"/>
      <c r="E314" s="133"/>
      <c r="F314" s="8"/>
      <c r="G314" s="55"/>
      <c r="H314" s="55"/>
      <c r="I314" s="55"/>
      <c r="J314" s="55"/>
      <c r="K314" s="65"/>
      <c r="L314" s="65"/>
      <c r="M314" s="65"/>
      <c r="N314" s="537"/>
      <c r="O314"/>
      <c r="P314" s="260"/>
      <c r="Q314"/>
      <c r="R314"/>
    </row>
    <row r="315" spans="2:18" x14ac:dyDescent="0.2">
      <c r="B315" s="106"/>
      <c r="C315" s="232"/>
      <c r="D315" s="261"/>
      <c r="E315" s="133"/>
      <c r="F315" s="8"/>
      <c r="G315" s="55"/>
      <c r="H315" s="55"/>
      <c r="I315" s="55"/>
      <c r="J315" s="55"/>
      <c r="K315" s="65"/>
      <c r="L315" s="65"/>
      <c r="M315" s="65"/>
      <c r="N315" s="537"/>
      <c r="O315"/>
      <c r="P315" s="260"/>
      <c r="Q315"/>
      <c r="R315"/>
    </row>
    <row r="316" spans="2:18" x14ac:dyDescent="0.2">
      <c r="B316" s="106"/>
      <c r="C316" s="232"/>
      <c r="D316" s="261"/>
      <c r="E316" s="133"/>
      <c r="F316" s="8"/>
      <c r="G316" s="55"/>
      <c r="H316" s="55"/>
      <c r="I316" s="55"/>
      <c r="J316" s="55"/>
      <c r="K316" s="65"/>
      <c r="L316" s="65"/>
      <c r="M316" s="65"/>
      <c r="N316" s="537"/>
      <c r="O316"/>
      <c r="P316" s="260"/>
      <c r="Q316"/>
      <c r="R316"/>
    </row>
    <row r="317" spans="2:18" x14ac:dyDescent="0.2">
      <c r="B317" s="106"/>
      <c r="C317" s="232"/>
      <c r="D317" s="261"/>
      <c r="E317" s="133"/>
      <c r="F317" s="8"/>
      <c r="G317" s="55"/>
      <c r="H317" s="55"/>
      <c r="I317" s="55"/>
      <c r="J317" s="55"/>
      <c r="K317" s="65"/>
      <c r="L317" s="65"/>
      <c r="M317" s="65"/>
      <c r="N317" s="537"/>
      <c r="O317"/>
      <c r="P317" s="260"/>
      <c r="Q317"/>
      <c r="R317"/>
    </row>
    <row r="318" spans="2:18" x14ac:dyDescent="0.2">
      <c r="B318" s="106"/>
      <c r="C318" s="232"/>
      <c r="D318" s="261"/>
      <c r="E318" s="133"/>
      <c r="F318" s="8"/>
      <c r="G318" s="55"/>
      <c r="H318" s="55"/>
      <c r="I318" s="55"/>
      <c r="J318" s="55"/>
      <c r="K318" s="65"/>
      <c r="L318" s="65"/>
      <c r="M318" s="65"/>
      <c r="N318" s="537"/>
      <c r="O318"/>
      <c r="P318" s="260"/>
      <c r="Q318"/>
      <c r="R318"/>
    </row>
    <row r="319" spans="2:18" x14ac:dyDescent="0.2">
      <c r="B319" s="106"/>
      <c r="C319" s="232"/>
      <c r="D319" s="261"/>
      <c r="E319" s="133"/>
      <c r="F319" s="8"/>
      <c r="G319" s="55"/>
      <c r="H319" s="55"/>
      <c r="I319" s="55"/>
      <c r="J319" s="55"/>
      <c r="K319" s="65"/>
      <c r="L319" s="65"/>
      <c r="M319" s="65"/>
      <c r="N319" s="537"/>
      <c r="O319"/>
      <c r="P319" s="260"/>
      <c r="Q319"/>
      <c r="R319"/>
    </row>
    <row r="320" spans="2:18" x14ac:dyDescent="0.2">
      <c r="B320" s="106"/>
      <c r="C320" s="232"/>
      <c r="D320" s="261"/>
      <c r="E320" s="133"/>
      <c r="F320" s="8"/>
      <c r="G320" s="55"/>
      <c r="H320" s="55"/>
      <c r="I320" s="55"/>
      <c r="J320" s="55"/>
      <c r="K320" s="65"/>
      <c r="L320" s="65"/>
      <c r="M320" s="65"/>
      <c r="N320" s="537"/>
      <c r="O320"/>
      <c r="P320" s="260"/>
      <c r="Q320"/>
      <c r="R320"/>
    </row>
    <row r="321" spans="2:18" x14ac:dyDescent="0.2">
      <c r="B321" s="106"/>
      <c r="C321" s="232"/>
      <c r="D321" s="261"/>
      <c r="E321" s="133"/>
      <c r="F321" s="8"/>
      <c r="G321" s="55"/>
      <c r="H321" s="55"/>
      <c r="I321" s="55"/>
      <c r="J321" s="55"/>
      <c r="K321" s="65"/>
      <c r="L321" s="65"/>
      <c r="M321" s="65"/>
      <c r="N321" s="537"/>
      <c r="O321"/>
      <c r="P321" s="260"/>
      <c r="Q321"/>
      <c r="R321"/>
    </row>
    <row r="322" spans="2:18" x14ac:dyDescent="0.2">
      <c r="B322" s="106"/>
      <c r="C322" s="232"/>
      <c r="D322" s="261"/>
      <c r="E322" s="133"/>
      <c r="F322" s="8"/>
      <c r="G322" s="55"/>
      <c r="H322" s="55"/>
      <c r="I322" s="55"/>
      <c r="J322" s="55"/>
      <c r="K322" s="65"/>
      <c r="L322" s="65"/>
      <c r="M322" s="65"/>
      <c r="N322" s="537"/>
      <c r="O322"/>
      <c r="P322" s="260"/>
      <c r="Q322"/>
      <c r="R322"/>
    </row>
    <row r="323" spans="2:18" x14ac:dyDescent="0.2">
      <c r="B323" s="106"/>
      <c r="C323" s="232"/>
      <c r="D323" s="261"/>
      <c r="E323" s="133"/>
      <c r="F323" s="8"/>
      <c r="G323" s="55"/>
      <c r="H323" s="55"/>
      <c r="I323" s="55"/>
      <c r="J323" s="55"/>
      <c r="K323" s="65"/>
      <c r="L323" s="65"/>
      <c r="M323" s="65"/>
      <c r="N323" s="537"/>
      <c r="O323"/>
      <c r="P323" s="260"/>
      <c r="Q323"/>
      <c r="R323"/>
    </row>
    <row r="324" spans="2:18" x14ac:dyDescent="0.2">
      <c r="B324" s="106"/>
      <c r="C324" s="232"/>
      <c r="D324" s="261"/>
      <c r="E324" s="133"/>
      <c r="F324" s="8"/>
      <c r="G324" s="55"/>
      <c r="H324" s="55"/>
      <c r="I324" s="55"/>
      <c r="J324" s="55"/>
      <c r="K324" s="65"/>
      <c r="L324" s="65"/>
      <c r="M324" s="65"/>
      <c r="N324" s="537"/>
      <c r="O324"/>
      <c r="P324" s="260"/>
      <c r="Q324"/>
      <c r="R324"/>
    </row>
    <row r="325" spans="2:18" x14ac:dyDescent="0.2">
      <c r="B325" s="106"/>
      <c r="C325" s="232"/>
      <c r="D325" s="261"/>
      <c r="E325" s="133"/>
      <c r="F325" s="8"/>
      <c r="G325" s="55"/>
      <c r="H325" s="55"/>
      <c r="I325" s="55"/>
      <c r="J325" s="55"/>
      <c r="K325" s="65"/>
      <c r="L325" s="65"/>
      <c r="M325" s="65"/>
      <c r="N325" s="537"/>
      <c r="O325"/>
      <c r="P325" s="260"/>
      <c r="Q325"/>
      <c r="R325"/>
    </row>
    <row r="326" spans="2:18" x14ac:dyDescent="0.2">
      <c r="B326" s="106"/>
      <c r="C326" s="232"/>
      <c r="D326" s="261"/>
      <c r="E326" s="133"/>
      <c r="F326" s="8"/>
      <c r="G326" s="55"/>
      <c r="H326" s="55"/>
      <c r="I326" s="55"/>
      <c r="J326" s="55"/>
      <c r="K326" s="65"/>
      <c r="L326" s="65"/>
      <c r="M326" s="65"/>
      <c r="N326" s="537"/>
      <c r="O326"/>
      <c r="P326" s="260"/>
      <c r="Q326"/>
      <c r="R326"/>
    </row>
    <row r="327" spans="2:18" x14ac:dyDescent="0.2">
      <c r="B327" s="106"/>
      <c r="C327" s="232"/>
      <c r="D327" s="261"/>
      <c r="E327" s="133"/>
      <c r="F327" s="8"/>
      <c r="G327" s="55"/>
      <c r="H327" s="55"/>
      <c r="I327" s="55"/>
      <c r="J327" s="55"/>
      <c r="K327" s="65"/>
      <c r="L327" s="65"/>
      <c r="M327" s="65"/>
      <c r="N327" s="537"/>
      <c r="O327"/>
      <c r="P327" s="260"/>
      <c r="Q327"/>
      <c r="R327"/>
    </row>
    <row r="328" spans="2:18" x14ac:dyDescent="0.2">
      <c r="B328" s="106"/>
      <c r="C328" s="232"/>
      <c r="D328" s="261"/>
      <c r="E328" s="133"/>
      <c r="F328" s="8"/>
      <c r="G328" s="55"/>
      <c r="H328" s="55"/>
      <c r="I328" s="55"/>
      <c r="J328" s="55"/>
      <c r="K328" s="65"/>
      <c r="L328" s="65"/>
      <c r="M328" s="65"/>
      <c r="N328" s="537"/>
      <c r="O328"/>
      <c r="P328" s="260"/>
      <c r="Q328"/>
      <c r="R328"/>
    </row>
    <row r="329" spans="2:18" x14ac:dyDescent="0.2">
      <c r="B329" s="106"/>
      <c r="C329" s="232"/>
      <c r="D329" s="261"/>
      <c r="E329" s="133"/>
      <c r="F329" s="8"/>
      <c r="G329" s="55"/>
      <c r="H329" s="55"/>
      <c r="I329" s="55"/>
      <c r="J329" s="55"/>
      <c r="K329" s="65"/>
      <c r="L329" s="65"/>
      <c r="M329" s="65"/>
      <c r="N329" s="537"/>
      <c r="O329"/>
      <c r="P329" s="260"/>
      <c r="Q329"/>
      <c r="R329"/>
    </row>
    <row r="330" spans="2:18" x14ac:dyDescent="0.2">
      <c r="B330" s="106"/>
      <c r="C330" s="232"/>
      <c r="D330" s="261"/>
      <c r="E330" s="133"/>
      <c r="F330" s="8"/>
      <c r="G330" s="55"/>
      <c r="H330" s="55"/>
      <c r="I330" s="55"/>
      <c r="J330" s="55"/>
      <c r="K330" s="65"/>
      <c r="L330" s="65"/>
      <c r="M330" s="65"/>
      <c r="N330" s="537"/>
      <c r="O330"/>
      <c r="P330" s="260"/>
      <c r="Q330"/>
      <c r="R330"/>
    </row>
    <row r="331" spans="2:18" x14ac:dyDescent="0.2">
      <c r="B331" s="106"/>
      <c r="C331" s="232"/>
      <c r="D331" s="261"/>
      <c r="E331" s="133"/>
      <c r="F331" s="8"/>
      <c r="G331" s="55"/>
      <c r="H331" s="55"/>
      <c r="I331" s="55"/>
      <c r="J331" s="55"/>
      <c r="K331" s="65"/>
      <c r="L331" s="65"/>
      <c r="M331" s="65"/>
      <c r="N331" s="537"/>
      <c r="O331"/>
      <c r="P331" s="260"/>
      <c r="Q331"/>
      <c r="R331"/>
    </row>
    <row r="332" spans="2:18" x14ac:dyDescent="0.2">
      <c r="B332" s="106"/>
      <c r="C332" s="232"/>
      <c r="D332" s="261"/>
      <c r="E332" s="133"/>
      <c r="F332" s="8"/>
      <c r="G332" s="55"/>
      <c r="H332" s="55"/>
      <c r="I332" s="55"/>
      <c r="J332" s="55"/>
      <c r="K332" s="65"/>
      <c r="L332" s="65"/>
      <c r="M332" s="65"/>
      <c r="N332" s="537"/>
      <c r="O332"/>
      <c r="P332" s="260"/>
      <c r="Q332"/>
      <c r="R332"/>
    </row>
    <row r="333" spans="2:18" x14ac:dyDescent="0.2">
      <c r="B333" s="106"/>
      <c r="C333" s="232"/>
      <c r="D333" s="261"/>
      <c r="E333" s="133"/>
      <c r="F333" s="8"/>
      <c r="G333" s="55"/>
      <c r="H333" s="55"/>
      <c r="I333" s="55"/>
      <c r="J333" s="55"/>
      <c r="K333" s="65"/>
      <c r="L333" s="65"/>
      <c r="M333" s="65"/>
      <c r="N333" s="537"/>
      <c r="O333"/>
      <c r="P333" s="260"/>
      <c r="Q333"/>
      <c r="R333"/>
    </row>
    <row r="334" spans="2:18" x14ac:dyDescent="0.2">
      <c r="B334" s="106"/>
      <c r="C334" s="232"/>
      <c r="D334" s="261"/>
      <c r="E334" s="133"/>
      <c r="F334" s="8"/>
      <c r="G334" s="55"/>
      <c r="H334" s="55"/>
      <c r="I334" s="55"/>
      <c r="J334" s="55"/>
      <c r="K334" s="65"/>
      <c r="L334" s="65"/>
      <c r="M334" s="65"/>
      <c r="N334" s="537"/>
      <c r="O334"/>
      <c r="P334" s="260"/>
      <c r="Q334"/>
      <c r="R334"/>
    </row>
    <row r="335" spans="2:18" x14ac:dyDescent="0.2">
      <c r="B335" s="106"/>
      <c r="C335" s="232"/>
      <c r="D335" s="261"/>
      <c r="E335" s="133"/>
      <c r="F335" s="8"/>
      <c r="G335" s="55"/>
      <c r="H335" s="55"/>
      <c r="I335" s="55"/>
      <c r="J335" s="55"/>
      <c r="K335" s="65"/>
      <c r="L335" s="65"/>
      <c r="M335" s="65"/>
      <c r="N335" s="537"/>
      <c r="O335"/>
      <c r="P335" s="260"/>
      <c r="Q335"/>
      <c r="R335"/>
    </row>
    <row r="336" spans="2:18" x14ac:dyDescent="0.2">
      <c r="B336" s="106"/>
      <c r="C336" s="232"/>
      <c r="D336" s="261"/>
      <c r="E336" s="133"/>
      <c r="F336" s="8"/>
      <c r="G336" s="55"/>
      <c r="H336" s="55"/>
      <c r="I336" s="55"/>
      <c r="J336" s="55"/>
      <c r="K336" s="65"/>
      <c r="L336" s="65"/>
      <c r="M336" s="65"/>
      <c r="N336" s="537"/>
      <c r="O336"/>
      <c r="P336" s="260"/>
      <c r="Q336"/>
      <c r="R336"/>
    </row>
    <row r="337" spans="2:18" x14ac:dyDescent="0.2">
      <c r="B337" s="106"/>
      <c r="C337" s="232"/>
      <c r="D337" s="261"/>
      <c r="E337" s="133"/>
      <c r="F337" s="8"/>
      <c r="G337" s="55"/>
      <c r="H337" s="55"/>
      <c r="I337" s="55"/>
      <c r="J337" s="55"/>
      <c r="K337" s="65"/>
      <c r="L337" s="65"/>
      <c r="M337" s="65"/>
      <c r="N337" s="537"/>
      <c r="O337"/>
      <c r="P337" s="260"/>
      <c r="Q337"/>
      <c r="R337"/>
    </row>
    <row r="338" spans="2:18" x14ac:dyDescent="0.2">
      <c r="B338" s="106"/>
      <c r="C338" s="232"/>
      <c r="D338" s="261"/>
      <c r="E338" s="133"/>
      <c r="F338" s="8"/>
      <c r="G338" s="55"/>
      <c r="H338" s="55"/>
      <c r="I338" s="55"/>
      <c r="J338" s="55"/>
      <c r="K338" s="65"/>
      <c r="L338" s="65"/>
      <c r="M338" s="65"/>
      <c r="N338" s="537"/>
      <c r="O338"/>
      <c r="P338" s="260"/>
      <c r="Q338"/>
      <c r="R338"/>
    </row>
    <row r="339" spans="2:18" x14ac:dyDescent="0.2">
      <c r="B339" s="106"/>
      <c r="C339" s="232"/>
      <c r="D339" s="261"/>
      <c r="E339" s="133"/>
      <c r="F339" s="8"/>
      <c r="G339" s="55"/>
      <c r="H339" s="55"/>
      <c r="I339" s="55"/>
      <c r="J339" s="55"/>
      <c r="K339" s="65"/>
      <c r="L339" s="65"/>
      <c r="M339" s="65"/>
      <c r="N339" s="537"/>
      <c r="O339"/>
      <c r="P339" s="260"/>
      <c r="Q339"/>
      <c r="R339"/>
    </row>
    <row r="340" spans="2:18" x14ac:dyDescent="0.2">
      <c r="B340" s="106"/>
      <c r="C340" s="232"/>
      <c r="D340" s="261"/>
      <c r="E340" s="133"/>
      <c r="F340" s="8"/>
      <c r="G340" s="55"/>
      <c r="H340" s="55"/>
      <c r="I340" s="55"/>
      <c r="J340" s="55"/>
      <c r="K340" s="65"/>
      <c r="L340" s="65"/>
      <c r="M340" s="65"/>
      <c r="N340" s="537"/>
      <c r="O340"/>
      <c r="P340" s="260"/>
      <c r="Q340"/>
      <c r="R340"/>
    </row>
    <row r="341" spans="2:18" x14ac:dyDescent="0.2">
      <c r="B341" s="106"/>
      <c r="C341" s="232"/>
      <c r="D341" s="261"/>
      <c r="E341" s="133"/>
      <c r="F341" s="8"/>
      <c r="G341" s="55"/>
      <c r="H341" s="55"/>
      <c r="I341" s="55"/>
      <c r="J341" s="55"/>
      <c r="K341" s="65"/>
      <c r="L341" s="65"/>
      <c r="M341" s="65"/>
      <c r="N341" s="537"/>
      <c r="O341"/>
      <c r="P341" s="260"/>
      <c r="Q341"/>
      <c r="R341"/>
    </row>
    <row r="342" spans="2:18" x14ac:dyDescent="0.2">
      <c r="B342" s="106"/>
      <c r="C342" s="232"/>
      <c r="D342" s="261"/>
      <c r="E342" s="133"/>
      <c r="F342" s="8"/>
      <c r="G342" s="55"/>
      <c r="H342" s="55"/>
      <c r="I342" s="55"/>
      <c r="J342" s="55"/>
      <c r="K342" s="65"/>
      <c r="L342" s="65"/>
      <c r="M342" s="65"/>
      <c r="N342" s="537"/>
      <c r="O342"/>
      <c r="P342" s="260"/>
      <c r="Q342"/>
      <c r="R342"/>
    </row>
    <row r="343" spans="2:18" x14ac:dyDescent="0.2">
      <c r="B343" s="106"/>
      <c r="C343" s="232"/>
      <c r="D343" s="261"/>
      <c r="E343" s="133"/>
      <c r="F343" s="8"/>
      <c r="G343" s="55"/>
      <c r="H343" s="55"/>
      <c r="I343" s="55"/>
      <c r="J343" s="55"/>
      <c r="K343" s="65"/>
      <c r="L343" s="65"/>
      <c r="M343" s="65"/>
      <c r="N343" s="537"/>
      <c r="O343"/>
      <c r="P343" s="260"/>
      <c r="Q343"/>
      <c r="R343"/>
    </row>
    <row r="344" spans="2:18" x14ac:dyDescent="0.2">
      <c r="B344" s="106"/>
      <c r="C344" s="232"/>
      <c r="D344" s="261"/>
      <c r="E344" s="133"/>
      <c r="F344" s="8"/>
      <c r="G344" s="55"/>
      <c r="H344" s="55"/>
      <c r="I344" s="55"/>
      <c r="J344" s="55"/>
      <c r="K344" s="65"/>
      <c r="L344" s="65"/>
      <c r="M344" s="65"/>
      <c r="N344" s="537"/>
      <c r="O344"/>
      <c r="P344" s="260"/>
      <c r="Q344"/>
      <c r="R344"/>
    </row>
    <row r="345" spans="2:18" x14ac:dyDescent="0.2">
      <c r="B345" s="106"/>
      <c r="C345" s="232"/>
      <c r="D345" s="261"/>
      <c r="E345" s="133"/>
      <c r="F345" s="8"/>
      <c r="G345" s="55"/>
      <c r="H345" s="55"/>
      <c r="I345" s="55"/>
      <c r="J345" s="55"/>
      <c r="K345" s="65"/>
      <c r="L345" s="65"/>
      <c r="M345" s="65"/>
      <c r="N345" s="537"/>
      <c r="O345"/>
      <c r="P345" s="260"/>
      <c r="Q345"/>
      <c r="R345"/>
    </row>
    <row r="346" spans="2:18" x14ac:dyDescent="0.2">
      <c r="B346" s="106"/>
      <c r="C346" s="232"/>
      <c r="D346" s="261"/>
      <c r="E346" s="133"/>
      <c r="F346" s="8"/>
      <c r="G346" s="55"/>
      <c r="H346" s="55"/>
      <c r="I346" s="55"/>
      <c r="J346" s="55"/>
      <c r="K346" s="65"/>
      <c r="L346" s="65"/>
      <c r="M346" s="65"/>
      <c r="N346" s="537"/>
      <c r="O346"/>
      <c r="P346" s="260"/>
      <c r="Q346"/>
      <c r="R346"/>
    </row>
    <row r="347" spans="2:18" x14ac:dyDescent="0.2">
      <c r="B347" s="106"/>
      <c r="C347" s="232"/>
      <c r="D347" s="261"/>
      <c r="E347" s="133"/>
      <c r="F347" s="8"/>
      <c r="G347" s="55"/>
      <c r="H347" s="55"/>
      <c r="I347" s="55"/>
      <c r="J347" s="55"/>
      <c r="K347" s="65"/>
      <c r="L347" s="65"/>
      <c r="M347" s="65"/>
      <c r="N347" s="537"/>
      <c r="O347"/>
      <c r="P347" s="260"/>
      <c r="Q347"/>
      <c r="R347"/>
    </row>
    <row r="348" spans="2:18" x14ac:dyDescent="0.2">
      <c r="B348" s="106"/>
      <c r="C348" s="232"/>
      <c r="D348" s="261"/>
      <c r="E348" s="133"/>
      <c r="F348" s="8"/>
      <c r="G348" s="55"/>
      <c r="H348" s="55"/>
      <c r="I348" s="55"/>
      <c r="J348" s="55"/>
      <c r="K348" s="65"/>
      <c r="L348" s="65"/>
      <c r="M348" s="65"/>
      <c r="N348" s="537"/>
      <c r="O348"/>
      <c r="P348" s="260"/>
      <c r="Q348"/>
      <c r="R348"/>
    </row>
    <row r="349" spans="2:18" x14ac:dyDescent="0.2">
      <c r="B349" s="106"/>
      <c r="C349" s="232"/>
      <c r="D349" s="261"/>
      <c r="E349" s="133"/>
      <c r="F349" s="8"/>
      <c r="G349" s="55"/>
      <c r="H349" s="55"/>
      <c r="I349" s="55"/>
      <c r="J349" s="55"/>
      <c r="K349" s="65"/>
      <c r="L349" s="65"/>
      <c r="M349" s="65"/>
      <c r="N349" s="537"/>
      <c r="O349"/>
      <c r="P349" s="260"/>
      <c r="Q349"/>
      <c r="R349"/>
    </row>
    <row r="350" spans="2:18" x14ac:dyDescent="0.2">
      <c r="B350" s="106"/>
      <c r="C350" s="232"/>
      <c r="D350" s="261"/>
      <c r="E350" s="133"/>
      <c r="F350" s="8"/>
      <c r="G350" s="55"/>
      <c r="H350" s="55"/>
      <c r="I350" s="55"/>
      <c r="J350" s="55"/>
      <c r="K350" s="65"/>
      <c r="L350" s="65"/>
      <c r="M350" s="65"/>
      <c r="N350" s="537"/>
      <c r="O350"/>
      <c r="P350" s="260"/>
      <c r="Q350"/>
      <c r="R350"/>
    </row>
    <row r="351" spans="2:18" x14ac:dyDescent="0.2">
      <c r="B351" s="106"/>
      <c r="C351" s="232"/>
      <c r="D351" s="261"/>
      <c r="E351" s="133"/>
      <c r="F351" s="8"/>
      <c r="G351" s="55"/>
      <c r="H351" s="55"/>
      <c r="I351" s="55"/>
      <c r="J351" s="55"/>
      <c r="K351" s="65"/>
      <c r="L351" s="65"/>
      <c r="M351" s="65"/>
      <c r="N351" s="537"/>
      <c r="O351"/>
      <c r="P351" s="260"/>
      <c r="Q351"/>
      <c r="R351"/>
    </row>
    <row r="352" spans="2:18" x14ac:dyDescent="0.2">
      <c r="B352" s="106"/>
      <c r="C352" s="232"/>
      <c r="D352" s="261"/>
      <c r="E352" s="133"/>
      <c r="F352" s="8"/>
      <c r="G352" s="55"/>
      <c r="H352" s="55"/>
      <c r="I352" s="55"/>
      <c r="J352" s="55"/>
      <c r="K352" s="65"/>
      <c r="L352" s="65"/>
      <c r="M352" s="65"/>
      <c r="N352" s="537"/>
      <c r="O352"/>
      <c r="P352" s="260"/>
      <c r="Q352"/>
      <c r="R352"/>
    </row>
    <row r="353" spans="2:18" x14ac:dyDescent="0.2">
      <c r="B353" s="106"/>
      <c r="C353" s="232"/>
      <c r="D353" s="261"/>
      <c r="E353" s="133"/>
      <c r="F353" s="8"/>
      <c r="G353" s="55"/>
      <c r="H353" s="55"/>
      <c r="I353" s="55"/>
      <c r="J353" s="55"/>
      <c r="K353" s="65"/>
      <c r="L353" s="65"/>
      <c r="M353" s="65"/>
      <c r="N353" s="537"/>
      <c r="O353"/>
      <c r="P353" s="260"/>
      <c r="Q353"/>
      <c r="R353"/>
    </row>
    <row r="354" spans="2:18" x14ac:dyDescent="0.2">
      <c r="B354" s="106"/>
      <c r="C354" s="232"/>
      <c r="D354" s="261"/>
      <c r="E354" s="133"/>
      <c r="F354" s="8"/>
      <c r="G354" s="55"/>
      <c r="H354" s="55"/>
      <c r="I354" s="55"/>
      <c r="J354" s="55"/>
      <c r="K354" s="65"/>
      <c r="L354" s="65"/>
      <c r="M354" s="65"/>
      <c r="N354" s="537"/>
      <c r="O354"/>
      <c r="P354" s="260"/>
      <c r="Q354"/>
      <c r="R354"/>
    </row>
    <row r="355" spans="2:18" x14ac:dyDescent="0.2">
      <c r="B355" s="106"/>
      <c r="C355" s="232"/>
      <c r="D355" s="261"/>
      <c r="E355" s="133"/>
      <c r="F355" s="8"/>
      <c r="G355" s="55"/>
      <c r="H355" s="55"/>
      <c r="I355" s="55"/>
      <c r="J355" s="55"/>
      <c r="K355" s="65"/>
      <c r="L355" s="65"/>
      <c r="M355" s="65"/>
      <c r="N355" s="537"/>
      <c r="O355"/>
      <c r="P355" s="260"/>
      <c r="Q355"/>
      <c r="R355"/>
    </row>
    <row r="356" spans="2:18" x14ac:dyDescent="0.2">
      <c r="B356" s="106"/>
      <c r="C356" s="232"/>
      <c r="D356" s="261"/>
      <c r="E356" s="133"/>
      <c r="F356" s="8"/>
      <c r="G356" s="55"/>
      <c r="H356" s="55"/>
      <c r="I356" s="55"/>
      <c r="J356" s="55"/>
      <c r="K356" s="65"/>
      <c r="L356" s="65"/>
      <c r="M356" s="65"/>
      <c r="N356" s="537"/>
      <c r="O356"/>
      <c r="P356" s="260"/>
      <c r="Q356"/>
      <c r="R356"/>
    </row>
    <row r="357" spans="2:18" x14ac:dyDescent="0.2">
      <c r="B357" s="106"/>
      <c r="C357" s="232"/>
      <c r="D357" s="261"/>
      <c r="E357" s="133"/>
      <c r="F357" s="8"/>
      <c r="G357" s="55"/>
      <c r="H357" s="55"/>
      <c r="I357" s="55"/>
      <c r="J357" s="55"/>
      <c r="K357" s="65"/>
      <c r="L357" s="65"/>
      <c r="M357" s="65"/>
      <c r="N357" s="537"/>
      <c r="O357"/>
      <c r="P357" s="260"/>
      <c r="Q357"/>
      <c r="R357"/>
    </row>
    <row r="358" spans="2:18" x14ac:dyDescent="0.2">
      <c r="B358" s="106"/>
      <c r="C358" s="232"/>
      <c r="D358" s="261"/>
      <c r="E358" s="133"/>
      <c r="F358" s="8"/>
      <c r="G358" s="55"/>
      <c r="H358" s="55"/>
      <c r="I358" s="55"/>
      <c r="J358" s="55"/>
      <c r="K358" s="65"/>
      <c r="L358" s="65"/>
      <c r="M358" s="65"/>
      <c r="N358" s="537"/>
      <c r="O358"/>
      <c r="P358" s="260"/>
      <c r="Q358"/>
      <c r="R358"/>
    </row>
    <row r="359" spans="2:18" x14ac:dyDescent="0.2">
      <c r="B359" s="106"/>
      <c r="C359" s="232"/>
      <c r="D359" s="261"/>
      <c r="E359" s="133"/>
      <c r="F359" s="8"/>
      <c r="G359" s="55"/>
      <c r="H359" s="55"/>
      <c r="I359" s="55"/>
      <c r="J359" s="55"/>
      <c r="K359" s="65"/>
      <c r="L359" s="65"/>
      <c r="M359" s="65"/>
      <c r="N359" s="537"/>
      <c r="O359"/>
      <c r="P359" s="260"/>
      <c r="Q359"/>
      <c r="R359"/>
    </row>
    <row r="360" spans="2:18" x14ac:dyDescent="0.2">
      <c r="B360" s="106"/>
      <c r="C360" s="232"/>
      <c r="D360" s="261"/>
      <c r="E360" s="133"/>
      <c r="F360" s="8"/>
      <c r="G360" s="55"/>
      <c r="H360" s="55"/>
      <c r="I360" s="55"/>
      <c r="J360" s="55"/>
      <c r="K360" s="65"/>
      <c r="L360" s="65"/>
      <c r="M360" s="65"/>
      <c r="N360" s="537"/>
      <c r="O360"/>
      <c r="P360" s="260"/>
      <c r="Q360"/>
      <c r="R360"/>
    </row>
    <row r="361" spans="2:18" x14ac:dyDescent="0.2">
      <c r="B361" s="106"/>
      <c r="C361" s="232"/>
      <c r="D361" s="261"/>
      <c r="E361" s="133"/>
      <c r="F361" s="8"/>
      <c r="G361" s="55"/>
      <c r="H361" s="55"/>
      <c r="I361" s="55"/>
      <c r="J361" s="55"/>
      <c r="K361" s="65"/>
      <c r="L361" s="65"/>
      <c r="M361" s="65"/>
      <c r="N361" s="537"/>
      <c r="O361"/>
      <c r="P361" s="260"/>
      <c r="Q361"/>
      <c r="R361"/>
    </row>
    <row r="362" spans="2:18" x14ac:dyDescent="0.2">
      <c r="B362" s="106"/>
      <c r="C362" s="232"/>
      <c r="D362" s="261"/>
      <c r="E362" s="133"/>
      <c r="F362" s="8"/>
      <c r="G362" s="55"/>
      <c r="H362" s="55"/>
      <c r="I362" s="55"/>
      <c r="J362" s="55"/>
      <c r="K362" s="65"/>
      <c r="L362" s="65"/>
      <c r="M362" s="65"/>
      <c r="N362" s="537"/>
      <c r="O362"/>
      <c r="P362" s="260"/>
      <c r="Q362"/>
      <c r="R362"/>
    </row>
    <row r="363" spans="2:18" x14ac:dyDescent="0.2">
      <c r="B363" s="106"/>
      <c r="C363" s="232"/>
      <c r="D363" s="261"/>
      <c r="E363" s="133"/>
      <c r="F363" s="8"/>
      <c r="G363" s="55"/>
      <c r="H363" s="55"/>
      <c r="I363" s="55"/>
      <c r="J363" s="55"/>
      <c r="K363" s="65"/>
      <c r="L363" s="65"/>
      <c r="M363" s="65"/>
      <c r="N363" s="537"/>
      <c r="O363"/>
      <c r="P363" s="260"/>
      <c r="Q363"/>
      <c r="R363"/>
    </row>
    <row r="364" spans="2:18" x14ac:dyDescent="0.2">
      <c r="B364" s="106"/>
      <c r="C364" s="232"/>
      <c r="D364" s="261"/>
      <c r="E364" s="133"/>
      <c r="F364" s="8"/>
      <c r="G364" s="55"/>
      <c r="H364" s="55"/>
      <c r="I364" s="55"/>
      <c r="J364" s="55"/>
      <c r="K364" s="65"/>
      <c r="L364" s="65"/>
      <c r="M364" s="65"/>
      <c r="N364" s="537"/>
      <c r="O364"/>
      <c r="P364" s="260"/>
      <c r="Q364"/>
      <c r="R364"/>
    </row>
    <row r="365" spans="2:18" x14ac:dyDescent="0.2">
      <c r="B365" s="106"/>
      <c r="C365" s="232"/>
      <c r="D365" s="261"/>
      <c r="E365" s="133"/>
      <c r="F365" s="8"/>
      <c r="G365" s="55"/>
      <c r="H365" s="55"/>
      <c r="I365" s="55"/>
      <c r="J365" s="55"/>
      <c r="K365" s="65"/>
      <c r="L365" s="65"/>
      <c r="M365" s="65"/>
      <c r="N365" s="537"/>
      <c r="O365"/>
      <c r="P365" s="260"/>
      <c r="Q365"/>
      <c r="R365"/>
    </row>
    <row r="366" spans="2:18" x14ac:dyDescent="0.2">
      <c r="B366" s="106"/>
      <c r="C366" s="232"/>
      <c r="D366" s="261"/>
      <c r="E366" s="133"/>
      <c r="F366" s="8"/>
      <c r="G366" s="55"/>
      <c r="H366" s="55"/>
      <c r="I366" s="55"/>
      <c r="J366" s="55"/>
      <c r="K366" s="65"/>
      <c r="L366" s="65"/>
      <c r="M366" s="65"/>
      <c r="N366" s="537"/>
      <c r="O366"/>
      <c r="P366" s="260"/>
      <c r="Q366"/>
      <c r="R366"/>
    </row>
    <row r="367" spans="2:18" x14ac:dyDescent="0.2">
      <c r="B367" s="106"/>
      <c r="C367" s="232"/>
      <c r="D367" s="261"/>
      <c r="E367" s="133"/>
      <c r="F367" s="8"/>
      <c r="G367" s="55"/>
      <c r="H367" s="55"/>
      <c r="I367" s="55"/>
      <c r="J367" s="55"/>
      <c r="K367" s="65"/>
      <c r="L367" s="65"/>
      <c r="M367" s="65"/>
      <c r="N367" s="537"/>
      <c r="O367"/>
      <c r="P367" s="260"/>
      <c r="Q367"/>
      <c r="R367"/>
    </row>
    <row r="368" spans="2:18" x14ac:dyDescent="0.2">
      <c r="B368" s="106"/>
      <c r="C368" s="232"/>
      <c r="D368" s="261"/>
      <c r="E368" s="133"/>
      <c r="F368" s="8"/>
      <c r="G368" s="55"/>
      <c r="H368" s="55"/>
      <c r="I368" s="55"/>
      <c r="J368" s="55"/>
      <c r="K368" s="65"/>
      <c r="L368" s="65"/>
      <c r="M368" s="65"/>
      <c r="N368" s="537"/>
      <c r="O368"/>
      <c r="P368" s="260"/>
      <c r="Q368"/>
      <c r="R368"/>
    </row>
    <row r="369" spans="2:18" x14ac:dyDescent="0.2">
      <c r="B369" s="106"/>
      <c r="C369" s="232"/>
      <c r="D369" s="261"/>
      <c r="E369" s="133"/>
      <c r="F369" s="8"/>
      <c r="G369" s="55"/>
      <c r="H369" s="55"/>
      <c r="I369" s="55"/>
      <c r="J369" s="55"/>
      <c r="K369" s="65"/>
      <c r="L369" s="65"/>
      <c r="M369" s="65"/>
      <c r="N369" s="537"/>
      <c r="O369"/>
      <c r="P369" s="260"/>
      <c r="Q369"/>
      <c r="R369"/>
    </row>
    <row r="370" spans="2:18" x14ac:dyDescent="0.2">
      <c r="B370" s="106"/>
      <c r="C370" s="232"/>
      <c r="D370" s="261"/>
      <c r="E370" s="133"/>
      <c r="F370" s="8"/>
      <c r="G370" s="55"/>
      <c r="H370" s="55"/>
      <c r="I370" s="55"/>
      <c r="J370" s="55"/>
      <c r="K370" s="65"/>
      <c r="L370" s="65"/>
      <c r="M370" s="65"/>
      <c r="N370" s="537"/>
      <c r="O370"/>
      <c r="P370" s="260"/>
      <c r="Q370"/>
      <c r="R370"/>
    </row>
    <row r="371" spans="2:18" x14ac:dyDescent="0.2">
      <c r="B371" s="106"/>
      <c r="C371" s="232"/>
      <c r="D371" s="261"/>
      <c r="E371" s="133"/>
      <c r="F371" s="8"/>
      <c r="G371" s="55"/>
      <c r="H371" s="55"/>
      <c r="I371" s="55"/>
      <c r="J371" s="55"/>
      <c r="K371" s="65"/>
      <c r="L371" s="65"/>
      <c r="M371" s="65"/>
      <c r="N371" s="537"/>
      <c r="O371"/>
      <c r="P371" s="260"/>
      <c r="Q371"/>
      <c r="R371"/>
    </row>
    <row r="372" spans="2:18" x14ac:dyDescent="0.2">
      <c r="B372" s="106"/>
      <c r="C372" s="232"/>
      <c r="D372" s="261"/>
      <c r="E372" s="133"/>
      <c r="F372" s="8"/>
      <c r="G372" s="55"/>
      <c r="H372" s="55"/>
      <c r="I372" s="55"/>
      <c r="J372" s="55"/>
      <c r="K372" s="65"/>
      <c r="L372" s="65"/>
      <c r="M372" s="65"/>
      <c r="N372" s="537"/>
      <c r="O372"/>
      <c r="P372" s="260"/>
      <c r="Q372"/>
      <c r="R372"/>
    </row>
    <row r="373" spans="2:18" x14ac:dyDescent="0.2">
      <c r="B373" s="106"/>
      <c r="C373" s="232"/>
      <c r="D373" s="261"/>
      <c r="E373" s="133"/>
      <c r="F373" s="8"/>
      <c r="G373" s="55"/>
      <c r="H373" s="55"/>
      <c r="I373" s="55"/>
      <c r="J373" s="55"/>
      <c r="K373" s="65"/>
      <c r="L373" s="65"/>
      <c r="M373" s="65"/>
      <c r="N373" s="537"/>
      <c r="O373"/>
      <c r="P373" s="260"/>
      <c r="Q373"/>
      <c r="R373"/>
    </row>
    <row r="374" spans="2:18" x14ac:dyDescent="0.2">
      <c r="B374" s="106"/>
      <c r="C374" s="232"/>
      <c r="D374" s="261"/>
      <c r="E374" s="133"/>
      <c r="F374" s="8"/>
      <c r="G374" s="55"/>
      <c r="H374" s="55"/>
      <c r="I374" s="55"/>
      <c r="J374" s="55"/>
      <c r="K374" s="65"/>
      <c r="L374" s="65"/>
      <c r="M374" s="65"/>
      <c r="N374" s="537"/>
      <c r="O374"/>
      <c r="P374" s="260"/>
      <c r="Q374"/>
      <c r="R374"/>
    </row>
    <row r="375" spans="2:18" x14ac:dyDescent="0.2">
      <c r="B375" s="106"/>
      <c r="C375" s="232"/>
      <c r="D375" s="261"/>
      <c r="E375" s="133"/>
      <c r="F375" s="8"/>
      <c r="G375" s="55"/>
      <c r="H375" s="55"/>
      <c r="I375" s="55"/>
      <c r="J375" s="55"/>
      <c r="K375" s="65"/>
      <c r="L375" s="65"/>
      <c r="M375" s="65"/>
      <c r="N375" s="537"/>
      <c r="O375"/>
      <c r="P375" s="260"/>
      <c r="Q375"/>
      <c r="R375"/>
    </row>
    <row r="376" spans="2:18" x14ac:dyDescent="0.2">
      <c r="B376" s="106"/>
      <c r="C376" s="232"/>
      <c r="D376" s="261"/>
      <c r="E376" s="133"/>
      <c r="F376" s="8"/>
      <c r="G376" s="55"/>
      <c r="H376" s="55"/>
      <c r="I376" s="55"/>
      <c r="J376" s="55"/>
      <c r="K376" s="65"/>
      <c r="L376" s="65"/>
      <c r="M376" s="65"/>
      <c r="N376" s="537"/>
      <c r="O376"/>
      <c r="P376" s="260"/>
      <c r="Q376"/>
      <c r="R376"/>
    </row>
    <row r="377" spans="2:18" x14ac:dyDescent="0.2">
      <c r="B377" s="106"/>
      <c r="C377" s="232"/>
      <c r="D377" s="261"/>
      <c r="E377" s="133"/>
      <c r="F377" s="8"/>
      <c r="G377" s="55"/>
      <c r="H377" s="55"/>
      <c r="I377" s="55"/>
      <c r="J377" s="55"/>
      <c r="K377" s="65"/>
      <c r="L377" s="65"/>
      <c r="M377" s="65"/>
      <c r="N377" s="537"/>
      <c r="O377"/>
      <c r="P377" s="260"/>
      <c r="Q377"/>
      <c r="R377"/>
    </row>
    <row r="378" spans="2:18" x14ac:dyDescent="0.2">
      <c r="B378" s="106"/>
      <c r="C378" s="232"/>
      <c r="D378" s="261"/>
      <c r="E378" s="133"/>
      <c r="F378" s="8"/>
      <c r="G378" s="55"/>
      <c r="H378" s="55"/>
      <c r="I378" s="55"/>
      <c r="J378" s="55"/>
      <c r="K378" s="65"/>
      <c r="L378" s="65"/>
      <c r="M378" s="65"/>
      <c r="N378" s="537"/>
      <c r="O378"/>
      <c r="P378" s="260"/>
      <c r="Q378"/>
      <c r="R378"/>
    </row>
    <row r="379" spans="2:18" x14ac:dyDescent="0.2">
      <c r="B379" s="106"/>
      <c r="C379" s="232"/>
      <c r="D379" s="261"/>
      <c r="E379" s="133"/>
      <c r="F379" s="8"/>
      <c r="G379" s="55"/>
      <c r="H379" s="55"/>
      <c r="I379" s="55"/>
      <c r="J379" s="55"/>
      <c r="K379" s="65"/>
      <c r="L379" s="65"/>
      <c r="M379" s="65"/>
      <c r="N379" s="537"/>
      <c r="O379"/>
      <c r="P379" s="260"/>
      <c r="Q379"/>
      <c r="R379"/>
    </row>
    <row r="380" spans="2:18" x14ac:dyDescent="0.2">
      <c r="B380" s="106"/>
      <c r="C380" s="232"/>
      <c r="D380" s="261"/>
      <c r="E380" s="133"/>
      <c r="F380" s="8"/>
      <c r="G380" s="55"/>
      <c r="H380" s="55"/>
      <c r="I380" s="55"/>
      <c r="J380" s="55"/>
      <c r="K380" s="65"/>
      <c r="L380" s="65"/>
      <c r="M380" s="65"/>
      <c r="N380" s="537"/>
      <c r="O380"/>
      <c r="P380" s="260"/>
      <c r="Q380"/>
      <c r="R380"/>
    </row>
    <row r="381" spans="2:18" x14ac:dyDescent="0.2">
      <c r="B381" s="106"/>
      <c r="C381" s="232"/>
      <c r="D381" s="261"/>
      <c r="E381" s="133"/>
      <c r="F381" s="8"/>
      <c r="G381" s="55"/>
      <c r="H381" s="55"/>
      <c r="I381" s="55"/>
      <c r="J381" s="55"/>
      <c r="K381" s="65"/>
      <c r="L381" s="65"/>
      <c r="M381" s="65"/>
      <c r="N381" s="537"/>
      <c r="O381"/>
      <c r="P381" s="260"/>
      <c r="Q381"/>
      <c r="R381"/>
    </row>
    <row r="382" spans="2:18" x14ac:dyDescent="0.2">
      <c r="B382" s="106"/>
      <c r="C382" s="232"/>
      <c r="D382" s="261"/>
      <c r="E382" s="133"/>
      <c r="F382" s="8"/>
      <c r="G382" s="55"/>
      <c r="H382" s="55"/>
      <c r="I382" s="55"/>
      <c r="J382" s="55"/>
      <c r="K382" s="65"/>
      <c r="L382" s="65"/>
      <c r="M382" s="65"/>
      <c r="N382" s="537"/>
      <c r="O382"/>
      <c r="P382" s="260"/>
      <c r="Q382"/>
      <c r="R382"/>
    </row>
    <row r="383" spans="2:18" x14ac:dyDescent="0.2">
      <c r="B383" s="106"/>
      <c r="C383" s="232"/>
      <c r="D383" s="261"/>
      <c r="E383" s="133"/>
      <c r="F383" s="8"/>
      <c r="G383" s="55"/>
      <c r="H383" s="55"/>
      <c r="I383" s="55"/>
      <c r="J383" s="55"/>
      <c r="K383" s="65"/>
      <c r="L383" s="65"/>
      <c r="M383" s="65"/>
      <c r="N383" s="537"/>
      <c r="O383"/>
      <c r="P383" s="260"/>
      <c r="Q383"/>
      <c r="R383"/>
    </row>
    <row r="384" spans="2:18" x14ac:dyDescent="0.2">
      <c r="B384" s="106"/>
      <c r="C384" s="232"/>
      <c r="D384" s="261"/>
      <c r="E384" s="133"/>
      <c r="F384" s="8"/>
      <c r="G384" s="55"/>
      <c r="H384" s="55"/>
      <c r="I384" s="55"/>
      <c r="J384" s="55"/>
      <c r="K384" s="65"/>
      <c r="L384" s="65"/>
      <c r="M384" s="65"/>
      <c r="N384" s="537"/>
      <c r="O384"/>
      <c r="P384" s="260"/>
      <c r="Q384"/>
      <c r="R384"/>
    </row>
    <row r="385" spans="2:18" x14ac:dyDescent="0.2">
      <c r="B385" s="106"/>
      <c r="C385" s="232"/>
      <c r="D385" s="261"/>
      <c r="E385" s="133"/>
      <c r="F385" s="8"/>
      <c r="G385" s="55"/>
      <c r="H385" s="55"/>
      <c r="I385" s="55"/>
      <c r="J385" s="55"/>
      <c r="K385" s="65"/>
      <c r="L385" s="65"/>
      <c r="M385" s="65"/>
      <c r="N385" s="537"/>
      <c r="O385"/>
      <c r="P385" s="260"/>
      <c r="Q385"/>
      <c r="R385"/>
    </row>
    <row r="386" spans="2:18" x14ac:dyDescent="0.2">
      <c r="B386" s="106"/>
      <c r="C386" s="232"/>
      <c r="D386" s="261"/>
      <c r="E386" s="133"/>
      <c r="F386" s="8"/>
      <c r="G386" s="55"/>
      <c r="H386" s="55"/>
      <c r="I386" s="55"/>
      <c r="J386" s="55"/>
      <c r="K386" s="65"/>
      <c r="L386" s="65"/>
      <c r="M386" s="65"/>
      <c r="N386" s="537"/>
      <c r="O386"/>
      <c r="P386" s="260"/>
      <c r="Q386"/>
      <c r="R386"/>
    </row>
    <row r="387" spans="2:18" x14ac:dyDescent="0.2">
      <c r="B387" s="106"/>
      <c r="C387" s="232"/>
      <c r="D387" s="261"/>
      <c r="E387" s="133"/>
      <c r="F387" s="8"/>
      <c r="G387" s="55"/>
      <c r="H387" s="55"/>
      <c r="I387" s="55"/>
      <c r="J387" s="55"/>
      <c r="K387" s="65"/>
      <c r="L387" s="65"/>
      <c r="M387" s="65"/>
      <c r="N387" s="537"/>
      <c r="O387"/>
      <c r="P387" s="260"/>
      <c r="Q387"/>
      <c r="R387"/>
    </row>
    <row r="388" spans="2:18" x14ac:dyDescent="0.2">
      <c r="B388" s="106"/>
      <c r="C388" s="232"/>
      <c r="D388" s="261"/>
      <c r="E388" s="133"/>
      <c r="F388" s="8"/>
      <c r="G388" s="55"/>
      <c r="H388" s="55"/>
      <c r="I388" s="55"/>
      <c r="J388" s="55"/>
      <c r="K388" s="65"/>
      <c r="L388" s="65"/>
      <c r="M388" s="65"/>
      <c r="N388" s="537"/>
      <c r="O388"/>
      <c r="P388" s="260"/>
      <c r="Q388"/>
      <c r="R388"/>
    </row>
    <row r="389" spans="2:18" x14ac:dyDescent="0.2">
      <c r="B389" s="106"/>
      <c r="C389" s="232"/>
      <c r="D389" s="261"/>
      <c r="E389" s="133"/>
      <c r="F389" s="8"/>
      <c r="G389" s="55"/>
      <c r="H389" s="55"/>
      <c r="I389" s="55"/>
      <c r="J389" s="55"/>
      <c r="K389" s="65"/>
      <c r="L389" s="65"/>
      <c r="M389" s="65"/>
      <c r="N389" s="537"/>
      <c r="O389"/>
      <c r="P389" s="260"/>
      <c r="Q389"/>
      <c r="R389"/>
    </row>
    <row r="390" spans="2:18" x14ac:dyDescent="0.2">
      <c r="B390" s="106"/>
      <c r="C390" s="232"/>
      <c r="D390" s="261"/>
      <c r="E390" s="133"/>
      <c r="F390" s="8"/>
      <c r="G390" s="55"/>
      <c r="H390" s="55"/>
      <c r="I390" s="55"/>
      <c r="J390" s="55"/>
      <c r="K390" s="65"/>
      <c r="L390" s="65"/>
      <c r="M390" s="65"/>
      <c r="N390" s="537"/>
      <c r="O390"/>
      <c r="P390" s="260"/>
      <c r="Q390"/>
      <c r="R390"/>
    </row>
    <row r="391" spans="2:18" x14ac:dyDescent="0.2">
      <c r="B391" s="106"/>
      <c r="C391" s="232"/>
      <c r="D391" s="261"/>
      <c r="E391" s="133"/>
      <c r="F391" s="8"/>
      <c r="G391" s="55"/>
      <c r="H391" s="55"/>
      <c r="I391" s="55"/>
      <c r="J391" s="55"/>
      <c r="K391" s="65"/>
      <c r="L391" s="65"/>
      <c r="M391" s="65"/>
      <c r="N391" s="537"/>
      <c r="O391"/>
      <c r="P391" s="260"/>
      <c r="Q391"/>
      <c r="R391"/>
    </row>
    <row r="392" spans="2:18" x14ac:dyDescent="0.2">
      <c r="B392" s="106"/>
      <c r="C392" s="232"/>
      <c r="D392" s="261"/>
      <c r="E392" s="133"/>
      <c r="F392" s="8"/>
      <c r="G392" s="55"/>
      <c r="H392" s="55"/>
      <c r="I392" s="55"/>
      <c r="J392" s="55"/>
      <c r="K392" s="65"/>
      <c r="L392" s="65"/>
      <c r="M392" s="65"/>
      <c r="N392" s="537"/>
      <c r="O392"/>
      <c r="P392" s="260"/>
      <c r="Q392"/>
      <c r="R392"/>
    </row>
    <row r="393" spans="2:18" x14ac:dyDescent="0.2">
      <c r="B393" s="106"/>
      <c r="C393" s="232"/>
      <c r="D393" s="261"/>
      <c r="E393" s="133"/>
      <c r="F393" s="8"/>
      <c r="G393" s="55"/>
      <c r="H393" s="55"/>
      <c r="I393" s="55"/>
      <c r="J393" s="55"/>
      <c r="K393" s="65"/>
      <c r="L393" s="65"/>
      <c r="M393" s="65"/>
      <c r="N393" s="537"/>
      <c r="O393"/>
      <c r="P393" s="260"/>
      <c r="Q393"/>
      <c r="R393"/>
    </row>
    <row r="394" spans="2:18" x14ac:dyDescent="0.2">
      <c r="B394" s="106"/>
      <c r="C394" s="232"/>
      <c r="D394" s="261"/>
      <c r="E394" s="133"/>
      <c r="F394" s="8"/>
      <c r="G394" s="55"/>
      <c r="H394" s="55"/>
      <c r="I394" s="55"/>
      <c r="J394" s="55"/>
      <c r="K394" s="65"/>
      <c r="L394" s="65"/>
      <c r="M394" s="65"/>
      <c r="N394" s="537"/>
      <c r="O394"/>
      <c r="P394" s="260"/>
      <c r="Q394"/>
      <c r="R394"/>
    </row>
    <row r="395" spans="2:18" x14ac:dyDescent="0.2">
      <c r="B395" s="106"/>
      <c r="C395" s="232"/>
      <c r="D395" s="261"/>
      <c r="E395" s="133"/>
      <c r="F395" s="8"/>
      <c r="G395" s="55"/>
      <c r="H395" s="55"/>
      <c r="I395" s="55"/>
      <c r="J395" s="55"/>
      <c r="K395" s="65"/>
      <c r="L395" s="65"/>
      <c r="M395" s="65"/>
      <c r="N395" s="537"/>
      <c r="O395"/>
      <c r="P395" s="260"/>
      <c r="Q395"/>
      <c r="R395"/>
    </row>
    <row r="396" spans="2:18" x14ac:dyDescent="0.2">
      <c r="B396" s="106"/>
      <c r="C396" s="232"/>
      <c r="D396" s="261"/>
      <c r="E396" s="133"/>
      <c r="F396" s="8"/>
      <c r="G396" s="55"/>
      <c r="H396" s="55"/>
      <c r="I396" s="55"/>
      <c r="J396" s="55"/>
      <c r="K396" s="65"/>
      <c r="L396" s="65"/>
      <c r="M396" s="65"/>
      <c r="N396" s="537"/>
      <c r="O396"/>
      <c r="P396" s="260"/>
      <c r="Q396"/>
      <c r="R396"/>
    </row>
    <row r="397" spans="2:18" x14ac:dyDescent="0.2">
      <c r="B397" s="106"/>
      <c r="C397" s="232"/>
      <c r="D397" s="261"/>
      <c r="E397" s="133"/>
      <c r="F397" s="8"/>
      <c r="G397" s="55"/>
      <c r="H397" s="55"/>
      <c r="I397" s="55"/>
      <c r="J397" s="55"/>
      <c r="K397" s="65"/>
      <c r="L397" s="65"/>
      <c r="M397" s="65"/>
      <c r="N397" s="537"/>
      <c r="O397"/>
      <c r="P397" s="260"/>
      <c r="Q397"/>
      <c r="R397"/>
    </row>
    <row r="398" spans="2:18" x14ac:dyDescent="0.2">
      <c r="B398" s="106"/>
      <c r="C398" s="232"/>
      <c r="D398" s="261"/>
      <c r="E398" s="133"/>
      <c r="F398" s="8"/>
      <c r="G398" s="55"/>
      <c r="H398" s="55"/>
      <c r="I398" s="55"/>
      <c r="J398" s="55"/>
      <c r="K398" s="65"/>
      <c r="L398" s="65"/>
      <c r="M398" s="65"/>
      <c r="N398" s="537"/>
      <c r="O398"/>
      <c r="P398" s="260"/>
      <c r="Q398"/>
      <c r="R398"/>
    </row>
    <row r="399" spans="2:18" x14ac:dyDescent="0.2">
      <c r="B399" s="106"/>
      <c r="C399" s="232"/>
      <c r="D399" s="261"/>
      <c r="E399" s="133"/>
      <c r="F399" s="8"/>
      <c r="G399" s="55"/>
      <c r="H399" s="55"/>
      <c r="I399" s="55"/>
      <c r="J399" s="55"/>
      <c r="K399" s="65"/>
      <c r="L399" s="65"/>
      <c r="M399" s="65"/>
      <c r="N399" s="537"/>
      <c r="O399"/>
      <c r="P399" s="260"/>
      <c r="Q399"/>
      <c r="R399"/>
    </row>
    <row r="400" spans="2:18" x14ac:dyDescent="0.2">
      <c r="B400" s="106"/>
      <c r="C400" s="232"/>
      <c r="D400" s="261"/>
      <c r="E400" s="133"/>
      <c r="F400" s="8"/>
      <c r="G400" s="55"/>
      <c r="H400" s="55"/>
      <c r="I400" s="55"/>
      <c r="J400" s="55"/>
      <c r="K400" s="65"/>
      <c r="L400" s="65"/>
      <c r="M400" s="65"/>
      <c r="N400" s="537"/>
      <c r="O400"/>
      <c r="P400" s="260"/>
      <c r="Q400"/>
      <c r="R400"/>
    </row>
    <row r="401" spans="2:18" x14ac:dyDescent="0.2">
      <c r="B401" s="106"/>
      <c r="C401" s="232"/>
      <c r="D401" s="261"/>
      <c r="E401" s="133"/>
      <c r="F401" s="8"/>
      <c r="G401" s="55"/>
      <c r="H401" s="55"/>
      <c r="I401" s="55"/>
      <c r="J401" s="55"/>
      <c r="K401" s="65"/>
      <c r="L401" s="65"/>
      <c r="M401" s="65"/>
      <c r="N401" s="537"/>
      <c r="O401"/>
      <c r="P401" s="260"/>
      <c r="Q401"/>
      <c r="R401"/>
    </row>
    <row r="402" spans="2:18" x14ac:dyDescent="0.2">
      <c r="B402" s="106"/>
      <c r="C402" s="232"/>
      <c r="D402" s="261"/>
      <c r="E402" s="133"/>
      <c r="F402" s="8"/>
      <c r="G402" s="55"/>
      <c r="H402" s="55"/>
      <c r="I402" s="55"/>
      <c r="J402" s="55"/>
      <c r="K402" s="65"/>
      <c r="L402" s="65"/>
      <c r="M402" s="65"/>
      <c r="N402" s="537"/>
      <c r="O402"/>
      <c r="P402" s="260"/>
      <c r="Q402"/>
      <c r="R402"/>
    </row>
    <row r="403" spans="2:18" x14ac:dyDescent="0.2">
      <c r="B403" s="106"/>
      <c r="C403" s="232"/>
      <c r="D403" s="261"/>
      <c r="E403" s="133"/>
      <c r="F403" s="8"/>
      <c r="G403" s="55"/>
      <c r="H403" s="55"/>
      <c r="I403" s="55"/>
      <c r="J403" s="55"/>
      <c r="K403" s="65"/>
      <c r="L403" s="65"/>
      <c r="M403" s="65"/>
      <c r="N403" s="537"/>
      <c r="O403"/>
      <c r="P403" s="260"/>
      <c r="Q403"/>
      <c r="R403"/>
    </row>
    <row r="404" spans="2:18" x14ac:dyDescent="0.2">
      <c r="B404" s="106"/>
      <c r="C404" s="232"/>
      <c r="D404" s="261"/>
      <c r="E404" s="133"/>
      <c r="F404" s="8"/>
      <c r="G404" s="55"/>
      <c r="H404" s="55"/>
      <c r="I404" s="55"/>
      <c r="J404" s="55"/>
      <c r="K404" s="65"/>
      <c r="L404" s="65"/>
      <c r="M404" s="65"/>
      <c r="N404" s="537"/>
      <c r="O404"/>
      <c r="P404" s="260"/>
      <c r="Q404"/>
      <c r="R404"/>
    </row>
    <row r="405" spans="2:18" x14ac:dyDescent="0.2">
      <c r="B405" s="106"/>
      <c r="C405" s="232"/>
      <c r="D405" s="261"/>
      <c r="E405" s="133"/>
      <c r="F405" s="8"/>
      <c r="G405" s="55"/>
      <c r="H405" s="55"/>
      <c r="I405" s="55"/>
      <c r="J405" s="55"/>
      <c r="K405" s="65"/>
      <c r="L405" s="65"/>
      <c r="M405" s="65"/>
      <c r="N405" s="537"/>
      <c r="O405"/>
      <c r="P405" s="260"/>
      <c r="Q405"/>
      <c r="R405"/>
    </row>
    <row r="406" spans="2:18" x14ac:dyDescent="0.2">
      <c r="B406" s="106"/>
      <c r="C406" s="232"/>
      <c r="D406" s="261"/>
      <c r="E406" s="133"/>
      <c r="F406" s="8"/>
      <c r="G406" s="55"/>
      <c r="H406" s="55"/>
      <c r="I406" s="55"/>
      <c r="J406" s="55"/>
      <c r="K406" s="65"/>
      <c r="L406" s="65"/>
      <c r="M406" s="65"/>
      <c r="N406" s="537"/>
      <c r="O406"/>
      <c r="P406" s="260"/>
      <c r="Q406"/>
      <c r="R406"/>
    </row>
    <row r="407" spans="2:18" x14ac:dyDescent="0.2">
      <c r="B407" s="106"/>
      <c r="C407" s="232"/>
      <c r="D407" s="261"/>
      <c r="E407" s="133"/>
      <c r="F407" s="8"/>
      <c r="G407" s="55"/>
      <c r="H407" s="55"/>
      <c r="I407" s="55"/>
      <c r="J407" s="55"/>
      <c r="K407" s="65"/>
      <c r="L407" s="65"/>
      <c r="M407" s="65"/>
      <c r="N407" s="537"/>
      <c r="O407"/>
      <c r="P407" s="260"/>
      <c r="Q407"/>
      <c r="R407"/>
    </row>
    <row r="408" spans="2:18" x14ac:dyDescent="0.2">
      <c r="B408" s="106"/>
      <c r="C408" s="232"/>
      <c r="D408" s="261"/>
      <c r="E408" s="133"/>
      <c r="F408" s="8"/>
      <c r="G408" s="55"/>
      <c r="H408" s="55"/>
      <c r="I408" s="55"/>
      <c r="J408" s="55"/>
      <c r="K408" s="65"/>
      <c r="L408" s="65"/>
      <c r="M408" s="65"/>
      <c r="N408" s="537"/>
      <c r="O408"/>
      <c r="P408" s="260"/>
      <c r="Q408"/>
      <c r="R408"/>
    </row>
    <row r="409" spans="2:18" x14ac:dyDescent="0.2">
      <c r="B409" s="106"/>
      <c r="C409" s="232"/>
      <c r="D409" s="261"/>
      <c r="E409" s="133"/>
      <c r="F409" s="8"/>
      <c r="G409" s="55"/>
      <c r="H409" s="55"/>
      <c r="I409" s="55"/>
      <c r="J409" s="55"/>
      <c r="K409" s="65"/>
      <c r="L409" s="65"/>
      <c r="M409" s="65"/>
      <c r="N409" s="537"/>
      <c r="O409"/>
      <c r="P409" s="260"/>
      <c r="Q409"/>
      <c r="R409"/>
    </row>
    <row r="410" spans="2:18" x14ac:dyDescent="0.2">
      <c r="B410" s="106"/>
      <c r="C410" s="232"/>
      <c r="D410" s="261"/>
      <c r="E410" s="133"/>
      <c r="F410" s="8"/>
      <c r="G410" s="55"/>
      <c r="H410" s="55"/>
      <c r="I410" s="55"/>
      <c r="J410" s="55"/>
      <c r="K410" s="65"/>
      <c r="L410" s="65"/>
      <c r="M410" s="65"/>
      <c r="N410" s="537"/>
      <c r="O410"/>
      <c r="P410" s="260"/>
      <c r="Q410"/>
      <c r="R410"/>
    </row>
    <row r="411" spans="2:18" x14ac:dyDescent="0.2">
      <c r="B411" s="106"/>
      <c r="C411" s="232"/>
      <c r="D411" s="261"/>
      <c r="E411" s="133"/>
      <c r="F411" s="8"/>
      <c r="G411" s="55"/>
      <c r="H411" s="55"/>
      <c r="I411" s="55"/>
      <c r="J411" s="55"/>
      <c r="K411" s="65"/>
      <c r="L411" s="65"/>
      <c r="M411" s="65"/>
      <c r="N411" s="537"/>
      <c r="O411"/>
      <c r="P411" s="260"/>
      <c r="Q411"/>
      <c r="R411"/>
    </row>
    <row r="412" spans="2:18" x14ac:dyDescent="0.2">
      <c r="B412" s="106"/>
      <c r="C412" s="232"/>
      <c r="D412" s="261"/>
      <c r="E412" s="133"/>
      <c r="F412" s="8"/>
      <c r="G412" s="55"/>
      <c r="H412" s="55"/>
      <c r="I412" s="55"/>
      <c r="J412" s="55"/>
      <c r="K412" s="65"/>
      <c r="L412" s="65"/>
      <c r="M412" s="65"/>
      <c r="N412" s="537"/>
      <c r="O412"/>
      <c r="P412" s="260"/>
      <c r="Q412"/>
      <c r="R412"/>
    </row>
    <row r="413" spans="2:18" x14ac:dyDescent="0.2">
      <c r="B413" s="106"/>
      <c r="C413" s="232"/>
      <c r="D413" s="261"/>
      <c r="E413" s="133"/>
      <c r="F413" s="8"/>
      <c r="G413" s="55"/>
      <c r="H413" s="55"/>
      <c r="I413" s="55"/>
      <c r="J413" s="55"/>
      <c r="K413" s="65"/>
      <c r="L413" s="65"/>
      <c r="M413" s="65"/>
      <c r="N413" s="537"/>
      <c r="O413"/>
      <c r="P413" s="260"/>
      <c r="Q413"/>
      <c r="R413"/>
    </row>
    <row r="414" spans="2:18" x14ac:dyDescent="0.2">
      <c r="B414" s="106"/>
      <c r="C414" s="232"/>
      <c r="D414" s="261"/>
      <c r="E414" s="133"/>
      <c r="F414" s="8"/>
      <c r="G414" s="55"/>
      <c r="H414" s="55"/>
      <c r="I414" s="55"/>
      <c r="J414" s="55"/>
      <c r="K414" s="65"/>
      <c r="L414" s="65"/>
      <c r="M414" s="65"/>
      <c r="N414" s="537"/>
      <c r="O414"/>
      <c r="P414" s="260"/>
      <c r="Q414"/>
      <c r="R414"/>
    </row>
    <row r="415" spans="2:18" x14ac:dyDescent="0.2">
      <c r="B415" s="106"/>
      <c r="C415" s="232"/>
      <c r="D415" s="261"/>
      <c r="E415" s="133"/>
      <c r="F415" s="8"/>
      <c r="G415" s="55"/>
      <c r="H415" s="55"/>
      <c r="I415" s="55"/>
      <c r="J415" s="55"/>
      <c r="K415" s="65"/>
      <c r="L415" s="65"/>
      <c r="M415" s="65"/>
      <c r="N415" s="537"/>
      <c r="O415"/>
      <c r="P415" s="260"/>
      <c r="Q415"/>
      <c r="R415"/>
    </row>
    <row r="416" spans="2:18" x14ac:dyDescent="0.2">
      <c r="B416" s="106"/>
      <c r="C416" s="232"/>
      <c r="D416" s="261"/>
      <c r="E416" s="133"/>
      <c r="F416" s="8"/>
      <c r="G416" s="55"/>
      <c r="H416" s="55"/>
      <c r="I416" s="55"/>
      <c r="J416" s="55"/>
      <c r="K416" s="65"/>
      <c r="L416" s="65"/>
      <c r="M416" s="65"/>
      <c r="N416" s="537"/>
      <c r="O416"/>
      <c r="P416" s="260"/>
      <c r="Q416"/>
      <c r="R416"/>
    </row>
    <row r="417" spans="2:18" x14ac:dyDescent="0.2">
      <c r="B417" s="106"/>
      <c r="C417" s="232"/>
      <c r="D417" s="261"/>
      <c r="E417" s="133"/>
      <c r="F417" s="8"/>
      <c r="G417" s="55"/>
      <c r="H417" s="55"/>
      <c r="I417" s="55"/>
      <c r="J417" s="55"/>
      <c r="K417" s="65"/>
      <c r="L417" s="65"/>
      <c r="M417" s="65"/>
      <c r="N417" s="537"/>
      <c r="O417"/>
      <c r="P417" s="260"/>
      <c r="Q417"/>
      <c r="R417"/>
    </row>
    <row r="418" spans="2:18" x14ac:dyDescent="0.2">
      <c r="B418" s="106"/>
      <c r="C418" s="232"/>
      <c r="D418" s="261"/>
      <c r="E418" s="133"/>
      <c r="F418" s="8"/>
      <c r="G418" s="55"/>
      <c r="H418" s="55"/>
      <c r="I418" s="55"/>
      <c r="J418" s="55"/>
      <c r="K418" s="65"/>
      <c r="L418" s="65"/>
      <c r="M418" s="65"/>
      <c r="N418" s="537"/>
      <c r="O418"/>
      <c r="P418" s="260"/>
      <c r="Q418"/>
      <c r="R418"/>
    </row>
    <row r="419" spans="2:18" x14ac:dyDescent="0.2">
      <c r="B419" s="106"/>
      <c r="C419" s="232"/>
      <c r="D419" s="261"/>
      <c r="E419" s="133"/>
      <c r="F419" s="8"/>
      <c r="G419" s="55"/>
      <c r="H419" s="55"/>
      <c r="I419" s="55"/>
      <c r="J419" s="55"/>
      <c r="K419" s="65"/>
      <c r="L419" s="65"/>
      <c r="M419" s="65"/>
      <c r="N419" s="537"/>
      <c r="O419"/>
      <c r="P419" s="260"/>
      <c r="Q419"/>
      <c r="R419"/>
    </row>
    <row r="420" spans="2:18" x14ac:dyDescent="0.2">
      <c r="B420" s="106"/>
      <c r="C420" s="232"/>
      <c r="D420" s="261"/>
      <c r="E420" s="133"/>
      <c r="F420" s="8"/>
      <c r="G420" s="55"/>
      <c r="H420" s="55"/>
      <c r="I420" s="55"/>
      <c r="J420" s="55"/>
      <c r="K420" s="65"/>
      <c r="L420" s="65"/>
      <c r="M420" s="65"/>
      <c r="N420" s="537"/>
      <c r="O420"/>
      <c r="P420" s="260"/>
      <c r="Q420"/>
      <c r="R420"/>
    </row>
    <row r="421" spans="2:18" x14ac:dyDescent="0.2">
      <c r="B421" s="106"/>
      <c r="C421" s="232"/>
      <c r="D421" s="261"/>
      <c r="E421" s="133"/>
      <c r="F421" s="8"/>
      <c r="G421" s="55"/>
      <c r="H421" s="55"/>
      <c r="I421" s="55"/>
      <c r="J421" s="55"/>
      <c r="K421" s="65"/>
      <c r="L421" s="65"/>
      <c r="M421" s="65"/>
      <c r="N421" s="537"/>
      <c r="O421"/>
      <c r="P421" s="260"/>
      <c r="Q421"/>
      <c r="R421"/>
    </row>
    <row r="422" spans="2:18" x14ac:dyDescent="0.2">
      <c r="B422" s="106"/>
      <c r="C422" s="232"/>
      <c r="D422" s="261"/>
      <c r="E422" s="133"/>
      <c r="F422" s="8"/>
      <c r="G422" s="55"/>
      <c r="H422" s="55"/>
      <c r="I422" s="55"/>
      <c r="J422" s="55"/>
      <c r="K422" s="65"/>
      <c r="L422" s="65"/>
      <c r="M422" s="65"/>
      <c r="N422" s="537"/>
      <c r="O422"/>
      <c r="P422" s="260"/>
      <c r="Q422"/>
      <c r="R422"/>
    </row>
    <row r="423" spans="2:18" x14ac:dyDescent="0.2">
      <c r="B423" s="106"/>
      <c r="C423" s="232"/>
      <c r="D423" s="261"/>
      <c r="E423" s="133"/>
      <c r="F423" s="8"/>
      <c r="G423" s="55"/>
      <c r="H423" s="55"/>
      <c r="I423" s="55"/>
      <c r="J423" s="55"/>
      <c r="K423" s="65"/>
      <c r="L423" s="65"/>
      <c r="M423" s="65"/>
      <c r="N423" s="537"/>
      <c r="O423"/>
      <c r="P423" s="260"/>
      <c r="Q423"/>
      <c r="R423"/>
    </row>
    <row r="424" spans="2:18" x14ac:dyDescent="0.2">
      <c r="B424" s="106"/>
      <c r="C424" s="232"/>
      <c r="D424" s="261"/>
      <c r="E424" s="133"/>
      <c r="F424" s="8"/>
      <c r="G424" s="55"/>
      <c r="H424" s="55"/>
      <c r="I424" s="55"/>
      <c r="J424" s="55"/>
      <c r="K424" s="65"/>
      <c r="L424" s="65"/>
      <c r="M424" s="65"/>
      <c r="N424" s="537"/>
      <c r="O424"/>
      <c r="P424" s="260"/>
      <c r="Q424"/>
      <c r="R424"/>
    </row>
    <row r="425" spans="2:18" x14ac:dyDescent="0.2">
      <c r="B425" s="106"/>
      <c r="C425" s="232"/>
      <c r="D425" s="261"/>
      <c r="E425" s="133"/>
      <c r="F425" s="8"/>
      <c r="G425" s="55"/>
      <c r="H425" s="55"/>
      <c r="I425" s="55"/>
      <c r="J425" s="55"/>
      <c r="K425" s="65"/>
      <c r="L425" s="65"/>
      <c r="M425" s="65"/>
      <c r="N425" s="537"/>
      <c r="O425"/>
      <c r="P425" s="260"/>
      <c r="Q425"/>
      <c r="R425"/>
    </row>
    <row r="426" spans="2:18" x14ac:dyDescent="0.2">
      <c r="B426" s="106"/>
      <c r="C426" s="232"/>
      <c r="D426" s="261"/>
      <c r="E426" s="133"/>
      <c r="F426" s="8"/>
      <c r="G426" s="55"/>
      <c r="H426" s="55"/>
      <c r="I426" s="55"/>
      <c r="J426" s="55"/>
      <c r="K426" s="65"/>
      <c r="L426" s="65"/>
      <c r="M426" s="65"/>
      <c r="N426" s="537"/>
      <c r="O426"/>
      <c r="P426" s="260"/>
      <c r="Q426"/>
      <c r="R426"/>
    </row>
    <row r="427" spans="2:18" x14ac:dyDescent="0.2">
      <c r="B427" s="106"/>
      <c r="C427" s="232"/>
      <c r="D427" s="261"/>
      <c r="E427" s="133"/>
      <c r="F427" s="8"/>
      <c r="G427" s="55"/>
      <c r="H427" s="55"/>
      <c r="I427" s="55"/>
      <c r="J427" s="55"/>
      <c r="K427" s="65"/>
      <c r="L427" s="65"/>
      <c r="M427" s="65"/>
      <c r="N427" s="537"/>
      <c r="O427"/>
      <c r="P427" s="260"/>
      <c r="Q427"/>
      <c r="R427"/>
    </row>
    <row r="428" spans="2:18" x14ac:dyDescent="0.2">
      <c r="B428" s="106"/>
      <c r="C428" s="232"/>
      <c r="D428" s="261"/>
      <c r="E428" s="133"/>
      <c r="F428" s="8"/>
      <c r="G428" s="55"/>
      <c r="H428" s="55"/>
      <c r="I428" s="55"/>
      <c r="J428" s="55"/>
      <c r="K428" s="65"/>
      <c r="L428" s="65"/>
      <c r="M428" s="65"/>
      <c r="N428" s="537"/>
      <c r="O428"/>
      <c r="P428" s="260"/>
      <c r="Q428"/>
      <c r="R428"/>
    </row>
    <row r="429" spans="2:18" x14ac:dyDescent="0.2">
      <c r="B429" s="106"/>
      <c r="C429" s="232"/>
      <c r="D429" s="261"/>
      <c r="E429" s="133"/>
      <c r="F429" s="8"/>
      <c r="G429" s="55"/>
      <c r="H429" s="55"/>
      <c r="I429" s="55"/>
      <c r="J429" s="55"/>
      <c r="K429" s="65"/>
      <c r="L429" s="65"/>
      <c r="M429" s="65"/>
      <c r="N429" s="537"/>
      <c r="O429"/>
      <c r="P429" s="260"/>
      <c r="Q429"/>
      <c r="R429"/>
    </row>
    <row r="430" spans="2:18" x14ac:dyDescent="0.2">
      <c r="B430" s="106"/>
      <c r="C430" s="232"/>
      <c r="D430" s="261"/>
      <c r="E430" s="133"/>
      <c r="F430" s="8"/>
      <c r="G430" s="55"/>
      <c r="H430" s="55"/>
      <c r="I430" s="55"/>
      <c r="J430" s="55"/>
      <c r="K430" s="65"/>
      <c r="L430" s="65"/>
      <c r="M430" s="65"/>
      <c r="N430" s="537"/>
      <c r="O430"/>
      <c r="P430" s="260"/>
      <c r="Q430"/>
      <c r="R430"/>
    </row>
    <row r="431" spans="2:18" x14ac:dyDescent="0.2">
      <c r="B431" s="106"/>
      <c r="C431" s="232"/>
      <c r="D431" s="261"/>
      <c r="E431" s="133"/>
      <c r="F431" s="8"/>
      <c r="G431" s="55"/>
      <c r="H431" s="55"/>
      <c r="I431" s="55"/>
      <c r="J431" s="55"/>
      <c r="K431" s="65"/>
      <c r="L431" s="65"/>
      <c r="M431" s="65"/>
      <c r="N431" s="537"/>
      <c r="O431"/>
      <c r="P431" s="260"/>
      <c r="Q431"/>
      <c r="R431"/>
    </row>
    <row r="432" spans="2:18" x14ac:dyDescent="0.2">
      <c r="B432" s="106"/>
      <c r="C432" s="232"/>
      <c r="D432" s="261"/>
      <c r="E432" s="133"/>
      <c r="F432" s="8"/>
      <c r="G432" s="55"/>
      <c r="H432" s="55"/>
      <c r="I432" s="55"/>
      <c r="J432" s="55"/>
      <c r="K432" s="65"/>
      <c r="L432" s="65"/>
      <c r="M432" s="65"/>
      <c r="N432" s="537"/>
      <c r="O432"/>
      <c r="P432" s="260"/>
      <c r="Q432"/>
      <c r="R432"/>
    </row>
    <row r="433" spans="2:18" x14ac:dyDescent="0.2">
      <c r="B433" s="106"/>
      <c r="C433" s="232"/>
      <c r="D433" s="261"/>
      <c r="E433" s="133"/>
      <c r="F433" s="8"/>
      <c r="G433" s="55"/>
      <c r="H433" s="55"/>
      <c r="I433" s="55"/>
      <c r="J433" s="55"/>
      <c r="K433" s="65"/>
      <c r="L433" s="65"/>
      <c r="M433" s="65"/>
      <c r="N433" s="537"/>
      <c r="O433"/>
      <c r="P433" s="260"/>
      <c r="Q433"/>
      <c r="R433"/>
    </row>
    <row r="434" spans="2:18" x14ac:dyDescent="0.2">
      <c r="B434" s="106"/>
      <c r="C434" s="232"/>
      <c r="D434" s="261"/>
      <c r="E434" s="133"/>
      <c r="F434" s="8"/>
      <c r="G434" s="55"/>
      <c r="H434" s="55"/>
      <c r="I434" s="55"/>
      <c r="J434" s="55"/>
      <c r="K434" s="65"/>
      <c r="L434" s="65"/>
      <c r="M434" s="65"/>
      <c r="N434" s="537"/>
      <c r="O434"/>
      <c r="P434" s="260"/>
      <c r="Q434"/>
      <c r="R434"/>
    </row>
    <row r="435" spans="2:18" x14ac:dyDescent="0.2">
      <c r="B435" s="106"/>
      <c r="C435" s="232"/>
      <c r="D435" s="261"/>
      <c r="E435" s="133"/>
      <c r="F435" s="8"/>
      <c r="G435" s="55"/>
      <c r="H435" s="55"/>
      <c r="I435" s="55"/>
      <c r="J435" s="55"/>
      <c r="K435" s="65"/>
      <c r="L435" s="65"/>
      <c r="M435" s="65"/>
      <c r="N435" s="537"/>
      <c r="O435"/>
      <c r="P435" s="260"/>
      <c r="Q435"/>
      <c r="R435"/>
    </row>
    <row r="436" spans="2:18" x14ac:dyDescent="0.2">
      <c r="B436" s="106"/>
      <c r="C436" s="232"/>
      <c r="D436" s="261"/>
      <c r="E436" s="133"/>
      <c r="F436" s="8"/>
      <c r="G436" s="55"/>
      <c r="H436" s="55"/>
      <c r="I436" s="55"/>
      <c r="J436" s="55"/>
      <c r="K436" s="65"/>
      <c r="L436" s="65"/>
      <c r="M436" s="65"/>
      <c r="N436" s="537"/>
      <c r="O436"/>
      <c r="P436" s="260"/>
      <c r="Q436"/>
      <c r="R436"/>
    </row>
    <row r="437" spans="2:18" x14ac:dyDescent="0.2">
      <c r="B437" s="106"/>
      <c r="C437" s="232"/>
      <c r="D437" s="261"/>
      <c r="E437" s="133"/>
      <c r="F437" s="8"/>
      <c r="G437" s="55"/>
      <c r="H437" s="55"/>
      <c r="I437" s="55"/>
      <c r="J437" s="55"/>
      <c r="K437" s="65"/>
      <c r="L437" s="65"/>
      <c r="M437" s="65"/>
      <c r="N437" s="537"/>
      <c r="O437"/>
      <c r="P437" s="260"/>
      <c r="Q437"/>
      <c r="R437"/>
    </row>
    <row r="438" spans="2:18" x14ac:dyDescent="0.2">
      <c r="B438" s="106"/>
      <c r="C438" s="232"/>
      <c r="D438" s="261"/>
      <c r="E438" s="133"/>
      <c r="F438" s="8"/>
      <c r="G438" s="55"/>
      <c r="H438" s="55"/>
      <c r="I438" s="55"/>
      <c r="J438" s="55"/>
      <c r="K438" s="65"/>
      <c r="L438" s="65"/>
      <c r="M438" s="65"/>
      <c r="N438" s="537"/>
      <c r="O438"/>
      <c r="P438" s="260"/>
      <c r="Q438"/>
      <c r="R438"/>
    </row>
    <row r="439" spans="2:18" x14ac:dyDescent="0.2">
      <c r="B439" s="106"/>
      <c r="C439" s="232"/>
      <c r="D439" s="261"/>
      <c r="E439" s="133"/>
      <c r="F439" s="8"/>
      <c r="G439" s="55"/>
      <c r="H439" s="55"/>
      <c r="I439" s="55"/>
      <c r="J439" s="55"/>
      <c r="K439" s="65"/>
      <c r="L439" s="65"/>
      <c r="M439" s="65"/>
      <c r="N439" s="537"/>
      <c r="O439"/>
      <c r="P439" s="260"/>
      <c r="Q439"/>
      <c r="R439"/>
    </row>
    <row r="440" spans="2:18" x14ac:dyDescent="0.2">
      <c r="B440" s="106"/>
      <c r="C440" s="232"/>
      <c r="D440" s="261"/>
      <c r="E440" s="133"/>
      <c r="F440" s="8"/>
      <c r="G440" s="55"/>
      <c r="H440" s="55"/>
      <c r="I440" s="55"/>
      <c r="J440" s="55"/>
      <c r="K440" s="65"/>
      <c r="L440" s="65"/>
      <c r="M440" s="65"/>
      <c r="N440" s="537"/>
      <c r="O440"/>
      <c r="P440" s="260"/>
      <c r="Q440"/>
      <c r="R440"/>
    </row>
    <row r="441" spans="2:18" x14ac:dyDescent="0.2">
      <c r="B441" s="106"/>
      <c r="C441" s="232"/>
      <c r="D441" s="261"/>
      <c r="E441" s="133"/>
      <c r="F441" s="8"/>
      <c r="G441" s="55"/>
      <c r="H441" s="55"/>
      <c r="I441" s="55"/>
      <c r="J441" s="55"/>
      <c r="K441" s="65"/>
      <c r="L441" s="65"/>
      <c r="M441" s="65"/>
      <c r="N441" s="537"/>
      <c r="O441"/>
      <c r="P441" s="260"/>
      <c r="Q441"/>
      <c r="R441"/>
    </row>
    <row r="442" spans="2:18" x14ac:dyDescent="0.2">
      <c r="B442" s="106"/>
      <c r="C442" s="232"/>
      <c r="D442" s="261"/>
      <c r="E442" s="133"/>
      <c r="F442" s="8"/>
      <c r="G442" s="55"/>
      <c r="H442" s="55"/>
      <c r="I442" s="55"/>
      <c r="J442" s="55"/>
      <c r="K442" s="65"/>
      <c r="L442" s="65"/>
      <c r="M442" s="65"/>
      <c r="N442" s="537"/>
      <c r="O442"/>
      <c r="P442" s="260"/>
      <c r="Q442"/>
      <c r="R442"/>
    </row>
    <row r="443" spans="2:18" x14ac:dyDescent="0.2">
      <c r="B443" s="106"/>
      <c r="C443" s="232"/>
      <c r="D443" s="261"/>
      <c r="E443" s="133"/>
      <c r="F443" s="8"/>
      <c r="G443" s="55"/>
      <c r="H443" s="55"/>
      <c r="I443" s="55"/>
      <c r="J443" s="55"/>
      <c r="K443" s="65"/>
      <c r="L443" s="65"/>
      <c r="M443" s="65"/>
      <c r="N443" s="537"/>
      <c r="O443"/>
      <c r="P443" s="260"/>
      <c r="Q443"/>
      <c r="R443"/>
    </row>
    <row r="444" spans="2:18" x14ac:dyDescent="0.2">
      <c r="B444" s="106"/>
      <c r="C444" s="232"/>
      <c r="D444" s="261"/>
      <c r="E444" s="133"/>
      <c r="F444" s="8"/>
      <c r="G444" s="55"/>
      <c r="H444" s="55"/>
      <c r="I444" s="55"/>
      <c r="J444" s="55"/>
      <c r="K444" s="65"/>
      <c r="L444" s="65"/>
      <c r="M444" s="65"/>
      <c r="N444" s="537"/>
      <c r="O444"/>
      <c r="P444" s="260"/>
      <c r="Q444"/>
      <c r="R444"/>
    </row>
    <row r="445" spans="2:18" x14ac:dyDescent="0.2">
      <c r="B445" s="106"/>
      <c r="C445" s="232"/>
      <c r="D445" s="261"/>
      <c r="E445" s="133"/>
      <c r="F445" s="8"/>
      <c r="G445" s="55"/>
      <c r="H445" s="55"/>
      <c r="I445" s="55"/>
      <c r="J445" s="55"/>
      <c r="K445" s="65"/>
      <c r="L445" s="65"/>
      <c r="M445" s="65"/>
      <c r="N445" s="537"/>
      <c r="O445"/>
      <c r="P445" s="260"/>
      <c r="Q445"/>
      <c r="R445"/>
    </row>
    <row r="446" spans="2:18" x14ac:dyDescent="0.2">
      <c r="B446" s="106"/>
      <c r="C446" s="232"/>
      <c r="D446" s="261"/>
      <c r="E446" s="133"/>
      <c r="F446" s="8"/>
      <c r="G446" s="55"/>
      <c r="H446" s="55"/>
      <c r="I446" s="55"/>
      <c r="J446" s="55"/>
      <c r="K446" s="65"/>
      <c r="L446" s="65"/>
      <c r="M446" s="65"/>
      <c r="N446" s="537"/>
      <c r="O446"/>
      <c r="P446" s="260"/>
      <c r="Q446"/>
      <c r="R446"/>
    </row>
    <row r="447" spans="2:18" x14ac:dyDescent="0.2">
      <c r="B447" s="106"/>
      <c r="C447" s="232"/>
      <c r="D447" s="261"/>
      <c r="E447" s="133"/>
      <c r="F447" s="8"/>
      <c r="G447" s="55"/>
      <c r="H447" s="55"/>
      <c r="I447" s="55"/>
      <c r="J447" s="55"/>
      <c r="K447" s="65"/>
      <c r="L447" s="65"/>
      <c r="M447" s="65"/>
      <c r="N447" s="537"/>
      <c r="O447"/>
      <c r="P447" s="260"/>
      <c r="Q447"/>
      <c r="R447"/>
    </row>
    <row r="448" spans="2:18" x14ac:dyDescent="0.2">
      <c r="B448" s="106"/>
      <c r="C448" s="232"/>
      <c r="D448" s="261"/>
      <c r="E448" s="133"/>
      <c r="F448" s="8"/>
      <c r="G448" s="55"/>
      <c r="H448" s="55"/>
      <c r="I448" s="55"/>
      <c r="J448" s="55"/>
      <c r="K448" s="65"/>
      <c r="L448" s="65"/>
      <c r="M448" s="65"/>
      <c r="N448" s="537"/>
      <c r="O448"/>
      <c r="P448" s="260"/>
      <c r="Q448"/>
      <c r="R448"/>
    </row>
    <row r="449" spans="2:18" x14ac:dyDescent="0.2">
      <c r="B449" s="106"/>
      <c r="C449" s="232"/>
      <c r="D449" s="261"/>
      <c r="E449" s="133"/>
      <c r="F449" s="8"/>
      <c r="G449" s="55"/>
      <c r="H449" s="55"/>
      <c r="I449" s="55"/>
      <c r="J449" s="55"/>
      <c r="K449" s="65"/>
      <c r="L449" s="65"/>
      <c r="M449" s="65"/>
      <c r="N449" s="537"/>
      <c r="O449"/>
      <c r="P449" s="260"/>
      <c r="Q449"/>
      <c r="R449"/>
    </row>
    <row r="450" spans="2:18" x14ac:dyDescent="0.2">
      <c r="B450" s="106"/>
      <c r="C450" s="232"/>
      <c r="D450" s="261"/>
      <c r="E450" s="133"/>
      <c r="F450" s="8"/>
      <c r="G450" s="55"/>
      <c r="H450" s="55"/>
      <c r="I450" s="55"/>
      <c r="J450" s="55"/>
      <c r="K450" s="65"/>
      <c r="L450" s="65"/>
      <c r="M450" s="65"/>
      <c r="N450" s="537"/>
      <c r="O450"/>
      <c r="P450" s="260"/>
      <c r="Q450"/>
      <c r="R450"/>
    </row>
    <row r="451" spans="2:18" x14ac:dyDescent="0.2">
      <c r="B451" s="106"/>
      <c r="C451" s="232"/>
      <c r="D451" s="261"/>
      <c r="E451" s="133"/>
      <c r="F451" s="8"/>
      <c r="G451" s="55"/>
      <c r="H451" s="55"/>
      <c r="I451" s="55"/>
      <c r="J451" s="55"/>
      <c r="K451" s="65"/>
      <c r="L451" s="65"/>
      <c r="M451" s="65"/>
      <c r="N451" s="537"/>
      <c r="O451"/>
      <c r="P451" s="260"/>
      <c r="Q451"/>
      <c r="R451"/>
    </row>
    <row r="452" spans="2:18" x14ac:dyDescent="0.2">
      <c r="B452" s="106"/>
      <c r="C452" s="232"/>
      <c r="D452" s="261"/>
      <c r="E452" s="133"/>
      <c r="F452" s="8"/>
      <c r="G452" s="55"/>
      <c r="H452" s="55"/>
      <c r="I452" s="55"/>
      <c r="J452" s="55"/>
      <c r="K452" s="65"/>
      <c r="L452" s="65"/>
      <c r="M452" s="65"/>
      <c r="N452" s="537"/>
      <c r="O452"/>
      <c r="P452" s="260"/>
      <c r="Q452"/>
      <c r="R452"/>
    </row>
    <row r="453" spans="2:18" x14ac:dyDescent="0.2">
      <c r="B453" s="106"/>
      <c r="C453" s="232"/>
      <c r="D453" s="261"/>
      <c r="E453" s="133"/>
      <c r="F453" s="8"/>
      <c r="G453" s="55"/>
      <c r="H453" s="55"/>
      <c r="I453" s="55"/>
      <c r="J453" s="55"/>
      <c r="K453" s="65"/>
      <c r="L453" s="65"/>
      <c r="M453" s="65"/>
      <c r="N453" s="537"/>
      <c r="O453"/>
      <c r="P453" s="260"/>
      <c r="Q453"/>
      <c r="R453"/>
    </row>
    <row r="454" spans="2:18" x14ac:dyDescent="0.2">
      <c r="B454" s="106"/>
      <c r="C454" s="232"/>
      <c r="D454" s="261"/>
      <c r="E454" s="133"/>
      <c r="F454" s="8"/>
      <c r="G454" s="55"/>
      <c r="H454" s="55"/>
      <c r="I454" s="55"/>
      <c r="J454" s="55"/>
      <c r="K454" s="65"/>
      <c r="L454" s="65"/>
      <c r="M454" s="65"/>
      <c r="N454" s="537"/>
      <c r="O454"/>
      <c r="P454" s="260"/>
      <c r="Q454"/>
      <c r="R454"/>
    </row>
    <row r="455" spans="2:18" x14ac:dyDescent="0.2">
      <c r="B455" s="106"/>
      <c r="C455" s="232"/>
      <c r="D455" s="261"/>
      <c r="E455" s="133"/>
      <c r="F455" s="8"/>
      <c r="G455" s="55"/>
      <c r="H455" s="55"/>
      <c r="I455" s="55"/>
      <c r="J455" s="55"/>
      <c r="K455" s="65"/>
      <c r="L455" s="65"/>
      <c r="M455" s="65"/>
      <c r="N455" s="537"/>
      <c r="O455"/>
      <c r="P455" s="260"/>
      <c r="Q455"/>
      <c r="R455"/>
    </row>
    <row r="456" spans="2:18" x14ac:dyDescent="0.2">
      <c r="B456" s="106"/>
      <c r="C456" s="232"/>
      <c r="D456" s="261"/>
      <c r="E456" s="133"/>
      <c r="F456" s="8"/>
      <c r="G456" s="55"/>
      <c r="H456" s="55"/>
      <c r="I456" s="55"/>
      <c r="J456" s="55"/>
      <c r="K456" s="65"/>
      <c r="L456" s="65"/>
      <c r="M456" s="65"/>
      <c r="N456" s="537"/>
      <c r="O456"/>
      <c r="P456" s="260"/>
      <c r="Q456"/>
      <c r="R456"/>
    </row>
    <row r="457" spans="2:18" x14ac:dyDescent="0.2">
      <c r="B457" s="106"/>
      <c r="C457" s="232"/>
      <c r="D457" s="261"/>
      <c r="E457" s="133"/>
      <c r="F457" s="8"/>
      <c r="G457" s="55"/>
      <c r="H457" s="55"/>
      <c r="I457" s="55"/>
      <c r="J457" s="55"/>
      <c r="K457" s="65"/>
      <c r="L457" s="65"/>
      <c r="M457" s="65"/>
      <c r="N457" s="537"/>
      <c r="O457"/>
      <c r="P457" s="260"/>
      <c r="Q457"/>
      <c r="R457"/>
    </row>
    <row r="458" spans="2:18" x14ac:dyDescent="0.2">
      <c r="B458" s="106"/>
      <c r="C458" s="232"/>
      <c r="D458" s="261"/>
      <c r="E458" s="133"/>
      <c r="F458" s="8"/>
      <c r="G458" s="55"/>
      <c r="H458" s="55"/>
      <c r="I458" s="55"/>
      <c r="J458" s="55"/>
      <c r="K458" s="65"/>
      <c r="L458" s="65"/>
      <c r="M458" s="65"/>
      <c r="N458" s="537"/>
      <c r="O458"/>
      <c r="P458" s="260"/>
      <c r="Q458"/>
      <c r="R458"/>
    </row>
    <row r="459" spans="2:18" x14ac:dyDescent="0.2">
      <c r="B459" s="106"/>
      <c r="C459" s="232"/>
      <c r="D459" s="261"/>
      <c r="E459" s="133"/>
      <c r="F459" s="8"/>
      <c r="G459" s="55"/>
      <c r="H459" s="55"/>
      <c r="I459" s="55"/>
      <c r="J459" s="55"/>
      <c r="K459" s="65"/>
      <c r="L459" s="65"/>
      <c r="M459" s="65"/>
      <c r="N459" s="537"/>
      <c r="O459"/>
      <c r="P459" s="260"/>
      <c r="Q459"/>
      <c r="R459"/>
    </row>
    <row r="460" spans="2:18" x14ac:dyDescent="0.2">
      <c r="B460" s="106"/>
      <c r="C460" s="232"/>
      <c r="D460" s="261"/>
      <c r="E460" s="133"/>
      <c r="F460" s="8"/>
      <c r="G460" s="55"/>
      <c r="H460" s="55"/>
      <c r="I460" s="55"/>
      <c r="J460" s="55"/>
      <c r="K460" s="65"/>
      <c r="L460" s="65"/>
      <c r="M460" s="65"/>
      <c r="N460" s="537"/>
      <c r="O460"/>
      <c r="P460" s="260"/>
      <c r="Q460"/>
      <c r="R460"/>
    </row>
    <row r="461" spans="2:18" x14ac:dyDescent="0.2">
      <c r="B461" s="106"/>
      <c r="C461" s="232"/>
      <c r="D461" s="261"/>
      <c r="E461" s="133"/>
      <c r="F461" s="8"/>
      <c r="G461" s="55"/>
      <c r="H461" s="55"/>
      <c r="I461" s="55"/>
      <c r="J461" s="55"/>
      <c r="K461" s="65"/>
      <c r="L461" s="65"/>
      <c r="M461" s="65"/>
      <c r="N461" s="537"/>
      <c r="O461"/>
      <c r="P461" s="260"/>
      <c r="Q461"/>
      <c r="R461"/>
    </row>
    <row r="462" spans="2:18" x14ac:dyDescent="0.2">
      <c r="B462" s="106"/>
      <c r="C462" s="232"/>
      <c r="D462" s="261"/>
      <c r="E462" s="133"/>
      <c r="F462" s="8"/>
      <c r="G462" s="55"/>
      <c r="H462" s="55"/>
      <c r="I462" s="55"/>
      <c r="J462" s="55"/>
      <c r="K462" s="65"/>
      <c r="L462" s="65"/>
      <c r="M462" s="65"/>
      <c r="N462" s="537"/>
      <c r="O462"/>
      <c r="P462" s="260"/>
      <c r="Q462"/>
      <c r="R462"/>
    </row>
    <row r="463" spans="2:18" x14ac:dyDescent="0.2">
      <c r="B463" s="106"/>
      <c r="C463" s="232"/>
      <c r="D463" s="261"/>
      <c r="E463" s="133"/>
      <c r="F463" s="8"/>
      <c r="G463" s="55"/>
      <c r="H463" s="55"/>
      <c r="I463" s="55"/>
      <c r="J463" s="55"/>
      <c r="K463" s="65"/>
      <c r="L463" s="65"/>
      <c r="M463" s="65"/>
      <c r="N463" s="537"/>
      <c r="O463"/>
      <c r="P463" s="260"/>
      <c r="Q463"/>
      <c r="R463"/>
    </row>
    <row r="464" spans="2:18" x14ac:dyDescent="0.2">
      <c r="B464" s="106"/>
      <c r="C464" s="232"/>
      <c r="D464" s="261"/>
      <c r="E464" s="133"/>
      <c r="F464" s="8"/>
      <c r="G464" s="55"/>
      <c r="H464" s="55"/>
      <c r="I464" s="55"/>
      <c r="J464" s="55"/>
      <c r="K464" s="65"/>
      <c r="L464" s="65"/>
      <c r="M464" s="65"/>
      <c r="N464" s="537"/>
      <c r="O464"/>
      <c r="P464" s="260"/>
      <c r="Q464"/>
      <c r="R464"/>
    </row>
    <row r="465" spans="2:18" x14ac:dyDescent="0.2">
      <c r="B465" s="106"/>
      <c r="C465" s="232"/>
      <c r="D465" s="261"/>
      <c r="E465" s="133"/>
      <c r="F465" s="8"/>
      <c r="G465" s="55"/>
      <c r="H465" s="55"/>
      <c r="I465" s="55"/>
      <c r="J465" s="55"/>
      <c r="K465" s="65"/>
      <c r="L465" s="65"/>
      <c r="M465" s="65"/>
      <c r="N465" s="537"/>
      <c r="O465"/>
      <c r="P465" s="260"/>
      <c r="Q465"/>
      <c r="R465"/>
    </row>
    <row r="466" spans="2:18" x14ac:dyDescent="0.2">
      <c r="B466" s="106"/>
      <c r="C466" s="232"/>
      <c r="D466" s="261"/>
      <c r="E466" s="133"/>
      <c r="F466" s="8"/>
      <c r="G466" s="55"/>
      <c r="H466" s="55"/>
      <c r="I466" s="55"/>
      <c r="J466" s="55"/>
      <c r="K466" s="65"/>
      <c r="L466" s="65"/>
      <c r="M466" s="65"/>
      <c r="N466" s="537"/>
      <c r="O466"/>
      <c r="P466" s="260"/>
      <c r="Q466"/>
      <c r="R466"/>
    </row>
    <row r="467" spans="2:18" x14ac:dyDescent="0.2">
      <c r="B467" s="106"/>
      <c r="C467" s="232"/>
      <c r="D467" s="261"/>
      <c r="E467" s="133"/>
      <c r="F467" s="8"/>
      <c r="G467" s="55"/>
      <c r="H467" s="55"/>
      <c r="I467" s="55"/>
      <c r="J467" s="55"/>
      <c r="K467" s="65"/>
      <c r="L467" s="65"/>
      <c r="M467" s="65"/>
      <c r="N467" s="537"/>
      <c r="O467"/>
      <c r="P467" s="260"/>
      <c r="Q467"/>
      <c r="R467"/>
    </row>
    <row r="468" spans="2:18" x14ac:dyDescent="0.2">
      <c r="B468" s="106"/>
      <c r="C468" s="232"/>
      <c r="D468" s="261"/>
      <c r="E468" s="133"/>
      <c r="F468" s="8"/>
      <c r="G468" s="55"/>
      <c r="H468" s="55"/>
      <c r="I468" s="55"/>
      <c r="J468" s="55"/>
      <c r="K468" s="65"/>
      <c r="L468" s="65"/>
      <c r="M468" s="65"/>
      <c r="N468" s="537"/>
      <c r="O468"/>
      <c r="P468" s="260"/>
      <c r="Q468"/>
      <c r="R468"/>
    </row>
    <row r="469" spans="2:18" x14ac:dyDescent="0.2">
      <c r="B469" s="106"/>
      <c r="C469" s="232"/>
      <c r="D469" s="261"/>
      <c r="E469" s="133"/>
      <c r="F469" s="8"/>
      <c r="G469" s="55"/>
      <c r="H469" s="55"/>
      <c r="I469" s="55"/>
      <c r="J469" s="55"/>
      <c r="K469" s="65"/>
      <c r="L469" s="65"/>
      <c r="M469" s="65"/>
      <c r="N469" s="537"/>
      <c r="O469"/>
      <c r="P469" s="260"/>
      <c r="Q469"/>
      <c r="R469"/>
    </row>
    <row r="470" spans="2:18" x14ac:dyDescent="0.2">
      <c r="B470" s="106"/>
      <c r="C470" s="232"/>
      <c r="D470" s="261"/>
      <c r="E470" s="133"/>
      <c r="F470" s="8"/>
      <c r="G470" s="55"/>
      <c r="H470" s="55"/>
      <c r="I470" s="55"/>
      <c r="J470" s="55"/>
      <c r="K470" s="65"/>
      <c r="L470" s="65"/>
      <c r="M470" s="65"/>
      <c r="N470" s="537"/>
      <c r="O470"/>
      <c r="P470" s="260"/>
      <c r="Q470"/>
      <c r="R470"/>
    </row>
    <row r="471" spans="2:18" x14ac:dyDescent="0.2">
      <c r="B471" s="106"/>
      <c r="C471" s="232"/>
      <c r="D471" s="261"/>
      <c r="E471" s="133"/>
      <c r="F471" s="8"/>
      <c r="G471" s="55"/>
      <c r="H471" s="55"/>
      <c r="I471" s="55"/>
      <c r="J471" s="55"/>
      <c r="K471" s="65"/>
      <c r="L471" s="65"/>
      <c r="M471" s="65"/>
      <c r="N471" s="537"/>
      <c r="O471"/>
      <c r="P471" s="260"/>
      <c r="Q471"/>
      <c r="R471"/>
    </row>
    <row r="472" spans="2:18" x14ac:dyDescent="0.2">
      <c r="B472" s="106"/>
      <c r="C472" s="232"/>
      <c r="D472" s="261"/>
      <c r="E472" s="133"/>
      <c r="F472" s="8"/>
      <c r="G472" s="55"/>
      <c r="H472" s="55"/>
      <c r="I472" s="55"/>
      <c r="J472" s="55"/>
      <c r="K472" s="65"/>
      <c r="L472" s="65"/>
      <c r="M472" s="65"/>
      <c r="N472" s="537"/>
      <c r="O472"/>
      <c r="P472" s="260"/>
      <c r="Q472"/>
      <c r="R472"/>
    </row>
    <row r="473" spans="2:18" x14ac:dyDescent="0.2">
      <c r="B473" s="106"/>
      <c r="C473" s="232"/>
      <c r="D473" s="261"/>
      <c r="E473" s="133"/>
      <c r="F473" s="8"/>
      <c r="G473" s="55"/>
      <c r="H473" s="55"/>
      <c r="I473" s="55"/>
      <c r="J473" s="55"/>
      <c r="K473" s="65"/>
      <c r="L473" s="65"/>
      <c r="M473" s="65"/>
      <c r="N473" s="537"/>
      <c r="O473"/>
      <c r="P473" s="260"/>
      <c r="Q473"/>
      <c r="R473"/>
    </row>
    <row r="474" spans="2:18" x14ac:dyDescent="0.2">
      <c r="B474" s="106"/>
      <c r="C474" s="232"/>
      <c r="D474" s="261"/>
      <c r="E474" s="133"/>
      <c r="F474" s="8"/>
      <c r="G474" s="55"/>
      <c r="H474" s="55"/>
      <c r="I474" s="55"/>
      <c r="J474" s="55"/>
      <c r="K474" s="65"/>
      <c r="L474" s="65"/>
      <c r="M474" s="65"/>
      <c r="N474" s="537"/>
      <c r="O474"/>
      <c r="P474" s="260"/>
      <c r="Q474"/>
      <c r="R474"/>
    </row>
    <row r="475" spans="2:18" x14ac:dyDescent="0.2">
      <c r="B475" s="106"/>
      <c r="C475" s="232"/>
      <c r="D475" s="261"/>
      <c r="E475" s="133"/>
      <c r="F475" s="8"/>
      <c r="G475" s="55"/>
      <c r="H475" s="55"/>
      <c r="I475" s="55"/>
      <c r="J475" s="55"/>
      <c r="K475" s="65"/>
      <c r="L475" s="65"/>
      <c r="M475" s="65"/>
      <c r="N475" s="537"/>
      <c r="O475"/>
      <c r="P475" s="260"/>
      <c r="Q475"/>
      <c r="R475"/>
    </row>
    <row r="476" spans="2:18" x14ac:dyDescent="0.2">
      <c r="B476" s="106"/>
      <c r="C476" s="232"/>
      <c r="D476" s="261"/>
      <c r="E476" s="133"/>
      <c r="F476" s="8"/>
      <c r="G476" s="55"/>
      <c r="H476" s="55"/>
      <c r="I476" s="55"/>
      <c r="J476" s="55"/>
      <c r="K476" s="65"/>
      <c r="L476" s="65"/>
      <c r="M476" s="65"/>
      <c r="N476" s="537"/>
      <c r="O476"/>
      <c r="P476" s="260"/>
      <c r="Q476"/>
      <c r="R476"/>
    </row>
    <row r="477" spans="2:18" x14ac:dyDescent="0.2">
      <c r="B477" s="106"/>
      <c r="C477" s="232"/>
      <c r="D477" s="261"/>
      <c r="E477" s="133"/>
      <c r="F477" s="8"/>
      <c r="G477" s="55"/>
      <c r="H477" s="55"/>
      <c r="I477" s="55"/>
      <c r="J477" s="55"/>
      <c r="K477" s="65"/>
      <c r="L477" s="65"/>
      <c r="M477" s="65"/>
      <c r="N477" s="537"/>
      <c r="O477"/>
      <c r="P477" s="260"/>
      <c r="Q477"/>
      <c r="R477"/>
    </row>
    <row r="478" spans="2:18" x14ac:dyDescent="0.2">
      <c r="B478" s="106"/>
      <c r="C478" s="232"/>
      <c r="D478" s="261"/>
      <c r="E478" s="133"/>
      <c r="F478" s="8"/>
      <c r="G478" s="55"/>
      <c r="H478" s="55"/>
      <c r="I478" s="55"/>
      <c r="J478" s="55"/>
      <c r="K478" s="65"/>
      <c r="L478" s="65"/>
      <c r="M478" s="65"/>
      <c r="N478" s="537"/>
      <c r="O478"/>
      <c r="P478" s="260"/>
      <c r="Q478"/>
      <c r="R478"/>
    </row>
    <row r="479" spans="2:18" x14ac:dyDescent="0.2">
      <c r="B479" s="106"/>
      <c r="C479" s="232"/>
      <c r="D479" s="261"/>
      <c r="E479" s="133"/>
      <c r="F479" s="8"/>
      <c r="G479" s="55"/>
      <c r="H479" s="55"/>
      <c r="I479" s="55"/>
      <c r="J479" s="55"/>
      <c r="K479" s="65"/>
      <c r="L479" s="65"/>
      <c r="M479" s="65"/>
      <c r="N479" s="537"/>
      <c r="O479"/>
      <c r="P479" s="260"/>
      <c r="Q479"/>
      <c r="R479"/>
    </row>
    <row r="480" spans="2:18" x14ac:dyDescent="0.2">
      <c r="B480" s="106"/>
      <c r="C480" s="232"/>
      <c r="D480" s="261"/>
      <c r="E480" s="133"/>
      <c r="F480" s="8"/>
      <c r="G480" s="55"/>
      <c r="H480" s="55"/>
      <c r="I480" s="55"/>
      <c r="J480" s="55"/>
      <c r="K480" s="65"/>
      <c r="L480" s="65"/>
      <c r="M480" s="65"/>
      <c r="N480" s="537"/>
      <c r="O480"/>
      <c r="P480" s="260"/>
      <c r="Q480"/>
      <c r="R480"/>
    </row>
    <row r="481" spans="2:18" x14ac:dyDescent="0.2">
      <c r="B481" s="106"/>
      <c r="C481" s="232"/>
      <c r="D481" s="261"/>
      <c r="E481" s="133"/>
      <c r="F481" s="8"/>
      <c r="G481" s="55"/>
      <c r="H481" s="55"/>
      <c r="I481" s="55"/>
      <c r="J481" s="55"/>
      <c r="K481" s="65"/>
      <c r="L481" s="65"/>
      <c r="M481" s="65"/>
      <c r="N481" s="537"/>
      <c r="O481"/>
      <c r="P481" s="260"/>
      <c r="Q481"/>
      <c r="R481"/>
    </row>
    <row r="482" spans="2:18" x14ac:dyDescent="0.2">
      <c r="B482" s="106"/>
      <c r="C482" s="232"/>
      <c r="D482" s="261"/>
      <c r="E482" s="133"/>
      <c r="F482" s="8"/>
      <c r="G482" s="55"/>
      <c r="H482" s="55"/>
      <c r="I482" s="55"/>
      <c r="J482" s="55"/>
      <c r="K482" s="65"/>
      <c r="L482" s="65"/>
      <c r="M482" s="65"/>
      <c r="N482" s="537"/>
      <c r="O482"/>
      <c r="P482" s="260"/>
      <c r="Q482"/>
      <c r="R482"/>
    </row>
    <row r="483" spans="2:18" x14ac:dyDescent="0.2">
      <c r="B483" s="106"/>
      <c r="C483" s="232"/>
      <c r="D483" s="261"/>
      <c r="E483" s="133"/>
      <c r="F483" s="8"/>
      <c r="G483" s="55"/>
      <c r="H483" s="55"/>
      <c r="I483" s="55"/>
      <c r="J483" s="55"/>
      <c r="K483" s="65"/>
      <c r="L483" s="65"/>
      <c r="M483" s="65"/>
      <c r="N483" s="537"/>
      <c r="O483"/>
      <c r="P483" s="260"/>
      <c r="Q483"/>
      <c r="R483"/>
    </row>
    <row r="484" spans="2:18" x14ac:dyDescent="0.2">
      <c r="B484" s="106"/>
      <c r="C484" s="232"/>
      <c r="D484" s="261"/>
      <c r="E484" s="133"/>
      <c r="F484" s="8"/>
      <c r="G484" s="55"/>
      <c r="H484" s="55"/>
      <c r="I484" s="55"/>
      <c r="J484" s="55"/>
      <c r="K484" s="65"/>
      <c r="L484" s="65"/>
      <c r="M484" s="65"/>
      <c r="N484" s="537"/>
      <c r="O484"/>
      <c r="P484" s="260"/>
      <c r="Q484"/>
      <c r="R484"/>
    </row>
    <row r="485" spans="2:18" x14ac:dyDescent="0.2">
      <c r="B485" s="106"/>
      <c r="C485" s="232"/>
      <c r="D485" s="261"/>
      <c r="E485" s="133"/>
      <c r="F485" s="8"/>
      <c r="G485" s="55"/>
      <c r="H485" s="55"/>
      <c r="I485" s="55"/>
      <c r="J485" s="55"/>
      <c r="K485" s="65"/>
      <c r="L485" s="65"/>
      <c r="M485" s="65"/>
      <c r="N485" s="537"/>
      <c r="O485"/>
      <c r="P485" s="260"/>
      <c r="Q485"/>
      <c r="R485"/>
    </row>
    <row r="486" spans="2:18" x14ac:dyDescent="0.2">
      <c r="B486" s="106"/>
      <c r="C486" s="232"/>
      <c r="D486" s="261"/>
      <c r="E486" s="133"/>
      <c r="F486" s="8"/>
      <c r="G486" s="55"/>
      <c r="H486" s="55"/>
      <c r="I486" s="55"/>
      <c r="J486" s="55"/>
      <c r="K486" s="65"/>
      <c r="L486" s="65"/>
      <c r="M486" s="65"/>
      <c r="N486" s="537"/>
      <c r="O486"/>
      <c r="P486" s="260"/>
      <c r="Q486"/>
      <c r="R486"/>
    </row>
    <row r="487" spans="2:18" x14ac:dyDescent="0.2">
      <c r="B487" s="106"/>
      <c r="C487" s="232"/>
      <c r="D487" s="261"/>
      <c r="E487" s="133"/>
      <c r="F487" s="8"/>
      <c r="G487" s="55"/>
      <c r="H487" s="55"/>
      <c r="I487" s="55"/>
      <c r="J487" s="55"/>
      <c r="K487" s="65"/>
      <c r="L487" s="65"/>
      <c r="M487" s="65"/>
      <c r="N487" s="537"/>
      <c r="O487"/>
      <c r="P487" s="260"/>
      <c r="Q487"/>
      <c r="R487"/>
    </row>
    <row r="488" spans="2:18" x14ac:dyDescent="0.2">
      <c r="B488" s="106"/>
      <c r="C488" s="232"/>
      <c r="D488" s="261"/>
      <c r="E488" s="133"/>
      <c r="F488" s="8"/>
      <c r="G488" s="55"/>
      <c r="H488" s="55"/>
      <c r="I488" s="55"/>
      <c r="J488" s="55"/>
      <c r="K488" s="65"/>
      <c r="L488" s="65"/>
      <c r="M488" s="65"/>
      <c r="N488" s="537"/>
      <c r="O488"/>
      <c r="P488" s="260"/>
      <c r="Q488"/>
      <c r="R488"/>
    </row>
    <row r="489" spans="2:18" x14ac:dyDescent="0.2">
      <c r="B489" s="106"/>
      <c r="C489" s="232"/>
      <c r="D489" s="261"/>
      <c r="E489" s="133"/>
      <c r="F489" s="8"/>
      <c r="G489" s="55"/>
      <c r="H489" s="55"/>
      <c r="I489" s="55"/>
      <c r="J489" s="55"/>
      <c r="K489" s="65"/>
      <c r="L489" s="65"/>
      <c r="M489" s="65"/>
      <c r="N489" s="537"/>
      <c r="O489"/>
      <c r="P489" s="260"/>
      <c r="Q489"/>
      <c r="R489"/>
    </row>
    <row r="490" spans="2:18" x14ac:dyDescent="0.2">
      <c r="B490" s="106"/>
      <c r="C490" s="232"/>
      <c r="D490" s="261"/>
      <c r="E490" s="133"/>
      <c r="F490" s="8"/>
      <c r="G490" s="55"/>
      <c r="H490" s="55"/>
      <c r="I490" s="55"/>
      <c r="J490" s="55"/>
      <c r="K490" s="65"/>
      <c r="L490" s="65"/>
      <c r="M490" s="65"/>
      <c r="N490" s="537"/>
      <c r="O490"/>
      <c r="P490" s="260"/>
      <c r="Q490"/>
      <c r="R490"/>
    </row>
    <row r="491" spans="2:18" x14ac:dyDescent="0.2">
      <c r="B491" s="106"/>
      <c r="C491" s="232"/>
      <c r="D491" s="261"/>
      <c r="E491" s="133"/>
      <c r="F491" s="8"/>
      <c r="G491" s="55"/>
      <c r="H491" s="55"/>
      <c r="I491" s="55"/>
      <c r="J491" s="55"/>
      <c r="K491" s="65"/>
      <c r="L491" s="65"/>
      <c r="M491" s="65"/>
      <c r="N491" s="537"/>
      <c r="O491"/>
      <c r="P491" s="260"/>
      <c r="Q491"/>
      <c r="R491"/>
    </row>
    <row r="492" spans="2:18" x14ac:dyDescent="0.2">
      <c r="B492" s="106"/>
      <c r="C492" s="232"/>
      <c r="D492" s="261"/>
      <c r="E492" s="133"/>
      <c r="F492" s="8"/>
      <c r="G492" s="55"/>
      <c r="H492" s="55"/>
      <c r="I492" s="55"/>
      <c r="J492" s="55"/>
      <c r="K492" s="65"/>
      <c r="L492" s="65"/>
      <c r="M492" s="65"/>
      <c r="N492" s="537"/>
      <c r="O492"/>
      <c r="P492" s="260"/>
      <c r="Q492"/>
      <c r="R492"/>
    </row>
    <row r="493" spans="2:18" x14ac:dyDescent="0.2">
      <c r="B493" s="106"/>
      <c r="C493" s="232"/>
      <c r="D493" s="261"/>
      <c r="E493" s="133"/>
      <c r="F493" s="8"/>
      <c r="G493" s="55"/>
      <c r="H493" s="55"/>
      <c r="I493" s="55"/>
      <c r="J493" s="55"/>
      <c r="K493" s="65"/>
      <c r="L493" s="65"/>
      <c r="M493" s="65"/>
      <c r="N493" s="537"/>
      <c r="O493"/>
      <c r="P493" s="260"/>
      <c r="Q493"/>
      <c r="R493"/>
    </row>
    <row r="494" spans="2:18" x14ac:dyDescent="0.2">
      <c r="B494" s="106"/>
      <c r="C494" s="232"/>
      <c r="D494" s="261"/>
      <c r="E494" s="133"/>
      <c r="F494" s="8"/>
      <c r="G494" s="55"/>
      <c r="H494" s="55"/>
      <c r="I494" s="55"/>
      <c r="J494" s="55"/>
      <c r="K494" s="65"/>
      <c r="L494" s="65"/>
      <c r="M494" s="65"/>
      <c r="N494" s="537"/>
      <c r="O494"/>
      <c r="P494" s="260"/>
      <c r="Q494"/>
      <c r="R494"/>
    </row>
    <row r="495" spans="2:18" x14ac:dyDescent="0.2">
      <c r="B495" s="106"/>
      <c r="C495" s="232"/>
      <c r="D495" s="261"/>
      <c r="E495" s="133"/>
      <c r="F495" s="8"/>
      <c r="G495" s="55"/>
      <c r="H495" s="55"/>
      <c r="I495" s="55"/>
      <c r="J495" s="55"/>
      <c r="K495" s="65"/>
      <c r="L495" s="65"/>
      <c r="M495" s="65"/>
      <c r="N495" s="537"/>
      <c r="O495"/>
      <c r="P495" s="260"/>
      <c r="Q495"/>
      <c r="R495"/>
    </row>
    <row r="496" spans="2:18" x14ac:dyDescent="0.2">
      <c r="B496" s="106"/>
      <c r="C496" s="232"/>
      <c r="D496" s="261"/>
      <c r="E496" s="133"/>
      <c r="F496" s="8"/>
      <c r="G496" s="55"/>
      <c r="H496" s="55"/>
      <c r="I496" s="55"/>
      <c r="J496" s="55"/>
      <c r="K496" s="65"/>
      <c r="L496" s="65"/>
      <c r="M496" s="65"/>
      <c r="N496" s="537"/>
      <c r="O496"/>
      <c r="P496" s="260"/>
      <c r="Q496"/>
      <c r="R496"/>
    </row>
    <row r="497" spans="2:18" x14ac:dyDescent="0.2">
      <c r="B497" s="106"/>
      <c r="C497" s="232"/>
      <c r="D497" s="261"/>
      <c r="E497" s="133"/>
      <c r="F497" s="8"/>
      <c r="G497" s="55"/>
      <c r="H497" s="55"/>
      <c r="I497" s="55"/>
      <c r="J497" s="55"/>
      <c r="K497" s="65"/>
      <c r="L497" s="65"/>
      <c r="M497" s="65"/>
      <c r="N497" s="537"/>
      <c r="O497"/>
      <c r="P497" s="260"/>
      <c r="Q497"/>
      <c r="R497"/>
    </row>
    <row r="498" spans="2:18" x14ac:dyDescent="0.2">
      <c r="B498" s="106"/>
      <c r="C498" s="232"/>
      <c r="D498" s="261"/>
      <c r="E498" s="133"/>
      <c r="F498" s="8"/>
      <c r="G498" s="55"/>
      <c r="H498" s="55"/>
      <c r="I498" s="55"/>
      <c r="J498" s="55"/>
      <c r="K498" s="65"/>
      <c r="L498" s="65"/>
      <c r="M498" s="65"/>
      <c r="N498" s="537"/>
      <c r="O498"/>
      <c r="P498" s="260"/>
      <c r="Q498"/>
      <c r="R498"/>
    </row>
    <row r="499" spans="2:18" x14ac:dyDescent="0.2">
      <c r="B499" s="106"/>
      <c r="C499" s="232"/>
      <c r="D499" s="261"/>
      <c r="E499" s="133"/>
      <c r="F499" s="8"/>
      <c r="G499" s="55"/>
      <c r="H499" s="55"/>
      <c r="I499" s="55"/>
      <c r="J499" s="55"/>
      <c r="K499" s="65"/>
      <c r="L499" s="65"/>
      <c r="M499" s="65"/>
      <c r="N499" s="537"/>
      <c r="O499"/>
      <c r="P499" s="260"/>
      <c r="Q499"/>
      <c r="R499"/>
    </row>
    <row r="500" spans="2:18" x14ac:dyDescent="0.2">
      <c r="B500" s="106"/>
      <c r="C500" s="232"/>
      <c r="D500" s="261"/>
      <c r="E500" s="133"/>
      <c r="F500" s="8"/>
      <c r="G500" s="55"/>
      <c r="H500" s="55"/>
      <c r="I500" s="55"/>
      <c r="J500" s="55"/>
      <c r="K500" s="65"/>
      <c r="L500" s="65"/>
      <c r="M500" s="65"/>
      <c r="N500" s="537"/>
      <c r="O500"/>
      <c r="P500" s="260"/>
      <c r="Q500"/>
      <c r="R500"/>
    </row>
    <row r="501" spans="2:18" x14ac:dyDescent="0.2">
      <c r="B501" s="106"/>
      <c r="C501" s="232"/>
      <c r="D501" s="261"/>
      <c r="E501" s="133"/>
      <c r="F501" s="8"/>
      <c r="G501" s="55"/>
      <c r="H501" s="55"/>
      <c r="I501" s="55"/>
      <c r="J501" s="55"/>
      <c r="K501" s="65"/>
      <c r="L501" s="65"/>
      <c r="M501" s="65"/>
      <c r="N501" s="537"/>
      <c r="O501"/>
      <c r="P501" s="260"/>
      <c r="Q501"/>
      <c r="R501"/>
    </row>
    <row r="502" spans="2:18" x14ac:dyDescent="0.2">
      <c r="B502" s="106"/>
      <c r="C502" s="232"/>
      <c r="D502" s="261"/>
      <c r="E502" s="133"/>
      <c r="F502" s="8"/>
      <c r="G502" s="55"/>
      <c r="H502" s="55"/>
      <c r="I502" s="55"/>
      <c r="J502" s="55"/>
      <c r="K502" s="65"/>
      <c r="L502" s="65"/>
      <c r="M502" s="65"/>
      <c r="N502" s="537"/>
      <c r="O502"/>
      <c r="P502" s="260"/>
      <c r="Q502"/>
      <c r="R502"/>
    </row>
    <row r="503" spans="2:18" x14ac:dyDescent="0.2">
      <c r="B503" s="106"/>
      <c r="C503" s="232"/>
      <c r="D503" s="261"/>
      <c r="E503" s="133"/>
      <c r="F503" s="8"/>
      <c r="G503" s="55"/>
      <c r="H503" s="55"/>
      <c r="I503" s="55"/>
      <c r="J503" s="55"/>
      <c r="K503" s="65"/>
      <c r="L503" s="65"/>
      <c r="M503" s="65"/>
      <c r="N503" s="537"/>
      <c r="O503"/>
      <c r="P503" s="260"/>
      <c r="Q503"/>
      <c r="R503"/>
    </row>
    <row r="504" spans="2:18" x14ac:dyDescent="0.2">
      <c r="B504" s="106"/>
      <c r="C504" s="232"/>
      <c r="D504" s="261"/>
      <c r="E504" s="133"/>
      <c r="F504" s="8"/>
      <c r="G504" s="55"/>
      <c r="H504" s="55"/>
      <c r="I504" s="55"/>
      <c r="J504" s="55"/>
      <c r="K504" s="65"/>
      <c r="L504" s="65"/>
      <c r="M504" s="65"/>
      <c r="N504" s="537"/>
      <c r="O504"/>
      <c r="P504" s="260"/>
      <c r="Q504"/>
      <c r="R504"/>
    </row>
    <row r="505" spans="2:18" x14ac:dyDescent="0.2">
      <c r="B505" s="106"/>
      <c r="C505" s="232"/>
      <c r="D505" s="261"/>
      <c r="E505" s="133"/>
      <c r="F505" s="8"/>
      <c r="G505" s="55"/>
      <c r="H505" s="55"/>
      <c r="I505" s="55"/>
      <c r="J505" s="55"/>
      <c r="K505" s="65"/>
      <c r="L505" s="65"/>
      <c r="M505" s="65"/>
      <c r="N505" s="537"/>
      <c r="O505"/>
      <c r="P505" s="260"/>
      <c r="Q505"/>
      <c r="R505"/>
    </row>
    <row r="506" spans="2:18" x14ac:dyDescent="0.2">
      <c r="B506" s="106"/>
      <c r="C506" s="232"/>
      <c r="D506" s="261"/>
      <c r="E506" s="133"/>
      <c r="F506" s="8"/>
      <c r="G506" s="55"/>
      <c r="H506" s="55"/>
      <c r="I506" s="55"/>
      <c r="J506" s="55"/>
      <c r="K506" s="65"/>
      <c r="L506" s="65"/>
      <c r="M506" s="65"/>
      <c r="N506" s="537"/>
      <c r="O506"/>
      <c r="P506" s="260"/>
      <c r="Q506"/>
      <c r="R506"/>
    </row>
    <row r="507" spans="2:18" x14ac:dyDescent="0.2">
      <c r="B507" s="106"/>
      <c r="C507" s="232"/>
      <c r="D507" s="261"/>
      <c r="E507" s="133"/>
      <c r="F507" s="8"/>
      <c r="G507" s="55"/>
      <c r="H507" s="55"/>
      <c r="I507" s="55"/>
      <c r="J507" s="55"/>
      <c r="K507" s="65"/>
      <c r="L507" s="65"/>
      <c r="M507" s="65"/>
      <c r="N507" s="537"/>
      <c r="O507"/>
      <c r="P507" s="260"/>
      <c r="Q507"/>
      <c r="R507"/>
    </row>
    <row r="508" spans="2:18" x14ac:dyDescent="0.2">
      <c r="B508" s="106"/>
      <c r="C508" s="232"/>
      <c r="D508" s="261"/>
      <c r="E508" s="133"/>
      <c r="F508" s="8"/>
      <c r="G508" s="55"/>
      <c r="H508" s="55"/>
      <c r="I508" s="55"/>
      <c r="J508" s="55"/>
      <c r="K508" s="65"/>
      <c r="L508" s="65"/>
      <c r="M508" s="65"/>
      <c r="N508" s="537"/>
      <c r="O508"/>
      <c r="P508" s="260"/>
      <c r="Q508"/>
      <c r="R508"/>
    </row>
    <row r="509" spans="2:18" x14ac:dyDescent="0.2">
      <c r="B509" s="106"/>
      <c r="C509" s="232"/>
      <c r="D509" s="261"/>
      <c r="E509" s="133"/>
      <c r="F509" s="8"/>
      <c r="G509" s="55"/>
      <c r="H509" s="55"/>
      <c r="I509" s="55"/>
      <c r="J509" s="55"/>
      <c r="K509" s="65"/>
      <c r="L509" s="65"/>
      <c r="M509" s="65"/>
      <c r="N509" s="537"/>
      <c r="O509"/>
      <c r="P509" s="260"/>
      <c r="Q509"/>
      <c r="R509"/>
    </row>
    <row r="510" spans="2:18" x14ac:dyDescent="0.2">
      <c r="B510" s="106"/>
      <c r="C510" s="232"/>
      <c r="D510" s="261"/>
      <c r="E510" s="133"/>
      <c r="F510" s="8"/>
      <c r="G510" s="55"/>
      <c r="H510" s="55"/>
      <c r="I510" s="55"/>
      <c r="J510" s="55"/>
      <c r="K510" s="65"/>
      <c r="L510" s="65"/>
      <c r="M510" s="65"/>
      <c r="N510" s="537"/>
      <c r="O510"/>
      <c r="P510" s="260"/>
      <c r="Q510"/>
      <c r="R510"/>
    </row>
    <row r="511" spans="2:18" x14ac:dyDescent="0.2">
      <c r="B511" s="106"/>
      <c r="C511" s="232"/>
      <c r="D511" s="261"/>
      <c r="E511" s="133"/>
      <c r="F511" s="8"/>
      <c r="G511" s="55"/>
      <c r="H511" s="55"/>
      <c r="I511" s="55"/>
      <c r="J511" s="55"/>
      <c r="K511" s="65"/>
      <c r="L511" s="65"/>
      <c r="M511" s="65"/>
      <c r="N511" s="537"/>
      <c r="O511"/>
      <c r="P511" s="260"/>
      <c r="Q511"/>
      <c r="R511"/>
    </row>
    <row r="512" spans="2:18" x14ac:dyDescent="0.2">
      <c r="B512" s="106"/>
      <c r="C512" s="232"/>
      <c r="D512" s="261"/>
      <c r="E512" s="133"/>
      <c r="F512" s="8"/>
      <c r="G512" s="55"/>
      <c r="H512" s="55"/>
      <c r="I512" s="55"/>
      <c r="J512" s="55"/>
      <c r="K512" s="65"/>
      <c r="L512" s="65"/>
      <c r="M512" s="65"/>
      <c r="N512" s="537"/>
      <c r="O512"/>
      <c r="P512" s="260"/>
      <c r="Q512"/>
      <c r="R512"/>
    </row>
    <row r="513" spans="2:18" x14ac:dyDescent="0.2">
      <c r="B513" s="106"/>
      <c r="C513" s="232"/>
      <c r="D513" s="261"/>
      <c r="E513" s="133"/>
      <c r="F513" s="8"/>
      <c r="G513" s="55"/>
      <c r="H513" s="55"/>
      <c r="I513" s="55"/>
      <c r="J513" s="55"/>
      <c r="K513" s="65"/>
      <c r="L513" s="65"/>
      <c r="M513" s="65"/>
      <c r="N513" s="537"/>
      <c r="O513"/>
      <c r="P513" s="260"/>
      <c r="Q513"/>
      <c r="R513"/>
    </row>
    <row r="514" spans="2:18" x14ac:dyDescent="0.2">
      <c r="B514" s="106"/>
      <c r="C514" s="232"/>
      <c r="D514" s="261"/>
      <c r="E514" s="133"/>
      <c r="F514" s="8"/>
      <c r="G514" s="55"/>
      <c r="H514" s="55"/>
      <c r="I514" s="55"/>
      <c r="J514" s="55"/>
      <c r="K514" s="65"/>
      <c r="L514" s="65"/>
      <c r="M514" s="65"/>
      <c r="N514" s="537"/>
      <c r="O514"/>
      <c r="P514" s="260"/>
      <c r="Q514"/>
      <c r="R514"/>
    </row>
    <row r="515" spans="2:18" x14ac:dyDescent="0.2">
      <c r="B515" s="106"/>
      <c r="C515" s="232"/>
      <c r="D515" s="261"/>
      <c r="E515" s="133"/>
      <c r="F515" s="8"/>
      <c r="G515" s="55"/>
      <c r="H515" s="55"/>
      <c r="I515" s="55"/>
      <c r="J515" s="55"/>
      <c r="K515" s="65"/>
      <c r="L515" s="65"/>
      <c r="M515" s="65"/>
      <c r="N515" s="537"/>
      <c r="O515"/>
      <c r="P515" s="260"/>
      <c r="Q515"/>
      <c r="R515"/>
    </row>
    <row r="516" spans="2:18" x14ac:dyDescent="0.2">
      <c r="B516" s="106"/>
      <c r="C516" s="232"/>
      <c r="D516" s="261"/>
      <c r="E516" s="133"/>
      <c r="F516" s="8"/>
      <c r="G516" s="55"/>
      <c r="H516" s="55"/>
      <c r="I516" s="55"/>
      <c r="J516" s="55"/>
      <c r="K516" s="65"/>
      <c r="L516" s="65"/>
      <c r="M516" s="65"/>
      <c r="N516" s="537"/>
      <c r="O516"/>
      <c r="P516" s="260"/>
      <c r="Q516"/>
      <c r="R516"/>
    </row>
    <row r="517" spans="2:18" x14ac:dyDescent="0.2">
      <c r="B517" s="106"/>
      <c r="C517" s="232"/>
      <c r="D517" s="261"/>
      <c r="E517" s="133"/>
      <c r="F517" s="8"/>
      <c r="G517" s="55"/>
      <c r="H517" s="55"/>
      <c r="I517" s="55"/>
      <c r="J517" s="55"/>
      <c r="K517" s="65"/>
      <c r="L517" s="65"/>
      <c r="M517" s="65"/>
      <c r="N517" s="537"/>
      <c r="O517"/>
      <c r="P517" s="260"/>
      <c r="Q517"/>
      <c r="R517"/>
    </row>
    <row r="518" spans="2:18" x14ac:dyDescent="0.2">
      <c r="B518" s="106"/>
      <c r="C518" s="232"/>
      <c r="D518" s="261"/>
      <c r="E518" s="133"/>
      <c r="F518" s="8"/>
      <c r="G518" s="55"/>
      <c r="H518" s="55"/>
      <c r="I518" s="55"/>
      <c r="J518" s="55"/>
      <c r="K518" s="65"/>
      <c r="L518" s="65"/>
      <c r="M518" s="65"/>
      <c r="N518" s="537"/>
      <c r="O518"/>
      <c r="P518" s="260"/>
      <c r="Q518"/>
      <c r="R518"/>
    </row>
    <row r="519" spans="2:18" x14ac:dyDescent="0.2">
      <c r="B519" s="106"/>
      <c r="C519" s="232"/>
      <c r="D519" s="261"/>
      <c r="E519" s="133"/>
      <c r="F519" s="8"/>
      <c r="G519" s="55"/>
      <c r="H519" s="55"/>
      <c r="I519" s="55"/>
      <c r="J519" s="55"/>
      <c r="K519" s="65"/>
      <c r="L519" s="65"/>
      <c r="M519" s="65"/>
      <c r="N519" s="537"/>
      <c r="O519"/>
      <c r="P519" s="260"/>
      <c r="Q519"/>
      <c r="R519"/>
    </row>
    <row r="520" spans="2:18" x14ac:dyDescent="0.2">
      <c r="B520" s="106"/>
      <c r="C520" s="232"/>
      <c r="D520" s="261"/>
      <c r="E520" s="133"/>
      <c r="F520" s="8"/>
      <c r="G520" s="55"/>
      <c r="H520" s="55"/>
      <c r="I520" s="55"/>
      <c r="J520" s="55"/>
      <c r="K520" s="65"/>
      <c r="L520" s="65"/>
      <c r="M520" s="65"/>
      <c r="N520" s="537"/>
      <c r="O520"/>
      <c r="P520" s="260"/>
      <c r="Q520"/>
      <c r="R520"/>
    </row>
    <row r="521" spans="2:18" x14ac:dyDescent="0.2">
      <c r="B521" s="106"/>
      <c r="C521" s="232"/>
      <c r="D521" s="261"/>
      <c r="E521" s="133"/>
      <c r="F521" s="8"/>
      <c r="G521" s="55"/>
      <c r="H521" s="55"/>
      <c r="I521" s="55"/>
      <c r="J521" s="55"/>
      <c r="K521" s="65"/>
      <c r="L521" s="65"/>
      <c r="M521" s="65"/>
      <c r="N521" s="537"/>
      <c r="O521"/>
      <c r="P521" s="260"/>
      <c r="Q521"/>
      <c r="R521"/>
    </row>
    <row r="522" spans="2:18" x14ac:dyDescent="0.2">
      <c r="B522" s="106"/>
      <c r="C522" s="232"/>
      <c r="D522" s="261"/>
      <c r="E522" s="133"/>
      <c r="F522" s="8"/>
      <c r="G522" s="55"/>
      <c r="H522" s="55"/>
      <c r="I522" s="55"/>
      <c r="J522" s="55"/>
      <c r="K522" s="65"/>
      <c r="L522" s="65"/>
      <c r="M522" s="65"/>
      <c r="N522" s="537"/>
      <c r="O522"/>
      <c r="P522" s="260"/>
      <c r="Q522"/>
      <c r="R522"/>
    </row>
    <row r="523" spans="2:18" x14ac:dyDescent="0.2">
      <c r="B523" s="106"/>
      <c r="C523" s="232"/>
      <c r="D523" s="261"/>
      <c r="E523" s="133"/>
      <c r="F523" s="8"/>
      <c r="G523" s="55"/>
      <c r="H523" s="55"/>
      <c r="I523" s="55"/>
      <c r="J523" s="55"/>
      <c r="K523" s="65"/>
      <c r="L523" s="65"/>
      <c r="M523" s="65"/>
      <c r="N523" s="537"/>
      <c r="O523"/>
      <c r="P523" s="260"/>
      <c r="Q523"/>
      <c r="R523"/>
    </row>
    <row r="524" spans="2:18" x14ac:dyDescent="0.2">
      <c r="B524" s="106"/>
      <c r="C524" s="232"/>
      <c r="D524" s="261"/>
      <c r="E524" s="133"/>
      <c r="F524" s="8"/>
      <c r="G524" s="55"/>
      <c r="H524" s="55"/>
      <c r="I524" s="55"/>
      <c r="J524" s="55"/>
      <c r="K524" s="65"/>
      <c r="L524" s="65"/>
      <c r="M524" s="65"/>
      <c r="N524" s="537"/>
      <c r="O524"/>
      <c r="P524" s="260"/>
      <c r="Q524"/>
      <c r="R524"/>
    </row>
    <row r="525" spans="2:18" x14ac:dyDescent="0.2">
      <c r="B525" s="106"/>
      <c r="C525" s="232"/>
      <c r="D525" s="261"/>
      <c r="E525" s="133"/>
      <c r="F525" s="8"/>
      <c r="G525" s="55"/>
      <c r="H525" s="55"/>
      <c r="I525" s="55"/>
      <c r="J525" s="55"/>
      <c r="K525" s="65"/>
      <c r="L525" s="65"/>
      <c r="M525" s="65"/>
      <c r="N525" s="537"/>
      <c r="O525"/>
      <c r="P525" s="260"/>
      <c r="Q525"/>
      <c r="R525"/>
    </row>
    <row r="526" spans="2:18" x14ac:dyDescent="0.2">
      <c r="B526" s="106"/>
      <c r="C526" s="232"/>
      <c r="D526" s="261"/>
      <c r="E526" s="133"/>
      <c r="F526" s="8"/>
      <c r="G526" s="55"/>
      <c r="H526" s="55"/>
      <c r="I526" s="55"/>
      <c r="J526" s="55"/>
      <c r="K526" s="65"/>
      <c r="L526" s="65"/>
      <c r="M526" s="65"/>
      <c r="N526" s="537"/>
      <c r="O526"/>
      <c r="P526" s="260"/>
      <c r="Q526"/>
      <c r="R526"/>
    </row>
    <row r="527" spans="2:18" x14ac:dyDescent="0.2">
      <c r="B527" s="106"/>
      <c r="C527" s="232"/>
      <c r="D527" s="261"/>
      <c r="E527" s="133"/>
      <c r="F527" s="8"/>
      <c r="G527" s="55"/>
      <c r="H527" s="55"/>
      <c r="I527" s="55"/>
      <c r="J527" s="55"/>
      <c r="K527" s="65"/>
      <c r="L527" s="65"/>
      <c r="M527" s="65"/>
      <c r="N527" s="537"/>
      <c r="O527"/>
      <c r="P527" s="260"/>
      <c r="Q527"/>
      <c r="R527"/>
    </row>
    <row r="528" spans="2:18" x14ac:dyDescent="0.2">
      <c r="B528" s="106"/>
      <c r="C528" s="232"/>
      <c r="D528" s="261"/>
      <c r="E528" s="133"/>
      <c r="F528" s="8"/>
      <c r="G528" s="55"/>
      <c r="H528" s="55"/>
      <c r="I528" s="55"/>
      <c r="J528" s="55"/>
      <c r="K528" s="65"/>
      <c r="L528" s="65"/>
      <c r="M528" s="65"/>
      <c r="N528" s="537"/>
      <c r="O528"/>
      <c r="P528" s="260"/>
      <c r="Q528"/>
      <c r="R528"/>
    </row>
    <row r="529" spans="2:18" x14ac:dyDescent="0.2">
      <c r="B529" s="106"/>
      <c r="C529" s="232"/>
      <c r="D529" s="261"/>
      <c r="E529" s="133"/>
      <c r="F529" s="8"/>
      <c r="G529" s="55"/>
      <c r="H529" s="55"/>
      <c r="I529" s="55"/>
      <c r="J529" s="55"/>
      <c r="K529" s="65"/>
      <c r="L529" s="65"/>
      <c r="M529" s="65"/>
      <c r="N529" s="537"/>
      <c r="O529"/>
      <c r="P529" s="260"/>
      <c r="Q529"/>
      <c r="R529"/>
    </row>
    <row r="530" spans="2:18" x14ac:dyDescent="0.2">
      <c r="B530" s="106"/>
      <c r="C530" s="232"/>
      <c r="D530" s="261"/>
      <c r="E530" s="133"/>
      <c r="F530" s="8"/>
      <c r="G530" s="55"/>
      <c r="H530" s="55"/>
      <c r="I530" s="55"/>
      <c r="J530" s="55"/>
      <c r="K530" s="65"/>
      <c r="L530" s="65"/>
      <c r="M530" s="65"/>
      <c r="N530" s="537"/>
      <c r="O530"/>
      <c r="P530" s="260"/>
      <c r="Q530"/>
      <c r="R530"/>
    </row>
    <row r="531" spans="2:18" x14ac:dyDescent="0.2">
      <c r="B531" s="106"/>
      <c r="C531" s="232"/>
      <c r="D531" s="261"/>
      <c r="E531" s="133"/>
      <c r="F531" s="8"/>
      <c r="G531" s="55"/>
      <c r="H531" s="55"/>
      <c r="I531" s="55"/>
      <c r="J531" s="55"/>
      <c r="K531" s="65"/>
      <c r="L531" s="65"/>
      <c r="M531" s="65"/>
      <c r="N531" s="537"/>
      <c r="O531"/>
      <c r="P531" s="260"/>
      <c r="Q531"/>
      <c r="R531"/>
    </row>
    <row r="532" spans="2:18" x14ac:dyDescent="0.2">
      <c r="B532" s="106"/>
      <c r="C532" s="232"/>
      <c r="D532" s="261"/>
      <c r="E532" s="133"/>
      <c r="F532" s="8"/>
      <c r="G532" s="55"/>
      <c r="H532" s="55"/>
      <c r="I532" s="55"/>
      <c r="J532" s="55"/>
      <c r="K532" s="65"/>
      <c r="L532" s="65"/>
      <c r="M532" s="65"/>
      <c r="N532" s="537"/>
      <c r="O532"/>
      <c r="P532" s="260"/>
      <c r="Q532"/>
      <c r="R532"/>
    </row>
    <row r="533" spans="2:18" x14ac:dyDescent="0.2">
      <c r="B533" s="106"/>
      <c r="C533" s="232"/>
      <c r="D533" s="261"/>
      <c r="E533" s="133"/>
      <c r="F533" s="8"/>
      <c r="G533" s="55"/>
      <c r="H533" s="55"/>
      <c r="I533" s="55"/>
      <c r="J533" s="55"/>
      <c r="K533" s="65"/>
      <c r="L533" s="65"/>
      <c r="M533" s="65"/>
      <c r="N533" s="537"/>
      <c r="O533"/>
      <c r="P533" s="260"/>
      <c r="Q533"/>
      <c r="R533"/>
    </row>
    <row r="534" spans="2:18" x14ac:dyDescent="0.2">
      <c r="B534" s="106"/>
      <c r="C534" s="232"/>
      <c r="D534" s="261"/>
      <c r="E534" s="133"/>
      <c r="F534" s="8"/>
      <c r="G534" s="55"/>
      <c r="H534" s="55"/>
      <c r="I534" s="55"/>
      <c r="J534" s="55"/>
      <c r="K534" s="65"/>
      <c r="L534" s="65"/>
      <c r="M534" s="65"/>
      <c r="N534" s="537"/>
      <c r="O534"/>
      <c r="P534" s="260"/>
      <c r="Q534"/>
      <c r="R534"/>
    </row>
    <row r="535" spans="2:18" x14ac:dyDescent="0.2">
      <c r="B535" s="106"/>
      <c r="C535" s="232"/>
      <c r="D535" s="261"/>
      <c r="E535" s="133"/>
      <c r="F535" s="8"/>
      <c r="G535" s="55"/>
      <c r="H535" s="55"/>
      <c r="I535" s="55"/>
      <c r="J535" s="55"/>
      <c r="K535" s="65"/>
      <c r="L535" s="65"/>
      <c r="M535" s="65"/>
      <c r="N535" s="537"/>
      <c r="O535"/>
      <c r="P535" s="260"/>
      <c r="Q535"/>
      <c r="R535"/>
    </row>
    <row r="536" spans="2:18" x14ac:dyDescent="0.2">
      <c r="B536" s="106"/>
      <c r="C536" s="232"/>
      <c r="D536" s="261"/>
      <c r="E536" s="133"/>
      <c r="F536" s="8"/>
      <c r="G536" s="55"/>
      <c r="H536" s="55"/>
      <c r="I536" s="55"/>
      <c r="J536" s="55"/>
      <c r="K536" s="65"/>
      <c r="L536" s="65"/>
      <c r="M536" s="65"/>
      <c r="N536" s="537"/>
      <c r="O536"/>
      <c r="P536" s="260"/>
      <c r="Q536"/>
      <c r="R536"/>
    </row>
    <row r="537" spans="2:18" x14ac:dyDescent="0.2">
      <c r="B537" s="106"/>
      <c r="C537" s="232"/>
      <c r="D537" s="261"/>
      <c r="E537" s="133"/>
      <c r="F537" s="8"/>
      <c r="G537" s="55"/>
      <c r="H537" s="55"/>
      <c r="I537" s="55"/>
      <c r="J537" s="55"/>
      <c r="K537" s="65"/>
      <c r="L537" s="65"/>
      <c r="M537" s="65"/>
      <c r="N537" s="537"/>
      <c r="O537"/>
      <c r="P537" s="260"/>
      <c r="Q537"/>
      <c r="R537"/>
    </row>
    <row r="538" spans="2:18" x14ac:dyDescent="0.2">
      <c r="B538" s="106"/>
      <c r="C538" s="232"/>
      <c r="D538" s="261"/>
      <c r="E538" s="133"/>
      <c r="F538" s="8"/>
      <c r="G538" s="55"/>
      <c r="H538" s="55"/>
      <c r="I538" s="55"/>
      <c r="J538" s="55"/>
      <c r="K538" s="65"/>
      <c r="L538" s="65"/>
      <c r="M538" s="65"/>
      <c r="N538" s="537"/>
      <c r="O538"/>
      <c r="P538" s="260"/>
      <c r="Q538"/>
      <c r="R538"/>
    </row>
    <row r="539" spans="2:18" x14ac:dyDescent="0.2">
      <c r="B539" s="106"/>
      <c r="C539" s="232"/>
      <c r="D539" s="261"/>
      <c r="E539" s="133"/>
      <c r="F539" s="8"/>
      <c r="G539" s="55"/>
      <c r="H539" s="55"/>
      <c r="I539" s="55"/>
      <c r="J539" s="55"/>
      <c r="K539" s="65"/>
      <c r="L539" s="65"/>
      <c r="M539" s="65"/>
      <c r="N539" s="537"/>
      <c r="O539"/>
      <c r="P539" s="260"/>
      <c r="Q539"/>
      <c r="R539"/>
    </row>
    <row r="540" spans="2:18" x14ac:dyDescent="0.2">
      <c r="B540" s="106"/>
      <c r="C540" s="232"/>
      <c r="D540" s="261"/>
      <c r="E540" s="133"/>
      <c r="F540" s="8"/>
      <c r="G540" s="55"/>
      <c r="H540" s="55"/>
      <c r="I540" s="55"/>
      <c r="J540" s="55"/>
      <c r="K540" s="65"/>
      <c r="L540" s="65"/>
      <c r="M540" s="65"/>
      <c r="N540" s="537"/>
      <c r="O540"/>
      <c r="P540" s="260"/>
      <c r="Q540"/>
      <c r="R540"/>
    </row>
    <row r="541" spans="2:18" x14ac:dyDescent="0.2">
      <c r="B541" s="106"/>
      <c r="C541" s="232"/>
      <c r="D541" s="261"/>
      <c r="E541" s="133"/>
      <c r="F541" s="8"/>
      <c r="G541" s="55"/>
      <c r="H541" s="55"/>
      <c r="I541" s="55"/>
      <c r="J541" s="55"/>
      <c r="K541" s="65"/>
      <c r="L541" s="65"/>
      <c r="M541" s="65"/>
      <c r="N541" s="537"/>
      <c r="O541"/>
      <c r="P541" s="260"/>
      <c r="Q541"/>
      <c r="R541"/>
    </row>
    <row r="542" spans="2:18" x14ac:dyDescent="0.2">
      <c r="B542" s="106"/>
      <c r="C542" s="232"/>
      <c r="D542" s="261"/>
      <c r="E542" s="133"/>
      <c r="F542" s="8"/>
      <c r="G542" s="55"/>
      <c r="H542" s="55"/>
      <c r="I542" s="55"/>
      <c r="J542" s="55"/>
      <c r="K542" s="65"/>
      <c r="L542" s="65"/>
      <c r="M542" s="65"/>
      <c r="N542" s="537"/>
      <c r="O542"/>
      <c r="P542" s="260"/>
      <c r="Q542"/>
      <c r="R542"/>
    </row>
    <row r="543" spans="2:18" x14ac:dyDescent="0.2">
      <c r="B543" s="106"/>
      <c r="C543" s="232"/>
      <c r="D543" s="261"/>
      <c r="E543" s="133"/>
      <c r="F543" s="8"/>
      <c r="G543" s="55"/>
      <c r="H543" s="55"/>
      <c r="I543" s="55"/>
      <c r="J543" s="55"/>
      <c r="K543" s="65"/>
      <c r="L543" s="65"/>
      <c r="M543" s="65"/>
      <c r="N543" s="537"/>
      <c r="O543"/>
      <c r="P543" s="260"/>
      <c r="Q543"/>
      <c r="R543"/>
    </row>
    <row r="544" spans="2:18" x14ac:dyDescent="0.2">
      <c r="B544" s="106"/>
      <c r="C544" s="232"/>
      <c r="D544" s="261"/>
      <c r="E544" s="133"/>
      <c r="F544" s="8"/>
      <c r="G544" s="55"/>
      <c r="H544" s="55"/>
      <c r="I544" s="55"/>
      <c r="J544" s="55"/>
      <c r="K544" s="65"/>
      <c r="L544" s="65"/>
      <c r="M544" s="65"/>
      <c r="N544" s="537"/>
      <c r="O544"/>
      <c r="P544" s="260"/>
      <c r="Q544"/>
      <c r="R544"/>
    </row>
    <row r="545" spans="2:18" x14ac:dyDescent="0.2">
      <c r="B545" s="106"/>
      <c r="C545" s="232"/>
      <c r="D545" s="261"/>
      <c r="E545" s="133"/>
      <c r="F545" s="8"/>
      <c r="G545" s="55"/>
      <c r="H545" s="55"/>
      <c r="I545" s="55"/>
      <c r="J545" s="55"/>
      <c r="K545" s="65"/>
      <c r="L545" s="65"/>
      <c r="M545" s="65"/>
      <c r="N545" s="537"/>
      <c r="O545"/>
      <c r="P545" s="260"/>
      <c r="Q545"/>
      <c r="R545"/>
    </row>
    <row r="546" spans="2:18" x14ac:dyDescent="0.2">
      <c r="B546" s="106"/>
      <c r="C546" s="232"/>
      <c r="D546" s="261"/>
      <c r="E546" s="133"/>
      <c r="F546" s="8"/>
      <c r="G546" s="55"/>
      <c r="H546" s="55"/>
      <c r="I546" s="55"/>
      <c r="J546" s="55"/>
      <c r="K546" s="65"/>
      <c r="L546" s="65"/>
      <c r="M546" s="65"/>
      <c r="N546" s="537"/>
      <c r="O546"/>
      <c r="P546" s="260"/>
      <c r="Q546"/>
      <c r="R546"/>
    </row>
    <row r="547" spans="2:18" x14ac:dyDescent="0.2">
      <c r="B547" s="106"/>
      <c r="C547" s="232"/>
      <c r="D547" s="261"/>
      <c r="E547" s="133"/>
      <c r="F547" s="8"/>
      <c r="G547" s="55"/>
      <c r="H547" s="55"/>
      <c r="I547" s="55"/>
      <c r="J547" s="55"/>
      <c r="K547" s="65"/>
      <c r="L547" s="65"/>
      <c r="M547" s="65"/>
      <c r="N547" s="537"/>
      <c r="O547"/>
      <c r="P547" s="260"/>
      <c r="Q547"/>
      <c r="R547"/>
    </row>
    <row r="548" spans="2:18" x14ac:dyDescent="0.2">
      <c r="B548" s="106"/>
      <c r="C548" s="232"/>
      <c r="D548" s="261"/>
      <c r="E548" s="133"/>
      <c r="F548" s="8"/>
      <c r="G548" s="55"/>
      <c r="H548" s="55"/>
      <c r="I548" s="55"/>
      <c r="J548" s="55"/>
      <c r="K548" s="65"/>
      <c r="L548" s="65"/>
      <c r="M548" s="65"/>
      <c r="N548" s="537"/>
      <c r="O548"/>
      <c r="P548" s="260"/>
      <c r="Q548"/>
      <c r="R548"/>
    </row>
    <row r="549" spans="2:18" x14ac:dyDescent="0.2">
      <c r="B549" s="106"/>
      <c r="C549" s="232"/>
      <c r="D549" s="261"/>
      <c r="E549" s="133"/>
      <c r="F549" s="8"/>
      <c r="G549" s="55"/>
      <c r="H549" s="55"/>
      <c r="I549" s="55"/>
      <c r="J549" s="55"/>
      <c r="K549" s="65"/>
      <c r="L549" s="65"/>
      <c r="M549" s="65"/>
      <c r="N549" s="537"/>
      <c r="O549"/>
      <c r="P549" s="260"/>
      <c r="Q549"/>
      <c r="R549"/>
    </row>
    <row r="550" spans="2:18" x14ac:dyDescent="0.2">
      <c r="B550" s="106"/>
      <c r="C550" s="232"/>
      <c r="D550" s="261"/>
      <c r="E550" s="133"/>
      <c r="F550" s="8"/>
      <c r="G550" s="55"/>
      <c r="H550" s="55"/>
      <c r="I550" s="55"/>
      <c r="J550" s="55"/>
      <c r="K550" s="65"/>
      <c r="L550" s="65"/>
      <c r="M550" s="65"/>
      <c r="N550" s="537"/>
      <c r="O550"/>
      <c r="P550" s="260"/>
      <c r="Q550"/>
      <c r="R550"/>
    </row>
    <row r="551" spans="2:18" x14ac:dyDescent="0.2">
      <c r="B551" s="106"/>
      <c r="C551" s="232"/>
      <c r="D551" s="261"/>
      <c r="E551" s="133"/>
      <c r="F551" s="8"/>
      <c r="G551" s="55"/>
      <c r="H551" s="55"/>
      <c r="I551" s="55"/>
      <c r="J551" s="55"/>
      <c r="K551" s="65"/>
      <c r="L551" s="65"/>
      <c r="M551" s="65"/>
      <c r="N551" s="537"/>
      <c r="O551"/>
      <c r="P551" s="260"/>
      <c r="Q551"/>
      <c r="R551"/>
    </row>
    <row r="552" spans="2:18" x14ac:dyDescent="0.2">
      <c r="B552" s="106"/>
      <c r="C552" s="232"/>
      <c r="D552" s="261"/>
      <c r="E552" s="133"/>
      <c r="F552" s="8"/>
      <c r="G552" s="55"/>
      <c r="H552" s="55"/>
      <c r="I552" s="55"/>
      <c r="J552" s="55"/>
      <c r="K552" s="65"/>
      <c r="L552" s="65"/>
      <c r="M552" s="65"/>
      <c r="N552" s="537"/>
      <c r="O552"/>
      <c r="P552" s="260"/>
      <c r="Q552"/>
      <c r="R552"/>
    </row>
    <row r="553" spans="2:18" x14ac:dyDescent="0.2">
      <c r="B553" s="106"/>
      <c r="C553" s="232"/>
      <c r="D553" s="261"/>
      <c r="E553" s="133"/>
      <c r="F553" s="8"/>
      <c r="G553" s="55"/>
      <c r="H553" s="55"/>
      <c r="I553" s="55"/>
      <c r="J553" s="55"/>
      <c r="K553" s="65"/>
      <c r="L553" s="65"/>
      <c r="M553" s="65"/>
      <c r="N553" s="537"/>
      <c r="O553"/>
      <c r="P553" s="260"/>
      <c r="Q553"/>
      <c r="R553"/>
    </row>
    <row r="554" spans="2:18" x14ac:dyDescent="0.2">
      <c r="B554" s="106"/>
      <c r="C554" s="232"/>
      <c r="D554" s="261"/>
      <c r="E554" s="133"/>
      <c r="F554" s="8"/>
      <c r="G554" s="55"/>
      <c r="H554" s="55"/>
      <c r="I554" s="55"/>
      <c r="J554" s="55"/>
      <c r="K554" s="65"/>
      <c r="L554" s="65"/>
      <c r="M554" s="65"/>
      <c r="N554" s="537"/>
      <c r="O554"/>
      <c r="P554" s="260"/>
      <c r="Q554"/>
      <c r="R554"/>
    </row>
    <row r="555" spans="2:18" x14ac:dyDescent="0.2">
      <c r="B555" s="106"/>
      <c r="C555" s="232"/>
      <c r="D555" s="261"/>
      <c r="E555" s="133"/>
      <c r="F555" s="8"/>
      <c r="G555" s="55"/>
      <c r="H555" s="55"/>
      <c r="I555" s="55"/>
      <c r="J555" s="55"/>
      <c r="K555" s="65"/>
      <c r="L555" s="65"/>
      <c r="M555" s="65"/>
      <c r="N555" s="537"/>
      <c r="O555"/>
      <c r="P555" s="260"/>
      <c r="Q555"/>
      <c r="R555"/>
    </row>
    <row r="556" spans="2:18" x14ac:dyDescent="0.2">
      <c r="B556" s="106"/>
      <c r="C556" s="232"/>
      <c r="D556" s="261"/>
      <c r="E556" s="133"/>
      <c r="F556" s="8"/>
      <c r="G556" s="55"/>
      <c r="H556" s="55"/>
      <c r="I556" s="55"/>
      <c r="J556" s="55"/>
      <c r="K556" s="65"/>
      <c r="L556" s="65"/>
      <c r="M556" s="65"/>
      <c r="N556" s="537"/>
      <c r="O556"/>
      <c r="P556" s="260"/>
      <c r="Q556"/>
      <c r="R556"/>
    </row>
    <row r="557" spans="2:18" x14ac:dyDescent="0.2">
      <c r="B557" s="106"/>
      <c r="C557" s="232"/>
      <c r="D557" s="261"/>
      <c r="E557" s="133"/>
      <c r="F557" s="8"/>
      <c r="G557" s="55"/>
      <c r="H557" s="55"/>
      <c r="I557" s="55"/>
      <c r="J557" s="55"/>
      <c r="K557" s="65"/>
      <c r="L557" s="65"/>
      <c r="M557" s="65"/>
      <c r="N557" s="537"/>
      <c r="O557"/>
      <c r="P557" s="260"/>
      <c r="Q557"/>
      <c r="R557"/>
    </row>
    <row r="558" spans="2:18" x14ac:dyDescent="0.2">
      <c r="B558" s="106"/>
      <c r="C558" s="232"/>
      <c r="D558" s="261"/>
      <c r="E558" s="133"/>
      <c r="F558" s="8"/>
      <c r="G558" s="55"/>
      <c r="H558" s="55"/>
      <c r="I558" s="55"/>
      <c r="J558" s="55"/>
      <c r="K558" s="65"/>
      <c r="L558" s="65"/>
      <c r="M558" s="65"/>
      <c r="N558" s="537"/>
      <c r="O558"/>
      <c r="P558" s="260"/>
      <c r="Q558"/>
      <c r="R558"/>
    </row>
    <row r="559" spans="2:18" x14ac:dyDescent="0.2">
      <c r="B559" s="106"/>
      <c r="C559" s="232"/>
      <c r="D559" s="261"/>
      <c r="E559" s="133"/>
      <c r="F559" s="8"/>
      <c r="G559" s="55"/>
      <c r="H559" s="55"/>
      <c r="I559" s="55"/>
      <c r="J559" s="55"/>
      <c r="K559" s="65"/>
      <c r="L559" s="65"/>
      <c r="M559" s="65"/>
      <c r="N559" s="537"/>
      <c r="O559"/>
      <c r="P559" s="260"/>
      <c r="Q559"/>
      <c r="R559"/>
    </row>
    <row r="560" spans="2:18" x14ac:dyDescent="0.2">
      <c r="B560" s="106"/>
      <c r="C560" s="232"/>
      <c r="D560" s="261"/>
      <c r="E560" s="133"/>
      <c r="F560" s="8"/>
      <c r="G560" s="55"/>
      <c r="H560" s="55"/>
      <c r="I560" s="55"/>
      <c r="J560" s="55"/>
      <c r="K560" s="65"/>
      <c r="L560" s="65"/>
      <c r="M560" s="65"/>
      <c r="N560" s="537"/>
      <c r="O560"/>
      <c r="P560" s="260"/>
      <c r="Q560"/>
      <c r="R560"/>
    </row>
    <row r="561" spans="2:18" x14ac:dyDescent="0.2">
      <c r="B561" s="106"/>
      <c r="C561" s="232"/>
      <c r="D561" s="261"/>
      <c r="E561" s="133"/>
      <c r="F561" s="8"/>
      <c r="G561" s="55"/>
      <c r="H561" s="55"/>
      <c r="I561" s="55"/>
      <c r="J561" s="55"/>
      <c r="K561" s="65"/>
      <c r="L561" s="65"/>
      <c r="M561" s="65"/>
      <c r="N561" s="537"/>
      <c r="O561"/>
      <c r="P561" s="260"/>
      <c r="Q561"/>
      <c r="R561"/>
    </row>
    <row r="562" spans="2:18" x14ac:dyDescent="0.2">
      <c r="B562" s="106"/>
      <c r="C562" s="232"/>
      <c r="D562" s="261"/>
      <c r="E562" s="133"/>
      <c r="F562" s="8"/>
      <c r="G562" s="55"/>
      <c r="H562" s="55"/>
      <c r="I562" s="55"/>
      <c r="J562" s="55"/>
      <c r="K562" s="65"/>
      <c r="L562" s="65"/>
      <c r="M562" s="65"/>
      <c r="N562" s="537"/>
      <c r="O562"/>
      <c r="P562" s="260"/>
      <c r="Q562"/>
      <c r="R562"/>
    </row>
    <row r="563" spans="2:18" x14ac:dyDescent="0.2">
      <c r="B563" s="106"/>
      <c r="C563" s="232"/>
      <c r="D563" s="261"/>
      <c r="E563" s="133"/>
      <c r="F563" s="8"/>
      <c r="G563" s="55"/>
      <c r="H563" s="55"/>
      <c r="I563" s="55"/>
      <c r="J563" s="55"/>
      <c r="K563" s="65"/>
      <c r="L563" s="65"/>
      <c r="M563" s="65"/>
      <c r="N563" s="537"/>
      <c r="O563"/>
      <c r="P563" s="260"/>
      <c r="Q563"/>
      <c r="R563"/>
    </row>
    <row r="564" spans="2:18" x14ac:dyDescent="0.2">
      <c r="B564" s="106"/>
      <c r="C564" s="232"/>
      <c r="D564" s="261"/>
      <c r="E564" s="133"/>
      <c r="F564" s="8"/>
      <c r="G564" s="55"/>
      <c r="H564" s="55"/>
      <c r="I564" s="55"/>
      <c r="J564" s="55"/>
      <c r="K564" s="65"/>
      <c r="L564" s="65"/>
      <c r="M564" s="65"/>
      <c r="N564" s="537"/>
      <c r="O564"/>
      <c r="P564" s="260"/>
      <c r="Q564"/>
      <c r="R564"/>
    </row>
    <row r="565" spans="2:18" x14ac:dyDescent="0.2">
      <c r="B565" s="106"/>
      <c r="C565" s="232"/>
      <c r="D565" s="261"/>
      <c r="E565" s="133"/>
      <c r="F565" s="8"/>
      <c r="G565" s="55"/>
      <c r="H565" s="55"/>
      <c r="I565" s="55"/>
      <c r="J565" s="55"/>
      <c r="K565" s="65"/>
      <c r="L565" s="65"/>
      <c r="M565" s="65"/>
      <c r="N565" s="537"/>
      <c r="O565"/>
      <c r="P565" s="260"/>
      <c r="Q565"/>
      <c r="R565"/>
    </row>
    <row r="566" spans="2:18" x14ac:dyDescent="0.2">
      <c r="B566" s="106"/>
      <c r="C566" s="232"/>
      <c r="D566" s="261"/>
      <c r="E566" s="133"/>
      <c r="F566" s="8"/>
      <c r="G566" s="55"/>
      <c r="H566" s="55"/>
      <c r="I566" s="55"/>
      <c r="J566" s="55"/>
      <c r="K566" s="65"/>
      <c r="L566" s="65"/>
      <c r="M566" s="65"/>
      <c r="N566" s="537"/>
      <c r="O566"/>
      <c r="P566" s="260"/>
      <c r="Q566"/>
      <c r="R566"/>
    </row>
    <row r="567" spans="2:18" x14ac:dyDescent="0.2">
      <c r="B567" s="106"/>
      <c r="C567" s="232"/>
      <c r="D567" s="261"/>
      <c r="E567" s="133"/>
      <c r="F567" s="8"/>
      <c r="G567" s="55"/>
      <c r="H567" s="55"/>
      <c r="I567" s="55"/>
      <c r="J567" s="55"/>
      <c r="K567" s="65"/>
      <c r="L567" s="65"/>
      <c r="M567" s="65"/>
      <c r="N567" s="537"/>
      <c r="O567"/>
      <c r="P567" s="260"/>
      <c r="Q567"/>
      <c r="R567"/>
    </row>
    <row r="568" spans="2:18" x14ac:dyDescent="0.2">
      <c r="B568" s="106"/>
      <c r="C568" s="232"/>
      <c r="D568" s="261"/>
      <c r="E568" s="133"/>
      <c r="F568" s="8"/>
      <c r="G568" s="55"/>
      <c r="H568" s="55"/>
      <c r="I568" s="55"/>
      <c r="J568" s="55"/>
      <c r="K568" s="65"/>
      <c r="L568" s="65"/>
      <c r="M568" s="65"/>
      <c r="N568" s="537"/>
      <c r="O568"/>
      <c r="P568" s="260"/>
      <c r="Q568"/>
      <c r="R568"/>
    </row>
    <row r="569" spans="2:18" x14ac:dyDescent="0.2">
      <c r="B569" s="106"/>
      <c r="C569" s="232"/>
      <c r="D569" s="261"/>
      <c r="E569" s="133"/>
      <c r="F569" s="8"/>
      <c r="G569" s="55"/>
      <c r="H569" s="55"/>
      <c r="I569" s="55"/>
      <c r="J569" s="55"/>
      <c r="K569" s="65"/>
      <c r="L569" s="65"/>
      <c r="M569" s="65"/>
      <c r="N569" s="537"/>
      <c r="O569"/>
      <c r="P569" s="260"/>
      <c r="Q569"/>
      <c r="R569"/>
    </row>
    <row r="570" spans="2:18" x14ac:dyDescent="0.2">
      <c r="B570" s="106"/>
      <c r="C570" s="232"/>
      <c r="D570" s="261"/>
      <c r="E570" s="133"/>
      <c r="F570" s="8"/>
      <c r="G570" s="55"/>
      <c r="H570" s="55"/>
      <c r="I570" s="55"/>
      <c r="J570" s="55"/>
      <c r="K570" s="65"/>
      <c r="L570" s="65"/>
      <c r="M570" s="65"/>
      <c r="N570" s="537"/>
      <c r="O570"/>
      <c r="P570" s="260"/>
      <c r="Q570"/>
      <c r="R570"/>
    </row>
    <row r="571" spans="2:18" x14ac:dyDescent="0.2">
      <c r="B571" s="106"/>
      <c r="C571" s="232"/>
      <c r="D571" s="261"/>
      <c r="E571" s="133"/>
      <c r="F571" s="8"/>
      <c r="G571" s="55"/>
      <c r="H571" s="55"/>
      <c r="I571" s="55"/>
      <c r="J571" s="55"/>
      <c r="K571" s="65"/>
      <c r="L571" s="65"/>
      <c r="M571" s="65"/>
      <c r="N571" s="537"/>
      <c r="O571"/>
      <c r="P571" s="260"/>
      <c r="Q571"/>
      <c r="R571"/>
    </row>
    <row r="572" spans="2:18" x14ac:dyDescent="0.2">
      <c r="B572" s="106"/>
      <c r="C572" s="232"/>
      <c r="D572" s="261"/>
      <c r="E572" s="133"/>
      <c r="F572" s="8"/>
      <c r="G572" s="55"/>
      <c r="H572" s="55"/>
      <c r="I572" s="55"/>
      <c r="J572" s="55"/>
      <c r="K572" s="65"/>
      <c r="L572" s="65"/>
      <c r="M572" s="65"/>
      <c r="N572" s="537"/>
      <c r="O572"/>
      <c r="P572" s="260"/>
      <c r="Q572"/>
      <c r="R572"/>
    </row>
    <row r="573" spans="2:18" x14ac:dyDescent="0.2">
      <c r="B573" s="106"/>
      <c r="C573" s="232"/>
      <c r="D573" s="261"/>
      <c r="E573" s="133"/>
      <c r="F573" s="8"/>
      <c r="G573" s="55"/>
      <c r="H573" s="55"/>
      <c r="I573" s="55"/>
      <c r="J573" s="55"/>
      <c r="K573" s="65"/>
      <c r="L573" s="65"/>
      <c r="M573" s="65"/>
      <c r="N573" s="537"/>
      <c r="O573"/>
      <c r="P573" s="260"/>
      <c r="Q573"/>
      <c r="R573"/>
    </row>
    <row r="574" spans="2:18" x14ac:dyDescent="0.2">
      <c r="B574" s="106"/>
      <c r="C574" s="232"/>
      <c r="D574" s="261"/>
      <c r="E574" s="133"/>
      <c r="F574" s="8"/>
      <c r="G574" s="55"/>
      <c r="H574" s="55"/>
      <c r="I574" s="55"/>
      <c r="J574" s="55"/>
      <c r="K574" s="65"/>
      <c r="L574" s="65"/>
      <c r="M574" s="65"/>
      <c r="N574" s="537"/>
      <c r="O574"/>
      <c r="P574" s="260"/>
      <c r="Q574"/>
      <c r="R574"/>
    </row>
    <row r="575" spans="2:18" x14ac:dyDescent="0.2">
      <c r="B575" s="106"/>
      <c r="C575" s="232"/>
      <c r="D575" s="261"/>
      <c r="E575" s="133"/>
      <c r="F575" s="8"/>
      <c r="G575" s="55"/>
      <c r="H575" s="55"/>
      <c r="I575" s="55"/>
      <c r="J575" s="55"/>
      <c r="K575" s="65"/>
      <c r="L575" s="65"/>
      <c r="M575" s="65"/>
      <c r="N575" s="537"/>
      <c r="O575"/>
      <c r="P575" s="260"/>
      <c r="Q575"/>
      <c r="R575"/>
    </row>
    <row r="576" spans="2:18" x14ac:dyDescent="0.2">
      <c r="B576" s="106"/>
      <c r="C576" s="232"/>
      <c r="D576" s="261"/>
      <c r="E576" s="133"/>
      <c r="F576" s="8"/>
      <c r="G576" s="55"/>
      <c r="H576" s="55"/>
      <c r="I576" s="55"/>
      <c r="J576" s="55"/>
      <c r="K576" s="65"/>
      <c r="L576" s="65"/>
      <c r="M576" s="65"/>
      <c r="N576" s="537"/>
      <c r="O576"/>
      <c r="P576" s="260"/>
      <c r="Q576"/>
      <c r="R576"/>
    </row>
    <row r="577" spans="2:18" x14ac:dyDescent="0.2">
      <c r="B577" s="106"/>
      <c r="C577" s="232"/>
      <c r="D577" s="261"/>
      <c r="E577" s="133"/>
      <c r="F577" s="8"/>
      <c r="G577" s="55"/>
      <c r="H577" s="55"/>
      <c r="I577" s="55"/>
      <c r="J577" s="55"/>
      <c r="K577" s="65"/>
      <c r="L577" s="65"/>
      <c r="M577" s="65"/>
      <c r="N577" s="537"/>
      <c r="O577"/>
      <c r="P577" s="260"/>
      <c r="Q577"/>
      <c r="R577"/>
    </row>
    <row r="578" spans="2:18" x14ac:dyDescent="0.2">
      <c r="B578" s="106"/>
      <c r="C578" s="232"/>
      <c r="D578" s="261"/>
      <c r="E578" s="133"/>
      <c r="F578" s="8"/>
      <c r="G578" s="55"/>
      <c r="H578" s="55"/>
      <c r="I578" s="55"/>
      <c r="J578" s="55"/>
      <c r="K578" s="65"/>
      <c r="L578" s="65"/>
      <c r="M578" s="65"/>
      <c r="N578" s="537"/>
      <c r="O578"/>
      <c r="P578" s="260"/>
      <c r="Q578"/>
      <c r="R578"/>
    </row>
    <row r="579" spans="2:18" x14ac:dyDescent="0.2">
      <c r="B579" s="106"/>
      <c r="C579" s="232"/>
      <c r="D579" s="261"/>
      <c r="E579" s="133"/>
      <c r="F579" s="8"/>
      <c r="G579" s="55"/>
      <c r="H579" s="55"/>
      <c r="I579" s="55"/>
      <c r="J579" s="55"/>
      <c r="K579" s="65"/>
      <c r="L579" s="65"/>
      <c r="M579" s="65"/>
      <c r="N579" s="537"/>
      <c r="O579"/>
      <c r="P579" s="260"/>
      <c r="Q579"/>
      <c r="R579"/>
    </row>
    <row r="580" spans="2:18" x14ac:dyDescent="0.2">
      <c r="B580" s="106"/>
      <c r="C580" s="232"/>
      <c r="D580" s="261"/>
      <c r="E580" s="133"/>
      <c r="F580" s="8"/>
      <c r="G580" s="55"/>
      <c r="H580" s="55"/>
      <c r="I580" s="55"/>
      <c r="J580" s="55"/>
      <c r="K580" s="65"/>
      <c r="L580" s="65"/>
      <c r="M580" s="65"/>
      <c r="N580" s="537"/>
      <c r="O580"/>
      <c r="P580" s="260"/>
      <c r="Q580"/>
      <c r="R580"/>
    </row>
    <row r="581" spans="2:18" x14ac:dyDescent="0.2">
      <c r="B581" s="106"/>
      <c r="C581" s="232"/>
      <c r="D581" s="261"/>
      <c r="E581" s="133"/>
      <c r="F581" s="8"/>
      <c r="G581" s="55"/>
      <c r="H581" s="55"/>
      <c r="I581" s="55"/>
      <c r="J581" s="55"/>
      <c r="K581" s="65"/>
      <c r="L581" s="65"/>
      <c r="M581" s="65"/>
      <c r="N581" s="537"/>
      <c r="O581"/>
      <c r="P581" s="260"/>
      <c r="Q581"/>
      <c r="R581"/>
    </row>
    <row r="582" spans="2:18" x14ac:dyDescent="0.2">
      <c r="B582" s="106"/>
      <c r="C582" s="232"/>
      <c r="D582" s="261"/>
      <c r="E582" s="133"/>
      <c r="F582" s="8"/>
      <c r="G582" s="55"/>
      <c r="H582" s="55"/>
      <c r="I582" s="55"/>
      <c r="J582" s="55"/>
      <c r="K582" s="65"/>
      <c r="L582" s="65"/>
      <c r="M582" s="65"/>
      <c r="N582" s="537"/>
      <c r="O582"/>
      <c r="P582" s="260"/>
      <c r="Q582"/>
      <c r="R582"/>
    </row>
    <row r="583" spans="2:18" x14ac:dyDescent="0.2">
      <c r="B583" s="106"/>
      <c r="C583" s="232"/>
      <c r="D583" s="261"/>
      <c r="E583" s="133"/>
      <c r="F583" s="8"/>
      <c r="G583" s="55"/>
      <c r="H583" s="55"/>
      <c r="I583" s="55"/>
      <c r="J583" s="55"/>
      <c r="K583" s="65"/>
      <c r="L583" s="65"/>
      <c r="M583" s="65"/>
      <c r="N583" s="537"/>
      <c r="O583"/>
      <c r="P583" s="260"/>
      <c r="Q583"/>
      <c r="R583"/>
    </row>
    <row r="584" spans="2:18" x14ac:dyDescent="0.2">
      <c r="B584" s="106"/>
      <c r="C584" s="232"/>
      <c r="D584" s="261"/>
      <c r="E584" s="133"/>
      <c r="F584" s="8"/>
      <c r="G584" s="55"/>
      <c r="H584" s="55"/>
      <c r="I584" s="55"/>
      <c r="J584" s="55"/>
      <c r="K584" s="65"/>
      <c r="L584" s="65"/>
      <c r="M584" s="65"/>
      <c r="N584" s="537"/>
      <c r="O584"/>
      <c r="P584" s="260"/>
      <c r="Q584"/>
      <c r="R584"/>
    </row>
    <row r="585" spans="2:18" x14ac:dyDescent="0.2">
      <c r="B585" s="106"/>
      <c r="C585" s="232"/>
      <c r="D585" s="261"/>
      <c r="E585" s="133"/>
      <c r="F585" s="8"/>
      <c r="G585" s="55"/>
      <c r="H585" s="55"/>
      <c r="I585" s="55"/>
      <c r="J585" s="55"/>
      <c r="K585" s="65"/>
      <c r="L585" s="65"/>
      <c r="M585" s="65"/>
      <c r="N585" s="537"/>
      <c r="O585"/>
      <c r="P585" s="260"/>
      <c r="Q585"/>
      <c r="R585"/>
    </row>
    <row r="586" spans="2:18" x14ac:dyDescent="0.2">
      <c r="B586" s="106"/>
      <c r="C586" s="232"/>
      <c r="D586" s="261"/>
      <c r="E586" s="133"/>
      <c r="F586" s="8"/>
      <c r="G586" s="55"/>
      <c r="H586" s="55"/>
      <c r="I586" s="55"/>
      <c r="J586" s="55"/>
      <c r="K586" s="65"/>
      <c r="L586" s="65"/>
      <c r="M586" s="65"/>
      <c r="N586" s="537"/>
      <c r="O586"/>
      <c r="P586" s="260"/>
      <c r="Q586"/>
      <c r="R586"/>
    </row>
    <row r="587" spans="2:18" x14ac:dyDescent="0.2">
      <c r="B587" s="106"/>
      <c r="C587" s="232"/>
      <c r="D587" s="261"/>
      <c r="E587" s="133"/>
      <c r="F587" s="8"/>
      <c r="G587" s="55"/>
      <c r="H587" s="55"/>
      <c r="I587" s="55"/>
      <c r="J587" s="55"/>
      <c r="K587" s="65"/>
      <c r="L587" s="65"/>
      <c r="M587" s="65"/>
      <c r="N587" s="537"/>
      <c r="O587"/>
      <c r="P587" s="260"/>
      <c r="Q587"/>
      <c r="R587"/>
    </row>
    <row r="588" spans="2:18" x14ac:dyDescent="0.2">
      <c r="B588" s="106"/>
      <c r="C588" s="232"/>
      <c r="D588" s="261"/>
      <c r="E588" s="133"/>
      <c r="F588" s="8"/>
      <c r="G588" s="55"/>
      <c r="H588" s="55"/>
      <c r="I588" s="55"/>
      <c r="J588" s="55"/>
      <c r="K588" s="65"/>
      <c r="L588" s="65"/>
      <c r="M588" s="65"/>
      <c r="N588" s="537"/>
      <c r="O588"/>
      <c r="P588" s="260"/>
      <c r="Q588"/>
      <c r="R588"/>
    </row>
    <row r="589" spans="2:18" x14ac:dyDescent="0.2">
      <c r="B589" s="106"/>
      <c r="C589" s="232"/>
      <c r="D589" s="261"/>
      <c r="E589" s="133"/>
      <c r="F589" s="8"/>
      <c r="G589" s="55"/>
      <c r="H589" s="55"/>
      <c r="I589" s="55"/>
      <c r="J589" s="55"/>
      <c r="K589" s="65"/>
      <c r="L589" s="65"/>
      <c r="M589" s="65"/>
      <c r="N589" s="537"/>
      <c r="O589"/>
      <c r="P589" s="260"/>
      <c r="Q589"/>
      <c r="R589"/>
    </row>
    <row r="590" spans="2:18" x14ac:dyDescent="0.2">
      <c r="B590" s="106"/>
      <c r="C590" s="232"/>
      <c r="D590" s="261"/>
      <c r="E590" s="133"/>
      <c r="F590" s="8"/>
      <c r="G590" s="55"/>
      <c r="H590" s="55"/>
      <c r="I590" s="55"/>
      <c r="J590" s="55"/>
      <c r="K590" s="65"/>
      <c r="L590" s="65"/>
      <c r="M590" s="65"/>
      <c r="N590" s="537"/>
      <c r="O590"/>
      <c r="P590" s="260"/>
      <c r="Q590"/>
      <c r="R590"/>
    </row>
    <row r="591" spans="2:18" x14ac:dyDescent="0.2">
      <c r="B591" s="106"/>
      <c r="C591" s="232"/>
      <c r="D591" s="261"/>
      <c r="E591" s="133"/>
      <c r="F591" s="8"/>
      <c r="G591" s="55"/>
      <c r="H591" s="55"/>
      <c r="I591" s="55"/>
      <c r="J591" s="55"/>
      <c r="K591" s="65"/>
      <c r="L591" s="65"/>
      <c r="M591" s="65"/>
      <c r="N591" s="537"/>
      <c r="O591"/>
      <c r="P591" s="260"/>
      <c r="Q591"/>
      <c r="R591"/>
    </row>
    <row r="592" spans="2:18" x14ac:dyDescent="0.2">
      <c r="B592" s="106"/>
      <c r="C592" s="232"/>
      <c r="D592" s="261"/>
      <c r="E592" s="133"/>
      <c r="F592" s="8"/>
      <c r="G592" s="55"/>
      <c r="H592" s="55"/>
      <c r="I592" s="55"/>
      <c r="J592" s="55"/>
      <c r="K592" s="65"/>
      <c r="L592" s="65"/>
      <c r="M592" s="65"/>
      <c r="N592" s="537"/>
      <c r="O592"/>
      <c r="P592" s="260"/>
      <c r="Q592"/>
      <c r="R592"/>
    </row>
    <row r="593" spans="2:18" x14ac:dyDescent="0.2">
      <c r="B593" s="106"/>
      <c r="C593" s="232"/>
      <c r="D593" s="261"/>
      <c r="E593" s="133"/>
      <c r="F593" s="8"/>
      <c r="G593" s="55"/>
      <c r="H593" s="55"/>
      <c r="I593" s="55"/>
      <c r="J593" s="55"/>
      <c r="K593" s="65"/>
      <c r="L593" s="65"/>
      <c r="M593" s="65"/>
      <c r="N593" s="537"/>
      <c r="O593"/>
      <c r="P593" s="260"/>
      <c r="Q593"/>
      <c r="R593"/>
    </row>
    <row r="594" spans="2:18" x14ac:dyDescent="0.2">
      <c r="B594" s="106"/>
      <c r="C594" s="232"/>
      <c r="D594" s="261"/>
      <c r="E594" s="133"/>
      <c r="F594" s="8"/>
      <c r="G594" s="55"/>
      <c r="H594" s="55"/>
      <c r="I594" s="55"/>
      <c r="J594" s="55"/>
      <c r="K594" s="65"/>
      <c r="L594" s="65"/>
      <c r="M594" s="65"/>
      <c r="N594" s="537"/>
      <c r="O594"/>
      <c r="P594" s="260"/>
      <c r="Q594"/>
      <c r="R594"/>
    </row>
    <row r="595" spans="2:18" x14ac:dyDescent="0.2">
      <c r="B595" s="106"/>
      <c r="C595" s="232"/>
      <c r="D595" s="261"/>
      <c r="E595" s="133"/>
      <c r="F595" s="8"/>
      <c r="G595" s="55"/>
      <c r="H595" s="55"/>
      <c r="I595" s="55"/>
      <c r="J595" s="55"/>
      <c r="K595" s="65"/>
      <c r="L595" s="65"/>
      <c r="M595" s="65"/>
      <c r="N595" s="537"/>
      <c r="O595"/>
      <c r="P595" s="260"/>
      <c r="Q595"/>
      <c r="R595"/>
    </row>
    <row r="596" spans="2:18" x14ac:dyDescent="0.2">
      <c r="B596" s="106"/>
      <c r="C596" s="232"/>
      <c r="D596" s="261"/>
      <c r="E596" s="133"/>
      <c r="F596" s="8"/>
      <c r="G596" s="55"/>
      <c r="H596" s="55"/>
      <c r="I596" s="55"/>
      <c r="J596" s="55"/>
      <c r="K596" s="65"/>
      <c r="L596" s="65"/>
      <c r="M596" s="65"/>
      <c r="N596" s="537"/>
      <c r="O596"/>
      <c r="P596" s="260"/>
      <c r="Q596"/>
      <c r="R596"/>
    </row>
    <row r="597" spans="2:18" x14ac:dyDescent="0.2">
      <c r="B597" s="106"/>
      <c r="C597" s="232"/>
      <c r="D597" s="261"/>
      <c r="E597" s="133"/>
      <c r="F597" s="8"/>
      <c r="G597" s="55"/>
      <c r="H597" s="55"/>
      <c r="I597" s="55"/>
      <c r="J597" s="55"/>
      <c r="K597" s="65"/>
      <c r="L597" s="65"/>
      <c r="M597" s="65"/>
      <c r="N597" s="537"/>
      <c r="O597"/>
      <c r="P597" s="260"/>
      <c r="Q597"/>
      <c r="R597"/>
    </row>
    <row r="598" spans="2:18" x14ac:dyDescent="0.2">
      <c r="B598" s="106"/>
      <c r="C598" s="232"/>
      <c r="D598" s="261"/>
      <c r="E598" s="133"/>
      <c r="F598" s="8"/>
      <c r="G598" s="55"/>
      <c r="H598" s="55"/>
      <c r="I598" s="55"/>
      <c r="J598" s="55"/>
      <c r="K598" s="65"/>
      <c r="L598" s="65"/>
      <c r="M598" s="65"/>
      <c r="N598" s="537"/>
      <c r="O598"/>
      <c r="P598" s="260"/>
      <c r="Q598"/>
      <c r="R598"/>
    </row>
    <row r="599" spans="2:18" x14ac:dyDescent="0.2">
      <c r="B599" s="106"/>
      <c r="C599" s="232"/>
      <c r="D599" s="261"/>
      <c r="E599" s="133"/>
      <c r="F599" s="8"/>
      <c r="G599" s="55"/>
      <c r="H599" s="55"/>
      <c r="I599" s="55"/>
      <c r="J599" s="55"/>
      <c r="K599" s="65"/>
      <c r="L599" s="65"/>
      <c r="M599" s="65"/>
      <c r="N599" s="537"/>
      <c r="O599"/>
      <c r="P599" s="260"/>
      <c r="Q599"/>
      <c r="R599"/>
    </row>
    <row r="600" spans="2:18" x14ac:dyDescent="0.2">
      <c r="B600" s="106"/>
      <c r="C600" s="232"/>
      <c r="D600" s="261"/>
      <c r="E600" s="133"/>
      <c r="F600" s="8"/>
      <c r="G600" s="55"/>
      <c r="H600" s="55"/>
      <c r="I600" s="55"/>
      <c r="J600" s="55"/>
      <c r="K600" s="65"/>
      <c r="L600" s="65"/>
      <c r="M600" s="65"/>
      <c r="N600" s="537"/>
      <c r="O600"/>
      <c r="P600" s="260"/>
      <c r="Q600"/>
      <c r="R600"/>
    </row>
    <row r="601" spans="2:18" x14ac:dyDescent="0.2">
      <c r="B601" s="106"/>
      <c r="C601" s="232"/>
      <c r="D601" s="261"/>
      <c r="E601" s="133"/>
      <c r="F601" s="8"/>
      <c r="G601" s="55"/>
      <c r="H601" s="55"/>
      <c r="I601" s="55"/>
      <c r="J601" s="55"/>
      <c r="K601" s="65"/>
      <c r="L601" s="65"/>
      <c r="M601" s="65"/>
      <c r="N601" s="537"/>
      <c r="O601"/>
      <c r="P601" s="260"/>
      <c r="Q601"/>
      <c r="R601"/>
    </row>
    <row r="602" spans="2:18" x14ac:dyDescent="0.2">
      <c r="B602" s="106"/>
      <c r="C602" s="232"/>
      <c r="D602" s="261"/>
      <c r="E602" s="133"/>
      <c r="F602" s="8"/>
      <c r="G602" s="55"/>
      <c r="H602" s="55"/>
      <c r="I602" s="55"/>
      <c r="J602" s="55"/>
      <c r="K602" s="65"/>
      <c r="L602" s="65"/>
      <c r="M602" s="65"/>
      <c r="N602" s="537"/>
      <c r="O602"/>
      <c r="P602" s="260"/>
      <c r="Q602"/>
      <c r="R602"/>
    </row>
    <row r="603" spans="2:18" x14ac:dyDescent="0.2">
      <c r="B603" s="106"/>
      <c r="C603" s="232"/>
      <c r="D603" s="261"/>
      <c r="E603" s="133"/>
      <c r="F603" s="8"/>
      <c r="G603" s="55"/>
      <c r="H603" s="55"/>
      <c r="I603" s="55"/>
      <c r="J603" s="55"/>
      <c r="K603" s="65"/>
      <c r="L603" s="65"/>
      <c r="M603" s="65"/>
      <c r="N603" s="537"/>
      <c r="O603"/>
      <c r="P603" s="260"/>
      <c r="Q603"/>
      <c r="R603"/>
    </row>
    <row r="604" spans="2:18" x14ac:dyDescent="0.2">
      <c r="B604" s="106"/>
      <c r="C604" s="232"/>
      <c r="D604" s="261"/>
      <c r="E604" s="133"/>
      <c r="F604" s="8"/>
      <c r="G604" s="55"/>
      <c r="H604" s="55"/>
      <c r="I604" s="55"/>
      <c r="J604" s="55"/>
      <c r="K604" s="65"/>
      <c r="L604" s="65"/>
      <c r="M604" s="65"/>
      <c r="N604" s="537"/>
      <c r="O604"/>
      <c r="P604" s="260"/>
      <c r="Q604"/>
      <c r="R604"/>
    </row>
    <row r="605" spans="2:18" x14ac:dyDescent="0.2">
      <c r="B605" s="106"/>
      <c r="C605" s="232"/>
      <c r="D605" s="261"/>
      <c r="E605" s="133"/>
      <c r="F605" s="8"/>
      <c r="G605" s="55"/>
      <c r="H605" s="55"/>
      <c r="I605" s="55"/>
      <c r="J605" s="55"/>
      <c r="K605" s="65"/>
      <c r="L605" s="65"/>
      <c r="M605" s="65"/>
      <c r="N605" s="537"/>
      <c r="O605"/>
      <c r="P605" s="260"/>
      <c r="Q605"/>
      <c r="R605"/>
    </row>
    <row r="606" spans="2:18" x14ac:dyDescent="0.2">
      <c r="B606" s="106"/>
      <c r="C606" s="232"/>
      <c r="D606" s="261"/>
      <c r="E606" s="133"/>
      <c r="F606" s="8"/>
      <c r="G606" s="55"/>
      <c r="H606" s="55"/>
      <c r="I606" s="55"/>
      <c r="J606" s="55"/>
      <c r="K606" s="65"/>
      <c r="L606" s="65"/>
      <c r="M606" s="65"/>
      <c r="N606" s="537"/>
      <c r="O606"/>
      <c r="P606" s="260"/>
      <c r="Q606"/>
      <c r="R606"/>
    </row>
    <row r="607" spans="2:18" x14ac:dyDescent="0.2">
      <c r="B607" s="106"/>
      <c r="C607" s="232"/>
      <c r="D607" s="261"/>
      <c r="E607" s="133"/>
      <c r="F607" s="8"/>
      <c r="G607" s="55"/>
      <c r="H607" s="55"/>
      <c r="I607" s="55"/>
      <c r="J607" s="55"/>
      <c r="K607" s="65"/>
      <c r="L607" s="65"/>
      <c r="M607" s="65"/>
      <c r="N607" s="537"/>
      <c r="O607"/>
      <c r="P607" s="260"/>
      <c r="Q607"/>
      <c r="R607"/>
    </row>
    <row r="608" spans="2:18" x14ac:dyDescent="0.2">
      <c r="B608" s="106"/>
      <c r="C608" s="232"/>
      <c r="D608" s="261"/>
      <c r="E608" s="133"/>
      <c r="F608" s="8"/>
      <c r="G608" s="55"/>
      <c r="H608" s="55"/>
      <c r="I608" s="55"/>
      <c r="J608" s="55"/>
      <c r="K608" s="65"/>
      <c r="L608" s="65"/>
      <c r="M608" s="65"/>
      <c r="N608" s="537"/>
      <c r="O608"/>
      <c r="P608" s="260"/>
      <c r="Q608"/>
      <c r="R608"/>
    </row>
    <row r="609" spans="2:18" x14ac:dyDescent="0.2">
      <c r="B609" s="106"/>
      <c r="C609" s="232"/>
      <c r="D609" s="261"/>
      <c r="E609" s="133"/>
      <c r="F609" s="8"/>
      <c r="G609" s="55"/>
      <c r="H609" s="55"/>
      <c r="I609" s="55"/>
      <c r="J609" s="55"/>
      <c r="K609" s="65"/>
      <c r="L609" s="65"/>
      <c r="M609" s="65"/>
      <c r="N609" s="537"/>
      <c r="O609"/>
      <c r="P609" s="260"/>
      <c r="Q609"/>
      <c r="R609"/>
    </row>
    <row r="610" spans="2:18" x14ac:dyDescent="0.2">
      <c r="B610" s="106"/>
      <c r="C610" s="232"/>
      <c r="D610" s="261"/>
      <c r="E610" s="133"/>
      <c r="F610" s="8"/>
      <c r="G610" s="55"/>
      <c r="H610" s="55"/>
      <c r="I610" s="55"/>
      <c r="J610" s="55"/>
      <c r="K610" s="65"/>
      <c r="L610" s="65"/>
      <c r="M610" s="65"/>
      <c r="N610" s="537"/>
      <c r="O610"/>
      <c r="P610" s="260"/>
      <c r="Q610"/>
      <c r="R610"/>
    </row>
    <row r="611" spans="2:18" x14ac:dyDescent="0.2">
      <c r="B611" s="106"/>
      <c r="C611" s="232"/>
      <c r="D611" s="261"/>
      <c r="E611" s="133"/>
      <c r="F611" s="8"/>
      <c r="G611" s="55"/>
      <c r="H611" s="55"/>
      <c r="I611" s="55"/>
      <c r="J611" s="55"/>
      <c r="K611" s="65"/>
      <c r="L611" s="65"/>
      <c r="M611" s="65"/>
      <c r="N611" s="537"/>
      <c r="O611"/>
      <c r="P611" s="260"/>
      <c r="Q611"/>
      <c r="R611"/>
    </row>
    <row r="612" spans="2:18" x14ac:dyDescent="0.2">
      <c r="B612" s="106"/>
      <c r="C612" s="232"/>
      <c r="D612" s="261"/>
      <c r="E612" s="133"/>
      <c r="F612" s="8"/>
      <c r="G612" s="55"/>
      <c r="H612" s="55"/>
      <c r="I612" s="55"/>
      <c r="J612" s="55"/>
      <c r="K612" s="65"/>
      <c r="L612" s="65"/>
      <c r="M612" s="65"/>
      <c r="N612" s="537"/>
      <c r="O612"/>
      <c r="P612" s="260"/>
      <c r="Q612"/>
      <c r="R612"/>
    </row>
    <row r="613" spans="2:18" x14ac:dyDescent="0.2">
      <c r="B613" s="106"/>
      <c r="C613" s="232"/>
      <c r="D613" s="261"/>
      <c r="E613" s="133"/>
      <c r="F613" s="8"/>
      <c r="G613" s="55"/>
      <c r="H613" s="55"/>
      <c r="I613" s="55"/>
      <c r="J613" s="55"/>
      <c r="K613" s="65"/>
      <c r="L613" s="65"/>
      <c r="M613" s="65"/>
      <c r="N613" s="537"/>
      <c r="O613"/>
      <c r="P613" s="260"/>
      <c r="Q613"/>
      <c r="R613"/>
    </row>
    <row r="614" spans="2:18" x14ac:dyDescent="0.2">
      <c r="B614" s="106"/>
      <c r="C614" s="232"/>
      <c r="D614" s="261"/>
      <c r="E614" s="133"/>
      <c r="F614" s="8"/>
      <c r="G614" s="55"/>
      <c r="H614" s="55"/>
      <c r="I614" s="55"/>
      <c r="J614" s="55"/>
      <c r="K614" s="65"/>
      <c r="L614" s="65"/>
      <c r="M614" s="65"/>
      <c r="N614" s="537"/>
      <c r="O614"/>
      <c r="P614" s="260"/>
      <c r="Q614"/>
      <c r="R614"/>
    </row>
    <row r="615" spans="2:18" x14ac:dyDescent="0.2">
      <c r="B615" s="106"/>
      <c r="C615" s="232"/>
      <c r="D615" s="261"/>
      <c r="E615" s="133"/>
      <c r="F615" s="8"/>
      <c r="G615" s="55"/>
      <c r="H615" s="55"/>
      <c r="I615" s="55"/>
      <c r="J615" s="55"/>
      <c r="K615" s="65"/>
      <c r="L615" s="65"/>
      <c r="M615" s="65"/>
      <c r="N615" s="537"/>
      <c r="O615"/>
      <c r="P615" s="260"/>
      <c r="Q615"/>
      <c r="R615"/>
    </row>
    <row r="616" spans="2:18" x14ac:dyDescent="0.2">
      <c r="B616" s="106"/>
      <c r="C616" s="232"/>
      <c r="D616" s="261"/>
      <c r="E616" s="133"/>
      <c r="F616" s="8"/>
      <c r="G616" s="55"/>
      <c r="H616" s="55"/>
      <c r="I616" s="55"/>
      <c r="J616" s="55"/>
      <c r="K616" s="65"/>
      <c r="L616" s="65"/>
      <c r="M616" s="65"/>
      <c r="N616" s="537"/>
      <c r="O616"/>
      <c r="P616" s="260"/>
      <c r="Q616"/>
      <c r="R616"/>
    </row>
    <row r="617" spans="2:18" x14ac:dyDescent="0.2">
      <c r="B617" s="106"/>
      <c r="C617" s="232"/>
      <c r="D617" s="261"/>
      <c r="E617" s="133"/>
      <c r="F617" s="8"/>
      <c r="G617" s="55"/>
      <c r="H617" s="55"/>
      <c r="I617" s="55"/>
      <c r="J617" s="55"/>
      <c r="K617" s="65"/>
      <c r="L617" s="65"/>
      <c r="M617" s="65"/>
      <c r="N617" s="537"/>
      <c r="O617"/>
      <c r="P617" s="260"/>
      <c r="Q617"/>
      <c r="R617"/>
    </row>
    <row r="618" spans="2:18" x14ac:dyDescent="0.2">
      <c r="B618" s="106"/>
      <c r="C618" s="232"/>
      <c r="D618" s="261"/>
      <c r="E618" s="133"/>
      <c r="F618" s="8"/>
      <c r="G618" s="55"/>
      <c r="H618" s="55"/>
      <c r="I618" s="55"/>
      <c r="J618" s="55"/>
      <c r="K618" s="65"/>
      <c r="L618" s="65"/>
      <c r="M618" s="65"/>
      <c r="N618" s="537"/>
      <c r="O618"/>
      <c r="P618" s="260"/>
      <c r="Q618"/>
      <c r="R618"/>
    </row>
    <row r="619" spans="2:18" x14ac:dyDescent="0.2">
      <c r="B619" s="106"/>
      <c r="C619" s="232"/>
      <c r="D619" s="261"/>
      <c r="E619" s="133"/>
      <c r="F619" s="8"/>
      <c r="G619" s="55"/>
      <c r="H619" s="55"/>
      <c r="I619" s="55"/>
      <c r="J619" s="55"/>
      <c r="K619" s="65"/>
      <c r="L619" s="65"/>
      <c r="M619" s="65"/>
      <c r="N619" s="537"/>
      <c r="O619"/>
      <c r="P619" s="260"/>
      <c r="Q619"/>
      <c r="R619"/>
    </row>
    <row r="620" spans="2:18" x14ac:dyDescent="0.2">
      <c r="B620" s="106"/>
      <c r="C620" s="232"/>
      <c r="D620" s="261"/>
      <c r="E620" s="133"/>
      <c r="F620" s="8"/>
      <c r="G620" s="55"/>
      <c r="H620" s="55"/>
      <c r="I620" s="55"/>
      <c r="J620" s="55"/>
      <c r="K620" s="65"/>
      <c r="L620" s="65"/>
      <c r="M620" s="65"/>
      <c r="N620" s="537"/>
      <c r="O620"/>
      <c r="P620" s="260"/>
      <c r="Q620"/>
      <c r="R620"/>
    </row>
    <row r="621" spans="2:18" x14ac:dyDescent="0.2">
      <c r="B621" s="106"/>
      <c r="C621" s="232"/>
      <c r="D621" s="261"/>
      <c r="E621" s="133"/>
      <c r="F621" s="8"/>
      <c r="G621" s="55"/>
      <c r="H621" s="55"/>
      <c r="I621" s="55"/>
      <c r="J621" s="55"/>
      <c r="K621" s="65"/>
      <c r="L621" s="65"/>
      <c r="M621" s="65"/>
      <c r="N621" s="537"/>
      <c r="O621"/>
      <c r="P621" s="260"/>
      <c r="Q621"/>
      <c r="R621"/>
    </row>
    <row r="622" spans="2:18" x14ac:dyDescent="0.2">
      <c r="B622" s="106"/>
      <c r="C622" s="232"/>
      <c r="D622" s="261"/>
      <c r="E622" s="133"/>
      <c r="F622" s="8"/>
      <c r="G622" s="55"/>
      <c r="H622" s="55"/>
      <c r="I622" s="55"/>
      <c r="J622" s="55"/>
      <c r="K622" s="65"/>
      <c r="L622" s="65"/>
      <c r="M622" s="65"/>
      <c r="N622" s="537"/>
      <c r="O622"/>
      <c r="P622" s="260"/>
      <c r="Q622"/>
      <c r="R622"/>
    </row>
    <row r="623" spans="2:18" x14ac:dyDescent="0.2">
      <c r="B623" s="106"/>
      <c r="C623" s="232"/>
      <c r="D623" s="261"/>
      <c r="E623" s="133"/>
      <c r="F623" s="8"/>
      <c r="G623" s="55"/>
      <c r="H623" s="55"/>
      <c r="I623" s="55"/>
      <c r="J623" s="55"/>
      <c r="K623" s="65"/>
      <c r="L623" s="65"/>
      <c r="M623" s="65"/>
      <c r="N623" s="537"/>
      <c r="O623"/>
      <c r="P623" s="260"/>
      <c r="Q623"/>
      <c r="R623"/>
    </row>
    <row r="624" spans="2:18" x14ac:dyDescent="0.2">
      <c r="B624" s="106"/>
      <c r="C624" s="232"/>
      <c r="D624" s="261"/>
      <c r="E624" s="133"/>
      <c r="F624" s="8"/>
      <c r="G624" s="55"/>
      <c r="H624" s="55"/>
      <c r="I624" s="55"/>
      <c r="J624" s="55"/>
      <c r="K624" s="65"/>
      <c r="L624" s="65"/>
      <c r="M624" s="65"/>
      <c r="N624" s="537"/>
      <c r="O624"/>
      <c r="P624" s="260"/>
      <c r="Q624"/>
      <c r="R624"/>
    </row>
    <row r="625" spans="2:18" x14ac:dyDescent="0.2">
      <c r="B625" s="106"/>
      <c r="C625" s="232"/>
      <c r="D625" s="261"/>
      <c r="E625" s="133"/>
      <c r="F625" s="8"/>
      <c r="G625" s="55"/>
      <c r="H625" s="55"/>
      <c r="I625" s="55"/>
      <c r="J625" s="55"/>
      <c r="K625" s="65"/>
      <c r="L625" s="65"/>
      <c r="M625" s="65"/>
      <c r="N625" s="537"/>
      <c r="O625"/>
      <c r="P625" s="260"/>
      <c r="Q625"/>
      <c r="R625"/>
    </row>
    <row r="626" spans="2:18" x14ac:dyDescent="0.2">
      <c r="B626" s="106"/>
      <c r="C626" s="232"/>
      <c r="D626" s="261"/>
      <c r="E626" s="133"/>
      <c r="F626" s="8"/>
      <c r="G626" s="55"/>
      <c r="H626" s="55"/>
      <c r="I626" s="55"/>
      <c r="J626" s="55"/>
      <c r="K626" s="65"/>
      <c r="L626" s="65"/>
      <c r="M626" s="65"/>
      <c r="N626" s="537"/>
      <c r="O626"/>
      <c r="P626" s="260"/>
      <c r="Q626"/>
      <c r="R626"/>
    </row>
    <row r="627" spans="2:18" x14ac:dyDescent="0.2">
      <c r="B627" s="106"/>
      <c r="C627" s="232"/>
      <c r="D627" s="261"/>
      <c r="E627" s="133"/>
      <c r="F627" s="8"/>
      <c r="G627" s="55"/>
      <c r="H627" s="55"/>
      <c r="I627" s="55"/>
      <c r="J627" s="55"/>
      <c r="K627" s="65"/>
      <c r="L627" s="65"/>
      <c r="M627" s="65"/>
      <c r="N627" s="537"/>
      <c r="O627"/>
      <c r="P627" s="260"/>
      <c r="Q627"/>
      <c r="R627"/>
    </row>
    <row r="628" spans="2:18" x14ac:dyDescent="0.2">
      <c r="B628" s="106"/>
      <c r="C628" s="232"/>
      <c r="D628" s="261"/>
      <c r="E628" s="133"/>
      <c r="F628" s="8"/>
      <c r="G628" s="55"/>
      <c r="H628" s="55"/>
      <c r="I628" s="55"/>
      <c r="J628" s="55"/>
      <c r="K628" s="65"/>
      <c r="L628" s="65"/>
      <c r="M628" s="65"/>
      <c r="N628" s="537"/>
      <c r="O628"/>
      <c r="P628" s="260"/>
      <c r="Q628"/>
      <c r="R628"/>
    </row>
    <row r="629" spans="2:18" x14ac:dyDescent="0.2">
      <c r="B629" s="106"/>
      <c r="C629" s="232"/>
      <c r="D629" s="261"/>
      <c r="E629" s="133"/>
      <c r="F629" s="8"/>
      <c r="G629" s="55"/>
      <c r="H629" s="55"/>
      <c r="I629" s="55"/>
      <c r="J629" s="55"/>
      <c r="K629" s="65"/>
      <c r="L629" s="65"/>
      <c r="M629" s="65"/>
      <c r="N629" s="537"/>
      <c r="O629"/>
      <c r="P629" s="260"/>
      <c r="Q629"/>
      <c r="R629"/>
    </row>
    <row r="630" spans="2:18" x14ac:dyDescent="0.2">
      <c r="B630" s="106"/>
      <c r="C630" s="232"/>
      <c r="D630" s="261"/>
      <c r="E630" s="133"/>
      <c r="F630" s="8"/>
      <c r="G630" s="55"/>
      <c r="H630" s="55"/>
      <c r="I630" s="55"/>
      <c r="J630" s="55"/>
      <c r="K630" s="65"/>
      <c r="L630" s="65"/>
      <c r="M630" s="65"/>
      <c r="N630" s="537"/>
      <c r="O630"/>
      <c r="P630" s="260"/>
      <c r="Q630"/>
      <c r="R630"/>
    </row>
    <row r="631" spans="2:18" x14ac:dyDescent="0.2">
      <c r="B631" s="106"/>
      <c r="C631" s="232"/>
      <c r="D631" s="261"/>
      <c r="E631" s="133"/>
      <c r="F631" s="8"/>
      <c r="G631" s="55"/>
      <c r="H631" s="55"/>
      <c r="I631" s="55"/>
      <c r="J631" s="55"/>
      <c r="K631" s="65"/>
      <c r="L631" s="65"/>
      <c r="M631" s="65"/>
      <c r="N631" s="537"/>
      <c r="O631"/>
      <c r="P631" s="260"/>
      <c r="Q631"/>
      <c r="R631"/>
    </row>
    <row r="632" spans="2:18" x14ac:dyDescent="0.2">
      <c r="B632" s="106"/>
      <c r="C632" s="232"/>
      <c r="D632" s="261"/>
      <c r="E632" s="133"/>
      <c r="F632" s="8"/>
      <c r="G632" s="55"/>
      <c r="H632" s="55"/>
      <c r="I632" s="55"/>
      <c r="J632" s="55"/>
      <c r="K632" s="65"/>
      <c r="L632" s="65"/>
      <c r="M632" s="65"/>
      <c r="N632" s="537"/>
      <c r="O632"/>
      <c r="P632" s="260"/>
      <c r="Q632"/>
      <c r="R632"/>
    </row>
    <row r="633" spans="2:18" x14ac:dyDescent="0.2">
      <c r="B633" s="106"/>
      <c r="C633" s="232"/>
      <c r="D633" s="261"/>
      <c r="E633" s="133"/>
      <c r="F633" s="8"/>
      <c r="G633" s="55"/>
      <c r="H633" s="55"/>
      <c r="I633" s="55"/>
      <c r="J633" s="55"/>
      <c r="K633" s="65"/>
      <c r="L633" s="65"/>
      <c r="M633" s="65"/>
      <c r="N633" s="537"/>
      <c r="O633"/>
      <c r="P633" s="260"/>
      <c r="Q633"/>
      <c r="R633"/>
    </row>
    <row r="634" spans="2:18" x14ac:dyDescent="0.2">
      <c r="B634" s="106"/>
      <c r="C634" s="232"/>
      <c r="D634" s="261"/>
      <c r="E634" s="133"/>
      <c r="F634" s="8"/>
      <c r="G634" s="55"/>
      <c r="H634" s="55"/>
      <c r="I634" s="55"/>
      <c r="J634" s="55"/>
      <c r="K634" s="65"/>
      <c r="L634" s="65"/>
      <c r="M634" s="65"/>
      <c r="N634" s="537"/>
      <c r="O634"/>
      <c r="P634" s="260"/>
      <c r="Q634"/>
      <c r="R634"/>
    </row>
    <row r="635" spans="2:18" x14ac:dyDescent="0.2">
      <c r="B635" s="106"/>
      <c r="C635" s="232"/>
      <c r="D635" s="261"/>
      <c r="E635" s="133"/>
      <c r="F635" s="8"/>
      <c r="G635" s="55"/>
      <c r="H635" s="55"/>
      <c r="I635" s="55"/>
      <c r="J635" s="55"/>
      <c r="K635" s="65"/>
      <c r="L635" s="65"/>
      <c r="M635" s="65"/>
      <c r="N635" s="537"/>
      <c r="O635"/>
      <c r="P635" s="260"/>
      <c r="Q635"/>
      <c r="R635"/>
    </row>
    <row r="636" spans="2:18" x14ac:dyDescent="0.2">
      <c r="B636" s="106"/>
      <c r="C636" s="232"/>
      <c r="D636" s="261"/>
      <c r="E636" s="133"/>
      <c r="F636" s="8"/>
      <c r="G636" s="55"/>
      <c r="H636" s="55"/>
      <c r="I636" s="55"/>
      <c r="J636" s="55"/>
      <c r="K636" s="65"/>
      <c r="L636" s="65"/>
      <c r="M636" s="65"/>
      <c r="N636" s="537"/>
      <c r="O636"/>
      <c r="P636" s="260"/>
      <c r="Q636"/>
      <c r="R636"/>
    </row>
    <row r="637" spans="2:18" x14ac:dyDescent="0.2">
      <c r="B637" s="106"/>
      <c r="C637" s="232"/>
      <c r="D637" s="261"/>
      <c r="E637" s="133"/>
      <c r="F637" s="8"/>
      <c r="G637" s="55"/>
      <c r="H637" s="55"/>
      <c r="I637" s="55"/>
      <c r="J637" s="55"/>
      <c r="K637" s="65"/>
      <c r="L637" s="65"/>
      <c r="M637" s="65"/>
      <c r="N637" s="537"/>
      <c r="O637"/>
      <c r="P637" s="260"/>
      <c r="Q637"/>
      <c r="R637"/>
    </row>
    <row r="638" spans="2:18" x14ac:dyDescent="0.2">
      <c r="B638" s="106"/>
      <c r="C638" s="232"/>
      <c r="D638" s="261"/>
      <c r="E638" s="133"/>
      <c r="F638" s="8"/>
      <c r="G638" s="55"/>
      <c r="H638" s="55"/>
      <c r="I638" s="55"/>
      <c r="J638" s="55"/>
      <c r="K638" s="65"/>
      <c r="L638" s="65"/>
      <c r="M638" s="65"/>
      <c r="N638" s="537"/>
      <c r="O638"/>
      <c r="P638" s="260"/>
      <c r="Q638"/>
      <c r="R638"/>
    </row>
    <row r="639" spans="2:18" x14ac:dyDescent="0.2">
      <c r="B639" s="106"/>
      <c r="C639" s="232"/>
      <c r="D639" s="261"/>
      <c r="E639" s="133"/>
      <c r="F639" s="8"/>
      <c r="G639" s="55"/>
      <c r="H639" s="55"/>
      <c r="I639" s="55"/>
      <c r="J639" s="55"/>
      <c r="K639" s="65"/>
      <c r="L639" s="65"/>
      <c r="M639" s="65"/>
      <c r="N639" s="537"/>
      <c r="O639"/>
      <c r="P639" s="260"/>
      <c r="Q639"/>
      <c r="R639"/>
    </row>
    <row r="640" spans="2:18" x14ac:dyDescent="0.2">
      <c r="B640" s="106"/>
      <c r="C640" s="232"/>
      <c r="D640" s="261"/>
      <c r="E640" s="133"/>
      <c r="F640" s="8"/>
      <c r="G640" s="55"/>
      <c r="H640" s="55"/>
      <c r="I640" s="55"/>
      <c r="J640" s="55"/>
      <c r="K640" s="65"/>
      <c r="L640" s="65"/>
      <c r="M640" s="65"/>
      <c r="N640" s="537"/>
      <c r="O640"/>
      <c r="P640" s="260"/>
      <c r="Q640"/>
      <c r="R640"/>
    </row>
    <row r="641" spans="2:18" x14ac:dyDescent="0.2">
      <c r="B641" s="106"/>
      <c r="C641" s="232"/>
      <c r="D641" s="261"/>
      <c r="E641" s="133"/>
      <c r="F641" s="8"/>
      <c r="G641" s="55"/>
      <c r="H641" s="55"/>
      <c r="I641" s="55"/>
      <c r="J641" s="55"/>
      <c r="K641" s="65"/>
      <c r="L641" s="65"/>
      <c r="M641" s="65"/>
      <c r="N641" s="537"/>
      <c r="O641"/>
      <c r="P641" s="260"/>
      <c r="Q641"/>
      <c r="R641"/>
    </row>
    <row r="642" spans="2:18" x14ac:dyDescent="0.2">
      <c r="B642" s="106"/>
      <c r="C642" s="232"/>
      <c r="D642" s="261"/>
      <c r="E642" s="133"/>
      <c r="F642" s="8"/>
      <c r="G642" s="55"/>
      <c r="H642" s="55"/>
      <c r="I642" s="55"/>
      <c r="J642" s="55"/>
      <c r="K642" s="65"/>
      <c r="L642" s="65"/>
      <c r="M642" s="65"/>
      <c r="N642" s="537"/>
      <c r="O642"/>
      <c r="P642" s="260"/>
      <c r="Q642"/>
      <c r="R642"/>
    </row>
    <row r="643" spans="2:18" x14ac:dyDescent="0.2">
      <c r="B643" s="106"/>
      <c r="C643" s="232"/>
      <c r="D643" s="261"/>
      <c r="E643" s="133"/>
      <c r="F643" s="8"/>
      <c r="G643" s="55"/>
      <c r="H643" s="55"/>
      <c r="I643" s="55"/>
      <c r="J643" s="55"/>
      <c r="K643" s="65"/>
      <c r="L643" s="65"/>
      <c r="M643" s="65"/>
      <c r="N643" s="537"/>
      <c r="O643"/>
      <c r="P643" s="260"/>
      <c r="Q643"/>
      <c r="R643"/>
    </row>
    <row r="644" spans="2:18" x14ac:dyDescent="0.2">
      <c r="B644" s="106"/>
      <c r="C644" s="232"/>
      <c r="D644" s="261"/>
      <c r="E644" s="133"/>
      <c r="F644" s="8"/>
      <c r="G644" s="55"/>
      <c r="H644" s="55"/>
      <c r="I644" s="55"/>
      <c r="J644" s="55"/>
      <c r="K644" s="65"/>
      <c r="L644" s="65"/>
      <c r="M644" s="65"/>
      <c r="N644" s="537"/>
      <c r="O644"/>
      <c r="P644" s="260"/>
      <c r="Q644"/>
      <c r="R644"/>
    </row>
    <row r="645" spans="2:18" x14ac:dyDescent="0.2">
      <c r="B645" s="106"/>
      <c r="C645" s="232"/>
      <c r="D645" s="261"/>
      <c r="E645" s="133"/>
      <c r="F645" s="8"/>
      <c r="G645" s="55"/>
      <c r="H645" s="55"/>
      <c r="I645" s="55"/>
      <c r="J645" s="55"/>
      <c r="K645" s="65"/>
      <c r="L645" s="65"/>
      <c r="M645" s="65"/>
      <c r="N645" s="537"/>
      <c r="O645"/>
      <c r="P645" s="260"/>
      <c r="Q645"/>
      <c r="R645"/>
    </row>
    <row r="646" spans="2:18" x14ac:dyDescent="0.2">
      <c r="B646" s="106"/>
      <c r="C646" s="232"/>
      <c r="D646" s="261"/>
      <c r="E646" s="133"/>
      <c r="F646" s="8"/>
      <c r="G646" s="55"/>
      <c r="H646" s="55"/>
      <c r="I646" s="55"/>
      <c r="J646" s="55"/>
      <c r="K646" s="65"/>
      <c r="L646" s="65"/>
      <c r="M646" s="65"/>
      <c r="N646" s="537"/>
      <c r="O646"/>
      <c r="P646" s="260"/>
      <c r="Q646"/>
      <c r="R646"/>
    </row>
    <row r="647" spans="2:18" x14ac:dyDescent="0.2">
      <c r="B647" s="106"/>
      <c r="C647" s="232"/>
      <c r="D647" s="261"/>
      <c r="E647" s="133"/>
      <c r="F647" s="8"/>
      <c r="G647" s="55"/>
      <c r="H647" s="55"/>
      <c r="I647" s="55"/>
      <c r="J647" s="55"/>
      <c r="K647" s="65"/>
      <c r="L647" s="65"/>
      <c r="M647" s="65"/>
      <c r="N647" s="537"/>
      <c r="O647"/>
      <c r="P647" s="260"/>
      <c r="Q647"/>
      <c r="R647"/>
    </row>
    <row r="648" spans="2:18" x14ac:dyDescent="0.2">
      <c r="B648" s="106"/>
      <c r="C648" s="232"/>
      <c r="D648" s="261"/>
      <c r="E648" s="133"/>
      <c r="F648" s="8"/>
      <c r="G648" s="55"/>
      <c r="H648" s="55"/>
      <c r="I648" s="55"/>
      <c r="J648" s="55"/>
      <c r="K648" s="65"/>
      <c r="L648" s="65"/>
      <c r="M648" s="65"/>
      <c r="N648" s="537"/>
      <c r="O648"/>
      <c r="P648" s="260"/>
      <c r="Q648"/>
      <c r="R648"/>
    </row>
    <row r="649" spans="2:18" x14ac:dyDescent="0.2">
      <c r="B649" s="106"/>
      <c r="C649" s="232"/>
      <c r="D649" s="261"/>
      <c r="E649" s="133"/>
      <c r="F649" s="8"/>
      <c r="G649" s="55"/>
      <c r="H649" s="55"/>
      <c r="I649" s="55"/>
      <c r="J649" s="55"/>
      <c r="K649" s="65"/>
      <c r="L649" s="65"/>
      <c r="M649" s="65"/>
      <c r="N649" s="537"/>
      <c r="O649"/>
      <c r="P649" s="260"/>
      <c r="Q649"/>
      <c r="R649"/>
    </row>
    <row r="650" spans="2:18" x14ac:dyDescent="0.2">
      <c r="B650" s="106"/>
      <c r="C650" s="232"/>
      <c r="D650" s="261"/>
      <c r="E650" s="133"/>
      <c r="F650" s="8"/>
      <c r="G650" s="55"/>
      <c r="H650" s="55"/>
      <c r="I650" s="55"/>
      <c r="J650" s="55"/>
      <c r="K650" s="65"/>
      <c r="L650" s="65"/>
      <c r="M650" s="65"/>
      <c r="N650" s="537"/>
      <c r="O650"/>
      <c r="P650" s="260"/>
      <c r="Q650"/>
      <c r="R650"/>
    </row>
    <row r="651" spans="2:18" x14ac:dyDescent="0.2">
      <c r="B651" s="106"/>
      <c r="C651" s="232"/>
      <c r="D651" s="261"/>
      <c r="E651" s="133"/>
      <c r="F651" s="8"/>
      <c r="G651" s="55"/>
      <c r="H651" s="55"/>
      <c r="I651" s="55"/>
      <c r="J651" s="55"/>
      <c r="K651" s="65"/>
      <c r="L651" s="65"/>
      <c r="M651" s="65"/>
      <c r="N651" s="537"/>
      <c r="O651"/>
      <c r="P651" s="260"/>
      <c r="Q651"/>
      <c r="R651"/>
    </row>
    <row r="652" spans="2:18" x14ac:dyDescent="0.2">
      <c r="B652" s="106"/>
      <c r="C652" s="232"/>
      <c r="D652" s="261"/>
      <c r="E652" s="133"/>
      <c r="F652" s="8"/>
      <c r="G652" s="55"/>
      <c r="H652" s="55"/>
      <c r="I652" s="55"/>
      <c r="J652" s="55"/>
      <c r="K652" s="65"/>
      <c r="L652" s="65"/>
      <c r="M652" s="65"/>
      <c r="N652" s="537"/>
      <c r="O652"/>
      <c r="P652" s="260"/>
      <c r="Q652"/>
      <c r="R652"/>
    </row>
    <row r="653" spans="2:18" x14ac:dyDescent="0.2">
      <c r="B653" s="106"/>
      <c r="C653" s="232"/>
      <c r="D653" s="261"/>
      <c r="E653" s="133"/>
      <c r="F653" s="8"/>
      <c r="G653" s="55"/>
      <c r="H653" s="55"/>
      <c r="I653" s="55"/>
      <c r="J653" s="55"/>
      <c r="K653" s="65"/>
      <c r="L653" s="65"/>
      <c r="M653" s="65"/>
      <c r="N653" s="537"/>
      <c r="O653"/>
      <c r="P653" s="260"/>
      <c r="Q653"/>
      <c r="R653"/>
    </row>
    <row r="654" spans="2:18" x14ac:dyDescent="0.2">
      <c r="B654" s="106"/>
      <c r="C654" s="232"/>
      <c r="D654" s="261"/>
      <c r="E654" s="133"/>
      <c r="F654" s="8"/>
      <c r="G654" s="55"/>
      <c r="H654" s="55"/>
      <c r="I654" s="55"/>
      <c r="J654" s="55"/>
      <c r="K654" s="65"/>
      <c r="L654" s="65"/>
      <c r="M654" s="65"/>
      <c r="N654" s="537"/>
      <c r="O654"/>
      <c r="P654" s="260"/>
      <c r="Q654"/>
      <c r="R654"/>
    </row>
    <row r="655" spans="2:18" x14ac:dyDescent="0.2">
      <c r="B655" s="106"/>
      <c r="C655" s="232"/>
      <c r="D655" s="261"/>
      <c r="E655" s="133"/>
      <c r="F655" s="8"/>
      <c r="G655" s="55"/>
      <c r="H655" s="55"/>
      <c r="I655" s="55"/>
      <c r="J655" s="55"/>
      <c r="K655" s="65"/>
      <c r="L655" s="65"/>
      <c r="M655" s="65"/>
      <c r="N655" s="537"/>
      <c r="O655"/>
      <c r="P655" s="260"/>
      <c r="Q655"/>
      <c r="R655"/>
    </row>
    <row r="656" spans="2:18" x14ac:dyDescent="0.2">
      <c r="B656" s="106"/>
      <c r="C656" s="232"/>
      <c r="D656" s="261"/>
      <c r="E656" s="133"/>
      <c r="F656" s="8"/>
      <c r="G656" s="55"/>
      <c r="H656" s="55"/>
      <c r="I656" s="55"/>
      <c r="J656" s="55"/>
      <c r="K656" s="65"/>
      <c r="L656" s="65"/>
      <c r="M656" s="65"/>
      <c r="N656" s="537"/>
      <c r="O656"/>
      <c r="P656" s="260"/>
      <c r="Q656"/>
      <c r="R656"/>
    </row>
    <row r="657" spans="2:18" x14ac:dyDescent="0.2">
      <c r="B657" s="106"/>
      <c r="C657" s="232"/>
      <c r="D657" s="261"/>
      <c r="E657" s="133"/>
      <c r="F657" s="8"/>
      <c r="G657" s="55"/>
      <c r="H657" s="55"/>
      <c r="I657" s="55"/>
      <c r="J657" s="55"/>
      <c r="K657" s="65"/>
      <c r="L657" s="65"/>
      <c r="M657" s="65"/>
      <c r="N657" s="537"/>
      <c r="O657"/>
      <c r="P657" s="260"/>
      <c r="Q657"/>
      <c r="R657"/>
    </row>
    <row r="658" spans="2:18" x14ac:dyDescent="0.2">
      <c r="B658" s="106"/>
      <c r="C658" s="232"/>
      <c r="D658" s="261"/>
      <c r="E658" s="133"/>
      <c r="F658" s="8"/>
      <c r="G658" s="55"/>
      <c r="H658" s="55"/>
      <c r="I658" s="55"/>
      <c r="J658" s="55"/>
      <c r="K658" s="65"/>
      <c r="L658" s="65"/>
      <c r="M658" s="65"/>
      <c r="N658" s="537"/>
      <c r="O658"/>
      <c r="P658" s="260"/>
      <c r="Q658"/>
      <c r="R658"/>
    </row>
    <row r="659" spans="2:18" x14ac:dyDescent="0.2">
      <c r="B659" s="106"/>
      <c r="C659" s="232"/>
      <c r="D659" s="261"/>
      <c r="E659" s="133"/>
      <c r="F659" s="8"/>
      <c r="G659" s="55"/>
      <c r="H659" s="55"/>
      <c r="I659" s="55"/>
      <c r="J659" s="55"/>
      <c r="K659" s="65"/>
      <c r="L659" s="65"/>
      <c r="M659" s="65"/>
      <c r="N659" s="537"/>
      <c r="O659"/>
      <c r="P659" s="260"/>
      <c r="Q659"/>
      <c r="R659"/>
    </row>
    <row r="660" spans="2:18" x14ac:dyDescent="0.2">
      <c r="B660" s="106"/>
      <c r="C660" s="232"/>
      <c r="D660" s="261"/>
      <c r="E660" s="133"/>
      <c r="F660" s="8"/>
      <c r="G660" s="55"/>
      <c r="H660" s="55"/>
      <c r="I660" s="55"/>
      <c r="J660" s="55"/>
      <c r="K660" s="65"/>
      <c r="L660" s="65"/>
      <c r="M660" s="65"/>
      <c r="N660" s="537"/>
      <c r="O660"/>
      <c r="P660" s="260"/>
      <c r="Q660"/>
      <c r="R660"/>
    </row>
    <row r="661" spans="2:18" x14ac:dyDescent="0.2">
      <c r="B661" s="106"/>
      <c r="C661" s="232"/>
      <c r="D661" s="261"/>
      <c r="E661" s="133"/>
      <c r="F661" s="8"/>
      <c r="G661" s="55"/>
      <c r="H661" s="55"/>
      <c r="I661" s="55"/>
      <c r="J661" s="55"/>
      <c r="K661" s="65"/>
      <c r="L661" s="65"/>
      <c r="M661" s="65"/>
      <c r="N661" s="537"/>
      <c r="O661"/>
      <c r="P661" s="260"/>
      <c r="Q661"/>
      <c r="R661"/>
    </row>
    <row r="662" spans="2:18" x14ac:dyDescent="0.2">
      <c r="B662" s="106"/>
      <c r="C662" s="232"/>
      <c r="D662" s="261"/>
      <c r="E662" s="133"/>
      <c r="F662" s="8"/>
      <c r="G662" s="55"/>
      <c r="H662" s="55"/>
      <c r="I662" s="55"/>
      <c r="J662" s="55"/>
      <c r="K662" s="65"/>
      <c r="L662" s="65"/>
      <c r="M662" s="65"/>
      <c r="N662" s="537"/>
      <c r="O662"/>
      <c r="P662" s="260"/>
      <c r="Q662"/>
      <c r="R662"/>
    </row>
    <row r="663" spans="2:18" x14ac:dyDescent="0.2">
      <c r="B663" s="106"/>
      <c r="C663" s="232"/>
      <c r="D663" s="261"/>
      <c r="E663" s="133"/>
      <c r="F663" s="8"/>
      <c r="G663" s="55"/>
      <c r="H663" s="55"/>
      <c r="I663" s="55"/>
      <c r="J663" s="55"/>
      <c r="K663" s="65"/>
      <c r="L663" s="65"/>
      <c r="M663" s="65"/>
      <c r="N663" s="537"/>
      <c r="O663"/>
      <c r="P663" s="260"/>
      <c r="Q663"/>
      <c r="R663"/>
    </row>
    <row r="664" spans="2:18" x14ac:dyDescent="0.2">
      <c r="B664" s="106"/>
      <c r="C664" s="232"/>
      <c r="D664" s="261"/>
      <c r="E664" s="133"/>
      <c r="F664" s="8"/>
      <c r="G664" s="55"/>
      <c r="H664" s="55"/>
      <c r="I664" s="55"/>
      <c r="J664" s="55"/>
      <c r="K664" s="65"/>
      <c r="L664" s="65"/>
      <c r="M664" s="65"/>
      <c r="N664" s="537"/>
      <c r="O664"/>
      <c r="P664" s="260"/>
      <c r="Q664"/>
      <c r="R664"/>
    </row>
    <row r="665" spans="2:18" x14ac:dyDescent="0.2">
      <c r="B665" s="106"/>
      <c r="C665" s="232"/>
      <c r="D665" s="261"/>
      <c r="E665" s="133"/>
      <c r="F665" s="8"/>
      <c r="G665" s="55"/>
      <c r="H665" s="55"/>
      <c r="I665" s="55"/>
      <c r="J665" s="55"/>
      <c r="K665" s="65"/>
      <c r="L665" s="65"/>
      <c r="M665" s="65"/>
      <c r="N665" s="537"/>
      <c r="O665"/>
      <c r="P665" s="260"/>
      <c r="Q665"/>
      <c r="R665"/>
    </row>
    <row r="666" spans="2:18" x14ac:dyDescent="0.2">
      <c r="B666" s="106"/>
      <c r="C666" s="232"/>
      <c r="D666" s="261"/>
      <c r="E666" s="133"/>
      <c r="F666" s="8"/>
      <c r="G666" s="55"/>
      <c r="H666" s="55"/>
      <c r="I666" s="55"/>
      <c r="J666" s="55"/>
      <c r="K666" s="65"/>
      <c r="L666" s="65"/>
      <c r="M666" s="65"/>
      <c r="N666" s="537"/>
      <c r="O666"/>
      <c r="P666" s="260"/>
      <c r="Q666"/>
      <c r="R666"/>
    </row>
    <row r="667" spans="2:18" x14ac:dyDescent="0.2">
      <c r="B667" s="106"/>
      <c r="C667" s="232"/>
      <c r="D667" s="261"/>
      <c r="E667" s="133"/>
      <c r="F667" s="8"/>
      <c r="G667" s="55"/>
      <c r="H667" s="55"/>
      <c r="I667" s="55"/>
      <c r="J667" s="55"/>
      <c r="K667" s="65"/>
      <c r="L667" s="65"/>
      <c r="M667" s="65"/>
      <c r="N667" s="537"/>
      <c r="O667"/>
      <c r="P667" s="260"/>
      <c r="Q667"/>
      <c r="R667"/>
    </row>
    <row r="668" spans="2:18" x14ac:dyDescent="0.2">
      <c r="B668" s="106"/>
      <c r="C668" s="232"/>
      <c r="D668" s="261"/>
      <c r="E668" s="133"/>
      <c r="F668" s="8"/>
      <c r="G668" s="55"/>
      <c r="H668" s="55"/>
      <c r="I668" s="55"/>
      <c r="J668" s="55"/>
      <c r="K668" s="65"/>
      <c r="L668" s="65"/>
      <c r="M668" s="65"/>
      <c r="N668" s="537"/>
      <c r="O668"/>
      <c r="P668" s="260"/>
      <c r="Q668"/>
      <c r="R668"/>
    </row>
    <row r="669" spans="2:18" x14ac:dyDescent="0.2">
      <c r="B669" s="106"/>
      <c r="C669" s="232"/>
      <c r="D669" s="261"/>
      <c r="E669" s="133"/>
      <c r="F669" s="8"/>
      <c r="G669" s="55"/>
      <c r="H669" s="55"/>
      <c r="I669" s="55"/>
      <c r="J669" s="55"/>
      <c r="K669" s="65"/>
      <c r="L669" s="65"/>
      <c r="M669" s="65"/>
      <c r="N669" s="537"/>
      <c r="O669"/>
      <c r="P669" s="260"/>
      <c r="Q669"/>
      <c r="R669"/>
    </row>
    <row r="670" spans="2:18" x14ac:dyDescent="0.2">
      <c r="B670" s="106"/>
      <c r="C670" s="232"/>
      <c r="D670" s="261"/>
      <c r="E670" s="133"/>
      <c r="F670" s="8"/>
      <c r="G670" s="55"/>
      <c r="H670" s="55"/>
      <c r="I670" s="55"/>
      <c r="J670" s="55"/>
      <c r="K670" s="65"/>
      <c r="L670" s="65"/>
      <c r="M670" s="65"/>
      <c r="N670" s="537"/>
      <c r="O670"/>
      <c r="P670" s="260"/>
      <c r="Q670"/>
      <c r="R670"/>
    </row>
    <row r="671" spans="2:18" x14ac:dyDescent="0.2">
      <c r="B671" s="106"/>
      <c r="C671" s="232"/>
      <c r="D671" s="261"/>
      <c r="E671" s="133"/>
      <c r="F671" s="8"/>
      <c r="G671" s="55"/>
      <c r="H671" s="55"/>
      <c r="I671" s="55"/>
      <c r="J671" s="55"/>
      <c r="K671" s="65"/>
      <c r="L671" s="65"/>
      <c r="M671" s="65"/>
      <c r="N671" s="537"/>
      <c r="O671"/>
      <c r="P671" s="260"/>
      <c r="Q671"/>
      <c r="R671"/>
    </row>
    <row r="672" spans="2:18" x14ac:dyDescent="0.2">
      <c r="B672" s="106"/>
      <c r="C672" s="232"/>
      <c r="D672" s="261"/>
      <c r="E672" s="133"/>
      <c r="F672" s="8"/>
      <c r="G672" s="55"/>
      <c r="H672" s="55"/>
      <c r="I672" s="55"/>
      <c r="J672" s="55"/>
      <c r="K672" s="65"/>
      <c r="L672" s="65"/>
      <c r="M672" s="65"/>
      <c r="N672" s="537"/>
      <c r="O672"/>
      <c r="P672" s="260"/>
      <c r="Q672"/>
      <c r="R672"/>
    </row>
    <row r="673" spans="2:18" x14ac:dyDescent="0.2">
      <c r="B673" s="106"/>
      <c r="C673" s="232"/>
      <c r="D673" s="261"/>
      <c r="E673" s="133"/>
      <c r="F673" s="8"/>
      <c r="G673" s="55"/>
      <c r="H673" s="55"/>
      <c r="I673" s="55"/>
      <c r="J673" s="55"/>
      <c r="K673" s="65"/>
      <c r="L673" s="65"/>
      <c r="M673" s="65"/>
      <c r="N673" s="537"/>
      <c r="O673"/>
      <c r="P673" s="260"/>
      <c r="Q673"/>
      <c r="R673"/>
    </row>
    <row r="674" spans="2:18" x14ac:dyDescent="0.2">
      <c r="B674" s="106"/>
      <c r="C674" s="232"/>
      <c r="D674" s="261"/>
      <c r="E674" s="133"/>
      <c r="F674" s="8"/>
      <c r="G674" s="55"/>
      <c r="H674" s="55"/>
      <c r="I674" s="55"/>
      <c r="J674" s="55"/>
      <c r="K674" s="65"/>
      <c r="L674" s="65"/>
      <c r="M674" s="65"/>
      <c r="N674" s="537"/>
      <c r="O674"/>
      <c r="P674" s="260"/>
      <c r="Q674"/>
      <c r="R674"/>
    </row>
    <row r="675" spans="2:18" x14ac:dyDescent="0.2">
      <c r="B675" s="106"/>
      <c r="C675" s="232"/>
      <c r="D675" s="261"/>
      <c r="E675" s="133"/>
      <c r="F675" s="8"/>
      <c r="G675" s="55"/>
      <c r="H675" s="55"/>
      <c r="I675" s="55"/>
      <c r="J675" s="55"/>
      <c r="K675" s="65"/>
      <c r="L675" s="65"/>
      <c r="M675" s="65"/>
      <c r="N675" s="537"/>
      <c r="O675"/>
      <c r="P675" s="260"/>
      <c r="Q675"/>
      <c r="R675"/>
    </row>
    <row r="676" spans="2:18" x14ac:dyDescent="0.2">
      <c r="B676" s="106"/>
      <c r="C676" s="232"/>
      <c r="D676" s="261"/>
      <c r="E676" s="133"/>
      <c r="F676" s="8"/>
      <c r="G676" s="55"/>
      <c r="H676" s="55"/>
      <c r="I676" s="55"/>
      <c r="J676" s="55"/>
      <c r="K676" s="65"/>
      <c r="L676" s="65"/>
      <c r="M676" s="65"/>
      <c r="N676" s="537"/>
      <c r="O676"/>
      <c r="P676" s="260"/>
      <c r="Q676"/>
      <c r="R676"/>
    </row>
    <row r="677" spans="2:18" x14ac:dyDescent="0.2">
      <c r="B677" s="106"/>
      <c r="C677" s="232"/>
      <c r="D677" s="261"/>
      <c r="E677" s="133"/>
      <c r="F677" s="8"/>
      <c r="G677" s="55"/>
      <c r="H677" s="55"/>
      <c r="I677" s="55"/>
      <c r="J677" s="55"/>
      <c r="K677" s="65"/>
      <c r="L677" s="65"/>
      <c r="M677" s="65"/>
      <c r="N677" s="537"/>
      <c r="O677"/>
      <c r="P677" s="260"/>
      <c r="Q677"/>
      <c r="R677"/>
    </row>
    <row r="678" spans="2:18" x14ac:dyDescent="0.2">
      <c r="B678" s="106"/>
      <c r="C678" s="232"/>
      <c r="D678" s="261"/>
      <c r="E678" s="133"/>
      <c r="F678" s="8"/>
      <c r="G678" s="55"/>
      <c r="H678" s="55"/>
      <c r="I678" s="55"/>
      <c r="J678" s="55"/>
      <c r="K678" s="65"/>
      <c r="L678" s="65"/>
      <c r="M678" s="65"/>
      <c r="N678" s="537"/>
      <c r="O678"/>
      <c r="P678" s="260"/>
      <c r="Q678"/>
      <c r="R678"/>
    </row>
    <row r="679" spans="2:18" x14ac:dyDescent="0.2">
      <c r="B679" s="106"/>
      <c r="C679" s="232"/>
      <c r="D679" s="261"/>
      <c r="E679" s="133"/>
      <c r="F679" s="8"/>
      <c r="G679" s="55"/>
      <c r="H679" s="55"/>
      <c r="I679" s="55"/>
      <c r="J679" s="55"/>
      <c r="K679" s="65"/>
      <c r="L679" s="65"/>
      <c r="M679" s="65"/>
      <c r="N679" s="537"/>
      <c r="O679"/>
      <c r="P679" s="260"/>
      <c r="Q679"/>
      <c r="R679"/>
    </row>
    <row r="680" spans="2:18" x14ac:dyDescent="0.2">
      <c r="B680" s="106"/>
      <c r="C680" s="232"/>
      <c r="D680" s="261"/>
      <c r="E680" s="133"/>
      <c r="F680" s="8"/>
      <c r="G680" s="55"/>
      <c r="H680" s="55"/>
      <c r="I680" s="55"/>
      <c r="J680" s="55"/>
      <c r="K680" s="65"/>
      <c r="L680" s="65"/>
      <c r="M680" s="65"/>
      <c r="N680" s="537"/>
      <c r="O680"/>
      <c r="P680" s="260"/>
      <c r="Q680"/>
      <c r="R680"/>
    </row>
    <row r="681" spans="2:18" x14ac:dyDescent="0.2">
      <c r="B681" s="106"/>
      <c r="C681" s="232"/>
      <c r="D681" s="261"/>
      <c r="E681" s="133"/>
      <c r="F681" s="8"/>
      <c r="G681" s="55"/>
      <c r="H681" s="55"/>
      <c r="I681" s="55"/>
      <c r="J681" s="55"/>
      <c r="K681" s="65"/>
      <c r="L681" s="65"/>
      <c r="M681" s="65"/>
      <c r="N681" s="537"/>
      <c r="O681"/>
      <c r="P681" s="260"/>
      <c r="Q681"/>
      <c r="R681"/>
    </row>
    <row r="682" spans="2:18" x14ac:dyDescent="0.2">
      <c r="B682" s="106"/>
      <c r="C682" s="232"/>
      <c r="D682" s="261"/>
      <c r="E682" s="133"/>
      <c r="F682" s="8"/>
      <c r="G682" s="55"/>
      <c r="H682" s="55"/>
      <c r="I682" s="55"/>
      <c r="J682" s="55"/>
      <c r="K682" s="65"/>
      <c r="L682" s="65"/>
      <c r="M682" s="65"/>
      <c r="N682" s="537"/>
      <c r="O682"/>
      <c r="P682" s="260"/>
      <c r="Q682"/>
      <c r="R682"/>
    </row>
    <row r="683" spans="2:18" x14ac:dyDescent="0.2">
      <c r="B683" s="106"/>
      <c r="C683" s="232"/>
      <c r="D683" s="261"/>
      <c r="E683" s="133"/>
      <c r="F683" s="8"/>
      <c r="G683" s="55"/>
      <c r="H683" s="55"/>
      <c r="I683" s="55"/>
      <c r="J683" s="55"/>
      <c r="K683" s="65"/>
      <c r="L683" s="65"/>
      <c r="M683" s="65"/>
      <c r="N683" s="537"/>
      <c r="O683"/>
      <c r="P683" s="260"/>
      <c r="Q683"/>
      <c r="R683"/>
    </row>
    <row r="684" spans="2:18" x14ac:dyDescent="0.2">
      <c r="B684" s="106"/>
      <c r="C684" s="232"/>
      <c r="D684" s="261"/>
      <c r="E684" s="133"/>
      <c r="F684" s="8"/>
      <c r="G684" s="55"/>
      <c r="H684" s="55"/>
      <c r="I684" s="55"/>
      <c r="J684" s="55"/>
      <c r="K684" s="65"/>
      <c r="L684" s="65"/>
      <c r="M684" s="65"/>
      <c r="N684" s="537"/>
      <c r="O684"/>
      <c r="P684" s="260"/>
      <c r="Q684"/>
      <c r="R684"/>
    </row>
    <row r="685" spans="2:18" x14ac:dyDescent="0.2">
      <c r="B685" s="106"/>
      <c r="C685" s="232"/>
      <c r="D685" s="261"/>
      <c r="E685" s="133"/>
      <c r="F685" s="8"/>
      <c r="G685" s="55"/>
      <c r="H685" s="55"/>
      <c r="I685" s="55"/>
      <c r="J685" s="55"/>
      <c r="K685" s="65"/>
      <c r="L685" s="65"/>
      <c r="M685" s="65"/>
      <c r="N685" s="537"/>
      <c r="O685"/>
      <c r="P685" s="260"/>
      <c r="Q685"/>
      <c r="R685"/>
    </row>
    <row r="686" spans="2:18" x14ac:dyDescent="0.2">
      <c r="B686" s="106"/>
      <c r="C686" s="232"/>
      <c r="D686" s="261"/>
      <c r="E686" s="133"/>
      <c r="F686" s="8"/>
      <c r="G686" s="55"/>
      <c r="H686" s="55"/>
      <c r="I686" s="55"/>
      <c r="J686" s="55"/>
      <c r="K686" s="65"/>
      <c r="L686" s="65"/>
      <c r="M686" s="65"/>
      <c r="N686" s="537"/>
      <c r="O686"/>
      <c r="P686" s="260"/>
      <c r="Q686"/>
      <c r="R686"/>
    </row>
    <row r="687" spans="2:18" x14ac:dyDescent="0.2">
      <c r="B687" s="106"/>
      <c r="C687" s="232"/>
      <c r="D687" s="261"/>
      <c r="E687" s="133"/>
      <c r="F687" s="8"/>
      <c r="G687" s="55"/>
      <c r="H687" s="55"/>
      <c r="I687" s="55"/>
      <c r="J687" s="55"/>
      <c r="K687" s="65"/>
      <c r="L687" s="65"/>
      <c r="M687" s="65"/>
      <c r="N687" s="537"/>
      <c r="O687"/>
      <c r="P687" s="260"/>
      <c r="Q687"/>
      <c r="R687"/>
    </row>
    <row r="688" spans="2:18" x14ac:dyDescent="0.2">
      <c r="B688" s="106"/>
      <c r="C688" s="232"/>
      <c r="D688" s="261"/>
      <c r="E688" s="133"/>
      <c r="F688" s="8"/>
      <c r="G688" s="55"/>
      <c r="H688" s="55"/>
      <c r="I688" s="55"/>
      <c r="J688" s="55"/>
      <c r="K688" s="65"/>
      <c r="L688" s="65"/>
      <c r="M688" s="65"/>
      <c r="N688" s="537"/>
      <c r="O688"/>
      <c r="P688" s="260"/>
      <c r="Q688"/>
      <c r="R688"/>
    </row>
    <row r="689" spans="2:18" x14ac:dyDescent="0.2">
      <c r="B689" s="106"/>
      <c r="C689" s="232"/>
      <c r="D689" s="261"/>
      <c r="E689" s="133"/>
      <c r="F689" s="8"/>
      <c r="G689" s="55"/>
      <c r="H689" s="55"/>
      <c r="I689" s="55"/>
      <c r="J689" s="55"/>
      <c r="K689" s="65"/>
      <c r="L689" s="65"/>
      <c r="M689" s="65"/>
      <c r="N689" s="537"/>
      <c r="O689"/>
      <c r="P689" s="260"/>
      <c r="Q689"/>
      <c r="R689"/>
    </row>
    <row r="690" spans="2:18" x14ac:dyDescent="0.2">
      <c r="B690" s="106"/>
      <c r="C690" s="232"/>
      <c r="D690" s="261"/>
      <c r="E690" s="133"/>
      <c r="F690" s="8"/>
      <c r="G690" s="55"/>
      <c r="H690" s="55"/>
      <c r="I690" s="55"/>
      <c r="J690" s="55"/>
      <c r="K690" s="65"/>
      <c r="L690" s="65"/>
      <c r="M690" s="65"/>
      <c r="N690" s="537"/>
      <c r="O690"/>
      <c r="P690" s="260"/>
      <c r="Q690"/>
      <c r="R690"/>
    </row>
    <row r="691" spans="2:18" x14ac:dyDescent="0.2">
      <c r="B691" s="106"/>
      <c r="C691" s="232"/>
      <c r="D691" s="261"/>
      <c r="E691" s="133"/>
      <c r="F691" s="8"/>
      <c r="G691" s="55"/>
      <c r="H691" s="55"/>
      <c r="I691" s="55"/>
      <c r="J691" s="55"/>
      <c r="K691" s="65"/>
      <c r="L691" s="65"/>
      <c r="M691" s="65"/>
      <c r="N691" s="537"/>
      <c r="O691"/>
      <c r="P691" s="260"/>
      <c r="Q691"/>
      <c r="R691"/>
    </row>
    <row r="692" spans="2:18" x14ac:dyDescent="0.2">
      <c r="B692" s="106"/>
      <c r="C692" s="232"/>
      <c r="D692" s="261"/>
      <c r="E692" s="133"/>
      <c r="F692" s="8"/>
      <c r="G692" s="55"/>
      <c r="H692" s="55"/>
      <c r="I692" s="55"/>
      <c r="J692" s="55"/>
      <c r="K692" s="65"/>
      <c r="L692" s="65"/>
      <c r="M692" s="65"/>
      <c r="N692" s="537"/>
      <c r="O692"/>
      <c r="P692" s="260"/>
      <c r="Q692"/>
      <c r="R692"/>
    </row>
    <row r="693" spans="2:18" x14ac:dyDescent="0.2">
      <c r="B693" s="106"/>
      <c r="C693" s="232"/>
      <c r="D693" s="261"/>
      <c r="E693" s="133"/>
      <c r="F693" s="8"/>
      <c r="G693" s="55"/>
      <c r="H693" s="55"/>
      <c r="I693" s="55"/>
      <c r="J693" s="55"/>
      <c r="K693" s="65"/>
      <c r="L693" s="65"/>
      <c r="M693" s="65"/>
      <c r="N693" s="537"/>
      <c r="O693"/>
      <c r="P693" s="260"/>
      <c r="Q693"/>
      <c r="R693"/>
    </row>
    <row r="694" spans="2:18" x14ac:dyDescent="0.2">
      <c r="B694" s="106"/>
      <c r="C694" s="232"/>
      <c r="D694" s="261"/>
      <c r="E694" s="133"/>
      <c r="F694" s="8"/>
      <c r="G694" s="55"/>
      <c r="H694" s="55"/>
      <c r="I694" s="55"/>
      <c r="J694" s="55"/>
      <c r="K694" s="65"/>
      <c r="L694" s="65"/>
      <c r="M694" s="65"/>
      <c r="N694" s="537"/>
      <c r="O694"/>
      <c r="P694" s="260"/>
      <c r="Q694"/>
      <c r="R694"/>
    </row>
    <row r="695" spans="2:18" x14ac:dyDescent="0.2">
      <c r="B695" s="106"/>
      <c r="C695" s="232"/>
      <c r="D695" s="261"/>
      <c r="E695" s="133"/>
      <c r="F695" s="8"/>
      <c r="G695" s="55"/>
      <c r="H695" s="55"/>
      <c r="I695" s="55"/>
      <c r="J695" s="55"/>
      <c r="K695" s="65"/>
      <c r="L695" s="65"/>
      <c r="M695" s="65"/>
      <c r="N695" s="537"/>
      <c r="O695"/>
      <c r="P695" s="260"/>
      <c r="Q695"/>
      <c r="R695"/>
    </row>
    <row r="696" spans="2:18" x14ac:dyDescent="0.2">
      <c r="B696" s="106"/>
      <c r="C696" s="232"/>
      <c r="D696" s="261"/>
      <c r="E696" s="133"/>
      <c r="F696" s="8"/>
      <c r="G696" s="55"/>
      <c r="H696" s="55"/>
      <c r="I696" s="55"/>
      <c r="J696" s="55"/>
      <c r="K696" s="65"/>
      <c r="L696" s="65"/>
      <c r="M696" s="65"/>
      <c r="N696" s="537"/>
      <c r="O696"/>
      <c r="P696" s="260"/>
      <c r="Q696"/>
      <c r="R696"/>
    </row>
    <row r="697" spans="2:18" x14ac:dyDescent="0.2">
      <c r="B697" s="106"/>
      <c r="C697" s="232"/>
      <c r="D697" s="261"/>
      <c r="E697" s="133"/>
      <c r="F697" s="8"/>
      <c r="G697" s="55"/>
      <c r="H697" s="55"/>
      <c r="I697" s="55"/>
      <c r="J697" s="55"/>
      <c r="K697" s="65"/>
      <c r="L697" s="65"/>
      <c r="M697" s="65"/>
      <c r="N697" s="537"/>
      <c r="O697"/>
      <c r="P697" s="260"/>
      <c r="Q697"/>
      <c r="R697"/>
    </row>
    <row r="698" spans="2:18" x14ac:dyDescent="0.2">
      <c r="B698" s="106"/>
      <c r="C698" s="232"/>
      <c r="D698" s="261"/>
      <c r="E698" s="133"/>
      <c r="F698" s="8"/>
      <c r="G698" s="55"/>
      <c r="H698" s="55"/>
      <c r="I698" s="55"/>
      <c r="J698" s="55"/>
      <c r="K698" s="65"/>
      <c r="L698" s="65"/>
      <c r="M698" s="65"/>
      <c r="N698" s="537"/>
      <c r="O698"/>
      <c r="P698" s="260"/>
      <c r="Q698"/>
      <c r="R698"/>
    </row>
    <row r="699" spans="2:18" x14ac:dyDescent="0.2">
      <c r="B699" s="106"/>
      <c r="C699" s="232"/>
      <c r="D699" s="261"/>
      <c r="E699" s="133"/>
      <c r="F699" s="8"/>
      <c r="G699" s="55"/>
      <c r="H699" s="55"/>
      <c r="I699" s="55"/>
      <c r="J699" s="55"/>
      <c r="K699" s="65"/>
      <c r="L699" s="65"/>
      <c r="M699" s="65"/>
      <c r="N699" s="537"/>
      <c r="O699"/>
      <c r="P699" s="260"/>
      <c r="Q699"/>
      <c r="R699"/>
    </row>
    <row r="700" spans="2:18" x14ac:dyDescent="0.2">
      <c r="B700" s="106"/>
      <c r="C700" s="232"/>
      <c r="D700" s="261"/>
      <c r="E700" s="133"/>
      <c r="F700" s="8"/>
      <c r="G700" s="55"/>
      <c r="H700" s="55"/>
      <c r="I700" s="55"/>
      <c r="J700" s="55"/>
      <c r="K700" s="65"/>
      <c r="L700" s="65"/>
      <c r="M700" s="65"/>
      <c r="N700" s="537"/>
      <c r="O700"/>
      <c r="P700" s="260"/>
      <c r="Q700"/>
      <c r="R700"/>
    </row>
    <row r="701" spans="2:18" x14ac:dyDescent="0.2">
      <c r="B701" s="106"/>
      <c r="C701" s="232"/>
      <c r="D701" s="261"/>
      <c r="E701" s="133"/>
      <c r="F701" s="8"/>
      <c r="G701" s="55"/>
      <c r="H701" s="55"/>
      <c r="I701" s="55"/>
      <c r="J701" s="55"/>
      <c r="K701" s="65"/>
      <c r="L701" s="65"/>
      <c r="M701" s="65"/>
      <c r="N701" s="537"/>
      <c r="O701"/>
      <c r="P701" s="260"/>
      <c r="Q701"/>
      <c r="R701"/>
    </row>
    <row r="702" spans="2:18" x14ac:dyDescent="0.2">
      <c r="B702" s="106"/>
      <c r="C702" s="232"/>
      <c r="D702" s="261"/>
      <c r="E702" s="133"/>
      <c r="F702" s="8"/>
      <c r="G702" s="55"/>
      <c r="H702" s="55"/>
      <c r="I702" s="55"/>
      <c r="J702" s="55"/>
      <c r="K702" s="65"/>
      <c r="L702" s="65"/>
      <c r="M702" s="65"/>
      <c r="N702" s="537"/>
      <c r="O702"/>
      <c r="P702" s="260"/>
      <c r="Q702"/>
      <c r="R702"/>
    </row>
    <row r="703" spans="2:18" x14ac:dyDescent="0.2">
      <c r="B703" s="106"/>
      <c r="C703" s="232"/>
      <c r="D703" s="261"/>
      <c r="E703" s="133"/>
      <c r="F703" s="8"/>
      <c r="G703" s="55"/>
      <c r="H703" s="55"/>
      <c r="I703" s="55"/>
      <c r="J703" s="55"/>
      <c r="K703" s="65"/>
      <c r="L703" s="65"/>
      <c r="M703" s="65"/>
      <c r="N703" s="537"/>
      <c r="O703"/>
      <c r="P703" s="260"/>
      <c r="Q703"/>
      <c r="R703"/>
    </row>
    <row r="704" spans="2:18" x14ac:dyDescent="0.2">
      <c r="B704" s="106"/>
      <c r="C704" s="232"/>
      <c r="D704" s="261"/>
      <c r="E704" s="133"/>
      <c r="F704" s="8"/>
      <c r="G704" s="55"/>
      <c r="H704" s="55"/>
      <c r="I704" s="55"/>
      <c r="J704" s="55"/>
      <c r="K704" s="65"/>
      <c r="L704" s="65"/>
      <c r="M704" s="65"/>
      <c r="N704" s="537"/>
      <c r="O704"/>
      <c r="P704" s="260"/>
      <c r="Q704"/>
      <c r="R704"/>
    </row>
    <row r="705" spans="2:18" x14ac:dyDescent="0.2">
      <c r="B705" s="106"/>
      <c r="C705" s="232"/>
      <c r="D705" s="261"/>
      <c r="E705" s="133"/>
      <c r="F705" s="8"/>
      <c r="G705" s="55"/>
      <c r="H705" s="55"/>
      <c r="I705" s="55"/>
      <c r="J705" s="55"/>
      <c r="K705" s="65"/>
      <c r="L705" s="65"/>
      <c r="M705" s="65"/>
      <c r="N705" s="537"/>
      <c r="O705"/>
      <c r="P705" s="260"/>
      <c r="Q705"/>
      <c r="R705"/>
    </row>
    <row r="706" spans="2:18" x14ac:dyDescent="0.2">
      <c r="B706" s="106"/>
      <c r="C706" s="232"/>
      <c r="D706" s="261"/>
      <c r="E706" s="133"/>
      <c r="F706" s="8"/>
      <c r="G706" s="55"/>
      <c r="H706" s="55"/>
      <c r="I706" s="55"/>
      <c r="J706" s="55"/>
      <c r="K706" s="65"/>
      <c r="L706" s="65"/>
      <c r="M706" s="65"/>
      <c r="N706" s="537"/>
      <c r="O706"/>
      <c r="P706" s="260"/>
      <c r="Q706"/>
      <c r="R706"/>
    </row>
    <row r="707" spans="2:18" x14ac:dyDescent="0.2">
      <c r="B707" s="106"/>
      <c r="C707" s="232"/>
      <c r="D707" s="261"/>
      <c r="E707" s="133"/>
      <c r="F707" s="8"/>
      <c r="G707" s="55"/>
      <c r="H707" s="55"/>
      <c r="I707" s="55"/>
      <c r="J707" s="55"/>
      <c r="K707" s="65"/>
      <c r="L707" s="65"/>
      <c r="M707" s="65"/>
      <c r="N707" s="537"/>
      <c r="O707"/>
      <c r="P707" s="260"/>
      <c r="Q707"/>
      <c r="R707"/>
    </row>
    <row r="708" spans="2:18" x14ac:dyDescent="0.2">
      <c r="B708" s="106"/>
      <c r="C708" s="232"/>
      <c r="D708" s="261"/>
      <c r="E708" s="133"/>
      <c r="F708" s="8"/>
      <c r="G708" s="55"/>
      <c r="H708" s="55"/>
      <c r="I708" s="55"/>
      <c r="J708" s="55"/>
      <c r="K708" s="65"/>
      <c r="L708" s="65"/>
      <c r="M708" s="65"/>
      <c r="N708" s="537"/>
      <c r="O708"/>
      <c r="P708" s="260"/>
      <c r="Q708"/>
      <c r="R708"/>
    </row>
    <row r="709" spans="2:18" x14ac:dyDescent="0.2">
      <c r="B709" s="106"/>
      <c r="C709" s="232"/>
      <c r="D709" s="261"/>
      <c r="E709" s="133"/>
      <c r="F709" s="8"/>
      <c r="G709" s="55"/>
      <c r="H709" s="55"/>
      <c r="I709" s="55"/>
      <c r="J709" s="55"/>
      <c r="K709" s="65"/>
      <c r="L709" s="65"/>
      <c r="M709" s="65"/>
      <c r="N709" s="537"/>
      <c r="O709"/>
      <c r="P709" s="260"/>
      <c r="Q709"/>
      <c r="R709"/>
    </row>
    <row r="710" spans="2:18" x14ac:dyDescent="0.2">
      <c r="B710" s="106"/>
      <c r="C710" s="232"/>
      <c r="D710" s="261"/>
      <c r="E710" s="133"/>
      <c r="F710" s="8"/>
      <c r="G710" s="55"/>
      <c r="H710" s="55"/>
      <c r="I710" s="55"/>
      <c r="J710" s="55"/>
      <c r="K710" s="65"/>
      <c r="L710" s="65"/>
      <c r="M710" s="65"/>
      <c r="N710" s="537"/>
      <c r="O710"/>
      <c r="P710" s="260"/>
      <c r="Q710"/>
      <c r="R710"/>
    </row>
    <row r="711" spans="2:18" x14ac:dyDescent="0.2">
      <c r="B711" s="106"/>
      <c r="C711" s="232"/>
      <c r="D711" s="261"/>
      <c r="E711" s="133"/>
      <c r="F711" s="8"/>
      <c r="G711" s="55"/>
      <c r="H711" s="55"/>
      <c r="I711" s="55"/>
      <c r="J711" s="55"/>
      <c r="K711" s="65"/>
      <c r="L711" s="65"/>
      <c r="M711" s="65"/>
      <c r="N711" s="537"/>
      <c r="O711"/>
      <c r="P711" s="260"/>
      <c r="Q711"/>
      <c r="R711"/>
    </row>
    <row r="712" spans="2:18" x14ac:dyDescent="0.2">
      <c r="B712" s="106"/>
      <c r="C712" s="232"/>
      <c r="D712" s="261"/>
      <c r="E712" s="133"/>
      <c r="F712" s="8"/>
      <c r="G712" s="55"/>
      <c r="H712" s="55"/>
      <c r="I712" s="55"/>
      <c r="J712" s="55"/>
      <c r="K712" s="65"/>
      <c r="L712" s="65"/>
      <c r="M712" s="65"/>
      <c r="N712" s="537"/>
      <c r="O712"/>
      <c r="P712" s="260"/>
      <c r="Q712"/>
      <c r="R712"/>
    </row>
    <row r="713" spans="2:18" x14ac:dyDescent="0.2">
      <c r="B713" s="106"/>
      <c r="C713" s="232"/>
      <c r="D713" s="261"/>
      <c r="E713" s="133"/>
      <c r="F713" s="8"/>
      <c r="G713" s="55"/>
      <c r="H713" s="55"/>
      <c r="I713" s="55"/>
      <c r="J713" s="55"/>
      <c r="K713" s="65"/>
      <c r="L713" s="65"/>
      <c r="M713" s="65"/>
      <c r="N713" s="537"/>
      <c r="O713"/>
      <c r="P713" s="260"/>
      <c r="Q713"/>
      <c r="R713"/>
    </row>
    <row r="714" spans="2:18" x14ac:dyDescent="0.2">
      <c r="B714" s="106"/>
      <c r="C714" s="232"/>
      <c r="D714" s="261"/>
      <c r="E714" s="133"/>
      <c r="F714" s="8"/>
      <c r="G714" s="55"/>
      <c r="H714" s="55"/>
      <c r="I714" s="55"/>
      <c r="J714" s="55"/>
      <c r="K714" s="65"/>
      <c r="L714" s="65"/>
      <c r="M714" s="65"/>
      <c r="N714" s="537"/>
      <c r="O714"/>
      <c r="P714" s="260"/>
      <c r="Q714"/>
      <c r="R714"/>
    </row>
    <row r="715" spans="2:18" x14ac:dyDescent="0.2">
      <c r="B715" s="106"/>
      <c r="C715" s="232"/>
      <c r="D715" s="261"/>
      <c r="E715" s="133"/>
      <c r="F715" s="8"/>
      <c r="G715" s="55"/>
      <c r="H715" s="55"/>
      <c r="I715" s="55"/>
      <c r="J715" s="55"/>
      <c r="K715" s="65"/>
      <c r="L715" s="65"/>
      <c r="M715" s="65"/>
      <c r="N715" s="537"/>
      <c r="O715"/>
      <c r="P715" s="260"/>
      <c r="Q715"/>
      <c r="R715"/>
    </row>
    <row r="716" spans="2:18" x14ac:dyDescent="0.2">
      <c r="B716" s="106"/>
      <c r="C716" s="232"/>
      <c r="D716" s="261"/>
      <c r="E716" s="133"/>
      <c r="F716" s="8"/>
      <c r="G716" s="55"/>
      <c r="H716" s="55"/>
      <c r="I716" s="55"/>
      <c r="J716" s="55"/>
      <c r="K716" s="65"/>
      <c r="L716" s="65"/>
      <c r="M716" s="65"/>
      <c r="N716" s="537"/>
      <c r="O716"/>
      <c r="P716" s="260"/>
      <c r="Q716"/>
      <c r="R716"/>
    </row>
    <row r="717" spans="2:18" x14ac:dyDescent="0.2">
      <c r="B717" s="106"/>
      <c r="C717" s="232"/>
      <c r="D717" s="261"/>
      <c r="E717" s="133"/>
      <c r="F717" s="8"/>
      <c r="G717" s="55"/>
      <c r="H717" s="55"/>
      <c r="I717" s="55"/>
      <c r="J717" s="55"/>
      <c r="K717" s="65"/>
      <c r="L717" s="65"/>
      <c r="M717" s="65"/>
      <c r="N717" s="537"/>
      <c r="O717"/>
      <c r="P717" s="260"/>
      <c r="Q717"/>
      <c r="R717"/>
    </row>
    <row r="718" spans="2:18" x14ac:dyDescent="0.2">
      <c r="B718" s="106"/>
      <c r="C718" s="232"/>
      <c r="D718" s="261"/>
      <c r="E718" s="133"/>
      <c r="F718" s="8"/>
      <c r="G718" s="55"/>
      <c r="H718" s="55"/>
      <c r="I718" s="55"/>
      <c r="J718" s="55"/>
      <c r="K718" s="65"/>
      <c r="L718" s="65"/>
      <c r="M718" s="65"/>
      <c r="N718" s="537"/>
      <c r="O718"/>
      <c r="P718" s="260"/>
      <c r="Q718"/>
      <c r="R718"/>
    </row>
    <row r="719" spans="2:18" x14ac:dyDescent="0.2">
      <c r="B719" s="106"/>
      <c r="C719" s="232"/>
      <c r="D719" s="261"/>
      <c r="E719" s="133"/>
      <c r="F719" s="8"/>
      <c r="G719" s="55"/>
      <c r="H719" s="55"/>
      <c r="I719" s="55"/>
      <c r="J719" s="55"/>
      <c r="K719" s="65"/>
      <c r="L719" s="65"/>
      <c r="M719" s="65"/>
      <c r="N719" s="537"/>
      <c r="O719"/>
      <c r="P719" s="260"/>
      <c r="Q719"/>
      <c r="R719"/>
    </row>
    <row r="720" spans="2:18" x14ac:dyDescent="0.2">
      <c r="B720" s="106"/>
      <c r="C720" s="232"/>
      <c r="D720" s="261"/>
      <c r="E720" s="133"/>
      <c r="F720" s="8"/>
      <c r="G720" s="55"/>
      <c r="H720" s="55"/>
      <c r="I720" s="55"/>
      <c r="J720" s="55"/>
      <c r="K720" s="65"/>
      <c r="L720" s="65"/>
      <c r="M720" s="65"/>
      <c r="N720" s="537"/>
      <c r="O720"/>
      <c r="P720" s="260"/>
      <c r="Q720"/>
      <c r="R720"/>
    </row>
    <row r="721" spans="2:18" x14ac:dyDescent="0.2">
      <c r="B721" s="106"/>
      <c r="C721" s="232"/>
      <c r="D721" s="261"/>
      <c r="E721" s="133"/>
      <c r="F721" s="8"/>
      <c r="G721" s="55"/>
      <c r="H721" s="55"/>
      <c r="I721" s="55"/>
      <c r="J721" s="55"/>
      <c r="K721" s="65"/>
      <c r="L721" s="65"/>
      <c r="M721" s="65"/>
      <c r="N721" s="537"/>
      <c r="O721"/>
      <c r="P721" s="260"/>
      <c r="Q721"/>
      <c r="R721"/>
    </row>
    <row r="722" spans="2:18" x14ac:dyDescent="0.2">
      <c r="B722" s="106"/>
      <c r="C722" s="232"/>
      <c r="D722" s="261"/>
      <c r="E722" s="133"/>
      <c r="F722" s="8"/>
      <c r="G722" s="55"/>
      <c r="H722" s="55"/>
      <c r="I722" s="55"/>
      <c r="J722" s="55"/>
      <c r="K722" s="65"/>
      <c r="L722" s="65"/>
      <c r="M722" s="65"/>
      <c r="N722" s="537"/>
      <c r="O722"/>
      <c r="P722" s="260"/>
      <c r="Q722"/>
      <c r="R722"/>
    </row>
    <row r="723" spans="2:18" x14ac:dyDescent="0.2">
      <c r="B723" s="106"/>
      <c r="C723" s="232"/>
      <c r="D723" s="261"/>
      <c r="E723" s="133"/>
      <c r="F723" s="8"/>
      <c r="G723" s="55"/>
      <c r="H723" s="55"/>
      <c r="I723" s="55"/>
      <c r="J723" s="55"/>
      <c r="K723" s="65"/>
      <c r="L723" s="65"/>
      <c r="M723" s="65"/>
      <c r="N723" s="537"/>
      <c r="O723"/>
      <c r="P723" s="260"/>
      <c r="Q723"/>
      <c r="R723"/>
    </row>
    <row r="724" spans="2:18" x14ac:dyDescent="0.2">
      <c r="B724" s="106"/>
      <c r="C724" s="232"/>
      <c r="D724" s="261"/>
      <c r="E724" s="133"/>
      <c r="F724" s="8"/>
      <c r="G724" s="55"/>
      <c r="H724" s="55"/>
      <c r="I724" s="55"/>
      <c r="J724" s="55"/>
      <c r="K724" s="65"/>
      <c r="L724" s="65"/>
      <c r="M724" s="65"/>
      <c r="N724" s="537"/>
      <c r="O724"/>
      <c r="P724" s="260"/>
      <c r="Q724"/>
      <c r="R724"/>
    </row>
    <row r="725" spans="2:18" x14ac:dyDescent="0.2">
      <c r="B725" s="106"/>
      <c r="C725" s="232"/>
      <c r="D725" s="261"/>
      <c r="E725" s="133"/>
      <c r="F725" s="8"/>
      <c r="G725" s="55"/>
      <c r="H725" s="55"/>
      <c r="I725" s="55"/>
      <c r="J725" s="55"/>
      <c r="K725" s="65"/>
      <c r="L725" s="65"/>
      <c r="M725" s="65"/>
      <c r="N725" s="537"/>
      <c r="O725"/>
      <c r="P725" s="260"/>
      <c r="Q725"/>
      <c r="R725"/>
    </row>
    <row r="726" spans="2:18" x14ac:dyDescent="0.2">
      <c r="B726" s="106"/>
      <c r="C726" s="232"/>
      <c r="D726" s="261"/>
      <c r="E726" s="133"/>
      <c r="F726" s="8"/>
      <c r="G726" s="55"/>
      <c r="H726" s="55"/>
      <c r="I726" s="55"/>
      <c r="J726" s="55"/>
      <c r="K726" s="65"/>
      <c r="L726" s="65"/>
      <c r="M726" s="65"/>
      <c r="N726" s="537"/>
      <c r="O726"/>
      <c r="P726" s="260"/>
      <c r="Q726"/>
      <c r="R726"/>
    </row>
    <row r="727" spans="2:18" x14ac:dyDescent="0.2">
      <c r="B727" s="106"/>
      <c r="C727" s="232"/>
      <c r="D727" s="261"/>
      <c r="E727" s="133"/>
      <c r="F727" s="8"/>
      <c r="G727" s="55"/>
      <c r="H727" s="55"/>
      <c r="I727" s="55"/>
      <c r="J727" s="55"/>
      <c r="K727" s="65"/>
      <c r="L727" s="65"/>
      <c r="M727" s="65"/>
      <c r="N727" s="537"/>
      <c r="O727"/>
      <c r="P727" s="260"/>
      <c r="Q727"/>
      <c r="R727"/>
    </row>
    <row r="728" spans="2:18" x14ac:dyDescent="0.2">
      <c r="B728" s="106"/>
      <c r="C728" s="232"/>
      <c r="D728" s="261"/>
      <c r="E728" s="133"/>
      <c r="F728" s="8"/>
      <c r="G728" s="55"/>
      <c r="H728" s="55"/>
      <c r="I728" s="55"/>
      <c r="J728" s="55"/>
      <c r="K728" s="65"/>
      <c r="L728" s="65"/>
      <c r="M728" s="65"/>
      <c r="N728" s="537"/>
      <c r="O728"/>
      <c r="P728" s="260"/>
      <c r="Q728"/>
      <c r="R728"/>
    </row>
    <row r="729" spans="2:18" x14ac:dyDescent="0.2">
      <c r="B729" s="106"/>
      <c r="C729" s="232"/>
      <c r="D729" s="261"/>
      <c r="E729" s="133"/>
      <c r="F729" s="8"/>
      <c r="G729" s="55"/>
      <c r="H729" s="55"/>
      <c r="I729" s="55"/>
      <c r="J729" s="55"/>
      <c r="K729" s="65"/>
      <c r="L729" s="65"/>
      <c r="M729" s="65"/>
      <c r="N729" s="537"/>
      <c r="O729"/>
      <c r="P729" s="260"/>
      <c r="Q729"/>
      <c r="R729"/>
    </row>
    <row r="730" spans="2:18" x14ac:dyDescent="0.2">
      <c r="B730" s="106"/>
      <c r="C730" s="232"/>
      <c r="D730" s="261"/>
      <c r="E730" s="133"/>
      <c r="F730" s="8"/>
      <c r="G730" s="55"/>
      <c r="H730" s="55"/>
      <c r="I730" s="55"/>
      <c r="J730" s="55"/>
      <c r="K730" s="65"/>
      <c r="L730" s="65"/>
      <c r="M730" s="65"/>
      <c r="N730" s="537"/>
      <c r="O730"/>
      <c r="P730" s="260"/>
      <c r="Q730"/>
      <c r="R730"/>
    </row>
    <row r="731" spans="2:18" x14ac:dyDescent="0.2">
      <c r="B731" s="106"/>
      <c r="C731" s="232"/>
      <c r="D731" s="261"/>
      <c r="E731" s="133"/>
      <c r="F731" s="8"/>
      <c r="G731" s="55"/>
      <c r="H731" s="55"/>
      <c r="I731" s="55"/>
      <c r="J731" s="55"/>
      <c r="K731" s="65"/>
      <c r="L731" s="65"/>
      <c r="M731" s="65"/>
      <c r="N731" s="537"/>
      <c r="O731"/>
      <c r="P731" s="260"/>
      <c r="Q731"/>
      <c r="R731"/>
    </row>
    <row r="732" spans="2:18" x14ac:dyDescent="0.2">
      <c r="B732" s="106"/>
      <c r="C732" s="232"/>
      <c r="D732" s="261"/>
      <c r="E732" s="133"/>
      <c r="F732" s="8"/>
      <c r="G732" s="55"/>
      <c r="H732" s="55"/>
      <c r="I732" s="55"/>
      <c r="J732" s="55"/>
      <c r="K732" s="65"/>
      <c r="L732" s="65"/>
      <c r="M732" s="65"/>
      <c r="N732" s="537"/>
      <c r="O732"/>
      <c r="P732" s="260"/>
      <c r="Q732"/>
      <c r="R732"/>
    </row>
    <row r="733" spans="2:18" x14ac:dyDescent="0.2">
      <c r="B733" s="106"/>
      <c r="C733" s="232"/>
      <c r="D733" s="261"/>
      <c r="E733" s="133"/>
      <c r="F733" s="8"/>
      <c r="G733" s="55"/>
      <c r="H733" s="55"/>
      <c r="I733" s="55"/>
      <c r="J733" s="55"/>
      <c r="K733" s="65"/>
      <c r="L733" s="65"/>
      <c r="M733" s="65"/>
      <c r="N733" s="537"/>
      <c r="O733"/>
      <c r="P733" s="260"/>
      <c r="Q733"/>
      <c r="R733"/>
    </row>
    <row r="734" spans="2:18" x14ac:dyDescent="0.2">
      <c r="B734" s="106"/>
      <c r="C734" s="232"/>
      <c r="D734" s="261"/>
      <c r="E734" s="133"/>
      <c r="F734" s="8"/>
      <c r="G734" s="55"/>
      <c r="H734" s="55"/>
      <c r="I734" s="55"/>
      <c r="J734" s="55"/>
      <c r="K734" s="65"/>
      <c r="L734" s="65"/>
      <c r="M734" s="65"/>
      <c r="N734" s="537"/>
      <c r="O734"/>
      <c r="P734" s="260"/>
      <c r="Q734"/>
      <c r="R734"/>
    </row>
    <row r="735" spans="2:18" x14ac:dyDescent="0.2">
      <c r="B735" s="106"/>
      <c r="C735" s="232"/>
      <c r="D735" s="261"/>
      <c r="E735" s="133"/>
      <c r="F735" s="8"/>
      <c r="G735" s="55"/>
      <c r="H735" s="55"/>
      <c r="I735" s="55"/>
      <c r="J735" s="55"/>
      <c r="K735" s="65"/>
      <c r="L735" s="65"/>
      <c r="M735" s="65"/>
      <c r="N735" s="537"/>
      <c r="O735"/>
      <c r="P735" s="260"/>
      <c r="Q735"/>
      <c r="R735"/>
    </row>
    <row r="736" spans="2:18" x14ac:dyDescent="0.2">
      <c r="B736" s="106"/>
      <c r="C736" s="232"/>
      <c r="D736" s="261"/>
      <c r="E736" s="133"/>
      <c r="F736" s="8"/>
      <c r="G736" s="55"/>
      <c r="H736" s="55"/>
      <c r="I736" s="55"/>
      <c r="J736" s="55"/>
      <c r="K736" s="65"/>
      <c r="L736" s="65"/>
      <c r="M736" s="65"/>
      <c r="N736" s="537"/>
      <c r="O736"/>
      <c r="P736" s="260"/>
      <c r="Q736"/>
      <c r="R736"/>
    </row>
    <row r="737" spans="2:18" x14ac:dyDescent="0.2">
      <c r="B737" s="106"/>
      <c r="C737" s="232"/>
      <c r="D737" s="261"/>
      <c r="E737" s="133"/>
      <c r="F737" s="8"/>
      <c r="G737" s="55"/>
      <c r="H737" s="55"/>
      <c r="I737" s="55"/>
      <c r="J737" s="55"/>
      <c r="K737" s="65"/>
      <c r="L737" s="65"/>
      <c r="M737" s="65"/>
      <c r="N737" s="537"/>
      <c r="O737"/>
      <c r="P737" s="260"/>
      <c r="Q737"/>
      <c r="R737"/>
    </row>
    <row r="738" spans="2:18" x14ac:dyDescent="0.2">
      <c r="B738" s="106"/>
      <c r="C738" s="232"/>
      <c r="D738" s="261"/>
      <c r="E738" s="133"/>
      <c r="F738" s="8"/>
      <c r="G738" s="55"/>
      <c r="H738" s="55"/>
      <c r="I738" s="55"/>
      <c r="J738" s="55"/>
      <c r="K738" s="65"/>
      <c r="L738" s="65"/>
      <c r="M738" s="65"/>
      <c r="N738" s="537"/>
      <c r="O738"/>
      <c r="P738" s="260"/>
      <c r="Q738"/>
      <c r="R738"/>
    </row>
    <row r="739" spans="2:18" x14ac:dyDescent="0.2">
      <c r="B739" s="106"/>
      <c r="C739" s="232"/>
      <c r="D739" s="261"/>
      <c r="E739" s="133"/>
      <c r="F739" s="8"/>
      <c r="G739" s="55"/>
      <c r="H739" s="55"/>
      <c r="I739" s="55"/>
      <c r="J739" s="55"/>
      <c r="K739" s="65"/>
      <c r="L739" s="65"/>
      <c r="M739" s="65"/>
      <c r="N739" s="537"/>
      <c r="O739"/>
      <c r="P739" s="260"/>
      <c r="Q739"/>
      <c r="R739"/>
    </row>
    <row r="740" spans="2:18" x14ac:dyDescent="0.2">
      <c r="B740" s="106"/>
      <c r="C740" s="232"/>
      <c r="D740" s="261"/>
      <c r="E740" s="133"/>
      <c r="F740" s="8"/>
      <c r="G740" s="55"/>
      <c r="H740" s="55"/>
      <c r="I740" s="55"/>
      <c r="J740" s="55"/>
      <c r="K740" s="65"/>
      <c r="L740" s="65"/>
      <c r="M740" s="65"/>
      <c r="N740" s="537"/>
      <c r="O740"/>
      <c r="P740" s="260"/>
      <c r="Q740"/>
      <c r="R740"/>
    </row>
    <row r="741" spans="2:18" x14ac:dyDescent="0.2">
      <c r="B741" s="106"/>
      <c r="C741" s="232"/>
      <c r="D741" s="261"/>
      <c r="E741" s="133"/>
      <c r="F741" s="8"/>
      <c r="G741" s="55"/>
      <c r="H741" s="55"/>
      <c r="I741" s="55"/>
      <c r="J741" s="55"/>
      <c r="K741" s="65"/>
      <c r="L741" s="65"/>
      <c r="M741" s="65"/>
      <c r="N741" s="537"/>
      <c r="O741"/>
      <c r="P741" s="260"/>
      <c r="Q741"/>
      <c r="R741"/>
    </row>
    <row r="742" spans="2:18" x14ac:dyDescent="0.2">
      <c r="B742" s="106"/>
      <c r="C742" s="232"/>
      <c r="D742" s="261"/>
      <c r="E742" s="133"/>
      <c r="F742" s="8"/>
      <c r="G742" s="55"/>
      <c r="H742" s="55"/>
      <c r="I742" s="55"/>
      <c r="J742" s="55"/>
      <c r="K742" s="65"/>
      <c r="L742" s="65"/>
      <c r="M742" s="65"/>
      <c r="N742" s="537"/>
      <c r="O742"/>
      <c r="P742" s="260"/>
      <c r="Q742"/>
      <c r="R742"/>
    </row>
    <row r="743" spans="2:18" x14ac:dyDescent="0.2">
      <c r="B743" s="106"/>
      <c r="C743" s="232"/>
      <c r="D743" s="261"/>
      <c r="E743" s="133"/>
      <c r="F743" s="8"/>
      <c r="G743" s="55"/>
      <c r="H743" s="55"/>
      <c r="I743" s="55"/>
      <c r="J743" s="55"/>
      <c r="K743" s="65"/>
      <c r="L743" s="65"/>
      <c r="M743" s="65"/>
      <c r="N743" s="537"/>
      <c r="O743"/>
      <c r="P743" s="260"/>
      <c r="Q743"/>
      <c r="R743"/>
    </row>
    <row r="744" spans="2:18" x14ac:dyDescent="0.2">
      <c r="B744" s="106"/>
      <c r="C744" s="232"/>
      <c r="D744" s="261"/>
      <c r="E744" s="133"/>
      <c r="F744" s="8"/>
      <c r="G744" s="55"/>
      <c r="H744" s="55"/>
      <c r="I744" s="55"/>
      <c r="J744" s="55"/>
      <c r="K744" s="65"/>
      <c r="L744" s="65"/>
      <c r="M744" s="65"/>
      <c r="N744" s="537"/>
      <c r="O744"/>
      <c r="P744" s="260"/>
      <c r="Q744"/>
      <c r="R744"/>
    </row>
    <row r="745" spans="2:18" x14ac:dyDescent="0.2">
      <c r="B745" s="106"/>
      <c r="C745" s="232"/>
      <c r="D745" s="261"/>
      <c r="E745" s="133"/>
      <c r="F745" s="8"/>
      <c r="G745" s="55"/>
      <c r="H745" s="55"/>
      <c r="I745" s="55"/>
      <c r="J745" s="55"/>
      <c r="K745" s="65"/>
      <c r="L745" s="65"/>
      <c r="M745" s="65"/>
      <c r="N745" s="537"/>
      <c r="O745"/>
      <c r="P745" s="260"/>
      <c r="Q745"/>
      <c r="R745"/>
    </row>
    <row r="746" spans="2:18" x14ac:dyDescent="0.2">
      <c r="B746" s="106"/>
      <c r="C746" s="232"/>
      <c r="D746" s="261"/>
      <c r="E746" s="133"/>
      <c r="F746" s="8"/>
      <c r="G746" s="55"/>
      <c r="H746" s="55"/>
      <c r="I746" s="55"/>
      <c r="J746" s="55"/>
      <c r="K746" s="65"/>
      <c r="L746" s="65"/>
      <c r="M746" s="65"/>
      <c r="N746" s="537"/>
      <c r="O746"/>
      <c r="P746" s="260"/>
      <c r="Q746"/>
      <c r="R746"/>
    </row>
    <row r="747" spans="2:18" x14ac:dyDescent="0.2">
      <c r="B747" s="106"/>
      <c r="C747" s="232"/>
      <c r="D747" s="261"/>
      <c r="E747" s="133"/>
      <c r="F747" s="8"/>
      <c r="G747" s="55"/>
      <c r="H747" s="55"/>
      <c r="I747" s="55"/>
      <c r="J747" s="55"/>
      <c r="K747" s="65"/>
      <c r="L747" s="65"/>
      <c r="M747" s="65"/>
      <c r="N747" s="537"/>
      <c r="O747"/>
      <c r="P747" s="260"/>
      <c r="Q747"/>
      <c r="R747"/>
    </row>
    <row r="748" spans="2:18" x14ac:dyDescent="0.2">
      <c r="B748" s="106"/>
      <c r="C748" s="232"/>
      <c r="D748" s="261"/>
      <c r="E748" s="133"/>
      <c r="F748" s="8"/>
      <c r="G748" s="55"/>
      <c r="H748" s="55"/>
      <c r="I748" s="55"/>
      <c r="J748" s="55"/>
      <c r="K748" s="65"/>
      <c r="L748" s="65"/>
      <c r="M748" s="65"/>
      <c r="N748" s="537"/>
      <c r="O748"/>
      <c r="P748" s="260"/>
      <c r="Q748"/>
      <c r="R748"/>
    </row>
    <row r="749" spans="2:18" x14ac:dyDescent="0.2">
      <c r="B749" s="106"/>
      <c r="C749" s="232"/>
      <c r="D749" s="261"/>
      <c r="E749" s="133"/>
      <c r="F749" s="8"/>
      <c r="G749" s="55"/>
      <c r="H749" s="55"/>
      <c r="I749" s="55"/>
      <c r="J749" s="55"/>
      <c r="K749" s="65"/>
      <c r="L749" s="65"/>
      <c r="M749" s="65"/>
      <c r="N749" s="537"/>
      <c r="O749"/>
      <c r="P749" s="260"/>
      <c r="Q749"/>
      <c r="R749"/>
    </row>
    <row r="750" spans="2:18" x14ac:dyDescent="0.2">
      <c r="B750" s="106"/>
      <c r="C750" s="232"/>
      <c r="D750" s="261"/>
      <c r="E750" s="133"/>
      <c r="F750" s="8"/>
      <c r="G750" s="55"/>
      <c r="H750" s="55"/>
      <c r="I750" s="55"/>
      <c r="J750" s="55"/>
      <c r="K750" s="65"/>
      <c r="L750" s="65"/>
      <c r="M750" s="65"/>
      <c r="N750" s="537"/>
      <c r="O750"/>
      <c r="P750" s="260"/>
      <c r="Q750"/>
      <c r="R750"/>
    </row>
    <row r="751" spans="2:18" x14ac:dyDescent="0.2">
      <c r="B751" s="106"/>
      <c r="C751" s="232"/>
      <c r="D751" s="261"/>
      <c r="E751" s="133"/>
      <c r="F751" s="8"/>
      <c r="G751" s="55"/>
      <c r="H751" s="55"/>
      <c r="I751" s="55"/>
      <c r="J751" s="55"/>
      <c r="K751" s="65"/>
      <c r="L751" s="65"/>
      <c r="M751" s="65"/>
      <c r="N751" s="537"/>
      <c r="O751"/>
      <c r="P751" s="260"/>
      <c r="Q751"/>
      <c r="R751"/>
    </row>
    <row r="752" spans="2:18" x14ac:dyDescent="0.2">
      <c r="B752" s="106"/>
      <c r="C752" s="232"/>
      <c r="D752" s="261"/>
      <c r="E752" s="133"/>
      <c r="F752" s="8"/>
      <c r="G752" s="55"/>
      <c r="H752" s="55"/>
      <c r="I752" s="55"/>
      <c r="J752" s="55"/>
      <c r="K752" s="65"/>
      <c r="L752" s="65"/>
      <c r="M752" s="65"/>
      <c r="N752" s="537"/>
      <c r="O752"/>
      <c r="P752" s="260"/>
      <c r="Q752"/>
      <c r="R752"/>
    </row>
    <row r="753" spans="2:18" x14ac:dyDescent="0.2">
      <c r="B753" s="106"/>
      <c r="C753" s="232"/>
      <c r="D753" s="261"/>
      <c r="E753" s="133"/>
      <c r="F753" s="8"/>
      <c r="G753" s="55"/>
      <c r="H753" s="55"/>
      <c r="I753" s="55"/>
      <c r="J753" s="55"/>
      <c r="K753" s="65"/>
      <c r="L753" s="65"/>
      <c r="M753" s="65"/>
      <c r="N753" s="537"/>
      <c r="O753"/>
      <c r="P753" s="260"/>
      <c r="Q753"/>
      <c r="R753"/>
    </row>
    <row r="754" spans="2:18" x14ac:dyDescent="0.2">
      <c r="B754" s="106"/>
      <c r="C754" s="232"/>
      <c r="D754" s="261"/>
      <c r="E754" s="133"/>
      <c r="F754" s="8"/>
      <c r="G754" s="55"/>
      <c r="H754" s="55"/>
      <c r="I754" s="55"/>
      <c r="J754" s="55"/>
      <c r="K754" s="65"/>
      <c r="L754" s="65"/>
      <c r="M754" s="65"/>
      <c r="N754" s="537"/>
      <c r="O754"/>
      <c r="P754" s="260"/>
      <c r="Q754"/>
      <c r="R754"/>
    </row>
    <row r="755" spans="2:18" x14ac:dyDescent="0.2">
      <c r="B755" s="106"/>
      <c r="C755" s="232"/>
      <c r="D755" s="261"/>
      <c r="E755" s="133"/>
      <c r="F755" s="8"/>
      <c r="G755" s="55"/>
      <c r="H755" s="55"/>
      <c r="I755" s="55"/>
      <c r="J755" s="55"/>
      <c r="K755" s="65"/>
      <c r="L755" s="65"/>
      <c r="M755" s="65"/>
      <c r="N755" s="537"/>
      <c r="O755"/>
      <c r="P755" s="260"/>
      <c r="Q755"/>
      <c r="R755"/>
    </row>
    <row r="756" spans="2:18" x14ac:dyDescent="0.2">
      <c r="B756" s="106"/>
      <c r="C756" s="232"/>
      <c r="D756" s="261"/>
      <c r="E756" s="133"/>
      <c r="F756" s="8"/>
      <c r="G756" s="55"/>
      <c r="H756" s="55"/>
      <c r="I756" s="55"/>
      <c r="J756" s="55"/>
      <c r="K756" s="65"/>
      <c r="L756" s="65"/>
      <c r="M756" s="65"/>
      <c r="N756" s="537"/>
      <c r="O756"/>
      <c r="P756" s="260"/>
      <c r="Q756"/>
      <c r="R756"/>
    </row>
    <row r="757" spans="2:18" x14ac:dyDescent="0.2">
      <c r="B757" s="106"/>
      <c r="C757" s="232"/>
      <c r="D757" s="261"/>
      <c r="E757" s="133"/>
      <c r="F757" s="8"/>
      <c r="G757" s="55"/>
      <c r="H757" s="55"/>
      <c r="I757" s="55"/>
      <c r="J757" s="55"/>
      <c r="K757" s="65"/>
      <c r="L757" s="65"/>
      <c r="M757" s="65"/>
      <c r="N757" s="537"/>
      <c r="O757"/>
      <c r="P757" s="260"/>
      <c r="Q757"/>
      <c r="R757"/>
    </row>
    <row r="758" spans="2:18" x14ac:dyDescent="0.2">
      <c r="B758" s="106"/>
      <c r="C758" s="232"/>
      <c r="D758" s="261"/>
      <c r="E758" s="133"/>
      <c r="F758" s="8"/>
      <c r="G758" s="55"/>
      <c r="H758" s="55"/>
      <c r="I758" s="55"/>
      <c r="J758" s="55"/>
      <c r="K758" s="65"/>
      <c r="L758" s="65"/>
      <c r="M758" s="65"/>
      <c r="N758" s="537"/>
      <c r="O758"/>
      <c r="P758" s="260"/>
      <c r="Q758"/>
      <c r="R758"/>
    </row>
    <row r="759" spans="2:18" x14ac:dyDescent="0.2">
      <c r="B759" s="106"/>
      <c r="C759" s="232"/>
      <c r="D759" s="261"/>
      <c r="E759" s="133"/>
      <c r="F759" s="8"/>
      <c r="G759" s="55"/>
      <c r="H759" s="55"/>
      <c r="I759" s="55"/>
      <c r="J759" s="55"/>
      <c r="K759" s="65"/>
      <c r="L759" s="65"/>
      <c r="M759" s="65"/>
      <c r="N759" s="537"/>
      <c r="O759"/>
      <c r="P759" s="260"/>
      <c r="Q759"/>
      <c r="R759"/>
    </row>
    <row r="760" spans="2:18" x14ac:dyDescent="0.2">
      <c r="B760" s="106"/>
      <c r="C760" s="232"/>
      <c r="D760" s="261"/>
      <c r="E760" s="133"/>
      <c r="F760" s="8"/>
      <c r="G760" s="55"/>
      <c r="H760" s="55"/>
      <c r="I760" s="55"/>
      <c r="J760" s="55"/>
      <c r="K760" s="65"/>
      <c r="L760" s="65"/>
      <c r="M760" s="65"/>
      <c r="N760" s="537"/>
      <c r="O760"/>
      <c r="P760" s="260"/>
      <c r="Q760"/>
      <c r="R760"/>
    </row>
    <row r="761" spans="2:18" x14ac:dyDescent="0.2">
      <c r="B761" s="106"/>
      <c r="C761" s="232"/>
      <c r="D761" s="261"/>
      <c r="E761" s="133"/>
      <c r="F761" s="8"/>
      <c r="G761" s="55"/>
      <c r="H761" s="55"/>
      <c r="I761" s="55"/>
      <c r="J761" s="55"/>
      <c r="K761" s="65"/>
      <c r="L761" s="65"/>
      <c r="M761" s="65"/>
      <c r="N761" s="537"/>
      <c r="O761"/>
      <c r="P761" s="260"/>
      <c r="Q761"/>
      <c r="R761"/>
    </row>
    <row r="762" spans="2:18" x14ac:dyDescent="0.2">
      <c r="B762" s="106"/>
      <c r="C762" s="232"/>
      <c r="D762" s="261"/>
      <c r="E762" s="133"/>
      <c r="F762" s="8"/>
      <c r="G762" s="55"/>
      <c r="H762" s="55"/>
      <c r="I762" s="55"/>
      <c r="J762" s="55"/>
      <c r="K762" s="65"/>
      <c r="L762" s="65"/>
      <c r="M762" s="65"/>
      <c r="N762" s="537"/>
      <c r="O762"/>
      <c r="P762" s="260"/>
      <c r="Q762"/>
      <c r="R762"/>
    </row>
    <row r="763" spans="2:18" x14ac:dyDescent="0.2">
      <c r="B763" s="106"/>
      <c r="C763" s="232"/>
      <c r="D763" s="261"/>
      <c r="E763" s="133"/>
      <c r="F763" s="8"/>
      <c r="G763" s="55"/>
      <c r="H763" s="55"/>
      <c r="I763" s="55"/>
      <c r="J763" s="55"/>
      <c r="K763" s="65"/>
      <c r="L763" s="65"/>
      <c r="M763" s="65"/>
      <c r="N763" s="537"/>
      <c r="O763"/>
      <c r="P763" s="260"/>
      <c r="Q763"/>
      <c r="R763"/>
    </row>
    <row r="764" spans="2:18" x14ac:dyDescent="0.2">
      <c r="B764" s="106"/>
      <c r="C764" s="232"/>
      <c r="D764" s="261"/>
      <c r="E764" s="133"/>
      <c r="F764" s="8"/>
      <c r="G764" s="55"/>
      <c r="H764" s="55"/>
      <c r="I764" s="55"/>
      <c r="J764" s="55"/>
      <c r="K764" s="65"/>
      <c r="L764" s="65"/>
      <c r="M764" s="65"/>
      <c r="N764" s="537"/>
      <c r="O764"/>
      <c r="P764" s="260"/>
      <c r="Q764"/>
      <c r="R764"/>
    </row>
    <row r="765" spans="2:18" x14ac:dyDescent="0.2">
      <c r="B765" s="106"/>
      <c r="C765" s="232"/>
      <c r="D765" s="261"/>
      <c r="E765" s="133"/>
      <c r="F765" s="8"/>
      <c r="G765" s="55"/>
      <c r="H765" s="55"/>
      <c r="I765" s="55"/>
      <c r="J765" s="55"/>
      <c r="K765" s="65"/>
      <c r="L765" s="65"/>
      <c r="M765" s="65"/>
      <c r="N765" s="537"/>
      <c r="O765"/>
      <c r="P765" s="260"/>
      <c r="Q765"/>
      <c r="R765"/>
    </row>
    <row r="766" spans="2:18" x14ac:dyDescent="0.2">
      <c r="B766" s="106"/>
      <c r="C766" s="232"/>
      <c r="D766" s="261"/>
      <c r="E766" s="133"/>
      <c r="F766" s="8"/>
      <c r="G766" s="55"/>
      <c r="H766" s="55"/>
      <c r="I766" s="55"/>
      <c r="J766" s="55"/>
      <c r="K766" s="65"/>
      <c r="L766" s="65"/>
      <c r="M766" s="65"/>
      <c r="N766" s="537"/>
      <c r="O766"/>
      <c r="P766" s="260"/>
      <c r="Q766"/>
      <c r="R766"/>
    </row>
    <row r="767" spans="2:18" x14ac:dyDescent="0.2">
      <c r="B767" s="106"/>
      <c r="C767" s="232"/>
      <c r="D767" s="261"/>
      <c r="E767" s="133"/>
      <c r="F767" s="8"/>
      <c r="G767" s="55"/>
      <c r="H767" s="55"/>
      <c r="I767" s="55"/>
      <c r="J767" s="55"/>
      <c r="K767" s="65"/>
      <c r="L767" s="65"/>
      <c r="M767" s="65"/>
      <c r="N767" s="537"/>
      <c r="O767"/>
      <c r="P767" s="260"/>
      <c r="Q767"/>
      <c r="R767"/>
    </row>
    <row r="768" spans="2:18" x14ac:dyDescent="0.2">
      <c r="B768" s="106"/>
      <c r="C768" s="232"/>
      <c r="D768" s="261"/>
      <c r="E768" s="133"/>
      <c r="F768" s="8"/>
      <c r="G768" s="55"/>
      <c r="H768" s="55"/>
      <c r="I768" s="55"/>
      <c r="J768" s="55"/>
      <c r="K768" s="65"/>
      <c r="L768" s="65"/>
      <c r="M768" s="65"/>
      <c r="N768" s="537"/>
      <c r="O768"/>
      <c r="P768" s="260"/>
      <c r="Q768"/>
      <c r="R768"/>
    </row>
    <row r="769" spans="2:18" x14ac:dyDescent="0.2">
      <c r="B769" s="106"/>
      <c r="C769" s="232"/>
      <c r="D769" s="261"/>
      <c r="E769" s="133"/>
      <c r="F769" s="8"/>
      <c r="G769" s="55"/>
      <c r="H769" s="55"/>
      <c r="I769" s="55"/>
      <c r="J769" s="55"/>
      <c r="K769" s="65"/>
      <c r="L769" s="65"/>
      <c r="M769" s="65"/>
      <c r="N769" s="537"/>
      <c r="O769"/>
      <c r="P769" s="260"/>
      <c r="Q769"/>
      <c r="R769"/>
    </row>
    <row r="770" spans="2:18" x14ac:dyDescent="0.2">
      <c r="B770" s="106"/>
      <c r="C770" s="232"/>
      <c r="D770" s="261"/>
      <c r="E770" s="133"/>
      <c r="F770" s="8"/>
      <c r="G770" s="55"/>
      <c r="H770" s="55"/>
      <c r="I770" s="55"/>
      <c r="J770" s="55"/>
      <c r="K770" s="65"/>
      <c r="L770" s="65"/>
      <c r="M770" s="65"/>
      <c r="N770" s="537"/>
      <c r="O770"/>
      <c r="P770" s="260"/>
      <c r="Q770"/>
      <c r="R770"/>
    </row>
    <row r="771" spans="2:18" x14ac:dyDescent="0.2">
      <c r="B771" s="106"/>
      <c r="C771" s="232"/>
      <c r="D771" s="261"/>
      <c r="E771" s="133"/>
      <c r="F771" s="8"/>
      <c r="G771" s="55"/>
      <c r="H771" s="55"/>
      <c r="I771" s="55"/>
      <c r="J771" s="55"/>
      <c r="K771" s="65"/>
      <c r="L771" s="65"/>
      <c r="M771" s="65"/>
      <c r="N771" s="537"/>
      <c r="O771"/>
      <c r="P771" s="260"/>
      <c r="Q771"/>
      <c r="R771"/>
    </row>
    <row r="772" spans="2:18" x14ac:dyDescent="0.2">
      <c r="B772" s="106"/>
      <c r="C772" s="232"/>
      <c r="D772" s="261"/>
      <c r="E772" s="133"/>
      <c r="F772" s="8"/>
      <c r="G772" s="55"/>
      <c r="H772" s="55"/>
      <c r="I772" s="55"/>
      <c r="J772" s="55"/>
      <c r="K772" s="65"/>
      <c r="L772" s="65"/>
      <c r="M772" s="65"/>
      <c r="N772" s="537"/>
      <c r="O772"/>
      <c r="P772" s="260"/>
      <c r="Q772"/>
      <c r="R772"/>
    </row>
    <row r="773" spans="2:18" x14ac:dyDescent="0.2">
      <c r="B773" s="106"/>
      <c r="C773" s="232"/>
      <c r="D773" s="261"/>
      <c r="E773" s="133"/>
      <c r="F773" s="8"/>
      <c r="G773" s="55"/>
      <c r="H773" s="55"/>
      <c r="I773" s="55"/>
      <c r="J773" s="55"/>
      <c r="K773" s="65"/>
      <c r="L773" s="65"/>
      <c r="M773" s="65"/>
      <c r="N773" s="537"/>
      <c r="O773"/>
      <c r="P773" s="260"/>
      <c r="Q773"/>
      <c r="R773"/>
    </row>
    <row r="774" spans="2:18" x14ac:dyDescent="0.2">
      <c r="B774" s="106"/>
      <c r="C774" s="232"/>
      <c r="D774" s="261"/>
      <c r="E774" s="133"/>
      <c r="F774" s="8"/>
      <c r="G774" s="55"/>
      <c r="H774" s="55"/>
      <c r="I774" s="55"/>
      <c r="J774" s="55"/>
      <c r="K774" s="65"/>
      <c r="L774" s="65"/>
      <c r="M774" s="65"/>
      <c r="N774" s="537"/>
      <c r="O774"/>
      <c r="P774" s="260"/>
      <c r="Q774"/>
      <c r="R774"/>
    </row>
    <row r="775" spans="2:18" x14ac:dyDescent="0.2">
      <c r="B775" s="106"/>
      <c r="C775" s="232"/>
      <c r="D775" s="261"/>
      <c r="E775" s="133"/>
      <c r="F775" s="8"/>
      <c r="G775" s="55"/>
      <c r="H775" s="55"/>
      <c r="I775" s="55"/>
      <c r="J775" s="55"/>
      <c r="K775" s="65"/>
      <c r="L775" s="65"/>
      <c r="M775" s="65"/>
      <c r="N775" s="537"/>
      <c r="O775"/>
      <c r="P775" s="260"/>
      <c r="Q775"/>
      <c r="R775"/>
    </row>
    <row r="776" spans="2:18" x14ac:dyDescent="0.2">
      <c r="B776" s="106"/>
      <c r="C776" s="232"/>
      <c r="D776" s="261"/>
      <c r="E776" s="133"/>
      <c r="F776" s="8"/>
      <c r="G776" s="55"/>
      <c r="H776" s="55"/>
      <c r="I776" s="55"/>
      <c r="J776" s="55"/>
      <c r="K776" s="65"/>
      <c r="L776" s="65"/>
      <c r="M776" s="65"/>
      <c r="N776" s="537"/>
      <c r="O776"/>
      <c r="P776" s="260"/>
      <c r="Q776"/>
      <c r="R776"/>
    </row>
    <row r="777" spans="2:18" x14ac:dyDescent="0.2">
      <c r="B777" s="106"/>
      <c r="C777" s="232"/>
      <c r="D777" s="261"/>
      <c r="E777" s="133"/>
      <c r="F777" s="8"/>
      <c r="G777" s="55"/>
      <c r="H777" s="55"/>
      <c r="I777" s="55"/>
      <c r="J777" s="55"/>
      <c r="K777" s="65"/>
      <c r="L777" s="65"/>
      <c r="M777" s="65"/>
      <c r="N777" s="537"/>
      <c r="O777"/>
      <c r="P777" s="260"/>
      <c r="Q777"/>
      <c r="R777"/>
    </row>
    <row r="778" spans="2:18" x14ac:dyDescent="0.2">
      <c r="B778" s="106"/>
      <c r="C778" s="232"/>
      <c r="D778" s="261"/>
      <c r="E778" s="133"/>
      <c r="F778" s="8"/>
      <c r="G778" s="55"/>
      <c r="H778" s="55"/>
      <c r="I778" s="55"/>
      <c r="J778" s="55"/>
      <c r="K778" s="65"/>
      <c r="L778" s="65"/>
      <c r="M778" s="65"/>
      <c r="N778" s="537"/>
      <c r="O778"/>
      <c r="P778" s="260"/>
      <c r="Q778"/>
      <c r="R778"/>
    </row>
    <row r="779" spans="2:18" x14ac:dyDescent="0.2">
      <c r="B779" s="106"/>
      <c r="C779" s="232"/>
      <c r="D779" s="261"/>
      <c r="E779" s="133"/>
      <c r="F779" s="8"/>
      <c r="G779" s="55"/>
      <c r="H779" s="55"/>
      <c r="I779" s="55"/>
      <c r="J779" s="55"/>
      <c r="K779" s="65"/>
      <c r="L779" s="65"/>
      <c r="M779" s="65"/>
      <c r="N779" s="537"/>
      <c r="O779"/>
      <c r="P779" s="260"/>
      <c r="Q779"/>
      <c r="R779"/>
    </row>
    <row r="780" spans="2:18" x14ac:dyDescent="0.2">
      <c r="B780" s="106"/>
      <c r="C780" s="232"/>
      <c r="D780" s="261"/>
      <c r="E780" s="133"/>
      <c r="F780" s="8"/>
      <c r="G780" s="55"/>
      <c r="H780" s="55"/>
      <c r="I780" s="55"/>
      <c r="J780" s="55"/>
      <c r="K780" s="65"/>
      <c r="L780" s="65"/>
      <c r="M780" s="65"/>
      <c r="N780" s="537"/>
      <c r="O780"/>
      <c r="P780" s="260"/>
      <c r="Q780"/>
      <c r="R780"/>
    </row>
    <row r="781" spans="2:18" x14ac:dyDescent="0.2">
      <c r="B781" s="106"/>
      <c r="C781" s="232"/>
      <c r="D781" s="261"/>
      <c r="E781" s="133"/>
      <c r="F781" s="8"/>
      <c r="G781" s="55"/>
      <c r="H781" s="55"/>
      <c r="I781" s="55"/>
      <c r="J781" s="55"/>
      <c r="K781" s="65"/>
      <c r="L781" s="65"/>
      <c r="M781" s="65"/>
      <c r="N781" s="537"/>
      <c r="O781"/>
      <c r="P781" s="260"/>
      <c r="Q781"/>
      <c r="R781"/>
    </row>
    <row r="782" spans="2:18" x14ac:dyDescent="0.2">
      <c r="B782" s="106"/>
      <c r="C782" s="232"/>
      <c r="D782" s="261"/>
      <c r="E782" s="133"/>
      <c r="F782" s="8"/>
      <c r="G782" s="55"/>
      <c r="H782" s="55"/>
      <c r="I782" s="55"/>
      <c r="J782" s="55"/>
      <c r="K782" s="65"/>
      <c r="L782" s="65"/>
      <c r="M782" s="65"/>
      <c r="N782" s="537"/>
      <c r="O782"/>
      <c r="P782" s="260"/>
      <c r="Q782"/>
      <c r="R782"/>
    </row>
    <row r="783" spans="2:18" x14ac:dyDescent="0.2">
      <c r="B783" s="106"/>
      <c r="C783" s="232"/>
      <c r="D783" s="261"/>
      <c r="E783" s="133"/>
      <c r="F783" s="8"/>
      <c r="G783" s="55"/>
      <c r="H783" s="55"/>
      <c r="I783" s="55"/>
      <c r="J783" s="55"/>
      <c r="K783" s="65"/>
      <c r="L783" s="65"/>
      <c r="M783" s="65"/>
      <c r="N783" s="537"/>
      <c r="O783"/>
      <c r="P783" s="260"/>
      <c r="Q783"/>
      <c r="R783"/>
    </row>
    <row r="784" spans="2:18" x14ac:dyDescent="0.2">
      <c r="B784" s="106"/>
      <c r="C784" s="232"/>
      <c r="D784" s="261"/>
      <c r="E784" s="133"/>
      <c r="F784" s="8"/>
      <c r="G784" s="55"/>
      <c r="H784" s="55"/>
      <c r="I784" s="55"/>
      <c r="J784" s="55"/>
      <c r="K784" s="65"/>
      <c r="L784" s="65"/>
      <c r="M784" s="65"/>
      <c r="N784" s="537"/>
      <c r="O784"/>
      <c r="P784" s="260"/>
      <c r="Q784"/>
      <c r="R784"/>
    </row>
    <row r="785" spans="2:18" x14ac:dyDescent="0.2">
      <c r="B785" s="106"/>
      <c r="C785" s="232"/>
      <c r="D785" s="261"/>
      <c r="E785" s="133"/>
      <c r="F785" s="8"/>
      <c r="G785" s="55"/>
      <c r="H785" s="55"/>
      <c r="I785" s="55"/>
      <c r="J785" s="55"/>
      <c r="K785" s="65"/>
      <c r="L785" s="65"/>
      <c r="M785" s="65"/>
      <c r="N785" s="537"/>
      <c r="O785"/>
      <c r="P785" s="260"/>
      <c r="Q785"/>
      <c r="R785"/>
    </row>
    <row r="786" spans="2:18" x14ac:dyDescent="0.2">
      <c r="B786" s="106"/>
      <c r="C786" s="232"/>
      <c r="D786" s="261"/>
      <c r="E786" s="133"/>
      <c r="F786" s="8"/>
      <c r="G786" s="55"/>
      <c r="H786" s="55"/>
      <c r="I786" s="55"/>
      <c r="J786" s="55"/>
      <c r="K786" s="65"/>
      <c r="L786" s="65"/>
      <c r="M786" s="65"/>
      <c r="N786" s="537"/>
      <c r="O786"/>
      <c r="P786" s="260"/>
      <c r="Q786"/>
      <c r="R786"/>
    </row>
    <row r="787" spans="2:18" x14ac:dyDescent="0.2">
      <c r="B787" s="106"/>
      <c r="C787" s="232"/>
      <c r="D787" s="261"/>
      <c r="E787" s="133"/>
      <c r="F787" s="8"/>
      <c r="G787" s="55"/>
      <c r="H787" s="55"/>
      <c r="I787" s="55"/>
      <c r="J787" s="55"/>
      <c r="K787" s="65"/>
      <c r="L787" s="65"/>
      <c r="M787" s="65"/>
      <c r="N787" s="537"/>
      <c r="O787"/>
      <c r="P787" s="260"/>
      <c r="Q787"/>
      <c r="R787"/>
    </row>
    <row r="788" spans="2:18" x14ac:dyDescent="0.2">
      <c r="B788" s="106"/>
      <c r="C788" s="232"/>
      <c r="D788" s="261"/>
      <c r="E788" s="133"/>
      <c r="F788" s="8"/>
      <c r="G788" s="55"/>
      <c r="H788" s="55"/>
      <c r="I788" s="55"/>
      <c r="J788" s="55"/>
      <c r="K788" s="65"/>
      <c r="L788" s="65"/>
      <c r="M788" s="65"/>
      <c r="N788" s="537"/>
      <c r="O788"/>
      <c r="P788" s="260"/>
      <c r="Q788"/>
      <c r="R788"/>
    </row>
    <row r="789" spans="2:18" x14ac:dyDescent="0.2">
      <c r="B789" s="106"/>
      <c r="C789" s="232"/>
      <c r="D789" s="261"/>
      <c r="E789" s="133"/>
      <c r="F789" s="8"/>
      <c r="G789" s="55"/>
      <c r="H789" s="55"/>
      <c r="I789" s="55"/>
      <c r="J789" s="55"/>
      <c r="K789" s="65"/>
      <c r="L789" s="65"/>
      <c r="M789" s="65"/>
      <c r="N789" s="537"/>
      <c r="O789"/>
      <c r="P789" s="260"/>
      <c r="Q789"/>
      <c r="R789"/>
    </row>
    <row r="790" spans="2:18" x14ac:dyDescent="0.2">
      <c r="B790" s="106"/>
      <c r="C790" s="232"/>
      <c r="D790" s="261"/>
      <c r="E790" s="133"/>
      <c r="F790" s="8"/>
      <c r="G790" s="55"/>
      <c r="H790" s="55"/>
      <c r="I790" s="55"/>
      <c r="J790" s="55"/>
      <c r="K790" s="65"/>
      <c r="L790" s="65"/>
      <c r="M790" s="65"/>
      <c r="N790" s="537"/>
      <c r="O790"/>
      <c r="P790" s="260"/>
      <c r="Q790"/>
      <c r="R790"/>
    </row>
    <row r="791" spans="2:18" x14ac:dyDescent="0.2">
      <c r="B791" s="106"/>
      <c r="C791" s="232"/>
      <c r="D791" s="261"/>
      <c r="E791" s="133"/>
      <c r="F791" s="8"/>
      <c r="G791" s="55"/>
      <c r="H791" s="55"/>
      <c r="I791" s="55"/>
      <c r="J791" s="55"/>
      <c r="K791" s="65"/>
      <c r="L791" s="65"/>
      <c r="M791" s="65"/>
      <c r="N791" s="537"/>
      <c r="O791"/>
      <c r="P791" s="260"/>
      <c r="Q791"/>
      <c r="R791"/>
    </row>
    <row r="792" spans="2:18" x14ac:dyDescent="0.2">
      <c r="B792" s="106"/>
      <c r="C792" s="232"/>
      <c r="D792" s="261"/>
      <c r="E792" s="133"/>
      <c r="F792" s="8"/>
      <c r="G792" s="55"/>
      <c r="H792" s="55"/>
      <c r="I792" s="55"/>
      <c r="J792" s="55"/>
      <c r="K792" s="65"/>
      <c r="L792" s="65"/>
      <c r="M792" s="65"/>
      <c r="N792" s="537"/>
      <c r="O792"/>
      <c r="P792" s="260"/>
      <c r="Q792"/>
      <c r="R792"/>
    </row>
    <row r="793" spans="2:18" x14ac:dyDescent="0.2">
      <c r="B793" s="106"/>
      <c r="C793" s="232"/>
      <c r="D793" s="261"/>
      <c r="E793" s="133"/>
      <c r="F793" s="8"/>
      <c r="G793" s="55"/>
      <c r="H793" s="55"/>
      <c r="I793" s="55"/>
      <c r="J793" s="55"/>
      <c r="K793" s="65"/>
      <c r="L793" s="65"/>
      <c r="M793" s="65"/>
      <c r="N793" s="537"/>
      <c r="O793"/>
      <c r="P793" s="260"/>
      <c r="Q793"/>
      <c r="R793"/>
    </row>
    <row r="794" spans="2:18" x14ac:dyDescent="0.2">
      <c r="B794" s="106"/>
      <c r="C794" s="232"/>
      <c r="D794" s="261"/>
      <c r="E794" s="133"/>
      <c r="F794" s="8"/>
      <c r="G794" s="55"/>
      <c r="H794" s="55"/>
      <c r="I794" s="55"/>
      <c r="J794" s="55"/>
      <c r="K794" s="65"/>
      <c r="L794" s="65"/>
      <c r="M794" s="65"/>
      <c r="N794" s="537"/>
      <c r="O794"/>
      <c r="P794" s="260"/>
      <c r="Q794"/>
      <c r="R794"/>
    </row>
    <row r="795" spans="2:18" x14ac:dyDescent="0.2">
      <c r="B795" s="106"/>
      <c r="C795" s="232"/>
      <c r="D795" s="261"/>
      <c r="E795" s="133"/>
      <c r="F795" s="8"/>
      <c r="G795" s="55"/>
      <c r="H795" s="55"/>
      <c r="I795" s="55"/>
      <c r="J795" s="55"/>
      <c r="K795" s="65"/>
      <c r="L795" s="65"/>
      <c r="M795" s="65"/>
      <c r="N795" s="537"/>
      <c r="O795"/>
      <c r="P795" s="260"/>
      <c r="Q795"/>
      <c r="R795"/>
    </row>
    <row r="796" spans="2:18" x14ac:dyDescent="0.2">
      <c r="B796" s="106"/>
      <c r="C796" s="232"/>
      <c r="D796" s="261"/>
      <c r="E796" s="133"/>
      <c r="F796" s="8"/>
      <c r="G796" s="55"/>
      <c r="H796" s="55"/>
      <c r="I796" s="55"/>
      <c r="J796" s="55"/>
      <c r="K796" s="65"/>
      <c r="L796" s="65"/>
      <c r="M796" s="65"/>
      <c r="N796" s="537"/>
      <c r="O796"/>
      <c r="P796" s="260"/>
      <c r="Q796"/>
      <c r="R796"/>
    </row>
    <row r="797" spans="2:18" x14ac:dyDescent="0.2">
      <c r="B797" s="106"/>
      <c r="C797" s="232"/>
      <c r="D797" s="261"/>
      <c r="E797" s="133"/>
      <c r="F797" s="8"/>
      <c r="G797" s="55"/>
      <c r="H797" s="55"/>
      <c r="I797" s="55"/>
      <c r="J797" s="55"/>
      <c r="K797" s="65"/>
      <c r="L797" s="65"/>
      <c r="M797" s="65"/>
      <c r="N797" s="537"/>
      <c r="O797"/>
      <c r="P797" s="260"/>
      <c r="Q797"/>
      <c r="R797"/>
    </row>
    <row r="798" spans="2:18" x14ac:dyDescent="0.2">
      <c r="B798" s="106"/>
      <c r="C798" s="232"/>
      <c r="D798" s="261"/>
      <c r="E798" s="133"/>
      <c r="F798" s="8"/>
      <c r="G798" s="55"/>
      <c r="H798" s="55"/>
      <c r="I798" s="55"/>
      <c r="J798" s="55"/>
      <c r="K798" s="65"/>
      <c r="L798" s="65"/>
      <c r="M798" s="65"/>
      <c r="N798" s="537"/>
      <c r="O798"/>
      <c r="P798" s="260"/>
      <c r="Q798"/>
      <c r="R798"/>
    </row>
    <row r="799" spans="2:18" x14ac:dyDescent="0.2">
      <c r="B799" s="106"/>
      <c r="C799" s="232"/>
      <c r="D799" s="261"/>
      <c r="E799" s="133"/>
      <c r="F799" s="8"/>
      <c r="G799" s="55"/>
      <c r="H799" s="55"/>
      <c r="I799" s="55"/>
      <c r="J799" s="55"/>
      <c r="K799" s="65"/>
      <c r="L799" s="65"/>
      <c r="M799" s="65"/>
      <c r="N799" s="537"/>
      <c r="O799"/>
      <c r="P799" s="260"/>
      <c r="Q799"/>
      <c r="R799"/>
    </row>
    <row r="800" spans="2:18" x14ac:dyDescent="0.2">
      <c r="B800" s="106"/>
      <c r="C800" s="232"/>
      <c r="D800" s="261"/>
      <c r="E800" s="133"/>
      <c r="F800" s="8"/>
      <c r="G800" s="55"/>
      <c r="H800" s="55"/>
      <c r="I800" s="55"/>
      <c r="J800" s="55"/>
      <c r="K800" s="65"/>
      <c r="L800" s="65"/>
      <c r="M800" s="65"/>
      <c r="N800" s="537"/>
      <c r="O800"/>
      <c r="P800" s="260"/>
      <c r="Q800"/>
      <c r="R800"/>
    </row>
    <row r="801" spans="2:18" x14ac:dyDescent="0.2">
      <c r="B801" s="106"/>
      <c r="C801" s="232"/>
      <c r="D801" s="261"/>
      <c r="E801" s="133"/>
      <c r="F801" s="8"/>
      <c r="G801" s="55"/>
      <c r="H801" s="55"/>
      <c r="I801" s="55"/>
      <c r="J801" s="55"/>
      <c r="K801" s="65"/>
      <c r="L801" s="65"/>
      <c r="M801" s="65"/>
      <c r="N801" s="537"/>
      <c r="O801"/>
      <c r="P801" s="260"/>
      <c r="Q801"/>
      <c r="R801"/>
    </row>
    <row r="802" spans="2:18" x14ac:dyDescent="0.2">
      <c r="B802" s="106"/>
      <c r="C802" s="232"/>
      <c r="D802" s="261"/>
      <c r="E802" s="133"/>
      <c r="F802" s="8"/>
      <c r="G802" s="55"/>
      <c r="H802" s="55"/>
      <c r="I802" s="55"/>
      <c r="J802" s="55"/>
      <c r="K802" s="65"/>
      <c r="L802" s="65"/>
      <c r="M802" s="65"/>
      <c r="N802" s="537"/>
      <c r="O802"/>
      <c r="P802" s="260"/>
      <c r="Q802"/>
      <c r="R802"/>
    </row>
    <row r="803" spans="2:18" x14ac:dyDescent="0.2">
      <c r="B803" s="106"/>
      <c r="C803" s="232"/>
      <c r="D803" s="261"/>
      <c r="E803" s="133"/>
      <c r="F803" s="8"/>
      <c r="G803" s="55"/>
      <c r="H803" s="55"/>
      <c r="I803" s="55"/>
      <c r="J803" s="55"/>
      <c r="K803" s="65"/>
      <c r="L803" s="65"/>
      <c r="M803" s="65"/>
      <c r="N803" s="537"/>
      <c r="O803"/>
      <c r="P803" s="260"/>
      <c r="Q803"/>
      <c r="R803"/>
    </row>
    <row r="804" spans="2:18" x14ac:dyDescent="0.2">
      <c r="B804" s="106"/>
      <c r="C804" s="232"/>
      <c r="D804" s="261"/>
      <c r="E804" s="133"/>
      <c r="F804" s="8"/>
      <c r="G804" s="55"/>
      <c r="H804" s="55"/>
      <c r="I804" s="55"/>
      <c r="J804" s="55"/>
      <c r="K804" s="65"/>
      <c r="L804" s="65"/>
      <c r="M804" s="65"/>
      <c r="N804" s="537"/>
      <c r="O804"/>
      <c r="P804" s="260"/>
      <c r="Q804"/>
      <c r="R804"/>
    </row>
    <row r="805" spans="2:18" x14ac:dyDescent="0.2">
      <c r="B805" s="106"/>
      <c r="C805" s="232"/>
      <c r="D805" s="261"/>
      <c r="E805" s="133"/>
      <c r="F805" s="8"/>
      <c r="G805" s="55"/>
      <c r="H805" s="55"/>
      <c r="I805" s="55"/>
      <c r="J805" s="55"/>
      <c r="K805" s="65"/>
      <c r="L805" s="65"/>
      <c r="M805" s="65"/>
      <c r="N805" s="537"/>
      <c r="O805"/>
      <c r="P805" s="260"/>
      <c r="Q805"/>
      <c r="R805"/>
    </row>
    <row r="806" spans="2:18" x14ac:dyDescent="0.2">
      <c r="B806" s="106"/>
      <c r="C806" s="232"/>
      <c r="D806" s="261"/>
      <c r="E806" s="133"/>
      <c r="F806" s="8"/>
      <c r="G806" s="55"/>
      <c r="H806" s="55"/>
      <c r="I806" s="55"/>
      <c r="J806" s="55"/>
      <c r="K806" s="65"/>
      <c r="L806" s="65"/>
      <c r="M806" s="65"/>
      <c r="N806" s="537"/>
      <c r="O806"/>
      <c r="P806" s="260"/>
      <c r="Q806"/>
      <c r="R806"/>
    </row>
    <row r="807" spans="2:18" x14ac:dyDescent="0.2">
      <c r="B807" s="106"/>
      <c r="C807" s="232"/>
      <c r="D807" s="261"/>
      <c r="E807" s="133"/>
      <c r="F807" s="8"/>
      <c r="G807" s="55"/>
      <c r="H807" s="55"/>
      <c r="I807" s="55"/>
      <c r="J807" s="55"/>
      <c r="K807" s="65"/>
      <c r="L807" s="65"/>
      <c r="M807" s="65"/>
      <c r="N807" s="537"/>
      <c r="O807"/>
      <c r="P807" s="260"/>
      <c r="Q807"/>
      <c r="R807"/>
    </row>
    <row r="808" spans="2:18" x14ac:dyDescent="0.2">
      <c r="B808" s="106"/>
      <c r="C808" s="232"/>
      <c r="D808" s="261"/>
      <c r="E808" s="133"/>
      <c r="F808" s="8"/>
      <c r="G808" s="55"/>
      <c r="H808" s="55"/>
      <c r="I808" s="55"/>
      <c r="J808" s="55"/>
      <c r="K808" s="65"/>
      <c r="L808" s="65"/>
      <c r="M808" s="65"/>
      <c r="N808" s="537"/>
      <c r="O808"/>
      <c r="P808" s="260"/>
      <c r="Q808"/>
      <c r="R808"/>
    </row>
    <row r="809" spans="2:18" x14ac:dyDescent="0.2">
      <c r="B809" s="106"/>
      <c r="C809" s="232"/>
      <c r="D809" s="261"/>
      <c r="E809" s="133"/>
      <c r="F809" s="8"/>
      <c r="G809" s="55"/>
      <c r="H809" s="55"/>
      <c r="I809" s="55"/>
      <c r="J809" s="55"/>
      <c r="K809" s="65"/>
      <c r="L809" s="65"/>
      <c r="M809" s="65"/>
      <c r="N809" s="537"/>
      <c r="O809"/>
      <c r="P809" s="260"/>
      <c r="Q809"/>
      <c r="R809"/>
    </row>
    <row r="810" spans="2:18" x14ac:dyDescent="0.2">
      <c r="B810" s="106"/>
      <c r="C810" s="232"/>
      <c r="D810" s="261"/>
      <c r="E810" s="133"/>
      <c r="F810" s="8"/>
      <c r="G810" s="55"/>
      <c r="H810" s="55"/>
      <c r="I810" s="55"/>
      <c r="J810" s="55"/>
      <c r="K810" s="65"/>
      <c r="L810" s="65"/>
      <c r="M810" s="65"/>
      <c r="N810" s="537"/>
      <c r="O810"/>
      <c r="P810" s="260"/>
      <c r="Q810"/>
      <c r="R810"/>
    </row>
    <row r="811" spans="2:18" x14ac:dyDescent="0.2">
      <c r="B811" s="106"/>
      <c r="C811" s="232"/>
      <c r="D811" s="261"/>
      <c r="E811" s="133"/>
      <c r="F811" s="8"/>
      <c r="G811" s="55"/>
      <c r="H811" s="55"/>
      <c r="I811" s="55"/>
      <c r="J811" s="55"/>
      <c r="K811" s="65"/>
      <c r="L811" s="65"/>
      <c r="M811" s="65"/>
      <c r="N811" s="537"/>
      <c r="O811"/>
      <c r="P811" s="260"/>
      <c r="Q811"/>
      <c r="R811"/>
    </row>
    <row r="812" spans="2:18" x14ac:dyDescent="0.2">
      <c r="B812" s="106"/>
      <c r="C812" s="232"/>
      <c r="D812" s="261"/>
      <c r="E812" s="133"/>
      <c r="F812" s="8"/>
      <c r="G812" s="55"/>
      <c r="H812" s="55"/>
      <c r="I812" s="55"/>
      <c r="J812" s="55"/>
      <c r="K812" s="65"/>
      <c r="L812" s="65"/>
      <c r="M812" s="65"/>
      <c r="N812" s="537"/>
      <c r="O812"/>
      <c r="P812" s="260"/>
      <c r="Q812"/>
      <c r="R812"/>
    </row>
    <row r="813" spans="2:18" x14ac:dyDescent="0.2">
      <c r="B813" s="106"/>
      <c r="C813" s="232"/>
      <c r="D813" s="261"/>
      <c r="E813" s="133"/>
      <c r="F813" s="8"/>
      <c r="G813" s="55"/>
      <c r="H813" s="55"/>
      <c r="I813" s="55"/>
      <c r="J813" s="55"/>
      <c r="K813" s="65"/>
      <c r="L813" s="65"/>
      <c r="M813" s="65"/>
      <c r="N813" s="537"/>
      <c r="O813"/>
      <c r="P813" s="260"/>
      <c r="Q813"/>
      <c r="R813"/>
    </row>
    <row r="814" spans="2:18" x14ac:dyDescent="0.2">
      <c r="B814" s="106"/>
      <c r="C814" s="232"/>
      <c r="D814" s="261"/>
      <c r="E814" s="133"/>
      <c r="F814" s="8"/>
      <c r="G814" s="55"/>
      <c r="H814" s="55"/>
      <c r="I814" s="55"/>
      <c r="J814" s="55"/>
      <c r="K814" s="65"/>
      <c r="L814" s="65"/>
      <c r="M814" s="65"/>
      <c r="N814" s="537"/>
      <c r="O814"/>
      <c r="P814" s="260"/>
      <c r="Q814"/>
      <c r="R814"/>
    </row>
    <row r="815" spans="2:18" x14ac:dyDescent="0.2">
      <c r="B815" s="106"/>
      <c r="C815" s="232"/>
      <c r="D815" s="261"/>
      <c r="E815" s="133"/>
      <c r="F815" s="8"/>
      <c r="G815" s="55"/>
      <c r="H815" s="55"/>
      <c r="I815" s="55"/>
      <c r="J815" s="55"/>
      <c r="K815" s="65"/>
      <c r="L815" s="65"/>
      <c r="M815" s="65"/>
      <c r="N815" s="537"/>
      <c r="O815"/>
      <c r="P815" s="260"/>
      <c r="Q815"/>
      <c r="R815"/>
    </row>
    <row r="816" spans="2:18" x14ac:dyDescent="0.2">
      <c r="B816" s="106"/>
      <c r="C816" s="232"/>
      <c r="D816" s="261"/>
      <c r="E816" s="133"/>
      <c r="F816" s="8"/>
      <c r="G816" s="55"/>
      <c r="H816" s="55"/>
      <c r="I816" s="55"/>
      <c r="J816" s="55"/>
      <c r="K816" s="65"/>
      <c r="L816" s="65"/>
      <c r="M816" s="65"/>
      <c r="N816" s="537"/>
      <c r="O816"/>
      <c r="P816" s="260"/>
      <c r="Q816"/>
      <c r="R816"/>
    </row>
    <row r="817" spans="2:18" x14ac:dyDescent="0.2">
      <c r="B817" s="106"/>
      <c r="C817" s="232"/>
      <c r="D817" s="261"/>
      <c r="E817" s="133"/>
      <c r="F817" s="8"/>
      <c r="G817" s="55"/>
      <c r="H817" s="55"/>
      <c r="I817" s="55"/>
      <c r="J817" s="55"/>
      <c r="K817" s="65"/>
      <c r="L817" s="65"/>
      <c r="M817" s="65"/>
      <c r="N817" s="537"/>
      <c r="O817"/>
      <c r="P817" s="260"/>
      <c r="Q817"/>
      <c r="R817"/>
    </row>
    <row r="818" spans="2:18" x14ac:dyDescent="0.2">
      <c r="B818" s="106"/>
      <c r="C818" s="232"/>
      <c r="D818" s="261"/>
      <c r="E818" s="133"/>
      <c r="F818" s="8"/>
      <c r="G818" s="55"/>
      <c r="H818" s="55"/>
      <c r="I818" s="55"/>
      <c r="J818" s="55"/>
      <c r="K818" s="65"/>
      <c r="L818" s="65"/>
      <c r="M818" s="65"/>
      <c r="N818" s="537"/>
      <c r="O818"/>
      <c r="P818" s="260"/>
      <c r="Q818"/>
      <c r="R818"/>
    </row>
    <row r="819" spans="2:18" x14ac:dyDescent="0.2">
      <c r="B819" s="106"/>
      <c r="C819" s="232"/>
      <c r="D819" s="261"/>
      <c r="E819" s="133"/>
      <c r="F819" s="8"/>
      <c r="G819" s="55"/>
      <c r="H819" s="55"/>
      <c r="I819" s="55"/>
      <c r="J819" s="55"/>
      <c r="K819" s="65"/>
      <c r="L819" s="65"/>
      <c r="M819" s="65"/>
      <c r="N819" s="537"/>
      <c r="O819"/>
      <c r="P819" s="260"/>
      <c r="Q819"/>
      <c r="R819"/>
    </row>
    <row r="820" spans="2:18" x14ac:dyDescent="0.2">
      <c r="B820" s="106"/>
      <c r="C820" s="232"/>
      <c r="D820" s="261"/>
      <c r="E820" s="133"/>
      <c r="F820" s="8"/>
      <c r="G820" s="55"/>
      <c r="H820" s="55"/>
      <c r="I820" s="55"/>
      <c r="J820" s="55"/>
      <c r="K820" s="65"/>
      <c r="L820" s="65"/>
      <c r="M820" s="65"/>
      <c r="N820" s="537"/>
      <c r="O820"/>
      <c r="P820" s="260"/>
      <c r="Q820"/>
      <c r="R820"/>
    </row>
    <row r="821" spans="2:18" x14ac:dyDescent="0.2">
      <c r="B821" s="106"/>
      <c r="C821" s="232"/>
      <c r="D821" s="261"/>
      <c r="E821" s="133"/>
      <c r="F821" s="8"/>
      <c r="G821" s="55"/>
      <c r="H821" s="55"/>
      <c r="I821" s="55"/>
      <c r="J821" s="55"/>
      <c r="K821" s="65"/>
      <c r="L821" s="65"/>
      <c r="M821" s="65"/>
      <c r="N821" s="537"/>
      <c r="O821"/>
      <c r="P821" s="260"/>
      <c r="Q821"/>
      <c r="R821"/>
    </row>
    <row r="822" spans="2:18" x14ac:dyDescent="0.2">
      <c r="B822" s="106"/>
      <c r="C822" s="232"/>
      <c r="D822" s="261"/>
      <c r="E822" s="133"/>
      <c r="F822" s="8"/>
      <c r="G822" s="55"/>
      <c r="H822" s="55"/>
      <c r="I822" s="55"/>
      <c r="J822" s="55"/>
      <c r="K822" s="65"/>
      <c r="L822" s="65"/>
      <c r="M822" s="65"/>
      <c r="N822" s="537"/>
      <c r="O822"/>
      <c r="P822" s="260"/>
      <c r="Q822"/>
      <c r="R822"/>
    </row>
    <row r="823" spans="2:18" x14ac:dyDescent="0.2">
      <c r="B823" s="106"/>
      <c r="C823" s="232"/>
      <c r="D823" s="261"/>
      <c r="E823" s="133"/>
      <c r="F823" s="8"/>
      <c r="G823" s="55"/>
      <c r="H823" s="55"/>
      <c r="I823" s="55"/>
      <c r="J823" s="55"/>
      <c r="K823" s="65"/>
      <c r="L823" s="65"/>
      <c r="M823" s="65"/>
      <c r="N823" s="537"/>
      <c r="O823"/>
      <c r="P823" s="260"/>
      <c r="Q823"/>
      <c r="R823"/>
    </row>
    <row r="824" spans="2:18" x14ac:dyDescent="0.2">
      <c r="B824" s="106"/>
      <c r="C824" s="232"/>
      <c r="D824" s="261"/>
      <c r="E824" s="133"/>
      <c r="F824" s="8"/>
      <c r="G824" s="55"/>
      <c r="H824" s="55"/>
      <c r="I824" s="55"/>
      <c r="J824" s="55"/>
      <c r="K824" s="65"/>
      <c r="L824" s="65"/>
      <c r="M824" s="65"/>
      <c r="N824" s="537"/>
      <c r="O824"/>
      <c r="P824" s="260"/>
      <c r="Q824"/>
      <c r="R824"/>
    </row>
    <row r="825" spans="2:18" x14ac:dyDescent="0.2">
      <c r="B825" s="106"/>
      <c r="C825" s="232"/>
      <c r="D825" s="261"/>
      <c r="E825" s="133"/>
      <c r="F825" s="8"/>
      <c r="G825" s="55"/>
      <c r="H825" s="55"/>
      <c r="I825" s="55"/>
      <c r="J825" s="55"/>
      <c r="K825" s="65"/>
      <c r="L825" s="65"/>
      <c r="M825" s="65"/>
      <c r="N825" s="537"/>
      <c r="O825"/>
      <c r="P825" s="260"/>
      <c r="Q825"/>
      <c r="R825"/>
    </row>
    <row r="826" spans="2:18" x14ac:dyDescent="0.2">
      <c r="B826" s="106"/>
      <c r="C826" s="232"/>
      <c r="D826" s="261"/>
      <c r="E826" s="133"/>
      <c r="F826" s="8"/>
      <c r="G826" s="55"/>
      <c r="H826" s="55"/>
      <c r="I826" s="55"/>
      <c r="J826" s="55"/>
      <c r="K826" s="65"/>
      <c r="L826" s="65"/>
      <c r="M826" s="65"/>
      <c r="N826" s="537"/>
      <c r="O826"/>
      <c r="P826" s="260"/>
      <c r="Q826"/>
      <c r="R826"/>
    </row>
    <row r="827" spans="2:18" x14ac:dyDescent="0.2">
      <c r="B827" s="106"/>
      <c r="C827" s="232"/>
      <c r="D827" s="261"/>
      <c r="E827" s="133"/>
      <c r="F827" s="8"/>
      <c r="G827" s="55"/>
      <c r="H827" s="55"/>
      <c r="I827" s="55"/>
      <c r="J827" s="55"/>
      <c r="K827" s="65"/>
      <c r="L827" s="65"/>
      <c r="M827" s="65"/>
      <c r="N827" s="537"/>
      <c r="O827"/>
      <c r="P827" s="260"/>
      <c r="Q827"/>
      <c r="R827"/>
    </row>
    <row r="828" spans="2:18" x14ac:dyDescent="0.2">
      <c r="B828" s="106"/>
      <c r="C828" s="232"/>
      <c r="D828" s="261"/>
      <c r="E828" s="133"/>
      <c r="F828" s="8"/>
      <c r="G828" s="55"/>
      <c r="H828" s="55"/>
      <c r="I828" s="55"/>
      <c r="J828" s="55"/>
      <c r="K828" s="65"/>
      <c r="L828" s="65"/>
      <c r="M828" s="65"/>
      <c r="N828" s="537"/>
      <c r="O828"/>
      <c r="P828" s="260"/>
      <c r="Q828"/>
      <c r="R828"/>
    </row>
    <row r="829" spans="2:18" x14ac:dyDescent="0.2">
      <c r="B829" s="106"/>
      <c r="C829" s="232"/>
      <c r="D829" s="261"/>
      <c r="E829" s="133"/>
      <c r="F829" s="8"/>
      <c r="G829" s="55"/>
      <c r="H829" s="55"/>
      <c r="I829" s="55"/>
      <c r="J829" s="55"/>
      <c r="K829" s="65"/>
      <c r="L829" s="65"/>
      <c r="M829" s="65"/>
      <c r="N829" s="537"/>
      <c r="O829"/>
      <c r="P829" s="260"/>
      <c r="Q829"/>
      <c r="R829"/>
    </row>
    <row r="830" spans="2:18" x14ac:dyDescent="0.2">
      <c r="B830" s="106"/>
      <c r="C830" s="232"/>
      <c r="D830" s="261"/>
      <c r="E830" s="133"/>
      <c r="F830" s="8"/>
      <c r="G830" s="55"/>
      <c r="H830" s="55"/>
      <c r="I830" s="55"/>
      <c r="J830" s="55"/>
      <c r="K830" s="65"/>
      <c r="L830" s="65"/>
      <c r="M830" s="65"/>
      <c r="N830" s="537"/>
      <c r="O830"/>
      <c r="P830" s="260"/>
      <c r="Q830"/>
      <c r="R830"/>
    </row>
    <row r="831" spans="2:18" x14ac:dyDescent="0.2">
      <c r="B831" s="106"/>
      <c r="C831" s="232"/>
      <c r="D831" s="261"/>
      <c r="E831" s="133"/>
      <c r="F831" s="8"/>
      <c r="G831" s="55"/>
      <c r="H831" s="55"/>
      <c r="I831" s="55"/>
      <c r="J831" s="55"/>
      <c r="K831" s="65"/>
      <c r="L831" s="65"/>
      <c r="M831" s="65"/>
      <c r="N831" s="537"/>
      <c r="O831"/>
      <c r="P831" s="260"/>
      <c r="Q831"/>
      <c r="R831"/>
    </row>
    <row r="832" spans="2:18" x14ac:dyDescent="0.2">
      <c r="B832" s="106"/>
      <c r="C832" s="232"/>
      <c r="D832" s="261"/>
      <c r="E832" s="133"/>
      <c r="F832" s="8"/>
      <c r="G832" s="55"/>
      <c r="H832" s="55"/>
      <c r="I832" s="55"/>
      <c r="J832" s="55"/>
      <c r="K832" s="65"/>
      <c r="L832" s="65"/>
      <c r="M832" s="65"/>
      <c r="N832" s="537"/>
      <c r="O832"/>
      <c r="P832" s="260"/>
      <c r="Q832"/>
      <c r="R832"/>
    </row>
    <row r="833" spans="2:18" x14ac:dyDescent="0.2">
      <c r="B833" s="106"/>
      <c r="C833" s="232"/>
      <c r="D833" s="261"/>
      <c r="E833" s="133"/>
      <c r="F833" s="8"/>
      <c r="G833" s="55"/>
      <c r="H833" s="55"/>
      <c r="I833" s="55"/>
      <c r="J833" s="55"/>
      <c r="K833" s="65"/>
      <c r="L833" s="65"/>
      <c r="M833" s="65"/>
      <c r="N833" s="537"/>
      <c r="O833"/>
      <c r="P833" s="260"/>
      <c r="Q833"/>
      <c r="R833"/>
    </row>
    <row r="834" spans="2:18" x14ac:dyDescent="0.2">
      <c r="B834" s="106"/>
      <c r="C834" s="232"/>
      <c r="D834" s="261"/>
      <c r="E834" s="133"/>
      <c r="F834" s="8"/>
      <c r="G834" s="55"/>
      <c r="H834" s="55"/>
      <c r="I834" s="55"/>
      <c r="J834" s="55"/>
      <c r="K834" s="65"/>
      <c r="L834" s="65"/>
      <c r="M834" s="65"/>
      <c r="N834" s="537"/>
      <c r="O834"/>
      <c r="P834" s="260"/>
      <c r="Q834"/>
      <c r="R834"/>
    </row>
    <row r="835" spans="2:18" x14ac:dyDescent="0.2">
      <c r="B835" s="106"/>
      <c r="C835" s="232"/>
      <c r="D835" s="261"/>
      <c r="E835" s="133"/>
      <c r="F835" s="8"/>
      <c r="G835" s="55"/>
      <c r="H835" s="55"/>
      <c r="I835" s="55"/>
      <c r="J835" s="55"/>
      <c r="K835" s="65"/>
      <c r="L835" s="65"/>
      <c r="M835" s="65"/>
      <c r="N835" s="537"/>
      <c r="O835"/>
      <c r="P835" s="260"/>
      <c r="Q835"/>
      <c r="R835"/>
    </row>
    <row r="836" spans="2:18" x14ac:dyDescent="0.2">
      <c r="B836" s="106"/>
      <c r="C836" s="232"/>
      <c r="D836" s="261"/>
      <c r="E836" s="133"/>
      <c r="F836" s="8"/>
      <c r="G836" s="55"/>
      <c r="H836" s="55"/>
      <c r="I836" s="55"/>
      <c r="J836" s="55"/>
      <c r="K836" s="65"/>
      <c r="L836" s="65"/>
      <c r="M836" s="65"/>
      <c r="N836" s="537"/>
      <c r="O836"/>
      <c r="P836" s="260"/>
      <c r="Q836"/>
      <c r="R836"/>
    </row>
    <row r="837" spans="2:18" x14ac:dyDescent="0.2">
      <c r="B837" s="106"/>
      <c r="C837" s="232"/>
      <c r="D837" s="261"/>
      <c r="E837" s="133"/>
      <c r="F837" s="8"/>
      <c r="G837" s="55"/>
      <c r="H837" s="55"/>
      <c r="I837" s="55"/>
      <c r="J837" s="55"/>
      <c r="K837" s="65"/>
      <c r="L837" s="65"/>
      <c r="M837" s="65"/>
      <c r="N837" s="537"/>
      <c r="O837"/>
      <c r="P837" s="260"/>
      <c r="Q837"/>
      <c r="R837"/>
    </row>
    <row r="838" spans="2:18" x14ac:dyDescent="0.2">
      <c r="B838" s="106"/>
      <c r="C838" s="232"/>
      <c r="D838" s="261"/>
      <c r="E838" s="133"/>
      <c r="F838" s="8"/>
      <c r="G838" s="55"/>
      <c r="H838" s="55"/>
      <c r="I838" s="55"/>
      <c r="J838" s="55"/>
      <c r="K838" s="65"/>
      <c r="L838" s="65"/>
      <c r="M838" s="65"/>
      <c r="N838" s="537"/>
      <c r="O838"/>
      <c r="P838" s="260"/>
      <c r="Q838"/>
      <c r="R838"/>
    </row>
    <row r="839" spans="2:18" x14ac:dyDescent="0.2">
      <c r="B839" s="106"/>
      <c r="C839" s="232"/>
      <c r="D839" s="261"/>
      <c r="E839" s="133"/>
      <c r="F839" s="8"/>
      <c r="G839" s="55"/>
      <c r="H839" s="55"/>
      <c r="I839" s="55"/>
      <c r="J839" s="55"/>
      <c r="K839" s="65"/>
      <c r="L839" s="65"/>
      <c r="M839" s="65"/>
      <c r="N839" s="537"/>
      <c r="O839"/>
      <c r="P839" s="260"/>
      <c r="Q839"/>
      <c r="R839"/>
    </row>
    <row r="840" spans="2:18" x14ac:dyDescent="0.2">
      <c r="B840" s="106"/>
      <c r="C840" s="232"/>
      <c r="D840" s="261"/>
      <c r="E840" s="133"/>
      <c r="F840" s="8"/>
      <c r="G840" s="55"/>
      <c r="H840" s="55"/>
      <c r="I840" s="55"/>
      <c r="J840" s="55"/>
      <c r="K840" s="65"/>
      <c r="L840" s="65"/>
      <c r="M840" s="65"/>
      <c r="N840" s="537"/>
      <c r="O840"/>
      <c r="P840" s="260"/>
      <c r="Q840"/>
      <c r="R840"/>
    </row>
    <row r="841" spans="2:18" x14ac:dyDescent="0.2">
      <c r="B841" s="106"/>
      <c r="C841" s="232"/>
      <c r="D841" s="261"/>
      <c r="E841" s="133"/>
      <c r="F841" s="8"/>
      <c r="G841" s="55"/>
      <c r="H841" s="55"/>
      <c r="I841" s="55"/>
      <c r="J841" s="55"/>
      <c r="K841" s="65"/>
      <c r="L841" s="65"/>
      <c r="M841" s="65"/>
      <c r="N841" s="537"/>
      <c r="O841"/>
      <c r="P841" s="260"/>
      <c r="Q841"/>
      <c r="R841"/>
    </row>
    <row r="842" spans="2:18" x14ac:dyDescent="0.2">
      <c r="B842" s="106"/>
      <c r="C842" s="232"/>
      <c r="D842" s="261"/>
      <c r="E842" s="133"/>
      <c r="F842" s="8"/>
      <c r="G842" s="55"/>
      <c r="H842" s="55"/>
      <c r="I842" s="55"/>
      <c r="J842" s="55"/>
      <c r="K842" s="65"/>
      <c r="L842" s="65"/>
      <c r="M842" s="65"/>
      <c r="N842" s="537"/>
      <c r="O842"/>
      <c r="P842" s="260"/>
      <c r="Q842"/>
      <c r="R842"/>
    </row>
    <row r="843" spans="2:18" x14ac:dyDescent="0.2">
      <c r="B843" s="106"/>
      <c r="C843" s="232"/>
      <c r="D843" s="261"/>
      <c r="E843" s="133"/>
      <c r="F843" s="8"/>
      <c r="G843" s="55"/>
      <c r="H843" s="55"/>
      <c r="I843" s="55"/>
      <c r="J843" s="55"/>
      <c r="K843" s="65"/>
      <c r="L843" s="65"/>
      <c r="M843" s="65"/>
      <c r="N843" s="537"/>
      <c r="O843"/>
      <c r="P843" s="260"/>
      <c r="Q843"/>
      <c r="R843"/>
    </row>
    <row r="844" spans="2:18" x14ac:dyDescent="0.2">
      <c r="B844" s="106"/>
      <c r="C844" s="232"/>
      <c r="D844" s="261"/>
      <c r="E844" s="133"/>
      <c r="F844" s="8"/>
      <c r="G844" s="55"/>
      <c r="H844" s="55"/>
      <c r="I844" s="55"/>
      <c r="J844" s="55"/>
      <c r="K844" s="65"/>
      <c r="L844" s="65"/>
      <c r="M844" s="65"/>
      <c r="N844" s="537"/>
      <c r="O844"/>
      <c r="P844" s="260"/>
      <c r="Q844"/>
      <c r="R844"/>
    </row>
    <row r="845" spans="2:18" x14ac:dyDescent="0.2">
      <c r="B845" s="106"/>
      <c r="C845" s="232"/>
      <c r="D845" s="261"/>
      <c r="E845" s="133"/>
      <c r="F845" s="8"/>
      <c r="G845" s="55"/>
      <c r="H845" s="55"/>
      <c r="I845" s="55"/>
      <c r="J845" s="55"/>
      <c r="K845" s="65"/>
      <c r="L845" s="65"/>
      <c r="M845" s="65"/>
      <c r="N845" s="537"/>
      <c r="O845"/>
      <c r="P845" s="260"/>
      <c r="Q845"/>
      <c r="R845"/>
    </row>
    <row r="846" spans="2:18" x14ac:dyDescent="0.2">
      <c r="B846" s="106"/>
      <c r="C846" s="232"/>
      <c r="D846" s="261"/>
      <c r="E846" s="133"/>
      <c r="F846" s="8"/>
      <c r="G846" s="55"/>
      <c r="H846" s="55"/>
      <c r="I846" s="55"/>
      <c r="J846" s="55"/>
      <c r="K846" s="65"/>
      <c r="L846" s="65"/>
      <c r="M846" s="65"/>
      <c r="N846" s="537"/>
      <c r="O846"/>
      <c r="P846" s="260"/>
      <c r="Q846"/>
      <c r="R846"/>
    </row>
    <row r="847" spans="2:18" x14ac:dyDescent="0.2">
      <c r="B847" s="106"/>
      <c r="C847" s="232"/>
      <c r="D847" s="261"/>
      <c r="E847" s="133"/>
      <c r="F847" s="8"/>
      <c r="G847" s="55"/>
      <c r="H847" s="55"/>
      <c r="I847" s="55"/>
      <c r="J847" s="55"/>
      <c r="K847" s="65"/>
      <c r="L847" s="65"/>
      <c r="M847" s="65"/>
      <c r="N847" s="537"/>
      <c r="O847"/>
      <c r="P847" s="260"/>
      <c r="Q847"/>
      <c r="R847"/>
    </row>
    <row r="848" spans="2:18" x14ac:dyDescent="0.2">
      <c r="B848" s="106"/>
      <c r="C848" s="232"/>
      <c r="D848" s="261"/>
      <c r="E848" s="133"/>
      <c r="F848" s="8"/>
      <c r="G848" s="55"/>
      <c r="H848" s="55"/>
      <c r="I848" s="55"/>
      <c r="J848" s="55"/>
      <c r="K848" s="65"/>
      <c r="L848" s="65"/>
      <c r="M848" s="65"/>
      <c r="N848" s="537"/>
      <c r="O848"/>
      <c r="P848" s="260"/>
      <c r="Q848"/>
      <c r="R848"/>
    </row>
    <row r="849" spans="2:18" x14ac:dyDescent="0.2">
      <c r="B849" s="106"/>
      <c r="C849" s="232"/>
      <c r="D849" s="261"/>
      <c r="E849" s="133"/>
      <c r="F849" s="8"/>
      <c r="G849" s="55"/>
      <c r="H849" s="55"/>
      <c r="I849" s="55"/>
      <c r="J849" s="55"/>
      <c r="K849" s="65"/>
      <c r="L849" s="65"/>
      <c r="M849" s="65"/>
      <c r="N849" s="537"/>
      <c r="O849"/>
      <c r="P849" s="260"/>
      <c r="Q849"/>
      <c r="R849"/>
    </row>
    <row r="850" spans="2:18" x14ac:dyDescent="0.2">
      <c r="B850" s="106"/>
      <c r="C850" s="232"/>
      <c r="D850" s="261"/>
      <c r="E850" s="133"/>
      <c r="F850" s="8"/>
      <c r="G850" s="55"/>
      <c r="H850" s="55"/>
      <c r="I850" s="55"/>
      <c r="J850" s="55"/>
      <c r="K850" s="65"/>
      <c r="L850" s="65"/>
      <c r="M850" s="65"/>
      <c r="N850" s="537"/>
      <c r="O850"/>
      <c r="P850" s="260"/>
      <c r="Q850"/>
      <c r="R850"/>
    </row>
    <row r="851" spans="2:18" x14ac:dyDescent="0.2">
      <c r="B851" s="106"/>
      <c r="C851" s="232"/>
      <c r="D851" s="261"/>
      <c r="E851" s="133"/>
      <c r="F851" s="8"/>
      <c r="G851" s="55"/>
      <c r="H851" s="55"/>
      <c r="I851" s="55"/>
      <c r="J851" s="55"/>
      <c r="K851" s="65"/>
      <c r="L851" s="65"/>
      <c r="M851" s="65"/>
      <c r="N851" s="537"/>
      <c r="O851"/>
      <c r="P851" s="260"/>
      <c r="Q851"/>
      <c r="R851"/>
    </row>
    <row r="852" spans="2:18" x14ac:dyDescent="0.2">
      <c r="B852" s="106"/>
      <c r="C852" s="232"/>
      <c r="D852" s="261"/>
      <c r="E852" s="133"/>
      <c r="F852" s="8"/>
      <c r="G852" s="55"/>
      <c r="H852" s="55"/>
      <c r="I852" s="55"/>
      <c r="J852" s="55"/>
      <c r="K852" s="65"/>
      <c r="L852" s="65"/>
      <c r="M852" s="65"/>
      <c r="N852" s="537"/>
      <c r="O852"/>
      <c r="P852" s="260"/>
      <c r="Q852"/>
      <c r="R852"/>
    </row>
    <row r="853" spans="2:18" x14ac:dyDescent="0.2">
      <c r="B853" s="106"/>
      <c r="C853" s="232"/>
      <c r="D853" s="261"/>
      <c r="E853" s="133"/>
      <c r="F853" s="8"/>
      <c r="G853" s="55"/>
      <c r="H853" s="55"/>
      <c r="I853" s="55"/>
      <c r="J853" s="55"/>
      <c r="K853" s="65"/>
      <c r="L853" s="65"/>
      <c r="M853" s="65"/>
      <c r="N853" s="537"/>
      <c r="O853"/>
      <c r="P853" s="260"/>
      <c r="Q853"/>
      <c r="R853"/>
    </row>
    <row r="854" spans="2:18" x14ac:dyDescent="0.2">
      <c r="B854" s="106"/>
      <c r="C854" s="232"/>
      <c r="D854" s="261"/>
      <c r="E854" s="133"/>
      <c r="F854" s="8"/>
      <c r="G854" s="55"/>
      <c r="H854" s="55"/>
      <c r="I854" s="55"/>
      <c r="J854" s="55"/>
      <c r="K854" s="65"/>
      <c r="L854" s="65"/>
      <c r="M854" s="65"/>
      <c r="N854" s="537"/>
      <c r="O854"/>
      <c r="P854" s="260"/>
      <c r="Q854"/>
      <c r="R854"/>
    </row>
    <row r="855" spans="2:18" x14ac:dyDescent="0.2">
      <c r="B855" s="106"/>
      <c r="C855" s="232"/>
      <c r="D855" s="261"/>
      <c r="E855" s="133"/>
      <c r="F855" s="8"/>
      <c r="G855" s="55"/>
      <c r="H855" s="55"/>
      <c r="I855" s="55"/>
      <c r="J855" s="55"/>
      <c r="K855" s="65"/>
      <c r="L855" s="65"/>
      <c r="M855" s="65"/>
      <c r="N855" s="537"/>
      <c r="O855"/>
      <c r="P855" s="260"/>
      <c r="Q855"/>
      <c r="R855"/>
    </row>
    <row r="856" spans="2:18" x14ac:dyDescent="0.2">
      <c r="B856" s="106"/>
      <c r="C856" s="232"/>
      <c r="D856" s="261"/>
      <c r="E856" s="133"/>
      <c r="F856" s="8"/>
      <c r="G856" s="55"/>
      <c r="H856" s="55"/>
      <c r="I856" s="55"/>
      <c r="J856" s="55"/>
      <c r="K856" s="65"/>
      <c r="L856" s="65"/>
      <c r="M856" s="65"/>
      <c r="N856" s="537"/>
      <c r="O856"/>
      <c r="P856" s="260"/>
      <c r="Q856"/>
      <c r="R856"/>
    </row>
    <row r="857" spans="2:18" x14ac:dyDescent="0.2">
      <c r="B857" s="106"/>
      <c r="C857" s="232"/>
      <c r="D857" s="261"/>
      <c r="E857" s="133"/>
      <c r="F857" s="8"/>
      <c r="G857" s="55"/>
      <c r="H857" s="55"/>
      <c r="I857" s="55"/>
      <c r="J857" s="55"/>
      <c r="K857" s="65"/>
      <c r="L857" s="65"/>
      <c r="M857" s="65"/>
      <c r="N857" s="537"/>
      <c r="O857"/>
      <c r="P857" s="260"/>
      <c r="Q857"/>
      <c r="R857"/>
    </row>
    <row r="858" spans="2:18" x14ac:dyDescent="0.2">
      <c r="B858" s="106"/>
      <c r="C858" s="232"/>
      <c r="D858" s="261"/>
      <c r="E858" s="133"/>
      <c r="F858" s="8"/>
      <c r="G858" s="55"/>
      <c r="H858" s="55"/>
      <c r="I858" s="55"/>
      <c r="J858" s="55"/>
      <c r="K858" s="65"/>
      <c r="L858" s="65"/>
      <c r="M858" s="65"/>
      <c r="N858" s="537"/>
      <c r="O858"/>
      <c r="P858" s="260"/>
      <c r="Q858"/>
      <c r="R858"/>
    </row>
    <row r="859" spans="2:18" x14ac:dyDescent="0.2">
      <c r="B859" s="106"/>
      <c r="C859" s="232"/>
      <c r="D859" s="261"/>
      <c r="E859" s="133"/>
      <c r="F859" s="8"/>
      <c r="G859" s="55"/>
      <c r="H859" s="55"/>
      <c r="I859" s="55"/>
      <c r="J859" s="55"/>
      <c r="K859" s="65"/>
      <c r="L859" s="65"/>
      <c r="M859" s="65"/>
      <c r="N859" s="537"/>
      <c r="O859"/>
      <c r="P859" s="260"/>
      <c r="Q859"/>
      <c r="R859"/>
    </row>
    <row r="860" spans="2:18" x14ac:dyDescent="0.2">
      <c r="B860" s="106"/>
      <c r="C860" s="232"/>
      <c r="D860" s="261"/>
      <c r="E860" s="133"/>
      <c r="F860" s="8"/>
      <c r="G860" s="55"/>
      <c r="H860" s="55"/>
      <c r="I860" s="55"/>
      <c r="J860" s="55"/>
      <c r="K860" s="65"/>
      <c r="L860" s="65"/>
      <c r="M860" s="65"/>
      <c r="N860" s="537"/>
      <c r="O860"/>
      <c r="P860" s="260"/>
      <c r="Q860"/>
      <c r="R860"/>
    </row>
    <row r="861" spans="2:18" x14ac:dyDescent="0.2">
      <c r="B861" s="106"/>
      <c r="C861" s="232"/>
      <c r="D861" s="261"/>
      <c r="E861" s="133"/>
      <c r="F861" s="8"/>
      <c r="G861" s="55"/>
      <c r="H861" s="55"/>
      <c r="I861" s="55"/>
      <c r="J861" s="55"/>
      <c r="K861" s="65"/>
      <c r="L861" s="65"/>
      <c r="M861" s="65"/>
      <c r="N861" s="537"/>
      <c r="O861"/>
      <c r="P861" s="260"/>
      <c r="Q861"/>
      <c r="R861"/>
    </row>
    <row r="862" spans="2:18" x14ac:dyDescent="0.2">
      <c r="B862" s="106"/>
      <c r="C862" s="232"/>
      <c r="D862" s="261"/>
      <c r="E862" s="133"/>
      <c r="F862" s="8"/>
      <c r="G862" s="55"/>
      <c r="H862" s="55"/>
      <c r="I862" s="55"/>
      <c r="J862" s="55"/>
      <c r="K862" s="65"/>
      <c r="L862" s="65"/>
      <c r="M862" s="65"/>
      <c r="N862" s="537"/>
      <c r="O862"/>
      <c r="P862" s="260"/>
      <c r="Q862"/>
      <c r="R862"/>
    </row>
    <row r="863" spans="2:18" x14ac:dyDescent="0.2">
      <c r="B863" s="106"/>
      <c r="C863" s="232"/>
      <c r="D863" s="261"/>
      <c r="E863" s="133"/>
      <c r="F863" s="8"/>
      <c r="G863" s="55"/>
      <c r="H863" s="55"/>
      <c r="I863" s="55"/>
      <c r="J863" s="55"/>
      <c r="K863" s="65"/>
      <c r="L863" s="65"/>
      <c r="M863" s="65"/>
      <c r="N863" s="537"/>
      <c r="O863"/>
      <c r="P863" s="260"/>
      <c r="Q863"/>
      <c r="R863"/>
    </row>
    <row r="864" spans="2:18" x14ac:dyDescent="0.2">
      <c r="B864" s="106"/>
      <c r="C864" s="232"/>
      <c r="D864" s="261"/>
      <c r="E864" s="133"/>
      <c r="F864" s="8"/>
      <c r="G864" s="55"/>
      <c r="H864" s="55"/>
      <c r="I864" s="55"/>
      <c r="J864" s="55"/>
      <c r="K864" s="65"/>
      <c r="L864" s="65"/>
      <c r="M864" s="65"/>
      <c r="N864" s="537"/>
      <c r="O864"/>
      <c r="P864" s="260"/>
      <c r="Q864"/>
      <c r="R864"/>
    </row>
    <row r="865" spans="2:18" x14ac:dyDescent="0.2">
      <c r="B865" s="106"/>
      <c r="C865" s="232"/>
      <c r="D865" s="261"/>
      <c r="E865" s="133"/>
      <c r="F865" s="8"/>
      <c r="G865" s="55"/>
      <c r="H865" s="55"/>
      <c r="I865" s="55"/>
      <c r="J865" s="55"/>
      <c r="K865" s="65"/>
      <c r="L865" s="65"/>
      <c r="M865" s="65"/>
      <c r="N865" s="537"/>
      <c r="O865"/>
      <c r="P865" s="260"/>
      <c r="Q865"/>
      <c r="R865"/>
    </row>
    <row r="866" spans="2:18" x14ac:dyDescent="0.2">
      <c r="B866" s="106"/>
      <c r="C866" s="232"/>
      <c r="D866" s="261"/>
      <c r="E866" s="133"/>
      <c r="F866" s="8"/>
      <c r="G866" s="55"/>
      <c r="H866" s="55"/>
      <c r="I866" s="55"/>
      <c r="J866" s="55"/>
      <c r="K866" s="65"/>
      <c r="L866" s="65"/>
      <c r="M866" s="65"/>
      <c r="N866" s="537"/>
      <c r="O866"/>
      <c r="P866" s="260"/>
      <c r="Q866"/>
      <c r="R866"/>
    </row>
    <row r="867" spans="2:18" x14ac:dyDescent="0.2">
      <c r="B867" s="106"/>
      <c r="C867" s="232"/>
      <c r="D867" s="261"/>
      <c r="E867" s="133"/>
      <c r="F867" s="8"/>
      <c r="G867" s="55"/>
      <c r="H867" s="55"/>
      <c r="I867" s="55"/>
      <c r="J867" s="55"/>
      <c r="K867" s="65"/>
      <c r="L867" s="65"/>
      <c r="M867" s="65"/>
      <c r="N867" s="537"/>
      <c r="O867"/>
      <c r="P867" s="260"/>
      <c r="Q867"/>
      <c r="R867"/>
    </row>
    <row r="868" spans="2:18" x14ac:dyDescent="0.2">
      <c r="B868" s="106"/>
      <c r="C868" s="232"/>
      <c r="D868" s="261"/>
      <c r="E868" s="133"/>
      <c r="F868" s="8"/>
      <c r="G868" s="55"/>
      <c r="H868" s="55"/>
      <c r="I868" s="55"/>
      <c r="J868" s="55"/>
      <c r="K868" s="65"/>
      <c r="L868" s="65"/>
      <c r="M868" s="65"/>
      <c r="N868" s="537"/>
      <c r="O868"/>
      <c r="P868" s="260"/>
      <c r="Q868"/>
      <c r="R868"/>
    </row>
    <row r="869" spans="2:18" x14ac:dyDescent="0.2">
      <c r="B869" s="106"/>
      <c r="C869" s="232"/>
      <c r="D869" s="261"/>
      <c r="E869" s="133"/>
      <c r="F869" s="8"/>
      <c r="G869" s="55"/>
      <c r="H869" s="55"/>
      <c r="I869" s="55"/>
      <c r="J869" s="55"/>
      <c r="K869" s="65"/>
      <c r="L869" s="65"/>
      <c r="M869" s="65"/>
      <c r="N869" s="537"/>
      <c r="O869"/>
      <c r="P869" s="260"/>
      <c r="Q869"/>
      <c r="R869"/>
    </row>
    <row r="870" spans="2:18" x14ac:dyDescent="0.2">
      <c r="B870" s="106"/>
      <c r="C870" s="232"/>
      <c r="D870" s="261"/>
      <c r="E870" s="133"/>
      <c r="F870" s="8"/>
      <c r="G870" s="55"/>
      <c r="H870" s="55"/>
      <c r="I870" s="55"/>
      <c r="J870" s="55"/>
      <c r="K870" s="65"/>
      <c r="L870" s="65"/>
      <c r="M870" s="65"/>
      <c r="N870" s="537"/>
      <c r="O870"/>
      <c r="P870" s="260"/>
      <c r="Q870"/>
      <c r="R870"/>
    </row>
    <row r="871" spans="2:18" x14ac:dyDescent="0.2">
      <c r="B871" s="106"/>
      <c r="C871" s="232"/>
      <c r="D871" s="261"/>
      <c r="E871" s="133"/>
      <c r="F871" s="8"/>
      <c r="G871" s="55"/>
      <c r="H871" s="55"/>
      <c r="I871" s="55"/>
      <c r="J871" s="55"/>
      <c r="K871" s="65"/>
      <c r="L871" s="65"/>
      <c r="M871" s="65"/>
      <c r="N871" s="537"/>
      <c r="O871"/>
      <c r="P871" s="260"/>
      <c r="Q871"/>
      <c r="R871"/>
    </row>
    <row r="872" spans="2:18" x14ac:dyDescent="0.2">
      <c r="B872" s="106"/>
      <c r="C872" s="232"/>
      <c r="D872" s="261"/>
      <c r="E872" s="133"/>
      <c r="F872" s="8"/>
      <c r="G872" s="55"/>
      <c r="H872" s="55"/>
      <c r="I872" s="55"/>
      <c r="J872" s="55"/>
      <c r="K872" s="65"/>
      <c r="L872" s="65"/>
      <c r="M872" s="65"/>
      <c r="N872" s="537"/>
      <c r="O872"/>
      <c r="P872" s="260"/>
      <c r="Q872"/>
      <c r="R872"/>
    </row>
    <row r="873" spans="2:18" x14ac:dyDescent="0.2">
      <c r="B873" s="106"/>
      <c r="C873" s="232"/>
      <c r="D873" s="261"/>
      <c r="E873" s="133"/>
      <c r="F873" s="8"/>
      <c r="G873" s="55"/>
      <c r="H873" s="55"/>
      <c r="I873" s="55"/>
      <c r="J873" s="55"/>
      <c r="K873" s="65"/>
      <c r="L873" s="65"/>
      <c r="M873" s="65"/>
      <c r="N873" s="537"/>
      <c r="O873"/>
      <c r="P873" s="260"/>
      <c r="Q873"/>
      <c r="R873"/>
    </row>
    <row r="874" spans="2:18" x14ac:dyDescent="0.2">
      <c r="B874" s="106"/>
      <c r="C874" s="232"/>
      <c r="D874" s="261"/>
      <c r="E874" s="133"/>
      <c r="F874" s="8"/>
      <c r="G874" s="55"/>
      <c r="H874" s="55"/>
      <c r="I874" s="55"/>
      <c r="J874" s="55"/>
      <c r="K874" s="65"/>
      <c r="L874" s="65"/>
      <c r="M874" s="65"/>
      <c r="N874" s="537"/>
      <c r="O874"/>
      <c r="P874" s="260"/>
      <c r="Q874"/>
      <c r="R874"/>
    </row>
    <row r="875" spans="2:18" x14ac:dyDescent="0.2">
      <c r="B875" s="106"/>
      <c r="C875" s="232"/>
      <c r="D875" s="261"/>
      <c r="E875" s="133"/>
      <c r="F875" s="8"/>
      <c r="G875" s="55"/>
      <c r="H875" s="55"/>
      <c r="I875" s="55"/>
      <c r="J875" s="55"/>
      <c r="K875" s="65"/>
      <c r="L875" s="65"/>
      <c r="M875" s="65"/>
      <c r="N875" s="537"/>
      <c r="O875"/>
      <c r="P875" s="260"/>
      <c r="Q875"/>
      <c r="R875"/>
    </row>
    <row r="876" spans="2:18" x14ac:dyDescent="0.2">
      <c r="B876" s="106"/>
      <c r="C876" s="232"/>
      <c r="D876" s="261"/>
      <c r="E876" s="133"/>
      <c r="F876" s="8"/>
      <c r="G876" s="55"/>
      <c r="H876" s="55"/>
      <c r="I876" s="55"/>
      <c r="J876" s="55"/>
      <c r="K876" s="65"/>
      <c r="L876" s="65"/>
      <c r="M876" s="65"/>
      <c r="N876" s="537"/>
      <c r="O876"/>
      <c r="P876" s="260"/>
      <c r="Q876"/>
      <c r="R876"/>
    </row>
    <row r="877" spans="2:18" x14ac:dyDescent="0.2">
      <c r="B877" s="106"/>
      <c r="C877" s="232"/>
      <c r="D877" s="261"/>
      <c r="E877" s="133"/>
      <c r="F877" s="8"/>
      <c r="G877" s="55"/>
      <c r="H877" s="55"/>
      <c r="I877" s="55"/>
      <c r="J877" s="55"/>
      <c r="K877" s="65"/>
      <c r="L877" s="65"/>
      <c r="M877" s="65"/>
      <c r="N877" s="537"/>
      <c r="O877"/>
      <c r="P877" s="260"/>
      <c r="Q877"/>
      <c r="R877"/>
    </row>
    <row r="878" spans="2:18" x14ac:dyDescent="0.2">
      <c r="B878" s="106"/>
      <c r="C878" s="232"/>
      <c r="D878" s="261"/>
      <c r="E878" s="133"/>
      <c r="F878" s="8"/>
      <c r="G878" s="55"/>
      <c r="H878" s="55"/>
      <c r="I878" s="55"/>
      <c r="J878" s="55"/>
      <c r="K878" s="65"/>
      <c r="L878" s="65"/>
      <c r="M878" s="65"/>
      <c r="N878" s="537"/>
      <c r="O878"/>
      <c r="P878" s="260"/>
      <c r="Q878"/>
      <c r="R878"/>
    </row>
    <row r="879" spans="2:18" x14ac:dyDescent="0.2">
      <c r="B879" s="106"/>
      <c r="C879" s="232"/>
      <c r="D879" s="261"/>
      <c r="E879" s="133"/>
      <c r="F879" s="8"/>
      <c r="G879" s="55"/>
      <c r="H879" s="55"/>
      <c r="I879" s="55"/>
      <c r="J879" s="55"/>
      <c r="K879" s="65"/>
      <c r="L879" s="65"/>
      <c r="M879" s="65"/>
      <c r="N879" s="537"/>
      <c r="O879"/>
      <c r="P879" s="260"/>
      <c r="Q879"/>
      <c r="R879"/>
    </row>
    <row r="880" spans="2:18" x14ac:dyDescent="0.2">
      <c r="B880" s="106"/>
      <c r="C880" s="232"/>
      <c r="D880" s="261"/>
      <c r="E880" s="133"/>
      <c r="F880" s="8"/>
      <c r="G880" s="55"/>
      <c r="H880" s="55"/>
      <c r="I880" s="55"/>
      <c r="J880" s="55"/>
      <c r="K880" s="65"/>
      <c r="L880" s="65"/>
      <c r="M880" s="65"/>
      <c r="N880" s="537"/>
      <c r="O880"/>
      <c r="P880" s="260"/>
      <c r="Q880"/>
      <c r="R880"/>
    </row>
    <row r="881" spans="2:18" x14ac:dyDescent="0.2">
      <c r="B881" s="106"/>
      <c r="C881" s="232"/>
      <c r="D881" s="261"/>
      <c r="E881" s="133"/>
      <c r="F881" s="8"/>
      <c r="G881" s="55"/>
      <c r="H881" s="55"/>
      <c r="I881" s="55"/>
      <c r="J881" s="55"/>
      <c r="K881" s="65"/>
      <c r="L881" s="65"/>
      <c r="M881" s="65"/>
      <c r="N881" s="537"/>
      <c r="O881"/>
      <c r="P881" s="260"/>
      <c r="Q881"/>
      <c r="R881"/>
    </row>
    <row r="882" spans="2:18" x14ac:dyDescent="0.2">
      <c r="B882" s="106"/>
      <c r="C882" s="232"/>
      <c r="D882" s="261"/>
      <c r="E882" s="133"/>
      <c r="F882" s="8"/>
      <c r="G882" s="55"/>
      <c r="H882" s="55"/>
      <c r="I882" s="55"/>
      <c r="J882" s="55"/>
      <c r="K882" s="65"/>
      <c r="L882" s="65"/>
      <c r="M882" s="65"/>
      <c r="N882" s="537"/>
      <c r="O882"/>
      <c r="P882" s="260"/>
      <c r="Q882"/>
      <c r="R882"/>
    </row>
    <row r="883" spans="2:18" x14ac:dyDescent="0.2">
      <c r="B883" s="106"/>
      <c r="C883" s="232"/>
      <c r="D883" s="261"/>
      <c r="E883" s="133"/>
      <c r="F883" s="8"/>
      <c r="G883" s="55"/>
      <c r="H883" s="55"/>
      <c r="I883" s="55"/>
      <c r="J883" s="55"/>
      <c r="K883" s="65"/>
      <c r="L883" s="65"/>
      <c r="M883" s="65"/>
      <c r="N883" s="537"/>
      <c r="O883"/>
      <c r="P883" s="260"/>
      <c r="Q883"/>
      <c r="R883"/>
    </row>
    <row r="884" spans="2:18" x14ac:dyDescent="0.2">
      <c r="B884" s="106"/>
      <c r="C884" s="232"/>
      <c r="D884" s="261"/>
      <c r="E884" s="133"/>
      <c r="F884" s="8"/>
      <c r="G884" s="55"/>
      <c r="H884" s="55"/>
      <c r="I884" s="55"/>
      <c r="J884" s="55"/>
      <c r="K884" s="65"/>
      <c r="L884" s="65"/>
      <c r="M884" s="65"/>
      <c r="N884" s="537"/>
      <c r="O884"/>
      <c r="P884" s="260"/>
      <c r="Q884"/>
      <c r="R884"/>
    </row>
    <row r="885" spans="2:18" x14ac:dyDescent="0.2">
      <c r="B885" s="106"/>
      <c r="C885" s="232"/>
      <c r="D885" s="261"/>
      <c r="E885" s="133"/>
      <c r="F885" s="8"/>
      <c r="G885" s="55"/>
      <c r="H885" s="55"/>
      <c r="I885" s="55"/>
      <c r="J885" s="55"/>
      <c r="K885" s="65"/>
      <c r="L885" s="65"/>
      <c r="M885" s="65"/>
      <c r="N885" s="537"/>
      <c r="O885"/>
      <c r="P885" s="260"/>
      <c r="Q885"/>
      <c r="R885"/>
    </row>
    <row r="886" spans="2:18" x14ac:dyDescent="0.2">
      <c r="B886" s="106"/>
      <c r="C886" s="232"/>
      <c r="D886" s="261"/>
      <c r="E886" s="133"/>
      <c r="F886" s="8"/>
      <c r="G886" s="55"/>
      <c r="H886" s="55"/>
      <c r="I886" s="55"/>
      <c r="J886" s="55"/>
      <c r="K886" s="65"/>
      <c r="L886" s="65"/>
      <c r="M886" s="65"/>
      <c r="N886" s="537"/>
      <c r="O886"/>
      <c r="P886" s="260"/>
      <c r="Q886"/>
      <c r="R886"/>
    </row>
    <row r="887" spans="2:18" x14ac:dyDescent="0.2">
      <c r="B887" s="106"/>
      <c r="C887" s="232"/>
      <c r="D887" s="261"/>
      <c r="E887" s="133"/>
      <c r="F887" s="8"/>
      <c r="G887" s="55"/>
      <c r="H887" s="55"/>
      <c r="I887" s="55"/>
      <c r="J887" s="55"/>
      <c r="K887" s="65"/>
      <c r="L887" s="65"/>
      <c r="M887" s="65"/>
      <c r="N887" s="537"/>
      <c r="O887"/>
      <c r="P887" s="260"/>
      <c r="Q887"/>
      <c r="R887"/>
    </row>
    <row r="888" spans="2:18" x14ac:dyDescent="0.2">
      <c r="B888" s="106"/>
      <c r="C888" s="232"/>
      <c r="D888" s="261"/>
      <c r="E888" s="133"/>
      <c r="F888" s="8"/>
      <c r="G888" s="55"/>
      <c r="H888" s="55"/>
      <c r="I888" s="55"/>
      <c r="J888" s="55"/>
      <c r="K888" s="65"/>
      <c r="L888" s="65"/>
      <c r="M888" s="65"/>
      <c r="N888" s="537"/>
      <c r="O888"/>
      <c r="P888" s="260"/>
      <c r="Q888"/>
      <c r="R888"/>
    </row>
    <row r="889" spans="2:18" x14ac:dyDescent="0.2">
      <c r="B889" s="106"/>
      <c r="C889" s="232"/>
      <c r="D889" s="261"/>
      <c r="E889" s="133"/>
      <c r="F889" s="8"/>
      <c r="G889" s="55"/>
      <c r="H889" s="55"/>
      <c r="I889" s="55"/>
      <c r="J889" s="55"/>
      <c r="K889" s="65"/>
      <c r="L889" s="65"/>
      <c r="M889" s="65"/>
      <c r="N889" s="537"/>
      <c r="O889"/>
      <c r="P889" s="260"/>
      <c r="Q889"/>
      <c r="R889"/>
    </row>
    <row r="890" spans="2:18" x14ac:dyDescent="0.2">
      <c r="B890" s="106"/>
      <c r="C890" s="232"/>
      <c r="D890" s="261"/>
      <c r="E890" s="133"/>
      <c r="F890" s="8"/>
      <c r="G890" s="55"/>
      <c r="H890" s="55"/>
      <c r="I890" s="55"/>
      <c r="J890" s="55"/>
      <c r="K890" s="65"/>
      <c r="L890" s="65"/>
      <c r="M890" s="65"/>
      <c r="N890" s="537"/>
      <c r="O890"/>
      <c r="P890" s="260"/>
      <c r="Q890"/>
      <c r="R890"/>
    </row>
    <row r="891" spans="2:18" x14ac:dyDescent="0.2">
      <c r="B891" s="106"/>
      <c r="C891" s="232"/>
      <c r="D891" s="261"/>
      <c r="E891" s="133"/>
      <c r="F891" s="8"/>
      <c r="G891" s="55"/>
      <c r="H891" s="55"/>
      <c r="I891" s="55"/>
      <c r="J891" s="55"/>
      <c r="K891" s="65"/>
      <c r="L891" s="65"/>
      <c r="M891" s="65"/>
      <c r="N891" s="537"/>
      <c r="O891"/>
      <c r="P891" s="260"/>
      <c r="Q891"/>
      <c r="R891"/>
    </row>
    <row r="892" spans="2:18" x14ac:dyDescent="0.2">
      <c r="B892" s="106"/>
      <c r="C892" s="232"/>
      <c r="D892" s="261"/>
      <c r="E892" s="133"/>
      <c r="F892" s="8"/>
      <c r="G892" s="55"/>
      <c r="H892" s="55"/>
      <c r="I892" s="55"/>
      <c r="J892" s="55"/>
      <c r="K892" s="65"/>
      <c r="L892" s="65"/>
      <c r="M892" s="65"/>
      <c r="N892" s="537"/>
      <c r="O892"/>
      <c r="P892" s="260"/>
      <c r="Q892"/>
      <c r="R892"/>
    </row>
    <row r="893" spans="2:18" x14ac:dyDescent="0.2">
      <c r="B893" s="106"/>
      <c r="C893" s="232"/>
      <c r="D893" s="261"/>
      <c r="E893" s="133"/>
      <c r="F893" s="8"/>
      <c r="G893" s="55"/>
      <c r="H893" s="55"/>
      <c r="I893" s="55"/>
      <c r="J893" s="55"/>
      <c r="K893" s="65"/>
      <c r="L893" s="65"/>
      <c r="M893" s="65"/>
      <c r="N893" s="537"/>
      <c r="O893"/>
      <c r="P893" s="260"/>
      <c r="Q893"/>
      <c r="R893"/>
    </row>
    <row r="894" spans="2:18" x14ac:dyDescent="0.2">
      <c r="B894" s="106"/>
      <c r="C894" s="232"/>
      <c r="D894" s="261"/>
      <c r="E894" s="133"/>
      <c r="F894" s="8"/>
      <c r="G894" s="55"/>
      <c r="H894" s="55"/>
      <c r="I894" s="55"/>
      <c r="J894" s="55"/>
      <c r="K894" s="65"/>
      <c r="L894" s="65"/>
      <c r="M894" s="65"/>
      <c r="N894" s="537"/>
      <c r="O894"/>
      <c r="P894" s="260"/>
      <c r="Q894"/>
      <c r="R894"/>
    </row>
    <row r="895" spans="2:18" x14ac:dyDescent="0.2">
      <c r="B895" s="106"/>
      <c r="C895" s="232"/>
      <c r="D895" s="261"/>
      <c r="E895" s="133"/>
      <c r="F895" s="8"/>
      <c r="G895" s="55"/>
      <c r="H895" s="55"/>
      <c r="I895" s="55"/>
      <c r="J895" s="55"/>
      <c r="K895" s="65"/>
      <c r="L895" s="65"/>
      <c r="M895" s="65"/>
      <c r="N895" s="537"/>
      <c r="O895"/>
      <c r="P895" s="260"/>
      <c r="Q895"/>
      <c r="R895"/>
    </row>
    <row r="896" spans="2:18" x14ac:dyDescent="0.2">
      <c r="B896" s="106"/>
      <c r="C896" s="232"/>
      <c r="D896" s="261"/>
      <c r="E896" s="133"/>
      <c r="F896" s="8"/>
      <c r="G896" s="55"/>
      <c r="H896" s="55"/>
      <c r="I896" s="55"/>
      <c r="J896" s="55"/>
      <c r="K896" s="65"/>
      <c r="L896" s="65"/>
      <c r="M896" s="65"/>
      <c r="N896" s="537"/>
      <c r="O896"/>
      <c r="P896" s="260"/>
      <c r="Q896"/>
      <c r="R896"/>
    </row>
    <row r="897" spans="2:18" x14ac:dyDescent="0.2">
      <c r="B897" s="106"/>
      <c r="C897" s="232"/>
      <c r="D897" s="261"/>
      <c r="E897" s="133"/>
      <c r="F897" s="8"/>
      <c r="G897" s="55"/>
      <c r="H897" s="55"/>
      <c r="I897" s="55"/>
      <c r="J897" s="55"/>
      <c r="K897" s="65"/>
      <c r="L897" s="65"/>
      <c r="M897" s="65"/>
      <c r="N897" s="537"/>
      <c r="O897"/>
      <c r="P897" s="260"/>
      <c r="Q897"/>
      <c r="R897"/>
    </row>
    <row r="898" spans="2:18" x14ac:dyDescent="0.2">
      <c r="B898" s="106"/>
      <c r="C898" s="232"/>
      <c r="D898" s="261"/>
      <c r="E898" s="133"/>
      <c r="F898" s="8"/>
      <c r="G898" s="55"/>
      <c r="H898" s="55"/>
      <c r="I898" s="55"/>
      <c r="J898" s="55"/>
      <c r="K898" s="65"/>
      <c r="L898" s="65"/>
      <c r="M898" s="65"/>
      <c r="N898" s="537"/>
      <c r="O898"/>
      <c r="P898" s="260"/>
      <c r="Q898"/>
      <c r="R898"/>
    </row>
    <row r="899" spans="2:18" x14ac:dyDescent="0.2">
      <c r="B899" s="106"/>
      <c r="C899" s="232"/>
      <c r="D899" s="261"/>
      <c r="E899" s="133"/>
      <c r="F899" s="8"/>
      <c r="G899" s="55"/>
      <c r="H899" s="55"/>
      <c r="I899" s="55"/>
      <c r="J899" s="55"/>
      <c r="K899" s="65"/>
      <c r="L899" s="65"/>
      <c r="M899" s="65"/>
      <c r="N899" s="537"/>
      <c r="O899"/>
      <c r="P899" s="260"/>
      <c r="Q899"/>
      <c r="R899"/>
    </row>
    <row r="900" spans="2:18" x14ac:dyDescent="0.2">
      <c r="B900" s="106"/>
      <c r="C900" s="232"/>
      <c r="D900" s="261"/>
      <c r="E900" s="133"/>
      <c r="F900" s="8"/>
      <c r="G900" s="55"/>
      <c r="H900" s="55"/>
      <c r="I900" s="55"/>
      <c r="J900" s="55"/>
      <c r="K900" s="65"/>
      <c r="L900" s="65"/>
      <c r="M900" s="65"/>
      <c r="N900" s="537"/>
      <c r="O900"/>
      <c r="P900" s="260"/>
      <c r="Q900"/>
      <c r="R900"/>
    </row>
    <row r="901" spans="2:18" x14ac:dyDescent="0.2">
      <c r="B901" s="106"/>
      <c r="C901" s="232"/>
      <c r="D901" s="261"/>
      <c r="E901" s="133"/>
      <c r="F901" s="8"/>
      <c r="G901" s="55"/>
      <c r="H901" s="55"/>
      <c r="I901" s="55"/>
      <c r="J901" s="55"/>
      <c r="K901" s="65"/>
      <c r="L901" s="65"/>
      <c r="M901" s="65"/>
      <c r="N901" s="537"/>
      <c r="O901"/>
      <c r="P901" s="260"/>
      <c r="Q901"/>
      <c r="R901"/>
    </row>
    <row r="902" spans="2:18" x14ac:dyDescent="0.2">
      <c r="B902" s="106"/>
      <c r="C902" s="232"/>
      <c r="D902" s="261"/>
      <c r="E902" s="133"/>
      <c r="F902" s="8"/>
      <c r="G902" s="55"/>
      <c r="H902" s="55"/>
      <c r="I902" s="55"/>
      <c r="J902" s="55"/>
      <c r="K902" s="65"/>
      <c r="L902" s="65"/>
      <c r="M902" s="65"/>
      <c r="N902" s="537"/>
      <c r="O902"/>
      <c r="P902" s="260"/>
      <c r="Q902"/>
      <c r="R902"/>
    </row>
    <row r="903" spans="2:18" x14ac:dyDescent="0.2">
      <c r="B903" s="106"/>
      <c r="C903" s="232"/>
      <c r="D903" s="261"/>
      <c r="E903" s="133"/>
      <c r="F903" s="8"/>
      <c r="G903" s="55"/>
      <c r="H903" s="55"/>
      <c r="I903" s="55"/>
      <c r="J903" s="55"/>
      <c r="K903" s="65"/>
      <c r="L903" s="65"/>
      <c r="M903" s="65"/>
      <c r="N903" s="537"/>
      <c r="O903"/>
      <c r="P903" s="260"/>
      <c r="Q903"/>
      <c r="R903"/>
    </row>
    <row r="904" spans="2:18" x14ac:dyDescent="0.2">
      <c r="B904" s="106"/>
      <c r="C904" s="232"/>
      <c r="D904" s="261"/>
      <c r="E904" s="133"/>
      <c r="F904" s="8"/>
      <c r="G904" s="55"/>
      <c r="H904" s="55"/>
      <c r="I904" s="55"/>
      <c r="J904" s="55"/>
      <c r="K904" s="65"/>
      <c r="L904" s="65"/>
      <c r="M904" s="65"/>
      <c r="N904" s="537"/>
      <c r="O904"/>
      <c r="P904" s="260"/>
      <c r="Q904"/>
      <c r="R904"/>
    </row>
    <row r="905" spans="2:18" x14ac:dyDescent="0.2">
      <c r="B905" s="106"/>
      <c r="C905" s="232"/>
      <c r="D905" s="261"/>
      <c r="E905" s="133"/>
      <c r="F905" s="8"/>
      <c r="G905" s="55"/>
      <c r="H905" s="55"/>
      <c r="I905" s="55"/>
      <c r="J905" s="55"/>
      <c r="K905" s="65"/>
      <c r="L905" s="65"/>
      <c r="M905" s="65"/>
      <c r="N905" s="537"/>
      <c r="O905"/>
      <c r="P905" s="260"/>
      <c r="Q905"/>
      <c r="R905"/>
    </row>
    <row r="906" spans="2:18" x14ac:dyDescent="0.2">
      <c r="B906" s="106"/>
      <c r="C906" s="232"/>
      <c r="D906" s="261"/>
      <c r="E906" s="133"/>
      <c r="F906" s="8"/>
      <c r="G906" s="55"/>
      <c r="H906" s="55"/>
      <c r="I906" s="55"/>
      <c r="J906" s="55"/>
      <c r="K906" s="65"/>
      <c r="L906" s="65"/>
      <c r="M906" s="65"/>
      <c r="N906" s="537"/>
      <c r="O906"/>
      <c r="P906" s="260"/>
      <c r="Q906"/>
      <c r="R906"/>
    </row>
    <row r="907" spans="2:18" x14ac:dyDescent="0.2">
      <c r="B907" s="106"/>
      <c r="C907" s="232"/>
      <c r="D907" s="261"/>
      <c r="E907" s="133"/>
      <c r="F907" s="8"/>
      <c r="G907" s="55"/>
      <c r="H907" s="55"/>
      <c r="I907" s="55"/>
      <c r="J907" s="55"/>
      <c r="K907" s="65"/>
      <c r="L907" s="65"/>
      <c r="M907" s="65"/>
      <c r="N907" s="537"/>
      <c r="O907"/>
      <c r="P907" s="260"/>
      <c r="Q907"/>
      <c r="R907"/>
    </row>
    <row r="908" spans="2:18" x14ac:dyDescent="0.2">
      <c r="B908" s="106"/>
      <c r="C908" s="232"/>
      <c r="D908" s="261"/>
      <c r="E908" s="133"/>
      <c r="F908" s="8"/>
      <c r="G908" s="55"/>
      <c r="H908" s="55"/>
      <c r="I908" s="55"/>
      <c r="J908" s="55"/>
      <c r="K908" s="65"/>
      <c r="L908" s="65"/>
      <c r="M908" s="65"/>
      <c r="N908" s="537"/>
      <c r="O908"/>
      <c r="P908" s="260"/>
      <c r="Q908"/>
      <c r="R908"/>
    </row>
    <row r="909" spans="2:18" x14ac:dyDescent="0.2">
      <c r="B909" s="106"/>
      <c r="C909" s="232"/>
      <c r="D909" s="261"/>
      <c r="E909" s="133"/>
      <c r="F909" s="8"/>
      <c r="G909" s="55"/>
      <c r="H909" s="55"/>
      <c r="I909" s="55"/>
      <c r="J909" s="55"/>
      <c r="K909" s="65"/>
      <c r="L909" s="65"/>
      <c r="M909" s="65"/>
      <c r="N909" s="537"/>
      <c r="O909"/>
      <c r="P909" s="260"/>
      <c r="Q909"/>
      <c r="R909"/>
    </row>
    <row r="910" spans="2:18" x14ac:dyDescent="0.2">
      <c r="B910" s="106"/>
      <c r="C910" s="232"/>
      <c r="D910" s="261"/>
      <c r="E910" s="133"/>
      <c r="F910" s="8"/>
      <c r="G910" s="55"/>
      <c r="H910" s="55"/>
      <c r="I910" s="55"/>
      <c r="J910" s="55"/>
      <c r="K910" s="65"/>
      <c r="L910" s="65"/>
      <c r="M910" s="65"/>
      <c r="N910" s="537"/>
      <c r="O910"/>
      <c r="P910" s="260"/>
      <c r="Q910"/>
      <c r="R910"/>
    </row>
    <row r="911" spans="2:18" x14ac:dyDescent="0.2">
      <c r="B911" s="106"/>
      <c r="C911" s="232"/>
      <c r="D911" s="261"/>
      <c r="E911" s="133"/>
      <c r="F911" s="8"/>
      <c r="G911" s="55"/>
      <c r="H911" s="55"/>
      <c r="I911" s="55"/>
      <c r="J911" s="55"/>
      <c r="K911" s="65"/>
      <c r="L911" s="65"/>
      <c r="M911" s="65"/>
      <c r="N911" s="537"/>
      <c r="O911"/>
      <c r="P911" s="260"/>
      <c r="Q911"/>
      <c r="R911"/>
    </row>
    <row r="912" spans="2:18" x14ac:dyDescent="0.2">
      <c r="B912" s="106"/>
      <c r="C912" s="232"/>
      <c r="D912" s="261"/>
      <c r="E912" s="133"/>
      <c r="F912" s="8"/>
      <c r="G912" s="55"/>
      <c r="H912" s="55"/>
      <c r="I912" s="55"/>
      <c r="J912" s="55"/>
      <c r="K912" s="65"/>
      <c r="L912" s="65"/>
      <c r="M912" s="65"/>
      <c r="N912" s="537"/>
      <c r="O912"/>
      <c r="P912" s="260"/>
      <c r="Q912"/>
      <c r="R912"/>
    </row>
    <row r="913" spans="2:18" x14ac:dyDescent="0.2">
      <c r="B913" s="106"/>
      <c r="C913" s="232"/>
      <c r="D913" s="261"/>
      <c r="E913" s="133"/>
      <c r="F913" s="8"/>
      <c r="G913" s="55"/>
      <c r="H913" s="55"/>
      <c r="I913" s="55"/>
      <c r="J913" s="55"/>
      <c r="K913" s="65"/>
      <c r="L913" s="65"/>
      <c r="M913" s="65"/>
      <c r="N913" s="537"/>
      <c r="O913"/>
      <c r="P913" s="260"/>
      <c r="Q913"/>
      <c r="R913"/>
    </row>
    <row r="914" spans="2:18" x14ac:dyDescent="0.2">
      <c r="B914" s="106"/>
      <c r="C914" s="232"/>
      <c r="D914" s="261"/>
      <c r="E914" s="133"/>
      <c r="F914" s="8"/>
      <c r="G914" s="55"/>
      <c r="H914" s="55"/>
      <c r="I914" s="55"/>
      <c r="J914" s="55"/>
      <c r="K914" s="65"/>
      <c r="L914" s="65"/>
      <c r="M914" s="65"/>
      <c r="N914" s="537"/>
      <c r="O914"/>
      <c r="P914" s="260"/>
      <c r="Q914"/>
      <c r="R914"/>
    </row>
    <row r="915" spans="2:18" x14ac:dyDescent="0.2">
      <c r="B915" s="106"/>
      <c r="C915" s="232"/>
      <c r="D915" s="261"/>
      <c r="E915" s="133"/>
      <c r="F915" s="8"/>
      <c r="G915" s="55"/>
      <c r="H915" s="55"/>
      <c r="I915" s="55"/>
      <c r="J915" s="55"/>
      <c r="K915" s="65"/>
      <c r="L915" s="65"/>
      <c r="M915" s="65"/>
      <c r="N915" s="537"/>
      <c r="O915"/>
      <c r="P915" s="260"/>
      <c r="Q915"/>
      <c r="R915"/>
    </row>
    <row r="916" spans="2:18" x14ac:dyDescent="0.2">
      <c r="B916" s="106"/>
      <c r="C916" s="232"/>
      <c r="D916" s="261"/>
      <c r="E916" s="133"/>
      <c r="F916" s="8"/>
      <c r="G916" s="55"/>
      <c r="H916" s="55"/>
      <c r="I916" s="55"/>
      <c r="J916" s="55"/>
      <c r="K916" s="65"/>
      <c r="L916" s="65"/>
      <c r="M916" s="65"/>
      <c r="N916" s="537"/>
      <c r="O916"/>
      <c r="P916" s="260"/>
      <c r="Q916"/>
      <c r="R916"/>
    </row>
    <row r="917" spans="2:18" x14ac:dyDescent="0.2">
      <c r="B917" s="106"/>
      <c r="C917" s="232"/>
      <c r="D917" s="261"/>
      <c r="E917" s="133"/>
      <c r="F917" s="8"/>
      <c r="G917" s="55"/>
      <c r="H917" s="55"/>
      <c r="I917" s="55"/>
      <c r="J917" s="55"/>
      <c r="K917" s="65"/>
      <c r="L917" s="65"/>
      <c r="M917" s="65"/>
      <c r="N917" s="537"/>
      <c r="O917"/>
      <c r="P917" s="260"/>
      <c r="Q917"/>
      <c r="R917"/>
    </row>
    <row r="918" spans="2:18" x14ac:dyDescent="0.2">
      <c r="B918" s="106"/>
      <c r="C918" s="232"/>
      <c r="D918" s="261"/>
      <c r="E918" s="133"/>
      <c r="F918" s="8"/>
      <c r="G918" s="55"/>
      <c r="H918" s="55"/>
      <c r="I918" s="55"/>
      <c r="J918" s="55"/>
      <c r="K918" s="65"/>
      <c r="L918" s="65"/>
      <c r="M918" s="65"/>
      <c r="N918" s="537"/>
      <c r="O918"/>
      <c r="P918" s="260"/>
      <c r="Q918"/>
      <c r="R918"/>
    </row>
    <row r="919" spans="2:18" x14ac:dyDescent="0.2">
      <c r="B919" s="106"/>
      <c r="C919" s="232"/>
      <c r="D919" s="261"/>
      <c r="E919" s="133"/>
      <c r="F919" s="8"/>
      <c r="G919" s="55"/>
      <c r="H919" s="55"/>
      <c r="I919" s="55"/>
      <c r="J919" s="55"/>
      <c r="K919" s="65"/>
      <c r="L919" s="65"/>
      <c r="M919" s="65"/>
      <c r="N919" s="537"/>
      <c r="O919"/>
      <c r="P919" s="260"/>
      <c r="Q919"/>
      <c r="R919"/>
    </row>
    <row r="920" spans="2:18" x14ac:dyDescent="0.2">
      <c r="B920" s="106"/>
      <c r="C920" s="232"/>
      <c r="D920" s="261"/>
      <c r="E920" s="133"/>
      <c r="F920" s="8"/>
      <c r="G920" s="55"/>
      <c r="H920" s="55"/>
      <c r="I920" s="55"/>
      <c r="J920" s="55"/>
      <c r="K920" s="65"/>
      <c r="L920" s="65"/>
      <c r="M920" s="65"/>
      <c r="N920" s="537"/>
      <c r="O920"/>
      <c r="P920" s="260"/>
      <c r="Q920"/>
      <c r="R920"/>
    </row>
    <row r="921" spans="2:18" x14ac:dyDescent="0.2">
      <c r="B921" s="106"/>
      <c r="C921" s="232"/>
      <c r="D921" s="261"/>
      <c r="E921" s="133"/>
      <c r="F921" s="8"/>
      <c r="G921" s="55"/>
      <c r="H921" s="55"/>
      <c r="I921" s="55"/>
      <c r="J921" s="55"/>
      <c r="K921" s="65"/>
      <c r="L921" s="65"/>
      <c r="M921" s="65"/>
      <c r="N921" s="537"/>
      <c r="O921"/>
      <c r="P921" s="260"/>
      <c r="Q921"/>
      <c r="R921"/>
    </row>
    <row r="922" spans="2:18" x14ac:dyDescent="0.2">
      <c r="B922" s="106"/>
      <c r="C922" s="232"/>
      <c r="D922" s="261"/>
      <c r="E922" s="133"/>
      <c r="F922" s="8"/>
      <c r="G922" s="55"/>
      <c r="H922" s="55"/>
      <c r="I922" s="55"/>
      <c r="J922" s="55"/>
      <c r="K922" s="65"/>
      <c r="L922" s="65"/>
      <c r="M922" s="65"/>
      <c r="N922" s="537"/>
      <c r="O922"/>
      <c r="P922" s="260"/>
      <c r="Q922"/>
      <c r="R922"/>
    </row>
    <row r="923" spans="2:18" x14ac:dyDescent="0.2">
      <c r="B923" s="106"/>
      <c r="C923" s="232"/>
      <c r="D923" s="261"/>
      <c r="E923" s="133"/>
      <c r="F923" s="8"/>
      <c r="G923" s="55"/>
      <c r="H923" s="55"/>
      <c r="I923" s="55"/>
      <c r="J923" s="55"/>
      <c r="K923" s="65"/>
      <c r="L923" s="65"/>
      <c r="M923" s="65"/>
      <c r="N923" s="537"/>
      <c r="O923"/>
      <c r="P923" s="260"/>
      <c r="Q923"/>
      <c r="R923"/>
    </row>
    <row r="924" spans="2:18" x14ac:dyDescent="0.2">
      <c r="B924" s="106"/>
      <c r="C924" s="232"/>
      <c r="D924" s="261"/>
      <c r="E924" s="133"/>
      <c r="F924" s="8"/>
      <c r="G924" s="55"/>
      <c r="H924" s="55"/>
      <c r="I924" s="55"/>
      <c r="J924" s="55"/>
      <c r="K924" s="65"/>
      <c r="L924" s="65"/>
      <c r="M924" s="65"/>
      <c r="N924" s="537"/>
      <c r="O924"/>
      <c r="P924" s="260"/>
      <c r="Q924"/>
      <c r="R924"/>
    </row>
    <row r="925" spans="2:18" x14ac:dyDescent="0.2">
      <c r="B925" s="106"/>
      <c r="C925" s="232"/>
      <c r="D925" s="261"/>
      <c r="E925" s="133"/>
      <c r="F925" s="8"/>
      <c r="G925" s="55"/>
      <c r="H925" s="55"/>
      <c r="I925" s="55"/>
      <c r="J925" s="55"/>
      <c r="K925" s="65"/>
      <c r="L925" s="65"/>
      <c r="M925" s="65"/>
      <c r="N925" s="537"/>
      <c r="O925"/>
      <c r="P925" s="260"/>
      <c r="Q925"/>
      <c r="R925"/>
    </row>
    <row r="926" spans="2:18" x14ac:dyDescent="0.2">
      <c r="B926" s="106"/>
      <c r="C926" s="232"/>
      <c r="D926" s="261"/>
      <c r="E926" s="133"/>
      <c r="F926" s="8"/>
      <c r="G926" s="55"/>
      <c r="H926" s="55"/>
      <c r="I926" s="55"/>
      <c r="J926" s="55"/>
      <c r="K926" s="65"/>
      <c r="L926" s="65"/>
      <c r="M926" s="65"/>
      <c r="N926" s="537"/>
      <c r="O926"/>
      <c r="P926" s="260"/>
      <c r="Q926"/>
      <c r="R926"/>
    </row>
    <row r="927" spans="2:18" x14ac:dyDescent="0.2">
      <c r="B927" s="106"/>
      <c r="C927" s="232"/>
      <c r="D927" s="261"/>
      <c r="E927" s="133"/>
      <c r="F927" s="8"/>
      <c r="G927" s="55"/>
      <c r="H927" s="55"/>
      <c r="I927" s="55"/>
      <c r="J927" s="55"/>
      <c r="K927" s="65"/>
      <c r="L927" s="65"/>
      <c r="M927" s="65"/>
      <c r="N927" s="537"/>
      <c r="O927"/>
      <c r="P927" s="260"/>
      <c r="Q927"/>
      <c r="R927"/>
    </row>
    <row r="928" spans="2:18" x14ac:dyDescent="0.2">
      <c r="B928" s="106"/>
      <c r="C928" s="232"/>
      <c r="D928" s="261"/>
      <c r="E928" s="133"/>
      <c r="F928" s="8"/>
      <c r="G928" s="55"/>
      <c r="H928" s="55"/>
      <c r="I928" s="55"/>
      <c r="J928" s="55"/>
      <c r="K928" s="65"/>
      <c r="L928" s="65"/>
      <c r="M928" s="65"/>
      <c r="N928" s="537"/>
      <c r="O928"/>
      <c r="P928" s="260"/>
      <c r="Q928"/>
      <c r="R928"/>
    </row>
    <row r="929" spans="2:18" x14ac:dyDescent="0.2">
      <c r="B929" s="106"/>
      <c r="C929" s="232"/>
      <c r="D929" s="261"/>
      <c r="E929" s="133"/>
      <c r="F929" s="8"/>
      <c r="G929" s="55"/>
      <c r="H929" s="55"/>
      <c r="I929" s="55"/>
      <c r="J929" s="55"/>
      <c r="K929" s="65"/>
      <c r="L929" s="65"/>
      <c r="M929" s="65"/>
      <c r="N929" s="537"/>
      <c r="O929"/>
      <c r="P929" s="260"/>
      <c r="Q929"/>
      <c r="R929"/>
    </row>
    <row r="930" spans="2:18" x14ac:dyDescent="0.2">
      <c r="B930" s="106"/>
      <c r="C930" s="232"/>
      <c r="D930" s="261"/>
      <c r="E930" s="133"/>
      <c r="F930" s="8"/>
      <c r="G930" s="55"/>
      <c r="H930" s="55"/>
      <c r="I930" s="55"/>
      <c r="J930" s="55"/>
      <c r="K930" s="65"/>
      <c r="L930" s="65"/>
      <c r="M930" s="65"/>
      <c r="N930" s="537"/>
      <c r="O930"/>
      <c r="P930" s="260"/>
      <c r="Q930"/>
      <c r="R930"/>
    </row>
    <row r="931" spans="2:18" x14ac:dyDescent="0.2">
      <c r="B931" s="106"/>
      <c r="C931" s="232"/>
      <c r="D931" s="261"/>
      <c r="E931" s="133"/>
      <c r="F931" s="8"/>
      <c r="G931" s="55"/>
      <c r="H931" s="55"/>
      <c r="I931" s="55"/>
      <c r="J931" s="55"/>
      <c r="K931" s="65"/>
      <c r="L931" s="65"/>
      <c r="M931" s="65"/>
      <c r="N931" s="537"/>
      <c r="O931"/>
      <c r="P931" s="260"/>
      <c r="Q931"/>
      <c r="R931"/>
    </row>
    <row r="932" spans="2:18" x14ac:dyDescent="0.2">
      <c r="B932" s="106"/>
      <c r="C932" s="232"/>
      <c r="D932" s="261"/>
      <c r="E932" s="133"/>
      <c r="F932" s="8"/>
      <c r="G932" s="55"/>
      <c r="H932" s="55"/>
      <c r="I932" s="55"/>
      <c r="J932" s="55"/>
      <c r="K932" s="65"/>
      <c r="L932" s="65"/>
      <c r="M932" s="65"/>
      <c r="N932" s="537"/>
      <c r="O932"/>
      <c r="P932" s="260"/>
      <c r="Q932"/>
      <c r="R932"/>
    </row>
    <row r="933" spans="2:18" x14ac:dyDescent="0.2">
      <c r="B933" s="106"/>
      <c r="C933" s="232"/>
      <c r="D933" s="261"/>
      <c r="E933" s="133"/>
      <c r="F933" s="8"/>
      <c r="G933" s="55"/>
      <c r="H933" s="55"/>
      <c r="I933" s="55"/>
      <c r="J933" s="55"/>
      <c r="K933" s="65"/>
      <c r="L933" s="65"/>
      <c r="M933" s="65"/>
      <c r="N933" s="537"/>
      <c r="O933"/>
      <c r="P933" s="260"/>
      <c r="Q933"/>
      <c r="R933"/>
    </row>
    <row r="934" spans="2:18" x14ac:dyDescent="0.2">
      <c r="B934" s="106"/>
      <c r="C934" s="232"/>
      <c r="D934" s="261"/>
      <c r="E934" s="133"/>
      <c r="F934" s="8"/>
      <c r="G934" s="55"/>
      <c r="H934" s="55"/>
      <c r="I934" s="55"/>
      <c r="J934" s="55"/>
      <c r="K934" s="65"/>
      <c r="L934" s="65"/>
      <c r="M934" s="65"/>
      <c r="N934" s="537"/>
      <c r="O934"/>
      <c r="P934" s="260"/>
      <c r="Q934"/>
      <c r="R934"/>
    </row>
    <row r="935" spans="2:18" x14ac:dyDescent="0.2">
      <c r="B935" s="106"/>
      <c r="C935" s="232"/>
      <c r="D935" s="261"/>
      <c r="E935" s="133"/>
      <c r="F935" s="8"/>
      <c r="G935" s="55"/>
      <c r="H935" s="55"/>
      <c r="I935" s="55"/>
      <c r="J935" s="55"/>
      <c r="K935" s="65"/>
      <c r="L935" s="65"/>
      <c r="M935" s="65"/>
      <c r="N935" s="537"/>
      <c r="O935"/>
      <c r="P935" s="260"/>
      <c r="Q935"/>
      <c r="R935"/>
    </row>
    <row r="936" spans="2:18" x14ac:dyDescent="0.2">
      <c r="B936" s="106"/>
      <c r="C936" s="232"/>
      <c r="D936" s="261"/>
      <c r="E936" s="133"/>
      <c r="F936" s="8"/>
      <c r="G936" s="55"/>
      <c r="H936" s="55"/>
      <c r="I936" s="55"/>
      <c r="J936" s="55"/>
      <c r="K936" s="65"/>
      <c r="L936" s="65"/>
      <c r="M936" s="65"/>
      <c r="N936" s="537"/>
      <c r="O936"/>
      <c r="P936" s="260"/>
      <c r="Q936"/>
      <c r="R936"/>
    </row>
    <row r="937" spans="2:18" x14ac:dyDescent="0.2">
      <c r="B937" s="106"/>
      <c r="C937" s="232"/>
      <c r="D937" s="261"/>
      <c r="E937" s="133"/>
      <c r="F937" s="8"/>
      <c r="G937" s="55"/>
      <c r="H937" s="55"/>
      <c r="I937" s="55"/>
      <c r="J937" s="55"/>
      <c r="K937" s="65"/>
      <c r="L937" s="65"/>
      <c r="M937" s="65"/>
      <c r="N937" s="537"/>
      <c r="O937"/>
      <c r="P937" s="260"/>
      <c r="Q937"/>
      <c r="R937"/>
    </row>
    <row r="938" spans="2:18" x14ac:dyDescent="0.2">
      <c r="B938" s="106"/>
      <c r="C938" s="232"/>
      <c r="D938" s="261"/>
      <c r="E938" s="133"/>
      <c r="F938" s="8"/>
      <c r="G938" s="55"/>
      <c r="H938" s="55"/>
      <c r="I938" s="55"/>
      <c r="J938" s="55"/>
      <c r="K938" s="65"/>
      <c r="L938" s="65"/>
      <c r="M938" s="65"/>
      <c r="N938" s="537"/>
      <c r="O938"/>
      <c r="P938" s="260"/>
      <c r="Q938"/>
      <c r="R938"/>
    </row>
    <row r="939" spans="2:18" x14ac:dyDescent="0.2">
      <c r="B939" s="106"/>
      <c r="C939" s="232"/>
      <c r="D939" s="261"/>
      <c r="E939" s="133"/>
      <c r="F939" s="8"/>
      <c r="G939" s="55"/>
      <c r="H939" s="55"/>
      <c r="I939" s="55"/>
      <c r="J939" s="55"/>
      <c r="K939" s="65"/>
      <c r="L939" s="65"/>
      <c r="M939" s="65"/>
      <c r="N939" s="537"/>
      <c r="O939"/>
      <c r="P939" s="260"/>
      <c r="Q939"/>
      <c r="R939"/>
    </row>
    <row r="940" spans="2:18" x14ac:dyDescent="0.2">
      <c r="B940" s="106"/>
      <c r="C940" s="232"/>
      <c r="D940" s="261"/>
      <c r="E940" s="133"/>
      <c r="F940" s="8"/>
      <c r="G940" s="55"/>
      <c r="H940" s="55"/>
      <c r="I940" s="55"/>
      <c r="J940" s="55"/>
      <c r="K940" s="65"/>
      <c r="L940" s="65"/>
      <c r="M940" s="65"/>
      <c r="N940" s="537"/>
      <c r="O940"/>
      <c r="P940" s="260"/>
      <c r="Q940"/>
      <c r="R940"/>
    </row>
    <row r="941" spans="2:18" x14ac:dyDescent="0.2">
      <c r="B941" s="106"/>
      <c r="C941" s="232"/>
      <c r="D941" s="261"/>
      <c r="E941" s="133"/>
      <c r="F941" s="8"/>
      <c r="G941" s="55"/>
      <c r="H941" s="55"/>
      <c r="I941" s="55"/>
      <c r="J941" s="55"/>
      <c r="K941" s="65"/>
      <c r="L941" s="65"/>
      <c r="M941" s="65"/>
      <c r="N941" s="537"/>
      <c r="O941"/>
      <c r="P941" s="260"/>
      <c r="Q941"/>
      <c r="R941"/>
    </row>
    <row r="942" spans="2:18" x14ac:dyDescent="0.2">
      <c r="B942" s="106"/>
      <c r="C942" s="232"/>
      <c r="D942" s="261"/>
      <c r="E942" s="133"/>
      <c r="F942" s="8"/>
      <c r="G942" s="55"/>
      <c r="H942" s="55"/>
      <c r="I942" s="55"/>
      <c r="J942" s="55"/>
      <c r="K942" s="65"/>
      <c r="L942" s="65"/>
      <c r="M942" s="65"/>
      <c r="N942" s="537"/>
      <c r="O942"/>
      <c r="P942" s="260"/>
      <c r="Q942"/>
      <c r="R942"/>
    </row>
    <row r="943" spans="2:18" x14ac:dyDescent="0.2">
      <c r="B943" s="106"/>
      <c r="C943" s="232"/>
      <c r="D943" s="261"/>
      <c r="E943" s="133"/>
      <c r="F943" s="8"/>
      <c r="G943" s="55"/>
      <c r="H943" s="55"/>
      <c r="I943" s="55"/>
      <c r="J943" s="55"/>
      <c r="K943" s="65"/>
      <c r="L943" s="65"/>
      <c r="M943" s="65"/>
      <c r="N943" s="537"/>
      <c r="O943"/>
      <c r="P943" s="260"/>
      <c r="Q943"/>
      <c r="R943"/>
    </row>
    <row r="944" spans="2:18" x14ac:dyDescent="0.2">
      <c r="B944" s="106"/>
      <c r="C944" s="232"/>
      <c r="D944" s="261"/>
      <c r="E944" s="133"/>
      <c r="F944" s="8"/>
      <c r="G944" s="55"/>
      <c r="H944" s="55"/>
      <c r="I944" s="55"/>
      <c r="J944" s="55"/>
      <c r="K944" s="65"/>
      <c r="L944" s="65"/>
      <c r="M944" s="65"/>
      <c r="N944" s="537"/>
      <c r="O944"/>
      <c r="P944" s="260"/>
      <c r="Q944"/>
      <c r="R944"/>
    </row>
    <row r="945" spans="2:18" x14ac:dyDescent="0.2">
      <c r="B945" s="106"/>
      <c r="C945" s="232"/>
      <c r="D945" s="261"/>
      <c r="E945" s="133"/>
      <c r="F945" s="8"/>
      <c r="G945" s="55"/>
      <c r="H945" s="55"/>
      <c r="I945" s="55"/>
      <c r="J945" s="55"/>
      <c r="K945" s="65"/>
      <c r="L945" s="65"/>
      <c r="M945" s="65"/>
      <c r="N945" s="537"/>
      <c r="O945"/>
      <c r="P945" s="260"/>
      <c r="Q945"/>
      <c r="R945"/>
    </row>
    <row r="946" spans="2:18" x14ac:dyDescent="0.2">
      <c r="B946" s="106"/>
      <c r="C946" s="232"/>
      <c r="D946" s="261"/>
      <c r="E946" s="133"/>
      <c r="F946" s="8"/>
      <c r="G946" s="55"/>
      <c r="H946" s="55"/>
      <c r="I946" s="55"/>
      <c r="J946" s="55"/>
      <c r="K946" s="65"/>
      <c r="L946" s="65"/>
      <c r="M946" s="65"/>
      <c r="N946" s="537"/>
      <c r="O946"/>
      <c r="P946" s="260"/>
      <c r="Q946"/>
      <c r="R946"/>
    </row>
    <row r="947" spans="2:18" x14ac:dyDescent="0.2">
      <c r="B947" s="106"/>
      <c r="C947" s="232"/>
      <c r="D947" s="261"/>
      <c r="E947" s="133"/>
      <c r="F947" s="8"/>
      <c r="G947" s="55"/>
      <c r="H947" s="55"/>
      <c r="I947" s="55"/>
      <c r="J947" s="55"/>
      <c r="K947" s="65"/>
      <c r="L947" s="65"/>
      <c r="M947" s="65"/>
      <c r="N947" s="537"/>
      <c r="O947"/>
      <c r="P947" s="260"/>
      <c r="Q947"/>
      <c r="R947"/>
    </row>
    <row r="948" spans="2:18" x14ac:dyDescent="0.2">
      <c r="B948" s="106"/>
      <c r="C948" s="232"/>
      <c r="D948" s="261"/>
      <c r="E948" s="133"/>
      <c r="F948" s="8"/>
      <c r="G948" s="55"/>
      <c r="H948" s="55"/>
      <c r="I948" s="55"/>
      <c r="J948" s="55"/>
      <c r="K948" s="65"/>
      <c r="L948" s="65"/>
      <c r="M948" s="65"/>
      <c r="N948" s="537"/>
      <c r="O948"/>
      <c r="P948" s="260"/>
      <c r="Q948"/>
      <c r="R948"/>
    </row>
    <row r="949" spans="2:18" x14ac:dyDescent="0.2">
      <c r="B949" s="106"/>
      <c r="C949" s="232"/>
      <c r="D949" s="261"/>
      <c r="E949" s="133"/>
      <c r="F949" s="8"/>
      <c r="G949" s="55"/>
      <c r="H949" s="55"/>
      <c r="I949" s="55"/>
      <c r="J949" s="55"/>
      <c r="K949" s="65"/>
      <c r="L949" s="65"/>
      <c r="M949" s="65"/>
      <c r="N949" s="537"/>
      <c r="O949"/>
      <c r="P949" s="260"/>
      <c r="Q949"/>
      <c r="R949"/>
    </row>
    <row r="950" spans="2:18" x14ac:dyDescent="0.2">
      <c r="B950" s="106"/>
      <c r="C950" s="232"/>
      <c r="D950" s="261"/>
      <c r="E950" s="133"/>
      <c r="F950" s="8"/>
      <c r="G950" s="55"/>
      <c r="H950" s="55"/>
      <c r="I950" s="55"/>
      <c r="J950" s="55"/>
      <c r="K950" s="65"/>
      <c r="L950" s="65"/>
      <c r="M950" s="65"/>
      <c r="N950" s="537"/>
      <c r="O950"/>
      <c r="P950" s="260"/>
      <c r="Q950"/>
      <c r="R950"/>
    </row>
    <row r="951" spans="2:18" x14ac:dyDescent="0.2">
      <c r="B951" s="106"/>
      <c r="C951" s="232"/>
      <c r="D951" s="261"/>
      <c r="E951" s="133"/>
      <c r="F951" s="8"/>
      <c r="G951" s="55"/>
      <c r="H951" s="55"/>
      <c r="I951" s="55"/>
      <c r="J951" s="55"/>
      <c r="K951" s="65"/>
      <c r="L951" s="65"/>
      <c r="M951" s="65"/>
      <c r="N951" s="537"/>
      <c r="O951"/>
      <c r="P951" s="260"/>
      <c r="Q951"/>
      <c r="R951"/>
    </row>
    <row r="952" spans="2:18" x14ac:dyDescent="0.2">
      <c r="B952" s="106"/>
      <c r="C952" s="232"/>
      <c r="D952" s="261"/>
      <c r="E952" s="133"/>
      <c r="F952" s="8"/>
      <c r="G952" s="55"/>
      <c r="H952" s="55"/>
      <c r="I952" s="55"/>
      <c r="J952" s="55"/>
      <c r="K952" s="65"/>
      <c r="L952" s="65"/>
      <c r="M952" s="65"/>
      <c r="N952" s="537"/>
      <c r="O952"/>
      <c r="P952" s="260"/>
      <c r="Q952"/>
      <c r="R952"/>
    </row>
    <row r="953" spans="2:18" x14ac:dyDescent="0.2">
      <c r="B953" s="106"/>
      <c r="C953" s="232"/>
      <c r="D953" s="261"/>
      <c r="E953" s="133"/>
      <c r="F953" s="8"/>
      <c r="G953" s="55"/>
      <c r="H953" s="55"/>
      <c r="I953" s="55"/>
      <c r="J953" s="55"/>
      <c r="K953" s="65"/>
      <c r="L953" s="65"/>
      <c r="M953" s="65"/>
      <c r="N953" s="537"/>
      <c r="O953"/>
      <c r="P953" s="260"/>
      <c r="Q953"/>
      <c r="R953"/>
    </row>
    <row r="954" spans="2:18" x14ac:dyDescent="0.2">
      <c r="B954" s="106"/>
      <c r="C954" s="232"/>
      <c r="D954" s="261"/>
      <c r="E954" s="133"/>
      <c r="F954" s="8"/>
      <c r="G954" s="55"/>
      <c r="H954" s="55"/>
      <c r="I954" s="55"/>
      <c r="J954" s="55"/>
      <c r="K954" s="65"/>
      <c r="L954" s="65"/>
      <c r="M954" s="65"/>
      <c r="N954" s="537"/>
      <c r="O954"/>
      <c r="P954" s="260"/>
      <c r="Q954"/>
      <c r="R954"/>
    </row>
    <row r="955" spans="2:18" x14ac:dyDescent="0.2">
      <c r="B955" s="106"/>
      <c r="C955" s="232"/>
      <c r="D955" s="261"/>
      <c r="E955" s="133"/>
      <c r="F955" s="8"/>
      <c r="G955" s="55"/>
      <c r="H955" s="55"/>
      <c r="I955" s="55"/>
      <c r="J955" s="55"/>
      <c r="K955" s="65"/>
      <c r="L955" s="65"/>
      <c r="M955" s="65"/>
      <c r="N955" s="537"/>
      <c r="O955"/>
      <c r="P955" s="260"/>
      <c r="Q955"/>
      <c r="R955"/>
    </row>
    <row r="956" spans="2:18" x14ac:dyDescent="0.2">
      <c r="B956" s="106"/>
      <c r="C956" s="232"/>
      <c r="D956" s="261"/>
      <c r="E956" s="133"/>
      <c r="F956" s="8"/>
      <c r="G956" s="55"/>
      <c r="H956" s="55"/>
      <c r="I956" s="55"/>
      <c r="J956" s="55"/>
      <c r="K956" s="65"/>
      <c r="L956" s="65"/>
      <c r="M956" s="65"/>
      <c r="N956" s="537"/>
      <c r="O956"/>
      <c r="P956" s="260"/>
      <c r="Q956"/>
      <c r="R956"/>
    </row>
    <row r="957" spans="2:18" x14ac:dyDescent="0.2">
      <c r="B957" s="106"/>
      <c r="C957" s="232"/>
      <c r="D957" s="261"/>
      <c r="E957" s="133"/>
      <c r="F957" s="8"/>
      <c r="G957" s="55"/>
      <c r="H957" s="55"/>
      <c r="I957" s="55"/>
      <c r="J957" s="55"/>
      <c r="K957" s="65"/>
      <c r="L957" s="65"/>
      <c r="M957" s="65"/>
      <c r="N957" s="537"/>
      <c r="O957"/>
      <c r="P957" s="260"/>
      <c r="Q957"/>
      <c r="R957"/>
    </row>
    <row r="958" spans="2:18" x14ac:dyDescent="0.2">
      <c r="B958" s="106"/>
      <c r="C958" s="232"/>
      <c r="D958" s="261"/>
      <c r="E958" s="133"/>
      <c r="F958" s="8"/>
      <c r="G958" s="55"/>
      <c r="H958" s="55"/>
      <c r="I958" s="55"/>
      <c r="J958" s="55"/>
      <c r="K958" s="65"/>
      <c r="L958" s="65"/>
      <c r="M958" s="65"/>
      <c r="N958" s="537"/>
      <c r="O958"/>
      <c r="P958" s="260"/>
      <c r="Q958"/>
      <c r="R958"/>
    </row>
    <row r="959" spans="2:18" x14ac:dyDescent="0.2">
      <c r="B959" s="106"/>
      <c r="C959" s="232"/>
      <c r="D959" s="261"/>
      <c r="E959" s="133"/>
      <c r="F959" s="8"/>
      <c r="G959" s="55"/>
      <c r="H959" s="55"/>
      <c r="I959" s="55"/>
      <c r="J959" s="55"/>
      <c r="K959" s="65"/>
      <c r="L959" s="65"/>
      <c r="M959" s="65"/>
      <c r="N959" s="537"/>
      <c r="O959"/>
      <c r="P959" s="260"/>
      <c r="Q959"/>
      <c r="R959"/>
    </row>
    <row r="960" spans="2:18" x14ac:dyDescent="0.2">
      <c r="B960" s="106"/>
      <c r="C960" s="232"/>
      <c r="D960" s="261"/>
      <c r="E960" s="133"/>
      <c r="F960" s="8"/>
      <c r="G960" s="55"/>
      <c r="H960" s="55"/>
      <c r="I960" s="55"/>
      <c r="J960" s="55"/>
      <c r="K960" s="65"/>
      <c r="L960" s="65"/>
      <c r="M960" s="65"/>
      <c r="N960" s="537"/>
      <c r="O960"/>
      <c r="P960" s="260"/>
      <c r="Q960"/>
      <c r="R960"/>
    </row>
    <row r="961" spans="2:18" x14ac:dyDescent="0.2">
      <c r="B961" s="106"/>
      <c r="C961" s="232"/>
      <c r="D961" s="261"/>
      <c r="E961" s="133"/>
      <c r="F961" s="8"/>
      <c r="G961" s="55"/>
      <c r="H961" s="55"/>
      <c r="I961" s="55"/>
      <c r="J961" s="55"/>
      <c r="K961" s="65"/>
      <c r="L961" s="65"/>
      <c r="M961" s="65"/>
      <c r="N961" s="537"/>
      <c r="O961"/>
      <c r="P961" s="260"/>
      <c r="Q961"/>
      <c r="R961"/>
    </row>
    <row r="962" spans="2:18" x14ac:dyDescent="0.2">
      <c r="B962" s="106"/>
      <c r="C962" s="232"/>
      <c r="D962" s="261"/>
      <c r="E962" s="133"/>
      <c r="F962" s="8"/>
      <c r="G962" s="55"/>
      <c r="H962" s="55"/>
      <c r="I962" s="55"/>
      <c r="J962" s="55"/>
      <c r="K962" s="65"/>
      <c r="L962" s="65"/>
      <c r="M962" s="65"/>
      <c r="N962" s="537"/>
      <c r="O962"/>
      <c r="P962" s="260"/>
      <c r="Q962"/>
      <c r="R962"/>
    </row>
    <row r="963" spans="2:18" x14ac:dyDescent="0.2">
      <c r="B963" s="106"/>
      <c r="C963" s="232"/>
      <c r="D963" s="261"/>
      <c r="E963" s="133"/>
      <c r="F963" s="8"/>
      <c r="G963" s="55"/>
      <c r="H963" s="55"/>
      <c r="I963" s="55"/>
      <c r="J963" s="55"/>
      <c r="K963" s="65"/>
      <c r="L963" s="65"/>
      <c r="M963" s="65"/>
      <c r="N963" s="537"/>
      <c r="O963"/>
      <c r="P963" s="260"/>
      <c r="Q963"/>
      <c r="R963"/>
    </row>
    <row r="964" spans="2:18" x14ac:dyDescent="0.2">
      <c r="B964" s="106"/>
      <c r="C964" s="232"/>
      <c r="D964" s="261"/>
      <c r="E964" s="133"/>
      <c r="F964" s="8"/>
      <c r="G964" s="55"/>
      <c r="H964" s="55"/>
      <c r="I964" s="55"/>
      <c r="J964" s="55"/>
      <c r="K964" s="65"/>
      <c r="L964" s="65"/>
      <c r="M964" s="65"/>
      <c r="N964" s="537"/>
      <c r="O964"/>
      <c r="P964" s="260"/>
      <c r="Q964"/>
      <c r="R964"/>
    </row>
    <row r="965" spans="2:18" x14ac:dyDescent="0.2">
      <c r="B965" s="106"/>
      <c r="C965" s="232"/>
      <c r="D965" s="261"/>
      <c r="E965" s="133"/>
      <c r="F965" s="8"/>
      <c r="G965" s="55"/>
      <c r="H965" s="55"/>
      <c r="I965" s="55"/>
      <c r="J965" s="55"/>
      <c r="K965" s="65"/>
      <c r="L965" s="65"/>
      <c r="M965" s="65"/>
      <c r="N965" s="537"/>
      <c r="O965"/>
      <c r="P965" s="260"/>
      <c r="Q965"/>
      <c r="R965"/>
    </row>
    <row r="966" spans="2:18" x14ac:dyDescent="0.2">
      <c r="B966" s="106"/>
      <c r="C966" s="232"/>
      <c r="D966" s="261"/>
      <c r="E966" s="133"/>
      <c r="F966" s="8"/>
      <c r="G966" s="55"/>
      <c r="H966" s="55"/>
      <c r="I966" s="55"/>
      <c r="J966" s="55"/>
      <c r="K966" s="65"/>
      <c r="L966" s="65"/>
      <c r="M966" s="65"/>
      <c r="N966" s="537"/>
      <c r="O966"/>
      <c r="P966" s="260"/>
      <c r="Q966"/>
      <c r="R966"/>
    </row>
    <row r="967" spans="2:18" x14ac:dyDescent="0.2">
      <c r="B967" s="106"/>
      <c r="C967" s="232"/>
      <c r="D967" s="261"/>
      <c r="E967" s="133"/>
      <c r="F967" s="8"/>
      <c r="G967" s="55"/>
      <c r="H967" s="55"/>
      <c r="I967" s="55"/>
      <c r="J967" s="55"/>
      <c r="K967" s="65"/>
      <c r="L967" s="65"/>
      <c r="M967" s="65"/>
      <c r="N967" s="537"/>
      <c r="O967"/>
      <c r="P967" s="260"/>
      <c r="Q967"/>
      <c r="R967"/>
    </row>
    <row r="968" spans="2:18" x14ac:dyDescent="0.2">
      <c r="B968" s="106"/>
      <c r="C968" s="232"/>
      <c r="D968" s="261"/>
      <c r="E968" s="133"/>
      <c r="F968" s="8"/>
      <c r="G968" s="55"/>
      <c r="H968" s="55"/>
      <c r="I968" s="55"/>
      <c r="J968" s="55"/>
      <c r="K968" s="65"/>
      <c r="L968" s="65"/>
      <c r="M968" s="65"/>
      <c r="N968" s="537"/>
      <c r="O968"/>
      <c r="P968" s="260"/>
      <c r="Q968"/>
      <c r="R968"/>
    </row>
    <row r="969" spans="2:18" x14ac:dyDescent="0.2">
      <c r="B969" s="106"/>
      <c r="C969" s="232"/>
      <c r="D969" s="261"/>
      <c r="E969" s="133"/>
      <c r="F969" s="8"/>
      <c r="G969" s="55"/>
      <c r="H969" s="55"/>
      <c r="I969" s="55"/>
      <c r="J969" s="55"/>
      <c r="K969" s="65"/>
      <c r="L969" s="65"/>
      <c r="M969" s="65"/>
      <c r="N969" s="537"/>
      <c r="O969"/>
      <c r="P969" s="260"/>
      <c r="Q969"/>
      <c r="R969"/>
    </row>
    <row r="970" spans="2:18" x14ac:dyDescent="0.2">
      <c r="B970" s="106"/>
      <c r="C970" s="232"/>
      <c r="D970" s="261"/>
      <c r="E970" s="133"/>
      <c r="F970" s="8"/>
      <c r="G970" s="55"/>
      <c r="H970" s="55"/>
      <c r="I970" s="55"/>
      <c r="J970" s="55"/>
      <c r="K970" s="65"/>
      <c r="L970" s="65"/>
      <c r="M970" s="65"/>
      <c r="N970" s="537"/>
      <c r="O970"/>
      <c r="P970" s="260"/>
      <c r="Q970"/>
      <c r="R970"/>
    </row>
    <row r="971" spans="2:18" x14ac:dyDescent="0.2">
      <c r="B971" s="106"/>
      <c r="C971" s="232"/>
      <c r="D971" s="261"/>
      <c r="E971" s="133"/>
      <c r="F971" s="8"/>
      <c r="G971" s="55"/>
      <c r="H971" s="55"/>
      <c r="I971" s="55"/>
      <c r="J971" s="55"/>
      <c r="K971" s="65"/>
      <c r="L971" s="65"/>
      <c r="M971" s="65"/>
      <c r="N971" s="537"/>
      <c r="O971"/>
      <c r="P971" s="260"/>
      <c r="Q971"/>
      <c r="R971"/>
    </row>
    <row r="972" spans="2:18" x14ac:dyDescent="0.2">
      <c r="B972" s="106"/>
      <c r="C972" s="232"/>
      <c r="D972" s="261"/>
      <c r="E972" s="133"/>
      <c r="F972" s="8"/>
      <c r="G972" s="55"/>
      <c r="H972" s="55"/>
      <c r="I972" s="55"/>
      <c r="J972" s="55"/>
      <c r="K972" s="65"/>
      <c r="L972" s="65"/>
      <c r="M972" s="65"/>
      <c r="N972" s="537"/>
      <c r="O972"/>
      <c r="P972" s="260"/>
      <c r="Q972"/>
      <c r="R972"/>
    </row>
    <row r="973" spans="2:18" x14ac:dyDescent="0.2">
      <c r="B973" s="106"/>
      <c r="C973" s="232"/>
      <c r="D973" s="261"/>
      <c r="E973" s="133"/>
      <c r="F973" s="8"/>
      <c r="G973" s="55"/>
      <c r="H973" s="55"/>
      <c r="I973" s="55"/>
      <c r="J973" s="55"/>
      <c r="K973" s="65"/>
      <c r="L973" s="65"/>
      <c r="M973" s="65"/>
      <c r="N973" s="537"/>
      <c r="O973"/>
      <c r="P973" s="260"/>
      <c r="Q973"/>
      <c r="R973"/>
    </row>
    <row r="974" spans="2:18" x14ac:dyDescent="0.2">
      <c r="B974" s="106"/>
      <c r="C974" s="232"/>
      <c r="D974" s="261"/>
      <c r="E974" s="133"/>
      <c r="F974" s="8"/>
      <c r="G974" s="55"/>
      <c r="H974" s="55"/>
      <c r="I974" s="55"/>
      <c r="J974" s="55"/>
      <c r="K974" s="65"/>
      <c r="L974" s="65"/>
      <c r="M974" s="65"/>
      <c r="N974" s="537"/>
      <c r="O974"/>
      <c r="P974" s="260"/>
      <c r="Q974"/>
      <c r="R974"/>
    </row>
    <row r="975" spans="2:18" x14ac:dyDescent="0.2">
      <c r="B975" s="106"/>
      <c r="C975" s="232"/>
      <c r="D975" s="261"/>
      <c r="E975" s="133"/>
      <c r="F975" s="8"/>
      <c r="G975" s="55"/>
      <c r="H975" s="55"/>
      <c r="I975" s="55"/>
      <c r="J975" s="55"/>
      <c r="K975" s="65"/>
      <c r="L975" s="65"/>
      <c r="M975" s="65"/>
      <c r="N975" s="537"/>
      <c r="O975"/>
      <c r="P975" s="260"/>
      <c r="Q975"/>
      <c r="R975"/>
    </row>
    <row r="976" spans="2:18" x14ac:dyDescent="0.2">
      <c r="B976" s="106"/>
      <c r="C976" s="232"/>
      <c r="D976" s="261"/>
      <c r="E976" s="133"/>
      <c r="F976" s="8"/>
      <c r="G976" s="55"/>
      <c r="H976" s="55"/>
      <c r="I976" s="55"/>
      <c r="J976" s="55"/>
      <c r="K976" s="65"/>
      <c r="L976" s="65"/>
      <c r="M976" s="65"/>
      <c r="N976" s="537"/>
      <c r="O976"/>
      <c r="P976" s="260"/>
      <c r="Q976"/>
      <c r="R976"/>
    </row>
    <row r="977" spans="2:18" x14ac:dyDescent="0.2">
      <c r="B977" s="106"/>
      <c r="C977" s="232"/>
      <c r="D977" s="261"/>
      <c r="E977" s="133"/>
      <c r="F977" s="8"/>
      <c r="G977" s="55"/>
      <c r="H977" s="55"/>
      <c r="I977" s="55"/>
      <c r="J977" s="55"/>
      <c r="K977" s="65"/>
      <c r="L977" s="65"/>
      <c r="M977" s="65"/>
      <c r="N977" s="537"/>
      <c r="O977"/>
      <c r="P977" s="260"/>
      <c r="Q977"/>
      <c r="R977"/>
    </row>
    <row r="978" spans="2:18" x14ac:dyDescent="0.2">
      <c r="B978" s="106"/>
      <c r="C978" s="232"/>
      <c r="D978" s="261"/>
      <c r="E978" s="133"/>
      <c r="F978" s="8"/>
      <c r="G978" s="55"/>
      <c r="H978" s="55"/>
      <c r="I978" s="55"/>
      <c r="J978" s="55"/>
      <c r="K978" s="65"/>
      <c r="L978" s="65"/>
      <c r="M978" s="65"/>
      <c r="N978" s="537"/>
      <c r="O978"/>
      <c r="P978" s="260"/>
      <c r="Q978"/>
      <c r="R978"/>
    </row>
    <row r="979" spans="2:18" x14ac:dyDescent="0.2">
      <c r="B979" s="106"/>
      <c r="C979" s="232"/>
      <c r="D979" s="261"/>
      <c r="E979" s="133"/>
      <c r="F979" s="8"/>
      <c r="G979" s="55"/>
      <c r="H979" s="55"/>
      <c r="I979" s="55"/>
      <c r="J979" s="55"/>
      <c r="K979" s="65"/>
      <c r="L979" s="65"/>
      <c r="M979" s="65"/>
      <c r="N979" s="537"/>
      <c r="O979"/>
      <c r="P979" s="260"/>
      <c r="Q979"/>
      <c r="R979"/>
    </row>
    <row r="980" spans="2:18" x14ac:dyDescent="0.2">
      <c r="B980" s="106"/>
      <c r="C980" s="232"/>
      <c r="D980" s="261"/>
      <c r="E980" s="133"/>
      <c r="F980" s="8"/>
      <c r="G980" s="55"/>
      <c r="H980" s="55"/>
      <c r="I980" s="55"/>
      <c r="J980" s="55"/>
      <c r="K980" s="65"/>
      <c r="L980" s="65"/>
      <c r="M980" s="65"/>
      <c r="N980" s="537"/>
      <c r="O980"/>
      <c r="P980" s="260"/>
      <c r="Q980"/>
      <c r="R980"/>
    </row>
    <row r="981" spans="2:18" x14ac:dyDescent="0.2">
      <c r="B981" s="106"/>
      <c r="C981" s="232"/>
      <c r="D981" s="261"/>
      <c r="E981" s="133"/>
      <c r="F981" s="8"/>
      <c r="G981" s="55"/>
      <c r="H981" s="55"/>
      <c r="I981" s="55"/>
      <c r="J981" s="55"/>
      <c r="K981" s="65"/>
      <c r="L981" s="65"/>
      <c r="M981" s="65"/>
      <c r="N981" s="537"/>
      <c r="O981"/>
      <c r="P981" s="260"/>
      <c r="Q981"/>
      <c r="R981"/>
    </row>
    <row r="982" spans="2:18" x14ac:dyDescent="0.2">
      <c r="B982" s="106"/>
      <c r="C982" s="232"/>
      <c r="D982" s="261"/>
      <c r="E982" s="133"/>
      <c r="F982" s="8"/>
      <c r="G982" s="55"/>
      <c r="H982" s="55"/>
      <c r="I982" s="55"/>
      <c r="J982" s="55"/>
      <c r="K982" s="65"/>
      <c r="L982" s="65"/>
      <c r="M982" s="65"/>
      <c r="N982" s="537"/>
      <c r="O982"/>
      <c r="P982" s="260"/>
      <c r="Q982"/>
      <c r="R982"/>
    </row>
    <row r="983" spans="2:18" x14ac:dyDescent="0.2">
      <c r="B983" s="106"/>
      <c r="C983" s="232"/>
      <c r="D983" s="261"/>
      <c r="E983" s="133"/>
      <c r="F983" s="8"/>
      <c r="G983" s="55"/>
      <c r="H983" s="55"/>
      <c r="I983" s="55"/>
      <c r="J983" s="55"/>
      <c r="K983" s="65"/>
      <c r="L983" s="65"/>
      <c r="M983" s="65"/>
      <c r="N983" s="537"/>
      <c r="O983"/>
      <c r="P983" s="260"/>
      <c r="Q983"/>
      <c r="R983"/>
    </row>
    <row r="984" spans="2:18" x14ac:dyDescent="0.2">
      <c r="B984" s="106"/>
      <c r="C984" s="232"/>
      <c r="D984" s="261"/>
      <c r="E984" s="133"/>
      <c r="F984" s="8"/>
      <c r="G984" s="55"/>
      <c r="H984" s="55"/>
      <c r="I984" s="55"/>
      <c r="J984" s="55"/>
      <c r="K984" s="65"/>
      <c r="L984" s="65"/>
      <c r="M984" s="65"/>
      <c r="N984" s="537"/>
      <c r="O984"/>
      <c r="P984" s="260"/>
      <c r="Q984"/>
      <c r="R984"/>
    </row>
    <row r="985" spans="2:18" x14ac:dyDescent="0.2">
      <c r="B985" s="106"/>
      <c r="C985" s="232"/>
      <c r="D985" s="261"/>
      <c r="E985" s="133"/>
      <c r="F985" s="8"/>
      <c r="G985" s="55"/>
      <c r="H985" s="55"/>
      <c r="I985" s="55"/>
      <c r="J985" s="55"/>
      <c r="K985" s="65"/>
      <c r="L985" s="65"/>
      <c r="M985" s="65"/>
      <c r="N985" s="537"/>
      <c r="O985"/>
      <c r="P985" s="260"/>
      <c r="Q985"/>
      <c r="R985"/>
    </row>
    <row r="986" spans="2:18" x14ac:dyDescent="0.2">
      <c r="B986" s="106"/>
      <c r="C986" s="232"/>
      <c r="D986" s="261"/>
      <c r="E986" s="133"/>
      <c r="F986" s="8"/>
      <c r="G986" s="55"/>
      <c r="H986" s="55"/>
      <c r="I986" s="55"/>
      <c r="J986" s="55"/>
      <c r="K986" s="65"/>
      <c r="L986" s="65"/>
      <c r="M986" s="65"/>
      <c r="N986" s="537"/>
      <c r="O986"/>
      <c r="P986" s="260"/>
      <c r="Q986"/>
      <c r="R986"/>
    </row>
    <row r="987" spans="2:18" x14ac:dyDescent="0.2">
      <c r="B987" s="106"/>
      <c r="C987" s="232"/>
      <c r="D987" s="261"/>
      <c r="E987" s="133"/>
      <c r="F987" s="8"/>
      <c r="G987" s="55"/>
      <c r="H987" s="55"/>
      <c r="I987" s="55"/>
      <c r="J987" s="55"/>
      <c r="K987" s="65"/>
      <c r="L987" s="65"/>
      <c r="M987" s="65"/>
      <c r="N987" s="537"/>
      <c r="O987"/>
      <c r="P987" s="260"/>
      <c r="Q987"/>
      <c r="R987"/>
    </row>
    <row r="988" spans="2:18" x14ac:dyDescent="0.2">
      <c r="B988" s="106"/>
      <c r="C988" s="232"/>
      <c r="D988" s="261"/>
      <c r="E988" s="133"/>
      <c r="F988" s="8"/>
      <c r="G988" s="55"/>
      <c r="H988" s="55"/>
      <c r="I988" s="55"/>
      <c r="J988" s="55"/>
      <c r="K988" s="65"/>
      <c r="L988" s="65"/>
      <c r="M988" s="65"/>
      <c r="N988" s="537"/>
      <c r="O988"/>
      <c r="P988" s="260"/>
      <c r="Q988"/>
      <c r="R988"/>
    </row>
    <row r="989" spans="2:18" x14ac:dyDescent="0.2">
      <c r="B989" s="106"/>
      <c r="C989" s="232"/>
      <c r="D989" s="261"/>
      <c r="E989" s="133"/>
      <c r="F989" s="8"/>
      <c r="G989" s="55"/>
      <c r="H989" s="55"/>
      <c r="I989" s="55"/>
      <c r="J989" s="55"/>
      <c r="K989" s="65"/>
      <c r="L989" s="65"/>
      <c r="M989" s="65"/>
      <c r="N989" s="537"/>
      <c r="O989"/>
      <c r="P989" s="260"/>
      <c r="Q989"/>
      <c r="R989"/>
    </row>
    <row r="990" spans="2:18" x14ac:dyDescent="0.2">
      <c r="B990" s="106"/>
      <c r="C990" s="232"/>
      <c r="D990" s="261"/>
      <c r="E990" s="133"/>
      <c r="F990" s="8"/>
      <c r="G990" s="55"/>
      <c r="H990" s="55"/>
      <c r="I990" s="55"/>
      <c r="J990" s="55"/>
      <c r="K990" s="65"/>
      <c r="L990" s="65"/>
      <c r="M990" s="65"/>
      <c r="N990" s="537"/>
      <c r="O990"/>
      <c r="P990" s="260"/>
      <c r="Q990"/>
      <c r="R990"/>
    </row>
    <row r="991" spans="2:18" x14ac:dyDescent="0.2">
      <c r="B991" s="106"/>
      <c r="C991" s="232"/>
      <c r="D991" s="261"/>
      <c r="E991" s="133"/>
      <c r="F991" s="8"/>
      <c r="G991" s="55"/>
      <c r="H991" s="55"/>
      <c r="I991" s="55"/>
      <c r="J991" s="55"/>
      <c r="K991" s="65"/>
      <c r="L991" s="65"/>
      <c r="M991" s="65"/>
      <c r="N991" s="537"/>
      <c r="O991"/>
      <c r="P991" s="260"/>
      <c r="Q991"/>
      <c r="R991"/>
    </row>
    <row r="992" spans="2:18" x14ac:dyDescent="0.2">
      <c r="B992" s="106"/>
      <c r="C992" s="232"/>
      <c r="D992" s="261"/>
      <c r="E992" s="133"/>
      <c r="F992" s="8"/>
      <c r="G992" s="55"/>
      <c r="H992" s="55"/>
      <c r="I992" s="55"/>
      <c r="J992" s="55"/>
      <c r="K992" s="65"/>
      <c r="L992" s="65"/>
      <c r="M992" s="65"/>
      <c r="N992" s="537"/>
      <c r="O992"/>
      <c r="P992" s="260"/>
      <c r="Q992"/>
      <c r="R992"/>
    </row>
    <row r="993" spans="2:18" x14ac:dyDescent="0.2">
      <c r="B993" s="106"/>
      <c r="C993" s="232"/>
      <c r="D993" s="261"/>
      <c r="E993" s="133"/>
      <c r="F993" s="8"/>
      <c r="G993" s="55"/>
      <c r="H993" s="55"/>
      <c r="I993" s="55"/>
      <c r="J993" s="55"/>
      <c r="K993" s="65"/>
      <c r="L993" s="65"/>
      <c r="M993" s="65"/>
      <c r="N993" s="537"/>
      <c r="O993"/>
      <c r="P993" s="260"/>
      <c r="Q993"/>
      <c r="R993"/>
    </row>
    <row r="994" spans="2:18" x14ac:dyDescent="0.2">
      <c r="B994" s="106"/>
      <c r="C994" s="232"/>
      <c r="D994" s="261"/>
      <c r="E994" s="133"/>
      <c r="F994" s="8"/>
      <c r="G994" s="55"/>
      <c r="H994" s="55"/>
      <c r="I994" s="55"/>
      <c r="J994" s="55"/>
      <c r="K994" s="65"/>
      <c r="L994" s="65"/>
      <c r="M994" s="65"/>
      <c r="N994" s="537"/>
      <c r="O994"/>
      <c r="P994" s="260"/>
      <c r="Q994"/>
      <c r="R994"/>
    </row>
    <row r="995" spans="2:18" x14ac:dyDescent="0.2">
      <c r="B995" s="106"/>
      <c r="C995" s="232"/>
      <c r="D995" s="261"/>
      <c r="E995" s="133"/>
      <c r="F995" s="8"/>
      <c r="G995" s="55"/>
      <c r="H995" s="55"/>
      <c r="I995" s="55"/>
      <c r="J995" s="55"/>
      <c r="K995" s="65"/>
      <c r="L995" s="65"/>
      <c r="M995" s="65"/>
      <c r="N995" s="537"/>
      <c r="O995"/>
      <c r="P995" s="260"/>
      <c r="Q995"/>
      <c r="R995"/>
    </row>
    <row r="996" spans="2:18" x14ac:dyDescent="0.2">
      <c r="B996" s="106"/>
      <c r="C996" s="232"/>
      <c r="D996" s="261"/>
      <c r="E996" s="133"/>
      <c r="F996" s="8"/>
      <c r="G996" s="55"/>
      <c r="H996" s="55"/>
      <c r="I996" s="55"/>
      <c r="J996" s="55"/>
      <c r="K996" s="65"/>
      <c r="L996" s="65"/>
      <c r="M996" s="65"/>
      <c r="N996" s="537"/>
      <c r="O996"/>
      <c r="P996" s="260"/>
      <c r="Q996"/>
      <c r="R996"/>
    </row>
    <row r="997" spans="2:18" x14ac:dyDescent="0.2">
      <c r="B997" s="106"/>
      <c r="C997" s="232"/>
      <c r="D997" s="261"/>
      <c r="E997" s="133"/>
      <c r="F997" s="8"/>
      <c r="G997" s="55"/>
      <c r="H997" s="55"/>
      <c r="I997" s="55"/>
      <c r="J997" s="55"/>
      <c r="K997" s="65"/>
      <c r="L997" s="65"/>
      <c r="M997" s="65"/>
      <c r="N997" s="537"/>
      <c r="O997"/>
      <c r="P997" s="260"/>
      <c r="Q997"/>
      <c r="R997"/>
    </row>
    <row r="998" spans="2:18" x14ac:dyDescent="0.2">
      <c r="B998" s="106"/>
      <c r="C998" s="232"/>
      <c r="D998" s="261"/>
      <c r="E998" s="133"/>
      <c r="F998" s="8"/>
      <c r="G998" s="55"/>
      <c r="H998" s="55"/>
      <c r="I998" s="55"/>
      <c r="J998" s="55"/>
      <c r="K998" s="65"/>
      <c r="L998" s="65"/>
      <c r="M998" s="65"/>
      <c r="N998" s="537"/>
      <c r="O998"/>
      <c r="P998" s="260"/>
      <c r="Q998"/>
      <c r="R998"/>
    </row>
    <row r="999" spans="2:18" x14ac:dyDescent="0.2">
      <c r="B999" s="106"/>
      <c r="C999" s="232"/>
      <c r="D999" s="261"/>
      <c r="E999" s="133"/>
      <c r="F999" s="8"/>
      <c r="G999" s="55"/>
      <c r="H999" s="55"/>
      <c r="I999" s="55"/>
      <c r="J999" s="55"/>
      <c r="K999" s="65"/>
      <c r="L999" s="65"/>
      <c r="M999" s="65"/>
      <c r="N999" s="537"/>
      <c r="O999"/>
      <c r="P999" s="260"/>
      <c r="Q999"/>
      <c r="R999"/>
    </row>
    <row r="1000" spans="2:18" x14ac:dyDescent="0.2">
      <c r="B1000" s="106"/>
      <c r="C1000" s="232"/>
      <c r="D1000" s="261"/>
      <c r="E1000" s="133"/>
      <c r="F1000" s="8"/>
      <c r="G1000" s="55"/>
      <c r="H1000" s="55"/>
      <c r="I1000" s="55"/>
      <c r="J1000" s="55"/>
      <c r="K1000" s="65"/>
      <c r="L1000" s="65"/>
      <c r="M1000" s="65"/>
      <c r="N1000" s="537"/>
      <c r="O1000"/>
      <c r="P1000" s="260"/>
      <c r="Q1000"/>
      <c r="R1000"/>
    </row>
    <row r="1001" spans="2:18" x14ac:dyDescent="0.2">
      <c r="B1001" s="106"/>
      <c r="C1001" s="232"/>
      <c r="D1001" s="261"/>
      <c r="E1001" s="133"/>
      <c r="F1001" s="8"/>
      <c r="G1001" s="55"/>
      <c r="H1001" s="55"/>
      <c r="I1001" s="55"/>
      <c r="J1001" s="55"/>
      <c r="K1001" s="65"/>
      <c r="L1001" s="65"/>
      <c r="M1001" s="65"/>
      <c r="N1001" s="537"/>
      <c r="O1001"/>
      <c r="P1001" s="260"/>
      <c r="Q1001"/>
      <c r="R1001"/>
    </row>
    <row r="1002" spans="2:18" x14ac:dyDescent="0.2">
      <c r="B1002" s="106"/>
      <c r="C1002" s="232"/>
      <c r="D1002" s="261"/>
      <c r="E1002" s="133"/>
      <c r="F1002" s="8"/>
      <c r="G1002" s="55"/>
      <c r="H1002" s="55"/>
      <c r="I1002" s="55"/>
      <c r="J1002" s="55"/>
      <c r="K1002" s="65"/>
      <c r="L1002" s="65"/>
      <c r="M1002" s="65"/>
      <c r="N1002" s="537"/>
      <c r="O1002"/>
      <c r="P1002" s="260"/>
      <c r="Q1002"/>
      <c r="R1002"/>
    </row>
    <row r="1003" spans="2:18" x14ac:dyDescent="0.2">
      <c r="B1003" s="106"/>
      <c r="C1003" s="232"/>
      <c r="D1003" s="261"/>
      <c r="E1003" s="133"/>
      <c r="F1003" s="8"/>
      <c r="G1003" s="55"/>
      <c r="H1003" s="55"/>
      <c r="I1003" s="55"/>
      <c r="J1003" s="55"/>
      <c r="K1003" s="65"/>
      <c r="L1003" s="65"/>
      <c r="M1003" s="65"/>
      <c r="N1003" s="537"/>
      <c r="O1003"/>
      <c r="P1003" s="260"/>
      <c r="Q1003"/>
      <c r="R1003"/>
    </row>
    <row r="1004" spans="2:18" x14ac:dyDescent="0.2">
      <c r="B1004" s="106"/>
      <c r="C1004" s="232"/>
      <c r="D1004" s="261"/>
      <c r="E1004" s="133"/>
      <c r="F1004" s="8"/>
      <c r="G1004" s="55"/>
      <c r="H1004" s="55"/>
      <c r="I1004" s="55"/>
      <c r="J1004" s="55"/>
      <c r="K1004" s="65"/>
      <c r="L1004" s="65"/>
      <c r="M1004" s="65"/>
      <c r="N1004" s="537"/>
      <c r="O1004"/>
      <c r="P1004" s="260"/>
      <c r="Q1004"/>
      <c r="R1004"/>
    </row>
    <row r="1005" spans="2:18" x14ac:dyDescent="0.2">
      <c r="B1005" s="106"/>
      <c r="C1005" s="232"/>
      <c r="D1005" s="261"/>
      <c r="E1005" s="133"/>
      <c r="F1005" s="8"/>
      <c r="G1005" s="55"/>
      <c r="H1005" s="55"/>
      <c r="I1005" s="55"/>
      <c r="J1005" s="55"/>
      <c r="K1005" s="65"/>
      <c r="L1005" s="65"/>
      <c r="M1005" s="65"/>
      <c r="N1005" s="537"/>
      <c r="O1005"/>
      <c r="P1005" s="260"/>
      <c r="Q1005"/>
      <c r="R1005"/>
    </row>
    <row r="1006" spans="2:18" x14ac:dyDescent="0.2">
      <c r="B1006" s="106"/>
      <c r="C1006" s="232"/>
      <c r="D1006" s="261"/>
      <c r="E1006" s="133"/>
      <c r="F1006" s="8"/>
      <c r="G1006" s="55"/>
      <c r="H1006" s="55"/>
      <c r="I1006" s="55"/>
      <c r="J1006" s="55"/>
      <c r="K1006" s="65"/>
      <c r="L1006" s="65"/>
      <c r="M1006" s="65"/>
      <c r="N1006" s="537"/>
      <c r="O1006"/>
      <c r="P1006" s="260"/>
      <c r="Q1006"/>
      <c r="R1006"/>
    </row>
    <row r="1007" spans="2:18" x14ac:dyDescent="0.2">
      <c r="B1007" s="106"/>
      <c r="C1007" s="232"/>
      <c r="D1007" s="261"/>
      <c r="E1007" s="133"/>
      <c r="F1007" s="8"/>
      <c r="G1007" s="55"/>
      <c r="H1007" s="55"/>
      <c r="I1007" s="55"/>
      <c r="J1007" s="55"/>
      <c r="K1007" s="65"/>
      <c r="L1007" s="65"/>
      <c r="M1007" s="65"/>
      <c r="N1007" s="537"/>
      <c r="O1007"/>
      <c r="P1007" s="260"/>
      <c r="Q1007"/>
      <c r="R1007"/>
    </row>
    <row r="1008" spans="2:18" x14ac:dyDescent="0.2">
      <c r="B1008" s="106"/>
      <c r="C1008" s="232"/>
      <c r="D1008" s="261"/>
      <c r="E1008" s="133"/>
      <c r="F1008" s="8"/>
      <c r="G1008" s="55"/>
      <c r="H1008" s="55"/>
      <c r="I1008" s="55"/>
      <c r="J1008" s="55"/>
      <c r="K1008" s="65"/>
      <c r="L1008" s="65"/>
      <c r="M1008" s="65"/>
      <c r="N1008" s="537"/>
      <c r="O1008"/>
      <c r="P1008" s="260"/>
      <c r="Q1008"/>
      <c r="R1008"/>
    </row>
    <row r="1009" spans="2:18" x14ac:dyDescent="0.2">
      <c r="B1009" s="106"/>
      <c r="C1009" s="232"/>
      <c r="D1009" s="261"/>
      <c r="E1009" s="133"/>
      <c r="F1009" s="8"/>
      <c r="G1009" s="55"/>
      <c r="H1009" s="55"/>
      <c r="I1009" s="55"/>
      <c r="J1009" s="55"/>
      <c r="K1009" s="65"/>
      <c r="L1009" s="65"/>
      <c r="M1009" s="65"/>
      <c r="N1009" s="537"/>
      <c r="O1009"/>
      <c r="P1009" s="260"/>
      <c r="Q1009"/>
      <c r="R1009"/>
    </row>
    <row r="1010" spans="2:18" x14ac:dyDescent="0.2">
      <c r="B1010" s="106"/>
      <c r="C1010" s="232"/>
      <c r="D1010" s="261"/>
      <c r="E1010" s="133"/>
      <c r="F1010" s="8"/>
      <c r="G1010" s="55"/>
      <c r="H1010" s="55"/>
      <c r="I1010" s="55"/>
      <c r="J1010" s="55"/>
      <c r="K1010" s="65"/>
      <c r="L1010" s="65"/>
      <c r="M1010" s="65"/>
      <c r="N1010" s="537"/>
      <c r="O1010"/>
      <c r="P1010" s="260"/>
      <c r="Q1010"/>
      <c r="R1010"/>
    </row>
    <row r="1011" spans="2:18" x14ac:dyDescent="0.2">
      <c r="B1011" s="106"/>
      <c r="C1011" s="232"/>
      <c r="D1011" s="261"/>
      <c r="E1011" s="133"/>
      <c r="F1011" s="8"/>
      <c r="G1011" s="55"/>
      <c r="H1011" s="55"/>
      <c r="I1011" s="55"/>
      <c r="J1011" s="55"/>
      <c r="K1011" s="65"/>
      <c r="L1011" s="65"/>
      <c r="M1011" s="65"/>
      <c r="N1011" s="537"/>
      <c r="O1011"/>
      <c r="P1011" s="260"/>
      <c r="Q1011"/>
      <c r="R1011"/>
    </row>
    <row r="1012" spans="2:18" x14ac:dyDescent="0.2">
      <c r="B1012" s="106"/>
      <c r="C1012" s="232"/>
      <c r="D1012" s="261"/>
      <c r="E1012" s="133"/>
      <c r="F1012" s="8"/>
      <c r="G1012" s="55"/>
      <c r="H1012" s="55"/>
      <c r="I1012" s="55"/>
      <c r="J1012" s="55"/>
      <c r="K1012" s="65"/>
      <c r="L1012" s="65"/>
      <c r="M1012" s="65"/>
      <c r="N1012" s="537"/>
      <c r="O1012"/>
      <c r="P1012" s="260"/>
      <c r="Q1012"/>
      <c r="R1012"/>
    </row>
    <row r="1013" spans="2:18" x14ac:dyDescent="0.2">
      <c r="B1013" s="106"/>
      <c r="C1013" s="232"/>
      <c r="D1013" s="261"/>
      <c r="E1013" s="133"/>
      <c r="F1013" s="8"/>
      <c r="G1013" s="55"/>
      <c r="H1013" s="55"/>
      <c r="I1013" s="55"/>
      <c r="J1013" s="55"/>
      <c r="K1013" s="65"/>
      <c r="L1013" s="65"/>
      <c r="M1013" s="65"/>
      <c r="N1013" s="537"/>
      <c r="O1013"/>
      <c r="P1013" s="260"/>
      <c r="Q1013"/>
      <c r="R1013"/>
    </row>
    <row r="1014" spans="2:18" x14ac:dyDescent="0.2">
      <c r="B1014" s="106"/>
      <c r="C1014" s="232"/>
      <c r="D1014" s="261"/>
      <c r="E1014" s="133"/>
      <c r="F1014" s="8"/>
      <c r="G1014" s="55"/>
      <c r="H1014" s="55"/>
      <c r="I1014" s="55"/>
      <c r="J1014" s="55"/>
      <c r="K1014" s="65"/>
      <c r="L1014" s="65"/>
      <c r="M1014" s="65"/>
      <c r="N1014" s="537"/>
      <c r="O1014"/>
      <c r="P1014" s="260"/>
      <c r="Q1014"/>
      <c r="R1014"/>
    </row>
    <row r="1015" spans="2:18" x14ac:dyDescent="0.2">
      <c r="B1015" s="106"/>
      <c r="C1015" s="232"/>
      <c r="D1015" s="261"/>
      <c r="E1015" s="133"/>
      <c r="F1015" s="8"/>
      <c r="G1015" s="55"/>
      <c r="H1015" s="55"/>
      <c r="I1015" s="55"/>
      <c r="J1015" s="55"/>
      <c r="K1015" s="65"/>
      <c r="L1015" s="65"/>
      <c r="M1015" s="65"/>
      <c r="N1015" s="537"/>
      <c r="O1015"/>
      <c r="P1015" s="260"/>
      <c r="Q1015"/>
      <c r="R1015"/>
    </row>
    <row r="1016" spans="2:18" x14ac:dyDescent="0.2">
      <c r="B1016" s="106"/>
      <c r="C1016" s="232"/>
      <c r="D1016" s="261"/>
      <c r="E1016" s="133"/>
      <c r="F1016" s="8"/>
      <c r="G1016" s="55"/>
      <c r="H1016" s="55"/>
      <c r="I1016" s="55"/>
      <c r="J1016" s="55"/>
      <c r="K1016" s="65"/>
      <c r="L1016" s="65"/>
      <c r="M1016" s="65"/>
      <c r="N1016" s="537"/>
      <c r="O1016"/>
      <c r="P1016" s="260"/>
      <c r="Q1016"/>
      <c r="R1016"/>
    </row>
    <row r="1017" spans="2:18" x14ac:dyDescent="0.2">
      <c r="B1017" s="106"/>
      <c r="C1017" s="232"/>
      <c r="D1017" s="261"/>
      <c r="E1017" s="133"/>
      <c r="F1017" s="8"/>
      <c r="G1017" s="55"/>
      <c r="H1017" s="55"/>
      <c r="I1017" s="55"/>
      <c r="J1017" s="55"/>
      <c r="K1017" s="65"/>
      <c r="L1017" s="65"/>
      <c r="M1017" s="65"/>
      <c r="N1017" s="537"/>
      <c r="O1017"/>
      <c r="P1017" s="260"/>
      <c r="Q1017"/>
      <c r="R1017"/>
    </row>
    <row r="1018" spans="2:18" x14ac:dyDescent="0.2">
      <c r="B1018" s="106"/>
      <c r="C1018" s="232"/>
      <c r="D1018" s="261"/>
      <c r="E1018" s="133"/>
      <c r="F1018" s="8"/>
      <c r="G1018" s="55"/>
      <c r="H1018" s="55"/>
      <c r="I1018" s="55"/>
      <c r="J1018" s="55"/>
      <c r="K1018" s="65"/>
      <c r="L1018" s="65"/>
      <c r="M1018" s="65"/>
      <c r="N1018" s="537"/>
      <c r="O1018"/>
      <c r="P1018" s="260"/>
      <c r="Q1018"/>
      <c r="R1018"/>
    </row>
    <row r="1019" spans="2:18" x14ac:dyDescent="0.2">
      <c r="B1019" s="106"/>
      <c r="C1019" s="232"/>
      <c r="D1019" s="261"/>
      <c r="E1019" s="133"/>
      <c r="F1019" s="8"/>
      <c r="G1019" s="55"/>
      <c r="H1019" s="55"/>
      <c r="I1019" s="55"/>
      <c r="J1019" s="55"/>
      <c r="K1019" s="65"/>
      <c r="L1019" s="65"/>
      <c r="M1019" s="65"/>
      <c r="N1019" s="537"/>
      <c r="O1019"/>
      <c r="P1019" s="260"/>
      <c r="Q1019"/>
      <c r="R1019"/>
    </row>
    <row r="1020" spans="2:18" x14ac:dyDescent="0.2">
      <c r="B1020" s="106"/>
      <c r="C1020" s="232"/>
      <c r="D1020" s="261"/>
      <c r="E1020" s="133"/>
      <c r="F1020" s="8"/>
      <c r="G1020" s="55"/>
      <c r="H1020" s="55"/>
      <c r="I1020" s="55"/>
      <c r="J1020" s="55"/>
      <c r="K1020" s="65"/>
      <c r="L1020" s="65"/>
      <c r="M1020" s="65"/>
      <c r="N1020" s="537"/>
      <c r="O1020"/>
      <c r="P1020" s="260"/>
      <c r="Q1020"/>
      <c r="R1020"/>
    </row>
    <row r="1021" spans="2:18" x14ac:dyDescent="0.2">
      <c r="B1021" s="106"/>
      <c r="C1021" s="232"/>
      <c r="D1021" s="261"/>
      <c r="E1021" s="133"/>
      <c r="F1021" s="8"/>
      <c r="G1021" s="55"/>
      <c r="H1021" s="55"/>
      <c r="I1021" s="55"/>
      <c r="J1021" s="55"/>
      <c r="K1021" s="65"/>
      <c r="L1021" s="65"/>
      <c r="M1021" s="65"/>
      <c r="N1021" s="537"/>
      <c r="O1021"/>
      <c r="P1021" s="260"/>
      <c r="Q1021"/>
      <c r="R1021"/>
    </row>
    <row r="1022" spans="2:18" x14ac:dyDescent="0.2">
      <c r="B1022" s="106"/>
      <c r="C1022" s="232"/>
      <c r="D1022" s="261"/>
      <c r="E1022" s="133"/>
      <c r="F1022" s="8"/>
      <c r="G1022" s="55"/>
      <c r="H1022" s="55"/>
      <c r="I1022" s="55"/>
      <c r="J1022" s="55"/>
      <c r="K1022" s="65"/>
      <c r="L1022" s="65"/>
      <c r="M1022" s="65"/>
      <c r="N1022" s="537"/>
      <c r="O1022"/>
      <c r="P1022" s="260"/>
      <c r="Q1022"/>
      <c r="R1022"/>
    </row>
    <row r="1023" spans="2:18" x14ac:dyDescent="0.2">
      <c r="B1023" s="106"/>
      <c r="C1023" s="232"/>
      <c r="D1023" s="261"/>
      <c r="E1023" s="133"/>
      <c r="F1023" s="8"/>
      <c r="G1023" s="55"/>
      <c r="H1023" s="55"/>
      <c r="I1023" s="55"/>
      <c r="J1023" s="55"/>
      <c r="K1023" s="65"/>
      <c r="L1023" s="65"/>
      <c r="M1023" s="65"/>
      <c r="N1023" s="537"/>
      <c r="O1023"/>
      <c r="P1023" s="260"/>
      <c r="Q1023"/>
      <c r="R1023"/>
    </row>
    <row r="1024" spans="2:18" x14ac:dyDescent="0.2">
      <c r="B1024" s="106"/>
      <c r="C1024" s="232"/>
      <c r="D1024" s="261"/>
      <c r="E1024" s="133"/>
      <c r="F1024" s="8"/>
      <c r="G1024" s="55"/>
      <c r="H1024" s="55"/>
      <c r="I1024" s="55"/>
      <c r="J1024" s="55"/>
      <c r="K1024" s="65"/>
      <c r="L1024" s="65"/>
      <c r="M1024" s="65"/>
      <c r="N1024" s="537"/>
      <c r="O1024"/>
      <c r="P1024" s="260"/>
      <c r="Q1024"/>
      <c r="R1024"/>
    </row>
    <row r="1025" spans="2:18" x14ac:dyDescent="0.2">
      <c r="B1025" s="106"/>
      <c r="C1025" s="232"/>
      <c r="D1025" s="261"/>
      <c r="E1025" s="133"/>
      <c r="F1025" s="8"/>
      <c r="G1025" s="55"/>
      <c r="H1025" s="55"/>
      <c r="I1025" s="55"/>
      <c r="J1025" s="55"/>
      <c r="K1025" s="65"/>
      <c r="L1025" s="65"/>
      <c r="M1025" s="65"/>
      <c r="N1025" s="537"/>
      <c r="O1025"/>
      <c r="P1025" s="260"/>
      <c r="Q1025"/>
      <c r="R1025"/>
    </row>
    <row r="1026" spans="2:18" x14ac:dyDescent="0.2">
      <c r="B1026" s="106"/>
      <c r="C1026" s="232"/>
      <c r="D1026" s="261"/>
      <c r="E1026" s="133"/>
      <c r="F1026" s="8"/>
      <c r="G1026" s="55"/>
      <c r="H1026" s="55"/>
      <c r="I1026" s="55"/>
      <c r="J1026" s="55"/>
      <c r="K1026" s="65"/>
      <c r="L1026" s="65"/>
      <c r="M1026" s="65"/>
      <c r="N1026" s="537"/>
      <c r="O1026"/>
      <c r="P1026" s="260"/>
      <c r="Q1026"/>
      <c r="R1026"/>
    </row>
    <row r="1027" spans="2:18" x14ac:dyDescent="0.2">
      <c r="B1027" s="106"/>
      <c r="C1027" s="232"/>
      <c r="D1027" s="261"/>
      <c r="E1027" s="133"/>
      <c r="F1027" s="8"/>
      <c r="G1027" s="55"/>
      <c r="H1027" s="55"/>
      <c r="I1027" s="55"/>
      <c r="J1027" s="55"/>
      <c r="K1027" s="65"/>
      <c r="L1027" s="65"/>
      <c r="M1027" s="65"/>
      <c r="N1027" s="537"/>
      <c r="O1027"/>
      <c r="P1027" s="260"/>
      <c r="Q1027"/>
      <c r="R1027"/>
    </row>
    <row r="1028" spans="2:18" x14ac:dyDescent="0.2">
      <c r="B1028" s="106"/>
      <c r="C1028" s="232"/>
      <c r="D1028" s="261"/>
      <c r="E1028" s="133"/>
      <c r="F1028" s="8"/>
      <c r="G1028" s="55"/>
      <c r="H1028" s="55"/>
      <c r="I1028" s="55"/>
      <c r="J1028" s="55"/>
      <c r="K1028" s="65"/>
      <c r="L1028" s="65"/>
      <c r="M1028" s="65"/>
      <c r="N1028" s="537"/>
      <c r="O1028"/>
      <c r="P1028" s="260"/>
      <c r="Q1028"/>
      <c r="R1028"/>
    </row>
    <row r="1029" spans="2:18" x14ac:dyDescent="0.2">
      <c r="B1029" s="106"/>
      <c r="C1029" s="232"/>
      <c r="D1029" s="261"/>
      <c r="E1029" s="133"/>
      <c r="F1029" s="8"/>
      <c r="G1029" s="55"/>
      <c r="H1029" s="55"/>
      <c r="I1029" s="55"/>
      <c r="J1029" s="55"/>
      <c r="K1029" s="65"/>
      <c r="L1029" s="65"/>
      <c r="M1029" s="65"/>
      <c r="N1029" s="537"/>
      <c r="O1029"/>
      <c r="P1029" s="260"/>
      <c r="Q1029"/>
      <c r="R1029"/>
    </row>
    <row r="1030" spans="2:18" x14ac:dyDescent="0.2">
      <c r="B1030" s="106"/>
      <c r="C1030" s="232"/>
      <c r="D1030" s="261"/>
      <c r="E1030" s="133"/>
      <c r="F1030" s="8"/>
      <c r="G1030" s="55"/>
      <c r="H1030" s="55"/>
      <c r="I1030" s="55"/>
      <c r="J1030" s="55"/>
      <c r="K1030" s="65"/>
      <c r="L1030" s="65"/>
      <c r="M1030" s="65"/>
      <c r="N1030" s="537"/>
      <c r="O1030"/>
      <c r="P1030" s="260"/>
      <c r="Q1030"/>
      <c r="R1030"/>
    </row>
    <row r="1031" spans="2:18" x14ac:dyDescent="0.2">
      <c r="B1031" s="106"/>
      <c r="C1031" s="232"/>
      <c r="D1031" s="261"/>
      <c r="E1031" s="133"/>
      <c r="F1031" s="8"/>
      <c r="G1031" s="55"/>
      <c r="H1031" s="55"/>
      <c r="I1031" s="55"/>
      <c r="J1031" s="55"/>
      <c r="K1031" s="65"/>
      <c r="L1031" s="65"/>
      <c r="M1031" s="65"/>
      <c r="N1031" s="537"/>
      <c r="O1031"/>
      <c r="P1031" s="260"/>
      <c r="Q1031"/>
      <c r="R1031"/>
    </row>
    <row r="1032" spans="2:18" x14ac:dyDescent="0.2">
      <c r="B1032" s="106"/>
      <c r="C1032" s="232"/>
      <c r="D1032" s="261"/>
      <c r="E1032" s="133"/>
      <c r="F1032" s="8"/>
      <c r="G1032" s="55"/>
      <c r="H1032" s="55"/>
      <c r="I1032" s="55"/>
      <c r="J1032" s="55"/>
      <c r="K1032" s="65"/>
      <c r="L1032" s="65"/>
      <c r="M1032" s="65"/>
      <c r="N1032" s="537"/>
      <c r="O1032"/>
      <c r="P1032" s="260"/>
      <c r="Q1032"/>
      <c r="R1032"/>
    </row>
    <row r="1033" spans="2:18" x14ac:dyDescent="0.2">
      <c r="B1033" s="106"/>
      <c r="C1033" s="232"/>
      <c r="D1033" s="261"/>
      <c r="E1033" s="133"/>
      <c r="F1033" s="8"/>
      <c r="G1033" s="55"/>
      <c r="H1033" s="55"/>
      <c r="I1033" s="55"/>
      <c r="J1033" s="55"/>
      <c r="K1033" s="65"/>
      <c r="L1033" s="65"/>
      <c r="M1033" s="65"/>
      <c r="N1033" s="537"/>
      <c r="O1033"/>
      <c r="P1033" s="260"/>
      <c r="Q1033"/>
      <c r="R1033"/>
    </row>
    <row r="1034" spans="2:18" x14ac:dyDescent="0.2">
      <c r="B1034" s="106"/>
      <c r="C1034" s="232"/>
      <c r="D1034" s="261"/>
      <c r="E1034" s="133"/>
      <c r="F1034" s="8"/>
      <c r="G1034" s="55"/>
      <c r="H1034" s="55"/>
      <c r="I1034" s="55"/>
      <c r="J1034" s="55"/>
      <c r="K1034" s="65"/>
      <c r="L1034" s="65"/>
      <c r="M1034" s="65"/>
      <c r="N1034" s="537"/>
      <c r="O1034"/>
      <c r="P1034" s="260"/>
      <c r="Q1034"/>
      <c r="R1034"/>
    </row>
    <row r="1035" spans="2:18" x14ac:dyDescent="0.2">
      <c r="B1035" s="106"/>
      <c r="C1035" s="232"/>
      <c r="D1035" s="261"/>
      <c r="E1035" s="133"/>
      <c r="F1035" s="8"/>
      <c r="G1035" s="55"/>
      <c r="H1035" s="55"/>
      <c r="I1035" s="55"/>
      <c r="J1035" s="55"/>
      <c r="K1035" s="65"/>
      <c r="L1035" s="65"/>
      <c r="M1035" s="65"/>
      <c r="N1035" s="537"/>
      <c r="O1035"/>
      <c r="P1035" s="260"/>
      <c r="Q1035"/>
      <c r="R1035"/>
    </row>
    <row r="1036" spans="2:18" x14ac:dyDescent="0.2">
      <c r="B1036" s="106"/>
      <c r="C1036" s="232"/>
      <c r="D1036" s="261"/>
      <c r="E1036" s="133"/>
      <c r="F1036" s="8"/>
      <c r="G1036" s="55"/>
      <c r="H1036" s="55"/>
      <c r="I1036" s="55"/>
      <c r="J1036" s="55"/>
      <c r="K1036" s="65"/>
      <c r="L1036" s="65"/>
      <c r="M1036" s="65"/>
      <c r="N1036" s="537"/>
      <c r="O1036"/>
      <c r="P1036" s="260"/>
      <c r="Q1036"/>
      <c r="R1036"/>
    </row>
    <row r="1037" spans="2:18" x14ac:dyDescent="0.2">
      <c r="B1037" s="106"/>
      <c r="C1037" s="232"/>
      <c r="D1037" s="261"/>
      <c r="E1037" s="133"/>
      <c r="F1037" s="8"/>
      <c r="G1037" s="55"/>
      <c r="H1037" s="55"/>
      <c r="I1037" s="55"/>
      <c r="J1037" s="55"/>
      <c r="K1037" s="65"/>
      <c r="L1037" s="65"/>
      <c r="M1037" s="65"/>
      <c r="N1037" s="537"/>
      <c r="O1037"/>
      <c r="P1037" s="260"/>
      <c r="Q1037"/>
      <c r="R1037"/>
    </row>
    <row r="1038" spans="2:18" x14ac:dyDescent="0.2">
      <c r="B1038" s="106"/>
      <c r="C1038" s="232"/>
      <c r="D1038" s="261"/>
      <c r="E1038" s="133"/>
      <c r="F1038" s="8"/>
      <c r="G1038" s="55"/>
      <c r="H1038" s="55"/>
      <c r="I1038" s="55"/>
      <c r="J1038" s="55"/>
      <c r="K1038" s="65"/>
      <c r="L1038" s="65"/>
      <c r="M1038" s="65"/>
      <c r="N1038" s="537"/>
      <c r="O1038"/>
      <c r="P1038" s="260"/>
      <c r="Q1038"/>
      <c r="R1038"/>
    </row>
    <row r="1039" spans="2:18" x14ac:dyDescent="0.2">
      <c r="B1039" s="106"/>
      <c r="C1039" s="232"/>
      <c r="D1039" s="261"/>
      <c r="E1039" s="133"/>
      <c r="F1039" s="8"/>
      <c r="G1039" s="55"/>
      <c r="H1039" s="55"/>
      <c r="I1039" s="55"/>
      <c r="J1039" s="55"/>
      <c r="K1039" s="65"/>
      <c r="L1039" s="65"/>
      <c r="M1039" s="65"/>
      <c r="N1039" s="537"/>
      <c r="O1039"/>
      <c r="P1039" s="260"/>
      <c r="Q1039"/>
      <c r="R1039"/>
    </row>
    <row r="1040" spans="2:18" x14ac:dyDescent="0.2">
      <c r="B1040" s="106"/>
      <c r="C1040" s="232"/>
      <c r="D1040" s="261"/>
      <c r="E1040" s="133"/>
      <c r="F1040" s="8"/>
      <c r="G1040" s="55"/>
      <c r="H1040" s="55"/>
      <c r="I1040" s="55"/>
      <c r="J1040" s="55"/>
      <c r="K1040" s="65"/>
      <c r="L1040" s="65"/>
      <c r="M1040" s="65"/>
      <c r="N1040" s="537"/>
      <c r="O1040"/>
      <c r="P1040" s="260"/>
      <c r="Q1040"/>
      <c r="R1040"/>
    </row>
    <row r="1041" spans="2:18" x14ac:dyDescent="0.2">
      <c r="B1041" s="106"/>
      <c r="C1041" s="232"/>
      <c r="D1041" s="261"/>
      <c r="E1041" s="133"/>
      <c r="F1041" s="8"/>
      <c r="G1041" s="55"/>
      <c r="H1041" s="55"/>
      <c r="I1041" s="55"/>
      <c r="J1041" s="55"/>
      <c r="K1041" s="65"/>
      <c r="L1041" s="65"/>
      <c r="M1041" s="65"/>
      <c r="N1041" s="537"/>
      <c r="O1041"/>
      <c r="P1041" s="260"/>
      <c r="Q1041"/>
      <c r="R1041"/>
    </row>
    <row r="1042" spans="2:18" x14ac:dyDescent="0.2">
      <c r="B1042" s="106"/>
      <c r="C1042" s="232"/>
      <c r="D1042" s="261"/>
      <c r="E1042" s="133"/>
      <c r="F1042" s="8"/>
      <c r="G1042" s="55"/>
      <c r="H1042" s="55"/>
      <c r="I1042" s="55"/>
      <c r="J1042" s="55"/>
      <c r="K1042" s="65"/>
      <c r="L1042" s="65"/>
      <c r="M1042" s="65"/>
      <c r="N1042" s="537"/>
      <c r="O1042"/>
      <c r="P1042" s="260"/>
      <c r="Q1042"/>
      <c r="R1042"/>
    </row>
    <row r="1043" spans="2:18" x14ac:dyDescent="0.2">
      <c r="B1043" s="106"/>
      <c r="C1043" s="232"/>
      <c r="D1043" s="261"/>
      <c r="E1043" s="133"/>
      <c r="F1043" s="8"/>
      <c r="G1043" s="55"/>
      <c r="H1043" s="55"/>
      <c r="I1043" s="55"/>
      <c r="J1043" s="55"/>
      <c r="K1043" s="65"/>
      <c r="L1043" s="65"/>
      <c r="M1043" s="65"/>
      <c r="N1043" s="537"/>
      <c r="O1043"/>
      <c r="P1043" s="260"/>
      <c r="Q1043"/>
      <c r="R1043"/>
    </row>
    <row r="1044" spans="2:18" x14ac:dyDescent="0.2">
      <c r="B1044" s="106"/>
      <c r="C1044" s="232"/>
      <c r="D1044" s="261"/>
      <c r="E1044" s="133"/>
      <c r="F1044" s="8"/>
      <c r="G1044" s="55"/>
      <c r="H1044" s="55"/>
      <c r="I1044" s="55"/>
      <c r="J1044" s="55"/>
      <c r="K1044" s="65"/>
      <c r="L1044" s="65"/>
      <c r="M1044" s="65"/>
      <c r="N1044" s="537"/>
      <c r="O1044"/>
      <c r="P1044" s="260"/>
      <c r="Q1044"/>
      <c r="R1044"/>
    </row>
    <row r="1045" spans="2:18" x14ac:dyDescent="0.2">
      <c r="B1045" s="106"/>
      <c r="C1045" s="232"/>
      <c r="D1045" s="261"/>
      <c r="E1045" s="133"/>
      <c r="F1045" s="8"/>
      <c r="G1045" s="55"/>
      <c r="H1045" s="55"/>
      <c r="I1045" s="55"/>
      <c r="J1045" s="55"/>
      <c r="K1045" s="65"/>
      <c r="L1045" s="65"/>
      <c r="M1045" s="65"/>
      <c r="N1045" s="537"/>
      <c r="O1045"/>
      <c r="P1045" s="260"/>
      <c r="Q1045"/>
      <c r="R1045"/>
    </row>
    <row r="1046" spans="2:18" x14ac:dyDescent="0.2">
      <c r="B1046" s="106"/>
      <c r="C1046" s="232"/>
      <c r="D1046" s="261"/>
      <c r="E1046" s="133"/>
      <c r="F1046" s="8"/>
      <c r="G1046" s="55"/>
      <c r="H1046" s="55"/>
      <c r="I1046" s="55"/>
      <c r="J1046" s="55"/>
      <c r="K1046" s="65"/>
      <c r="L1046" s="65"/>
      <c r="M1046" s="65"/>
      <c r="N1046" s="537"/>
      <c r="O1046"/>
      <c r="P1046" s="260"/>
      <c r="Q1046"/>
      <c r="R1046"/>
    </row>
    <row r="1047" spans="2:18" x14ac:dyDescent="0.2">
      <c r="B1047" s="106"/>
      <c r="C1047" s="232"/>
      <c r="D1047" s="261"/>
      <c r="E1047" s="133"/>
      <c r="F1047" s="8"/>
      <c r="G1047" s="55"/>
      <c r="H1047" s="55"/>
      <c r="I1047" s="55"/>
      <c r="J1047" s="55"/>
      <c r="K1047" s="65"/>
      <c r="L1047" s="65"/>
      <c r="M1047" s="65"/>
      <c r="N1047" s="537"/>
      <c r="O1047"/>
      <c r="P1047" s="260"/>
      <c r="Q1047"/>
      <c r="R1047"/>
    </row>
    <row r="1048" spans="2:18" x14ac:dyDescent="0.2">
      <c r="B1048" s="106"/>
      <c r="C1048" s="232"/>
      <c r="D1048" s="261"/>
      <c r="E1048" s="133"/>
      <c r="F1048" s="8"/>
      <c r="G1048" s="55"/>
      <c r="H1048" s="55"/>
      <c r="I1048" s="55"/>
      <c r="J1048" s="55"/>
      <c r="K1048" s="65"/>
      <c r="L1048" s="65"/>
      <c r="M1048" s="65"/>
      <c r="N1048" s="537"/>
      <c r="O1048"/>
      <c r="P1048" s="260"/>
      <c r="Q1048"/>
      <c r="R1048"/>
    </row>
    <row r="1049" spans="2:18" x14ac:dyDescent="0.2">
      <c r="B1049" s="106"/>
      <c r="C1049" s="232"/>
      <c r="D1049" s="261"/>
      <c r="E1049" s="133"/>
      <c r="F1049" s="8"/>
      <c r="G1049" s="55"/>
      <c r="H1049" s="55"/>
      <c r="I1049" s="55"/>
      <c r="J1049" s="55"/>
      <c r="K1049" s="65"/>
      <c r="L1049" s="65"/>
      <c r="M1049" s="65"/>
      <c r="N1049" s="537"/>
      <c r="O1049"/>
      <c r="P1049" s="260"/>
      <c r="Q1049"/>
      <c r="R1049"/>
    </row>
    <row r="1050" spans="2:18" x14ac:dyDescent="0.2">
      <c r="B1050" s="106"/>
      <c r="C1050" s="232"/>
      <c r="D1050" s="261"/>
      <c r="E1050" s="133"/>
      <c r="F1050" s="8"/>
      <c r="G1050" s="55"/>
      <c r="H1050" s="55"/>
      <c r="I1050" s="55"/>
      <c r="J1050" s="55"/>
      <c r="K1050" s="65"/>
      <c r="L1050" s="65"/>
      <c r="M1050" s="65"/>
      <c r="N1050" s="537"/>
      <c r="O1050"/>
      <c r="P1050" s="260"/>
      <c r="Q1050"/>
      <c r="R1050"/>
    </row>
    <row r="1051" spans="2:18" x14ac:dyDescent="0.2">
      <c r="B1051" s="106"/>
      <c r="C1051" s="232"/>
      <c r="D1051" s="261"/>
      <c r="E1051" s="133"/>
      <c r="F1051" s="8"/>
      <c r="G1051" s="55"/>
      <c r="H1051" s="55"/>
      <c r="I1051" s="55"/>
      <c r="J1051" s="55"/>
      <c r="K1051" s="65"/>
      <c r="L1051" s="65"/>
      <c r="M1051" s="65"/>
      <c r="N1051" s="537"/>
      <c r="O1051"/>
      <c r="P1051" s="260"/>
      <c r="Q1051"/>
      <c r="R1051"/>
    </row>
    <row r="1052" spans="2:18" x14ac:dyDescent="0.2">
      <c r="B1052" s="106"/>
      <c r="C1052" s="232"/>
      <c r="D1052" s="261"/>
      <c r="E1052" s="133"/>
      <c r="F1052" s="8"/>
      <c r="G1052" s="55"/>
      <c r="H1052" s="55"/>
      <c r="I1052" s="55"/>
      <c r="J1052" s="55"/>
      <c r="K1052" s="65"/>
      <c r="L1052" s="65"/>
      <c r="M1052" s="65"/>
      <c r="N1052" s="537"/>
      <c r="O1052"/>
      <c r="P1052" s="260"/>
      <c r="Q1052"/>
      <c r="R1052"/>
    </row>
    <row r="1053" spans="2:18" x14ac:dyDescent="0.2">
      <c r="B1053" s="106"/>
      <c r="C1053" s="232"/>
      <c r="D1053" s="261"/>
      <c r="E1053" s="133"/>
      <c r="F1053" s="8"/>
      <c r="G1053" s="55"/>
      <c r="H1053" s="55"/>
      <c r="I1053" s="55"/>
      <c r="J1053" s="55"/>
      <c r="K1053" s="65"/>
      <c r="L1053" s="65"/>
      <c r="M1053" s="65"/>
      <c r="N1053" s="537"/>
      <c r="O1053"/>
      <c r="P1053" s="260"/>
      <c r="Q1053"/>
      <c r="R1053"/>
    </row>
    <row r="1054" spans="2:18" x14ac:dyDescent="0.2">
      <c r="B1054" s="106"/>
      <c r="C1054" s="232"/>
      <c r="D1054" s="261"/>
      <c r="E1054" s="133"/>
      <c r="F1054" s="8"/>
      <c r="G1054" s="55"/>
      <c r="H1054" s="55"/>
      <c r="I1054" s="55"/>
      <c r="J1054" s="55"/>
      <c r="K1054" s="65"/>
      <c r="L1054" s="65"/>
      <c r="M1054" s="65"/>
      <c r="N1054" s="537"/>
      <c r="O1054"/>
      <c r="P1054" s="260"/>
      <c r="Q1054"/>
      <c r="R1054"/>
    </row>
    <row r="1055" spans="2:18" x14ac:dyDescent="0.2">
      <c r="B1055" s="106"/>
      <c r="C1055" s="232"/>
      <c r="D1055" s="261"/>
      <c r="E1055" s="133"/>
      <c r="F1055" s="8"/>
      <c r="G1055" s="55"/>
      <c r="H1055" s="55"/>
      <c r="I1055" s="55"/>
      <c r="J1055" s="55"/>
      <c r="K1055" s="65"/>
      <c r="L1055" s="65"/>
      <c r="M1055" s="65"/>
      <c r="N1055" s="537"/>
      <c r="O1055"/>
      <c r="P1055" s="260"/>
      <c r="Q1055"/>
      <c r="R1055"/>
    </row>
    <row r="1056" spans="2:18" x14ac:dyDescent="0.2">
      <c r="B1056" s="106"/>
      <c r="C1056" s="232"/>
      <c r="D1056" s="261"/>
      <c r="E1056" s="133"/>
      <c r="F1056" s="8"/>
      <c r="G1056" s="55"/>
      <c r="H1056" s="55"/>
      <c r="I1056" s="55"/>
      <c r="J1056" s="55"/>
      <c r="K1056" s="65"/>
      <c r="L1056" s="65"/>
      <c r="M1056" s="65"/>
      <c r="N1056" s="537"/>
      <c r="O1056"/>
      <c r="P1056" s="260"/>
      <c r="Q1056"/>
      <c r="R1056"/>
    </row>
    <row r="1057" spans="2:18" x14ac:dyDescent="0.2">
      <c r="B1057" s="106"/>
      <c r="C1057" s="232"/>
      <c r="D1057" s="261"/>
      <c r="E1057" s="133"/>
      <c r="F1057" s="8"/>
      <c r="G1057" s="55"/>
      <c r="H1057" s="55"/>
      <c r="I1057" s="55"/>
      <c r="J1057" s="55"/>
      <c r="K1057" s="65"/>
      <c r="L1057" s="65"/>
      <c r="M1057" s="65"/>
      <c r="N1057" s="537"/>
      <c r="O1057"/>
      <c r="P1057" s="260"/>
      <c r="Q1057"/>
      <c r="R1057"/>
    </row>
    <row r="1058" spans="2:18" x14ac:dyDescent="0.2">
      <c r="B1058" s="106"/>
      <c r="C1058" s="232"/>
      <c r="D1058" s="261"/>
      <c r="E1058" s="133"/>
      <c r="F1058" s="8"/>
      <c r="G1058" s="55"/>
      <c r="H1058" s="55"/>
      <c r="I1058" s="55"/>
      <c r="J1058" s="55"/>
      <c r="K1058" s="65"/>
      <c r="L1058" s="65"/>
      <c r="M1058" s="65"/>
      <c r="N1058" s="537"/>
      <c r="O1058"/>
      <c r="P1058" s="260"/>
      <c r="Q1058"/>
      <c r="R1058"/>
    </row>
    <row r="1059" spans="2:18" x14ac:dyDescent="0.2">
      <c r="B1059" s="106"/>
      <c r="C1059" s="232"/>
      <c r="D1059" s="261"/>
      <c r="E1059" s="133"/>
      <c r="F1059" s="8"/>
      <c r="G1059" s="55"/>
      <c r="H1059" s="55"/>
      <c r="I1059" s="55"/>
      <c r="J1059" s="55"/>
      <c r="K1059" s="65"/>
      <c r="L1059" s="65"/>
      <c r="M1059" s="65"/>
      <c r="N1059" s="537"/>
      <c r="O1059"/>
      <c r="P1059" s="260"/>
      <c r="Q1059"/>
      <c r="R1059"/>
    </row>
    <row r="1060" spans="2:18" x14ac:dyDescent="0.2">
      <c r="B1060" s="106"/>
      <c r="C1060" s="232"/>
      <c r="D1060" s="261"/>
      <c r="E1060" s="133"/>
      <c r="F1060" s="8"/>
      <c r="G1060" s="55"/>
      <c r="H1060" s="55"/>
      <c r="I1060" s="55"/>
      <c r="J1060" s="55"/>
      <c r="K1060" s="65"/>
      <c r="L1060" s="65"/>
      <c r="M1060" s="65"/>
      <c r="N1060" s="537"/>
      <c r="O1060"/>
      <c r="P1060" s="260"/>
      <c r="Q1060"/>
      <c r="R1060"/>
    </row>
    <row r="1061" spans="2:18" x14ac:dyDescent="0.2">
      <c r="B1061" s="106"/>
      <c r="C1061" s="232"/>
      <c r="D1061" s="261"/>
      <c r="E1061" s="133"/>
      <c r="F1061" s="8"/>
      <c r="G1061" s="55"/>
      <c r="H1061" s="55"/>
      <c r="I1061" s="55"/>
      <c r="J1061" s="55"/>
      <c r="K1061" s="65"/>
      <c r="L1061" s="65"/>
      <c r="M1061" s="65"/>
      <c r="N1061" s="537"/>
      <c r="O1061"/>
      <c r="P1061" s="260"/>
      <c r="Q1061"/>
      <c r="R1061"/>
    </row>
    <row r="1062" spans="2:18" x14ac:dyDescent="0.2">
      <c r="B1062" s="106"/>
      <c r="C1062" s="232"/>
      <c r="D1062" s="261"/>
      <c r="E1062" s="133"/>
      <c r="F1062" s="8"/>
      <c r="G1062" s="55"/>
      <c r="H1062" s="55"/>
      <c r="I1062" s="55"/>
      <c r="J1062" s="55"/>
      <c r="K1062" s="65"/>
      <c r="L1062" s="65"/>
      <c r="M1062" s="65"/>
      <c r="N1062" s="537"/>
      <c r="O1062"/>
      <c r="P1062" s="260"/>
      <c r="Q1062"/>
      <c r="R1062"/>
    </row>
    <row r="1063" spans="2:18" x14ac:dyDescent="0.2">
      <c r="B1063" s="106"/>
      <c r="C1063" s="232"/>
      <c r="D1063" s="261"/>
      <c r="E1063" s="133"/>
      <c r="F1063" s="8"/>
      <c r="G1063" s="55"/>
      <c r="H1063" s="55"/>
      <c r="I1063" s="55"/>
      <c r="J1063" s="55"/>
      <c r="K1063" s="65"/>
      <c r="L1063" s="65"/>
      <c r="M1063" s="65"/>
      <c r="N1063" s="537"/>
      <c r="O1063"/>
      <c r="P1063" s="260"/>
      <c r="Q1063"/>
      <c r="R1063"/>
    </row>
    <row r="1064" spans="2:18" x14ac:dyDescent="0.2">
      <c r="B1064" s="106"/>
      <c r="C1064" s="232"/>
      <c r="D1064" s="261"/>
      <c r="E1064" s="133"/>
      <c r="F1064" s="8"/>
      <c r="G1064" s="55"/>
      <c r="H1064" s="55"/>
      <c r="I1064" s="55"/>
      <c r="J1064" s="55"/>
      <c r="K1064" s="65"/>
      <c r="L1064" s="65"/>
      <c r="M1064" s="65"/>
      <c r="N1064" s="537"/>
      <c r="O1064"/>
      <c r="P1064" s="260"/>
      <c r="Q1064"/>
      <c r="R1064"/>
    </row>
    <row r="1065" spans="2:18" x14ac:dyDescent="0.2">
      <c r="B1065" s="106"/>
      <c r="C1065" s="232"/>
      <c r="D1065" s="261"/>
      <c r="E1065" s="133"/>
      <c r="F1065" s="8"/>
      <c r="G1065" s="55"/>
      <c r="H1065" s="55"/>
      <c r="I1065" s="55"/>
      <c r="J1065" s="55"/>
      <c r="K1065" s="65"/>
      <c r="L1065" s="65"/>
      <c r="M1065" s="65"/>
      <c r="N1065" s="537"/>
      <c r="O1065"/>
      <c r="P1065" s="260"/>
      <c r="Q1065"/>
      <c r="R1065"/>
    </row>
    <row r="1066" spans="2:18" x14ac:dyDescent="0.2">
      <c r="B1066" s="106"/>
      <c r="C1066" s="232"/>
      <c r="D1066" s="261"/>
      <c r="E1066" s="133"/>
      <c r="F1066" s="8"/>
      <c r="G1066" s="55"/>
      <c r="H1066" s="55"/>
      <c r="I1066" s="55"/>
      <c r="J1066" s="55"/>
      <c r="K1066" s="65"/>
      <c r="L1066" s="65"/>
      <c r="M1066" s="65"/>
      <c r="N1066" s="537"/>
      <c r="O1066"/>
      <c r="P1066" s="260"/>
      <c r="Q1066"/>
      <c r="R1066"/>
    </row>
    <row r="1067" spans="2:18" x14ac:dyDescent="0.2">
      <c r="B1067" s="106"/>
      <c r="C1067" s="232"/>
      <c r="D1067" s="261"/>
      <c r="E1067" s="133"/>
      <c r="F1067" s="8"/>
      <c r="G1067" s="55"/>
      <c r="H1067" s="55"/>
      <c r="I1067" s="55"/>
      <c r="J1067" s="55"/>
      <c r="K1067" s="65"/>
      <c r="L1067" s="65"/>
      <c r="M1067" s="65"/>
      <c r="N1067" s="537"/>
      <c r="O1067"/>
      <c r="P1067" s="260"/>
      <c r="Q1067"/>
      <c r="R1067"/>
    </row>
    <row r="1068" spans="2:18" x14ac:dyDescent="0.2">
      <c r="B1068" s="106"/>
      <c r="C1068" s="232"/>
      <c r="D1068" s="261"/>
      <c r="E1068" s="133"/>
      <c r="F1068" s="8"/>
      <c r="G1068" s="55"/>
      <c r="H1068" s="55"/>
      <c r="I1068" s="55"/>
      <c r="J1068" s="55"/>
      <c r="K1068" s="65"/>
      <c r="L1068" s="65"/>
      <c r="M1068" s="65"/>
      <c r="N1068" s="537"/>
      <c r="O1068"/>
      <c r="P1068" s="260"/>
      <c r="Q1068"/>
      <c r="R1068"/>
    </row>
    <row r="1069" spans="2:18" x14ac:dyDescent="0.2">
      <c r="B1069" s="106"/>
      <c r="C1069" s="232"/>
      <c r="D1069" s="261"/>
      <c r="E1069" s="133"/>
      <c r="F1069" s="8"/>
      <c r="G1069" s="55"/>
      <c r="H1069" s="55"/>
      <c r="I1069" s="55"/>
      <c r="J1069" s="55"/>
      <c r="K1069" s="65"/>
      <c r="L1069" s="65"/>
      <c r="M1069" s="65"/>
      <c r="N1069" s="537"/>
      <c r="O1069"/>
      <c r="P1069" s="260"/>
      <c r="Q1069"/>
      <c r="R1069"/>
    </row>
    <row r="1070" spans="2:18" x14ac:dyDescent="0.2">
      <c r="B1070" s="106"/>
      <c r="C1070" s="232"/>
      <c r="D1070" s="261"/>
      <c r="E1070" s="133"/>
      <c r="F1070" s="8"/>
      <c r="G1070" s="55"/>
      <c r="H1070" s="55"/>
      <c r="I1070" s="55"/>
      <c r="J1070" s="55"/>
      <c r="K1070" s="65"/>
      <c r="L1070" s="65"/>
      <c r="M1070" s="65"/>
      <c r="N1070" s="537"/>
      <c r="O1070"/>
      <c r="P1070" s="260"/>
      <c r="Q1070"/>
      <c r="R1070"/>
    </row>
    <row r="1071" spans="2:18" x14ac:dyDescent="0.2">
      <c r="B1071" s="106"/>
      <c r="C1071" s="232"/>
      <c r="D1071" s="261"/>
      <c r="E1071" s="133"/>
      <c r="F1071" s="8"/>
      <c r="G1071" s="55"/>
      <c r="H1071" s="55"/>
      <c r="I1071" s="55"/>
      <c r="J1071" s="55"/>
      <c r="K1071" s="65"/>
      <c r="L1071" s="65"/>
      <c r="M1071" s="65"/>
      <c r="N1071" s="537"/>
      <c r="O1071"/>
      <c r="P1071" s="260"/>
      <c r="Q1071"/>
      <c r="R1071"/>
    </row>
    <row r="1072" spans="2:18" x14ac:dyDescent="0.2">
      <c r="B1072" s="106"/>
      <c r="C1072" s="232"/>
      <c r="D1072" s="261"/>
      <c r="E1072" s="133"/>
      <c r="F1072" s="8"/>
      <c r="G1072" s="55"/>
      <c r="H1072" s="55"/>
      <c r="I1072" s="55"/>
      <c r="J1072" s="55"/>
      <c r="K1072" s="65"/>
      <c r="L1072" s="65"/>
      <c r="M1072" s="65"/>
      <c r="N1072" s="537"/>
      <c r="O1072"/>
      <c r="P1072" s="260"/>
      <c r="Q1072"/>
      <c r="R1072"/>
    </row>
    <row r="1073" spans="2:18" x14ac:dyDescent="0.2">
      <c r="B1073" s="106"/>
      <c r="C1073" s="232"/>
      <c r="D1073" s="261"/>
      <c r="E1073" s="133"/>
      <c r="F1073" s="8"/>
      <c r="G1073" s="55"/>
      <c r="H1073" s="55"/>
      <c r="I1073" s="55"/>
      <c r="J1073" s="55"/>
      <c r="K1073" s="65"/>
      <c r="L1073" s="65"/>
      <c r="M1073" s="65"/>
      <c r="N1073" s="537"/>
      <c r="O1073"/>
      <c r="P1073" s="260"/>
      <c r="Q1073"/>
      <c r="R1073"/>
    </row>
    <row r="1074" spans="2:18" x14ac:dyDescent="0.2">
      <c r="B1074" s="106"/>
      <c r="C1074" s="232"/>
      <c r="D1074" s="261"/>
      <c r="E1074" s="133"/>
      <c r="F1074" s="8"/>
      <c r="G1074" s="55"/>
      <c r="H1074" s="55"/>
      <c r="I1074" s="55"/>
      <c r="J1074" s="55"/>
      <c r="K1074" s="65"/>
      <c r="L1074" s="65"/>
      <c r="M1074" s="65"/>
      <c r="N1074" s="537"/>
      <c r="O1074"/>
      <c r="P1074" s="260"/>
      <c r="Q1074"/>
      <c r="R1074"/>
    </row>
    <row r="1075" spans="2:18" x14ac:dyDescent="0.2">
      <c r="B1075" s="106"/>
      <c r="C1075" s="232"/>
      <c r="D1075" s="261"/>
      <c r="E1075" s="133"/>
      <c r="F1075" s="8"/>
      <c r="G1075" s="55"/>
      <c r="H1075" s="55"/>
      <c r="I1075" s="55"/>
      <c r="J1075" s="55"/>
      <c r="K1075" s="65"/>
      <c r="L1075" s="65"/>
      <c r="M1075" s="65"/>
      <c r="N1075" s="537"/>
      <c r="O1075"/>
      <c r="P1075" s="260"/>
      <c r="Q1075"/>
      <c r="R1075"/>
    </row>
    <row r="1076" spans="2:18" x14ac:dyDescent="0.2">
      <c r="B1076" s="106"/>
      <c r="C1076" s="232"/>
      <c r="D1076" s="261"/>
      <c r="E1076" s="133"/>
      <c r="F1076" s="8"/>
      <c r="G1076" s="55"/>
      <c r="H1076" s="55"/>
      <c r="I1076" s="55"/>
      <c r="J1076" s="55"/>
      <c r="K1076" s="65"/>
      <c r="L1076" s="65"/>
      <c r="M1076" s="65"/>
      <c r="N1076" s="537"/>
      <c r="O1076"/>
      <c r="P1076" s="260"/>
      <c r="Q1076"/>
      <c r="R1076"/>
    </row>
    <row r="1077" spans="2:18" x14ac:dyDescent="0.2">
      <c r="B1077" s="106"/>
      <c r="C1077" s="232"/>
      <c r="D1077" s="261"/>
      <c r="E1077" s="133"/>
      <c r="F1077" s="8"/>
      <c r="G1077" s="55"/>
      <c r="H1077" s="55"/>
      <c r="I1077" s="55"/>
      <c r="J1077" s="55"/>
      <c r="K1077" s="65"/>
      <c r="L1077" s="65"/>
      <c r="M1077" s="65"/>
      <c r="N1077" s="537"/>
      <c r="O1077"/>
      <c r="P1077" s="260"/>
      <c r="Q1077"/>
      <c r="R1077"/>
    </row>
    <row r="1078" spans="2:18" x14ac:dyDescent="0.2">
      <c r="B1078" s="106"/>
      <c r="C1078" s="232"/>
      <c r="D1078" s="261"/>
      <c r="E1078" s="133"/>
      <c r="F1078" s="8"/>
      <c r="G1078" s="55"/>
      <c r="H1078" s="55"/>
      <c r="I1078" s="55"/>
      <c r="J1078" s="55"/>
      <c r="K1078" s="65"/>
      <c r="L1078" s="65"/>
      <c r="M1078" s="65"/>
      <c r="N1078" s="537"/>
      <c r="O1078"/>
      <c r="P1078" s="260"/>
      <c r="Q1078"/>
      <c r="R1078"/>
    </row>
    <row r="1079" spans="2:18" x14ac:dyDescent="0.2">
      <c r="B1079" s="106"/>
      <c r="C1079" s="232"/>
      <c r="D1079" s="261"/>
      <c r="E1079" s="133"/>
      <c r="F1079" s="8"/>
      <c r="G1079" s="55"/>
      <c r="H1079" s="55"/>
      <c r="I1079" s="55"/>
      <c r="J1079" s="55"/>
      <c r="K1079" s="65"/>
      <c r="L1079" s="65"/>
      <c r="M1079" s="65"/>
      <c r="N1079" s="537"/>
      <c r="O1079"/>
      <c r="P1079" s="260"/>
      <c r="Q1079"/>
      <c r="R1079"/>
    </row>
    <row r="1080" spans="2:18" x14ac:dyDescent="0.2">
      <c r="B1080" s="106"/>
      <c r="C1080" s="232"/>
      <c r="D1080" s="261"/>
      <c r="E1080" s="133"/>
      <c r="F1080" s="8"/>
      <c r="G1080" s="55"/>
      <c r="H1080" s="55"/>
      <c r="I1080" s="55"/>
      <c r="J1080" s="55"/>
      <c r="K1080" s="65"/>
      <c r="L1080" s="65"/>
      <c r="M1080" s="65"/>
      <c r="N1080" s="537"/>
      <c r="O1080"/>
      <c r="P1080" s="260"/>
      <c r="Q1080"/>
      <c r="R1080"/>
    </row>
    <row r="1081" spans="2:18" x14ac:dyDescent="0.2">
      <c r="B1081" s="106"/>
      <c r="C1081" s="232"/>
      <c r="D1081" s="261"/>
      <c r="E1081" s="133"/>
      <c r="F1081" s="8"/>
      <c r="G1081" s="55"/>
      <c r="H1081" s="55"/>
      <c r="I1081" s="55"/>
      <c r="J1081" s="55"/>
      <c r="K1081" s="65"/>
      <c r="L1081" s="65"/>
      <c r="M1081" s="65"/>
      <c r="N1081" s="537"/>
      <c r="O1081"/>
      <c r="P1081" s="260"/>
      <c r="Q1081"/>
      <c r="R1081"/>
    </row>
    <row r="1082" spans="2:18" x14ac:dyDescent="0.2">
      <c r="B1082" s="106"/>
      <c r="C1082" s="232"/>
      <c r="D1082" s="261"/>
      <c r="E1082" s="133"/>
      <c r="F1082" s="8"/>
      <c r="G1082" s="55"/>
      <c r="H1082" s="55"/>
      <c r="I1082" s="55"/>
      <c r="J1082" s="55"/>
      <c r="K1082" s="65"/>
      <c r="L1082" s="65"/>
      <c r="M1082" s="65"/>
      <c r="N1082" s="537"/>
      <c r="O1082"/>
      <c r="P1082" s="260"/>
      <c r="Q1082"/>
      <c r="R1082"/>
    </row>
    <row r="1083" spans="2:18" x14ac:dyDescent="0.2">
      <c r="B1083" s="106"/>
      <c r="C1083" s="232"/>
      <c r="D1083" s="261"/>
      <c r="E1083" s="133"/>
      <c r="F1083" s="8"/>
      <c r="G1083" s="55"/>
      <c r="H1083" s="55"/>
      <c r="I1083" s="55"/>
      <c r="J1083" s="55"/>
      <c r="K1083" s="65"/>
      <c r="L1083" s="65"/>
      <c r="M1083" s="65"/>
      <c r="N1083" s="537"/>
      <c r="O1083"/>
      <c r="P1083" s="260"/>
      <c r="Q1083"/>
      <c r="R1083"/>
    </row>
    <row r="1084" spans="2:18" x14ac:dyDescent="0.2">
      <c r="B1084" s="106"/>
      <c r="C1084" s="232"/>
      <c r="D1084" s="261"/>
      <c r="E1084" s="133"/>
      <c r="F1084" s="8"/>
      <c r="G1084" s="55"/>
      <c r="H1084" s="55"/>
      <c r="I1084" s="55"/>
      <c r="J1084" s="55"/>
      <c r="K1084" s="65"/>
      <c r="L1084" s="65"/>
      <c r="M1084" s="65"/>
      <c r="N1084" s="537"/>
      <c r="O1084"/>
      <c r="P1084" s="260"/>
      <c r="Q1084"/>
      <c r="R1084"/>
    </row>
    <row r="1085" spans="2:18" x14ac:dyDescent="0.2">
      <c r="B1085" s="106"/>
      <c r="C1085" s="232"/>
      <c r="D1085" s="261"/>
      <c r="E1085" s="133"/>
      <c r="F1085" s="8"/>
      <c r="G1085" s="55"/>
      <c r="H1085" s="55"/>
      <c r="I1085" s="55"/>
      <c r="J1085" s="55"/>
      <c r="K1085" s="65"/>
      <c r="L1085" s="65"/>
      <c r="M1085" s="65"/>
      <c r="N1085" s="537"/>
      <c r="O1085"/>
      <c r="P1085" s="260"/>
      <c r="Q1085"/>
      <c r="R1085"/>
    </row>
    <row r="1086" spans="2:18" x14ac:dyDescent="0.2">
      <c r="B1086" s="106"/>
      <c r="C1086" s="232"/>
      <c r="D1086" s="261"/>
      <c r="E1086" s="133"/>
      <c r="F1086" s="8"/>
      <c r="G1086" s="55"/>
      <c r="H1086" s="55"/>
      <c r="I1086" s="55"/>
      <c r="J1086" s="55"/>
      <c r="K1086" s="65"/>
      <c r="L1086" s="65"/>
      <c r="M1086" s="65"/>
      <c r="N1086" s="537"/>
      <c r="O1086"/>
      <c r="P1086" s="260"/>
      <c r="Q1086"/>
      <c r="R1086"/>
    </row>
    <row r="1087" spans="2:18" x14ac:dyDescent="0.2">
      <c r="B1087" s="106"/>
      <c r="C1087" s="232"/>
      <c r="D1087" s="261"/>
      <c r="E1087" s="133"/>
      <c r="F1087" s="8"/>
      <c r="G1087" s="55"/>
      <c r="H1087" s="55"/>
      <c r="I1087" s="55"/>
      <c r="J1087" s="55"/>
      <c r="K1087" s="65"/>
      <c r="L1087" s="65"/>
      <c r="M1087" s="65"/>
      <c r="N1087" s="537"/>
      <c r="O1087"/>
      <c r="P1087" s="260"/>
      <c r="Q1087"/>
      <c r="R1087"/>
    </row>
    <row r="1088" spans="2:18" x14ac:dyDescent="0.2">
      <c r="B1088" s="106"/>
      <c r="C1088" s="232"/>
      <c r="D1088" s="261"/>
      <c r="E1088" s="133"/>
      <c r="F1088" s="8"/>
      <c r="G1088" s="55"/>
      <c r="H1088" s="55"/>
      <c r="I1088" s="55"/>
      <c r="J1088" s="55"/>
      <c r="K1088" s="65"/>
      <c r="L1088" s="65"/>
      <c r="M1088" s="65"/>
      <c r="N1088" s="537"/>
      <c r="O1088"/>
      <c r="P1088" s="260"/>
      <c r="Q1088"/>
      <c r="R1088"/>
    </row>
    <row r="1089" spans="2:18" x14ac:dyDescent="0.2">
      <c r="B1089" s="106"/>
      <c r="C1089" s="232"/>
      <c r="D1089" s="261"/>
      <c r="E1089" s="133"/>
      <c r="F1089" s="8"/>
      <c r="G1089" s="55"/>
      <c r="H1089" s="55"/>
      <c r="I1089" s="55"/>
      <c r="J1089" s="55"/>
      <c r="K1089" s="65"/>
      <c r="L1089" s="65"/>
      <c r="M1089" s="65"/>
      <c r="N1089" s="537"/>
      <c r="O1089"/>
      <c r="P1089" s="260"/>
      <c r="Q1089"/>
      <c r="R1089"/>
    </row>
    <row r="1090" spans="2:18" x14ac:dyDescent="0.2">
      <c r="B1090" s="106"/>
      <c r="C1090" s="232"/>
      <c r="D1090" s="261"/>
      <c r="E1090" s="133"/>
      <c r="F1090" s="8"/>
      <c r="G1090" s="55"/>
      <c r="H1090" s="55"/>
      <c r="I1090" s="55"/>
      <c r="J1090" s="55"/>
      <c r="K1090" s="65"/>
      <c r="L1090" s="65"/>
      <c r="M1090" s="65"/>
      <c r="N1090" s="537"/>
      <c r="O1090"/>
      <c r="P1090" s="260"/>
      <c r="Q1090"/>
      <c r="R1090"/>
    </row>
    <row r="1091" spans="2:18" x14ac:dyDescent="0.2">
      <c r="B1091" s="106"/>
      <c r="C1091" s="232"/>
      <c r="D1091" s="261"/>
      <c r="E1091" s="133"/>
      <c r="F1091" s="8"/>
      <c r="G1091" s="55"/>
      <c r="H1091" s="55"/>
      <c r="I1091" s="55"/>
      <c r="J1091" s="55"/>
      <c r="K1091" s="65"/>
      <c r="L1091" s="65"/>
      <c r="M1091" s="65"/>
      <c r="N1091" s="537"/>
      <c r="O1091"/>
      <c r="P1091" s="260"/>
      <c r="Q1091"/>
      <c r="R1091"/>
    </row>
    <row r="1092" spans="2:18" x14ac:dyDescent="0.2">
      <c r="B1092" s="106"/>
      <c r="C1092" s="232"/>
      <c r="D1092" s="261"/>
      <c r="E1092" s="133"/>
      <c r="F1092" s="8"/>
      <c r="G1092" s="55"/>
      <c r="H1092" s="55"/>
      <c r="I1092" s="55"/>
      <c r="J1092" s="55"/>
      <c r="K1092" s="65"/>
      <c r="L1092" s="65"/>
      <c r="M1092" s="65"/>
      <c r="N1092" s="537"/>
      <c r="O1092"/>
      <c r="P1092" s="260"/>
      <c r="Q1092"/>
      <c r="R1092"/>
    </row>
    <row r="1093" spans="2:18" x14ac:dyDescent="0.2">
      <c r="B1093" s="106"/>
      <c r="C1093" s="232"/>
      <c r="D1093" s="261"/>
      <c r="E1093" s="133"/>
      <c r="F1093" s="8"/>
      <c r="G1093" s="55"/>
      <c r="H1093" s="55"/>
      <c r="I1093" s="55"/>
      <c r="J1093" s="55"/>
      <c r="K1093" s="65"/>
      <c r="L1093" s="65"/>
      <c r="M1093" s="65"/>
      <c r="N1093" s="537"/>
      <c r="O1093"/>
      <c r="P1093" s="260"/>
      <c r="Q1093"/>
      <c r="R1093"/>
    </row>
    <row r="1094" spans="2:18" x14ac:dyDescent="0.2">
      <c r="B1094" s="106"/>
      <c r="C1094" s="232"/>
      <c r="D1094" s="261"/>
      <c r="E1094" s="133"/>
      <c r="F1094" s="8"/>
      <c r="G1094" s="55"/>
      <c r="H1094" s="55"/>
      <c r="I1094" s="55"/>
      <c r="J1094" s="55"/>
      <c r="K1094" s="65"/>
      <c r="L1094" s="65"/>
      <c r="M1094" s="65"/>
      <c r="N1094" s="537"/>
      <c r="O1094"/>
      <c r="P1094" s="260"/>
      <c r="Q1094"/>
      <c r="R1094"/>
    </row>
    <row r="1095" spans="2:18" x14ac:dyDescent="0.2">
      <c r="B1095" s="106"/>
      <c r="C1095" s="232"/>
      <c r="D1095" s="261"/>
      <c r="E1095" s="133"/>
      <c r="F1095" s="8"/>
      <c r="G1095" s="55"/>
      <c r="H1095" s="55"/>
      <c r="I1095" s="55"/>
      <c r="J1095" s="55"/>
      <c r="K1095" s="65"/>
      <c r="L1095" s="65"/>
      <c r="M1095" s="65"/>
      <c r="N1095" s="537"/>
      <c r="O1095"/>
      <c r="P1095" s="260"/>
      <c r="Q1095"/>
      <c r="R1095"/>
    </row>
    <row r="1096" spans="2:18" x14ac:dyDescent="0.2">
      <c r="B1096" s="106"/>
      <c r="C1096" s="232"/>
      <c r="D1096" s="261"/>
      <c r="E1096" s="133"/>
      <c r="F1096" s="8"/>
      <c r="G1096" s="55"/>
      <c r="H1096" s="55"/>
      <c r="I1096" s="55"/>
      <c r="J1096" s="55"/>
      <c r="K1096" s="65"/>
      <c r="L1096" s="65"/>
      <c r="M1096" s="65"/>
      <c r="N1096" s="537"/>
      <c r="O1096"/>
      <c r="P1096" s="260"/>
      <c r="Q1096"/>
      <c r="R1096"/>
    </row>
    <row r="1097" spans="2:18" x14ac:dyDescent="0.2">
      <c r="B1097" s="106"/>
      <c r="C1097" s="232"/>
      <c r="D1097" s="261"/>
      <c r="E1097" s="133"/>
      <c r="F1097" s="8"/>
      <c r="G1097" s="55"/>
      <c r="H1097" s="55"/>
      <c r="I1097" s="55"/>
      <c r="J1097" s="55"/>
      <c r="K1097" s="65"/>
      <c r="L1097" s="65"/>
      <c r="M1097" s="65"/>
      <c r="N1097" s="537"/>
      <c r="O1097"/>
      <c r="P1097" s="260"/>
      <c r="Q1097"/>
      <c r="R1097"/>
    </row>
    <row r="1098" spans="2:18" x14ac:dyDescent="0.2">
      <c r="B1098" s="106"/>
      <c r="C1098" s="232"/>
      <c r="D1098" s="261"/>
      <c r="E1098" s="133"/>
      <c r="F1098" s="8"/>
      <c r="G1098" s="55"/>
      <c r="H1098" s="55"/>
      <c r="I1098" s="55"/>
      <c r="J1098" s="55"/>
      <c r="K1098" s="65"/>
      <c r="L1098" s="65"/>
      <c r="M1098" s="65"/>
      <c r="N1098" s="537"/>
      <c r="O1098"/>
      <c r="P1098" s="260"/>
      <c r="Q1098"/>
      <c r="R1098"/>
    </row>
    <row r="1099" spans="2:18" x14ac:dyDescent="0.2">
      <c r="B1099" s="106"/>
      <c r="C1099" s="232"/>
      <c r="D1099" s="261"/>
      <c r="E1099" s="133"/>
      <c r="F1099" s="8"/>
      <c r="G1099" s="55"/>
      <c r="H1099" s="55"/>
      <c r="I1099" s="55"/>
      <c r="J1099" s="55"/>
      <c r="K1099" s="65"/>
      <c r="L1099" s="65"/>
      <c r="M1099" s="65"/>
      <c r="N1099" s="537"/>
      <c r="O1099"/>
      <c r="P1099" s="260"/>
      <c r="Q1099"/>
      <c r="R1099"/>
    </row>
    <row r="1100" spans="2:18" x14ac:dyDescent="0.2">
      <c r="B1100" s="106"/>
      <c r="C1100" s="232"/>
      <c r="D1100" s="261"/>
      <c r="E1100" s="133"/>
      <c r="F1100" s="8"/>
      <c r="G1100" s="55"/>
      <c r="H1100" s="55"/>
      <c r="I1100" s="55"/>
      <c r="J1100" s="55"/>
      <c r="K1100" s="65"/>
      <c r="L1100" s="65"/>
      <c r="M1100" s="65"/>
      <c r="N1100" s="537"/>
      <c r="O1100"/>
      <c r="P1100" s="260"/>
      <c r="Q1100"/>
      <c r="R1100"/>
    </row>
    <row r="1101" spans="2:18" x14ac:dyDescent="0.2">
      <c r="B1101" s="106"/>
      <c r="C1101" s="232"/>
      <c r="D1101" s="261"/>
      <c r="E1101" s="133"/>
      <c r="F1101" s="8"/>
      <c r="G1101" s="55"/>
      <c r="H1101" s="55"/>
      <c r="I1101" s="55"/>
      <c r="J1101" s="55"/>
      <c r="K1101" s="65"/>
      <c r="L1101" s="65"/>
      <c r="M1101" s="65"/>
      <c r="N1101" s="537"/>
      <c r="O1101"/>
      <c r="P1101" s="260"/>
      <c r="Q1101"/>
      <c r="R1101"/>
    </row>
    <row r="1102" spans="2:18" x14ac:dyDescent="0.2">
      <c r="B1102" s="106"/>
      <c r="C1102" s="232"/>
      <c r="D1102" s="261"/>
      <c r="E1102" s="133"/>
      <c r="F1102" s="8"/>
      <c r="G1102" s="55"/>
      <c r="H1102" s="55"/>
      <c r="I1102" s="55"/>
      <c r="J1102" s="55"/>
      <c r="K1102" s="65"/>
      <c r="L1102" s="65"/>
      <c r="M1102" s="65"/>
      <c r="N1102" s="537"/>
      <c r="O1102"/>
      <c r="P1102" s="260"/>
      <c r="Q1102"/>
      <c r="R1102"/>
    </row>
    <row r="1103" spans="2:18" x14ac:dyDescent="0.2">
      <c r="B1103" s="106"/>
      <c r="C1103" s="232"/>
      <c r="D1103" s="261"/>
      <c r="E1103" s="133"/>
      <c r="F1103" s="8"/>
      <c r="G1103" s="55"/>
      <c r="H1103" s="55"/>
      <c r="I1103" s="55"/>
      <c r="J1103" s="55"/>
      <c r="K1103" s="65"/>
      <c r="L1103" s="65"/>
      <c r="M1103" s="65"/>
      <c r="N1103" s="537"/>
      <c r="O1103"/>
      <c r="P1103" s="260"/>
      <c r="Q1103"/>
      <c r="R1103"/>
    </row>
    <row r="1104" spans="2:18" x14ac:dyDescent="0.2">
      <c r="B1104" s="106"/>
      <c r="C1104" s="232"/>
      <c r="D1104" s="261"/>
      <c r="E1104" s="133"/>
      <c r="F1104" s="8"/>
      <c r="G1104" s="55"/>
      <c r="H1104" s="55"/>
      <c r="I1104" s="55"/>
      <c r="J1104" s="55"/>
      <c r="K1104" s="65"/>
      <c r="L1104" s="65"/>
      <c r="M1104" s="65"/>
      <c r="N1104" s="537"/>
      <c r="O1104"/>
      <c r="P1104" s="260"/>
      <c r="Q1104"/>
      <c r="R1104"/>
    </row>
    <row r="1105" spans="2:18" x14ac:dyDescent="0.2">
      <c r="B1105" s="106"/>
      <c r="C1105" s="232"/>
      <c r="D1105" s="261"/>
      <c r="E1105" s="133"/>
      <c r="F1105" s="8"/>
      <c r="G1105" s="55"/>
      <c r="H1105" s="55"/>
      <c r="I1105" s="55"/>
      <c r="J1105" s="55"/>
      <c r="K1105" s="65"/>
      <c r="L1105" s="65"/>
      <c r="M1105" s="65"/>
      <c r="N1105" s="537"/>
      <c r="O1105"/>
      <c r="P1105" s="260"/>
      <c r="Q1105"/>
      <c r="R1105"/>
    </row>
    <row r="1106" spans="2:18" x14ac:dyDescent="0.2">
      <c r="B1106" s="106"/>
      <c r="C1106" s="232"/>
      <c r="D1106" s="261"/>
      <c r="E1106" s="133"/>
      <c r="F1106" s="8"/>
      <c r="G1106" s="55"/>
      <c r="H1106" s="55"/>
      <c r="I1106" s="55"/>
      <c r="J1106" s="55"/>
      <c r="K1106" s="65"/>
      <c r="L1106" s="65"/>
      <c r="M1106" s="65"/>
      <c r="N1106" s="537"/>
      <c r="O1106"/>
      <c r="P1106" s="260"/>
      <c r="Q1106"/>
      <c r="R1106"/>
    </row>
    <row r="1107" spans="2:18" x14ac:dyDescent="0.2">
      <c r="B1107" s="106"/>
      <c r="C1107" s="232"/>
      <c r="D1107" s="261"/>
      <c r="E1107" s="133"/>
      <c r="F1107" s="8"/>
      <c r="G1107" s="55"/>
      <c r="H1107" s="55"/>
      <c r="I1107" s="55"/>
      <c r="J1107" s="55"/>
      <c r="K1107" s="65"/>
      <c r="L1107" s="65"/>
      <c r="M1107" s="65"/>
      <c r="N1107" s="537"/>
      <c r="O1107"/>
      <c r="P1107" s="260"/>
      <c r="Q1107"/>
      <c r="R1107"/>
    </row>
    <row r="1108" spans="2:18" x14ac:dyDescent="0.2">
      <c r="B1108" s="106"/>
      <c r="C1108" s="232"/>
      <c r="D1108" s="261"/>
      <c r="E1108" s="133"/>
      <c r="F1108" s="8"/>
      <c r="G1108" s="55"/>
      <c r="H1108" s="55"/>
      <c r="I1108" s="55"/>
      <c r="J1108" s="55"/>
      <c r="K1108" s="65"/>
      <c r="L1108" s="65"/>
      <c r="M1108" s="65"/>
      <c r="N1108" s="537"/>
      <c r="O1108"/>
      <c r="P1108" s="260"/>
      <c r="Q1108"/>
      <c r="R1108"/>
    </row>
    <row r="1109" spans="2:18" x14ac:dyDescent="0.2">
      <c r="B1109" s="106"/>
      <c r="C1109" s="232"/>
      <c r="D1109" s="261"/>
      <c r="E1109" s="133"/>
      <c r="F1109" s="8"/>
      <c r="G1109" s="55"/>
      <c r="H1109" s="55"/>
      <c r="I1109" s="55"/>
      <c r="J1109" s="55"/>
      <c r="K1109" s="65"/>
      <c r="L1109" s="65"/>
      <c r="M1109" s="65"/>
      <c r="N1109" s="537"/>
      <c r="O1109"/>
      <c r="P1109" s="260"/>
      <c r="Q1109"/>
      <c r="R1109"/>
    </row>
    <row r="1110" spans="2:18" x14ac:dyDescent="0.2">
      <c r="B1110" s="106"/>
      <c r="C1110" s="232"/>
      <c r="D1110" s="261"/>
      <c r="E1110" s="133"/>
      <c r="F1110" s="8"/>
      <c r="G1110" s="55"/>
      <c r="H1110" s="55"/>
      <c r="I1110" s="55"/>
      <c r="J1110" s="55"/>
      <c r="K1110" s="65"/>
      <c r="L1110" s="65"/>
      <c r="M1110" s="65"/>
      <c r="N1110" s="537"/>
      <c r="O1110"/>
      <c r="P1110" s="260"/>
      <c r="Q1110"/>
      <c r="R1110"/>
    </row>
    <row r="1111" spans="2:18" x14ac:dyDescent="0.2">
      <c r="B1111" s="106"/>
      <c r="C1111" s="232"/>
      <c r="D1111" s="261"/>
      <c r="E1111" s="133"/>
      <c r="F1111" s="8"/>
      <c r="G1111" s="55"/>
      <c r="H1111" s="55"/>
      <c r="I1111" s="55"/>
      <c r="J1111" s="55"/>
      <c r="K1111" s="65"/>
      <c r="L1111" s="65"/>
      <c r="M1111" s="65"/>
      <c r="N1111" s="537"/>
      <c r="O1111"/>
      <c r="P1111" s="260"/>
      <c r="Q1111"/>
      <c r="R1111"/>
    </row>
    <row r="1112" spans="2:18" x14ac:dyDescent="0.2">
      <c r="B1112" s="106"/>
      <c r="C1112" s="232"/>
      <c r="D1112" s="261"/>
      <c r="E1112" s="133"/>
      <c r="F1112" s="8"/>
      <c r="G1112" s="55"/>
      <c r="H1112" s="55"/>
      <c r="I1112" s="55"/>
      <c r="J1112" s="55"/>
      <c r="K1112" s="65"/>
      <c r="L1112" s="65"/>
      <c r="M1112" s="65"/>
      <c r="N1112" s="537"/>
      <c r="O1112"/>
      <c r="P1112" s="260"/>
      <c r="Q1112"/>
      <c r="R1112"/>
    </row>
    <row r="1113" spans="2:18" x14ac:dyDescent="0.2">
      <c r="B1113" s="106"/>
      <c r="C1113" s="232"/>
      <c r="D1113" s="261"/>
      <c r="E1113" s="133"/>
      <c r="F1113" s="8"/>
      <c r="G1113" s="55"/>
      <c r="H1113" s="55"/>
      <c r="I1113" s="55"/>
      <c r="J1113" s="55"/>
      <c r="K1113" s="65"/>
      <c r="L1113" s="65"/>
      <c r="M1113" s="65"/>
      <c r="N1113" s="537"/>
      <c r="O1113"/>
      <c r="P1113" s="260"/>
      <c r="Q1113"/>
      <c r="R1113"/>
    </row>
    <row r="1114" spans="2:18" x14ac:dyDescent="0.2">
      <c r="B1114" s="106"/>
      <c r="C1114" s="232"/>
      <c r="D1114" s="261"/>
      <c r="E1114" s="133"/>
      <c r="F1114" s="8"/>
      <c r="G1114" s="55"/>
      <c r="H1114" s="55"/>
      <c r="I1114" s="55"/>
      <c r="J1114" s="55"/>
      <c r="K1114" s="65"/>
      <c r="L1114" s="65"/>
      <c r="M1114" s="65"/>
      <c r="N1114" s="537"/>
      <c r="O1114"/>
      <c r="P1114" s="260"/>
      <c r="Q1114"/>
      <c r="R1114"/>
    </row>
    <row r="1115" spans="2:18" x14ac:dyDescent="0.2">
      <c r="B1115" s="106"/>
      <c r="C1115" s="232"/>
      <c r="D1115" s="261"/>
      <c r="E1115" s="133"/>
      <c r="F1115" s="8"/>
      <c r="G1115" s="55"/>
      <c r="H1115" s="55"/>
      <c r="I1115" s="55"/>
      <c r="J1115" s="55"/>
      <c r="K1115" s="65"/>
      <c r="L1115" s="65"/>
      <c r="M1115" s="65"/>
      <c r="N1115" s="537"/>
      <c r="O1115"/>
      <c r="P1115" s="260"/>
      <c r="Q1115"/>
      <c r="R1115"/>
    </row>
    <row r="1116" spans="2:18" x14ac:dyDescent="0.2">
      <c r="B1116" s="106"/>
      <c r="C1116" s="232"/>
      <c r="D1116" s="261"/>
      <c r="E1116" s="133"/>
      <c r="F1116" s="8"/>
      <c r="G1116" s="55"/>
      <c r="H1116" s="55"/>
      <c r="I1116" s="55"/>
      <c r="J1116" s="55"/>
      <c r="K1116" s="65"/>
      <c r="L1116" s="65"/>
      <c r="M1116" s="65"/>
      <c r="N1116" s="537"/>
      <c r="O1116"/>
      <c r="P1116" s="260"/>
      <c r="Q1116"/>
      <c r="R1116"/>
    </row>
    <row r="1117" spans="2:18" x14ac:dyDescent="0.2">
      <c r="B1117" s="106"/>
      <c r="C1117" s="232"/>
      <c r="D1117" s="261"/>
      <c r="E1117" s="133"/>
      <c r="F1117" s="8"/>
      <c r="G1117" s="55"/>
      <c r="H1117" s="55"/>
      <c r="I1117" s="55"/>
      <c r="J1117" s="55"/>
      <c r="K1117" s="65"/>
      <c r="L1117" s="65"/>
      <c r="M1117" s="65"/>
      <c r="N1117" s="537"/>
      <c r="O1117"/>
      <c r="P1117" s="260"/>
      <c r="Q1117"/>
      <c r="R1117"/>
    </row>
    <row r="1118" spans="2:18" x14ac:dyDescent="0.2">
      <c r="B1118" s="106"/>
      <c r="C1118" s="232"/>
      <c r="D1118" s="261"/>
      <c r="E1118" s="133"/>
      <c r="F1118" s="8"/>
      <c r="G1118" s="55"/>
      <c r="H1118" s="55"/>
      <c r="I1118" s="55"/>
      <c r="J1118" s="55"/>
      <c r="K1118" s="65"/>
      <c r="L1118" s="65"/>
      <c r="M1118" s="65"/>
      <c r="N1118" s="537"/>
      <c r="O1118"/>
      <c r="P1118" s="260"/>
      <c r="Q1118"/>
      <c r="R1118"/>
    </row>
    <row r="1119" spans="2:18" x14ac:dyDescent="0.2">
      <c r="B1119" s="106"/>
      <c r="C1119" s="232"/>
      <c r="D1119" s="261"/>
      <c r="E1119" s="133"/>
      <c r="F1119" s="8"/>
      <c r="G1119" s="55"/>
      <c r="H1119" s="55"/>
      <c r="I1119" s="55"/>
      <c r="J1119" s="55"/>
      <c r="K1119" s="65"/>
      <c r="L1119" s="65"/>
      <c r="M1119" s="65"/>
      <c r="N1119" s="537"/>
      <c r="O1119"/>
      <c r="P1119" s="260"/>
      <c r="Q1119"/>
      <c r="R1119"/>
    </row>
    <row r="1120" spans="2:18" x14ac:dyDescent="0.2">
      <c r="B1120" s="106"/>
      <c r="C1120" s="232"/>
      <c r="D1120" s="261"/>
      <c r="E1120" s="133"/>
      <c r="F1120" s="8"/>
      <c r="G1120" s="55"/>
      <c r="H1120" s="55"/>
      <c r="I1120" s="55"/>
      <c r="J1120" s="55"/>
      <c r="K1120" s="65"/>
      <c r="L1120" s="65"/>
      <c r="M1120" s="65"/>
      <c r="N1120" s="537"/>
      <c r="O1120"/>
      <c r="P1120" s="260"/>
      <c r="Q1120"/>
      <c r="R1120"/>
    </row>
    <row r="1121" spans="2:18" x14ac:dyDescent="0.2">
      <c r="B1121" s="106"/>
      <c r="C1121" s="232"/>
      <c r="D1121" s="261"/>
      <c r="E1121" s="133"/>
      <c r="F1121" s="8"/>
      <c r="G1121" s="55"/>
      <c r="H1121" s="55"/>
      <c r="I1121" s="55"/>
      <c r="J1121" s="55"/>
      <c r="K1121" s="65"/>
      <c r="L1121" s="65"/>
      <c r="M1121" s="65"/>
      <c r="N1121" s="537"/>
      <c r="O1121"/>
      <c r="P1121" s="260"/>
      <c r="Q1121"/>
      <c r="R1121"/>
    </row>
    <row r="1122" spans="2:18" x14ac:dyDescent="0.2">
      <c r="B1122" s="106"/>
      <c r="C1122" s="232"/>
      <c r="D1122" s="261"/>
      <c r="E1122" s="133"/>
      <c r="F1122" s="8"/>
      <c r="G1122" s="55"/>
      <c r="H1122" s="55"/>
      <c r="I1122" s="55"/>
      <c r="J1122" s="55"/>
      <c r="K1122" s="65"/>
      <c r="L1122" s="65"/>
      <c r="M1122" s="65"/>
      <c r="N1122" s="537"/>
      <c r="O1122"/>
      <c r="P1122" s="260"/>
      <c r="Q1122"/>
      <c r="R1122"/>
    </row>
    <row r="1123" spans="2:18" x14ac:dyDescent="0.2">
      <c r="B1123" s="106"/>
      <c r="C1123" s="232"/>
      <c r="D1123" s="261"/>
      <c r="E1123" s="133"/>
      <c r="F1123" s="8"/>
      <c r="G1123" s="55"/>
      <c r="H1123" s="55"/>
      <c r="I1123" s="55"/>
      <c r="J1123" s="55"/>
      <c r="K1123" s="65"/>
      <c r="L1123" s="65"/>
      <c r="M1123" s="65"/>
      <c r="N1123" s="537"/>
      <c r="O1123"/>
      <c r="P1123" s="260"/>
      <c r="Q1123"/>
      <c r="R1123"/>
    </row>
    <row r="1124" spans="2:18" x14ac:dyDescent="0.2">
      <c r="B1124" s="106"/>
      <c r="C1124" s="232"/>
      <c r="D1124" s="261"/>
      <c r="E1124" s="133"/>
      <c r="F1124" s="8"/>
      <c r="G1124" s="55"/>
      <c r="H1124" s="55"/>
      <c r="I1124" s="55"/>
      <c r="J1124" s="55"/>
      <c r="K1124" s="65"/>
      <c r="L1124" s="65"/>
      <c r="M1124" s="65"/>
      <c r="N1124" s="537"/>
      <c r="O1124"/>
      <c r="P1124" s="260"/>
      <c r="Q1124"/>
      <c r="R1124"/>
    </row>
    <row r="1125" spans="2:18" x14ac:dyDescent="0.2">
      <c r="B1125" s="106"/>
      <c r="C1125" s="232"/>
      <c r="D1125" s="261"/>
      <c r="E1125" s="133"/>
      <c r="F1125" s="8"/>
      <c r="G1125" s="55"/>
      <c r="H1125" s="55"/>
      <c r="I1125" s="55"/>
      <c r="J1125" s="55"/>
      <c r="K1125" s="65"/>
      <c r="L1125" s="65"/>
      <c r="M1125" s="65"/>
      <c r="N1125" s="537"/>
      <c r="O1125"/>
      <c r="P1125" s="260"/>
      <c r="Q1125"/>
      <c r="R1125"/>
    </row>
    <row r="1126" spans="2:18" x14ac:dyDescent="0.2">
      <c r="B1126" s="106"/>
      <c r="C1126" s="232"/>
      <c r="D1126" s="261"/>
      <c r="E1126" s="133"/>
      <c r="F1126" s="8"/>
      <c r="G1126" s="55"/>
      <c r="H1126" s="55"/>
      <c r="I1126" s="55"/>
      <c r="J1126" s="55"/>
      <c r="K1126" s="65"/>
      <c r="L1126" s="65"/>
      <c r="M1126" s="65"/>
      <c r="N1126" s="537"/>
      <c r="O1126"/>
      <c r="P1126" s="260"/>
      <c r="Q1126"/>
      <c r="R1126"/>
    </row>
    <row r="1127" spans="2:18" x14ac:dyDescent="0.2">
      <c r="B1127" s="106"/>
      <c r="C1127" s="232"/>
      <c r="D1127" s="261"/>
      <c r="E1127" s="133"/>
      <c r="F1127" s="8"/>
      <c r="G1127" s="55"/>
      <c r="H1127" s="55"/>
      <c r="I1127" s="55"/>
      <c r="J1127" s="55"/>
      <c r="K1127" s="65"/>
      <c r="L1127" s="65"/>
      <c r="M1127" s="65"/>
      <c r="N1127" s="537"/>
      <c r="O1127"/>
      <c r="P1127" s="260"/>
      <c r="Q1127"/>
      <c r="R1127"/>
    </row>
    <row r="1128" spans="2:18" x14ac:dyDescent="0.2">
      <c r="B1128" s="106"/>
      <c r="C1128" s="232"/>
      <c r="D1128" s="261"/>
      <c r="E1128" s="133"/>
      <c r="F1128" s="8"/>
      <c r="G1128" s="55"/>
      <c r="H1128" s="55"/>
      <c r="I1128" s="55"/>
      <c r="J1128" s="55"/>
      <c r="K1128" s="65"/>
      <c r="L1128" s="65"/>
      <c r="M1128" s="65"/>
      <c r="N1128" s="537"/>
      <c r="O1128"/>
      <c r="P1128" s="260"/>
      <c r="Q1128"/>
      <c r="R1128"/>
    </row>
    <row r="1129" spans="2:18" x14ac:dyDescent="0.2">
      <c r="B1129" s="106"/>
      <c r="C1129" s="232"/>
      <c r="D1129" s="261"/>
      <c r="E1129" s="133"/>
      <c r="F1129" s="8"/>
      <c r="G1129" s="55"/>
      <c r="H1129" s="55"/>
      <c r="I1129" s="55"/>
      <c r="J1129" s="55"/>
      <c r="K1129" s="65"/>
      <c r="L1129" s="65"/>
      <c r="M1129" s="65"/>
      <c r="N1129" s="537"/>
      <c r="O1129"/>
      <c r="P1129" s="260"/>
      <c r="Q1129"/>
      <c r="R1129"/>
    </row>
    <row r="1130" spans="2:18" x14ac:dyDescent="0.2">
      <c r="B1130" s="106"/>
      <c r="C1130" s="232"/>
      <c r="D1130" s="261"/>
      <c r="E1130" s="133"/>
      <c r="F1130" s="8"/>
      <c r="G1130" s="55"/>
      <c r="H1130" s="55"/>
      <c r="I1130" s="55"/>
      <c r="J1130" s="55"/>
      <c r="K1130" s="65"/>
      <c r="L1130" s="65"/>
      <c r="M1130" s="65"/>
      <c r="N1130" s="537"/>
      <c r="O1130"/>
      <c r="P1130" s="260"/>
      <c r="Q1130"/>
      <c r="R1130"/>
    </row>
    <row r="1131" spans="2:18" x14ac:dyDescent="0.2">
      <c r="B1131" s="106"/>
      <c r="C1131" s="232"/>
      <c r="D1131" s="261"/>
      <c r="E1131" s="133"/>
      <c r="F1131" s="8"/>
      <c r="G1131" s="55"/>
      <c r="H1131" s="55"/>
      <c r="I1131" s="55"/>
      <c r="J1131" s="55"/>
      <c r="K1131" s="65"/>
      <c r="L1131" s="65"/>
      <c r="M1131" s="65"/>
      <c r="N1131" s="537"/>
      <c r="O1131"/>
      <c r="P1131" s="260"/>
      <c r="Q1131"/>
      <c r="R1131"/>
    </row>
    <row r="1132" spans="2:18" x14ac:dyDescent="0.2">
      <c r="B1132" s="106"/>
      <c r="C1132" s="232"/>
      <c r="D1132" s="261"/>
      <c r="E1132" s="133"/>
      <c r="F1132" s="8"/>
      <c r="G1132" s="55"/>
      <c r="H1132" s="55"/>
      <c r="I1132" s="55"/>
      <c r="J1132" s="55"/>
      <c r="K1132" s="65"/>
      <c r="L1132" s="65"/>
      <c r="M1132" s="65"/>
      <c r="N1132" s="537"/>
      <c r="O1132"/>
      <c r="P1132" s="260"/>
      <c r="Q1132"/>
      <c r="R1132"/>
    </row>
    <row r="1133" spans="2:18" x14ac:dyDescent="0.2">
      <c r="B1133" s="106"/>
      <c r="C1133" s="232"/>
      <c r="D1133" s="261"/>
      <c r="E1133" s="133"/>
      <c r="F1133" s="8"/>
      <c r="G1133" s="55"/>
      <c r="H1133" s="55"/>
      <c r="I1133" s="55"/>
      <c r="J1133" s="55"/>
      <c r="K1133" s="65"/>
      <c r="L1133" s="65"/>
      <c r="M1133" s="65"/>
      <c r="N1133" s="537"/>
      <c r="O1133"/>
      <c r="P1133" s="260"/>
      <c r="Q1133"/>
      <c r="R1133"/>
    </row>
    <row r="1134" spans="2:18" x14ac:dyDescent="0.2">
      <c r="B1134" s="106"/>
      <c r="C1134" s="232"/>
      <c r="D1134" s="261"/>
      <c r="E1134" s="133"/>
      <c r="F1134" s="8"/>
      <c r="G1134" s="55"/>
      <c r="H1134" s="55"/>
      <c r="I1134" s="55"/>
      <c r="J1134" s="55"/>
      <c r="K1134" s="65"/>
      <c r="L1134" s="65"/>
      <c r="M1134" s="65"/>
      <c r="N1134" s="537"/>
      <c r="O1134"/>
      <c r="P1134" s="260"/>
      <c r="Q1134"/>
      <c r="R1134"/>
    </row>
    <row r="1135" spans="2:18" x14ac:dyDescent="0.2">
      <c r="B1135" s="106"/>
      <c r="C1135" s="232"/>
      <c r="D1135" s="261"/>
      <c r="E1135" s="133"/>
      <c r="F1135" s="8"/>
      <c r="G1135" s="55"/>
      <c r="H1135" s="55"/>
      <c r="I1135" s="55"/>
      <c r="J1135" s="55"/>
      <c r="K1135" s="65"/>
      <c r="L1135" s="65"/>
      <c r="M1135" s="65"/>
      <c r="N1135" s="537"/>
      <c r="O1135"/>
      <c r="P1135" s="260"/>
      <c r="Q1135"/>
      <c r="R1135"/>
    </row>
    <row r="1136" spans="2:18" x14ac:dyDescent="0.2">
      <c r="B1136" s="106"/>
      <c r="C1136" s="232"/>
      <c r="D1136" s="261"/>
      <c r="E1136" s="133"/>
      <c r="F1136" s="8"/>
      <c r="G1136" s="55"/>
      <c r="H1136" s="55"/>
      <c r="I1136" s="55"/>
      <c r="J1136" s="55"/>
      <c r="K1136" s="65"/>
      <c r="L1136" s="65"/>
      <c r="M1136" s="65"/>
      <c r="N1136" s="537"/>
      <c r="O1136"/>
      <c r="P1136" s="260"/>
      <c r="Q1136"/>
      <c r="R1136"/>
    </row>
    <row r="1137" spans="2:18" x14ac:dyDescent="0.2">
      <c r="B1137" s="106"/>
      <c r="C1137" s="232"/>
      <c r="D1137" s="261"/>
      <c r="E1137" s="133"/>
      <c r="F1137" s="8"/>
      <c r="G1137" s="55"/>
      <c r="H1137" s="55"/>
      <c r="I1137" s="55"/>
      <c r="J1137" s="55"/>
      <c r="K1137" s="65"/>
      <c r="L1137" s="65"/>
      <c r="M1137" s="65"/>
      <c r="N1137" s="537"/>
      <c r="O1137"/>
      <c r="P1137" s="260"/>
      <c r="Q1137"/>
      <c r="R1137"/>
    </row>
    <row r="1138" spans="2:18" x14ac:dyDescent="0.2">
      <c r="B1138" s="106"/>
      <c r="C1138" s="232"/>
      <c r="D1138" s="261"/>
      <c r="E1138" s="133"/>
      <c r="F1138" s="8"/>
      <c r="G1138" s="55"/>
      <c r="H1138" s="55"/>
      <c r="I1138" s="55"/>
      <c r="J1138" s="55"/>
      <c r="K1138" s="65"/>
      <c r="L1138" s="65"/>
      <c r="M1138" s="65"/>
      <c r="N1138" s="537"/>
      <c r="O1138"/>
      <c r="P1138" s="260"/>
      <c r="Q1138"/>
      <c r="R1138"/>
    </row>
    <row r="1139" spans="2:18" x14ac:dyDescent="0.2">
      <c r="B1139" s="106"/>
      <c r="C1139" s="232"/>
      <c r="D1139" s="261"/>
      <c r="E1139" s="133"/>
      <c r="F1139" s="8"/>
      <c r="G1139" s="55"/>
      <c r="H1139" s="55"/>
      <c r="I1139" s="55"/>
      <c r="J1139" s="55"/>
      <c r="K1139" s="65"/>
      <c r="L1139" s="65"/>
      <c r="M1139" s="65"/>
      <c r="N1139" s="537"/>
      <c r="O1139"/>
      <c r="P1139" s="260"/>
      <c r="Q1139"/>
      <c r="R1139"/>
    </row>
    <row r="1140" spans="2:18" x14ac:dyDescent="0.2">
      <c r="B1140" s="106"/>
      <c r="C1140" s="232"/>
      <c r="D1140" s="261"/>
      <c r="E1140" s="133"/>
      <c r="F1140" s="8"/>
      <c r="G1140" s="55"/>
      <c r="H1140" s="55"/>
      <c r="I1140" s="55"/>
      <c r="J1140" s="55"/>
      <c r="K1140" s="65"/>
      <c r="L1140" s="65"/>
      <c r="M1140" s="65"/>
      <c r="N1140" s="537"/>
      <c r="O1140"/>
      <c r="P1140" s="260"/>
      <c r="Q1140"/>
      <c r="R1140"/>
    </row>
    <row r="1141" spans="2:18" x14ac:dyDescent="0.2">
      <c r="B1141" s="106"/>
      <c r="C1141" s="232"/>
      <c r="D1141" s="261"/>
      <c r="E1141" s="133"/>
      <c r="F1141" s="8"/>
      <c r="G1141" s="55"/>
      <c r="H1141" s="55"/>
      <c r="I1141" s="55"/>
      <c r="J1141" s="55"/>
      <c r="K1141" s="65"/>
      <c r="L1141" s="65"/>
      <c r="M1141" s="65"/>
      <c r="N1141" s="537"/>
      <c r="O1141"/>
      <c r="P1141" s="260"/>
      <c r="Q1141"/>
      <c r="R1141"/>
    </row>
    <row r="1142" spans="2:18" x14ac:dyDescent="0.2">
      <c r="B1142" s="106"/>
      <c r="C1142" s="232"/>
      <c r="D1142" s="261"/>
      <c r="E1142" s="133"/>
      <c r="F1142" s="8"/>
      <c r="G1142" s="55"/>
      <c r="H1142" s="55"/>
      <c r="I1142" s="55"/>
      <c r="J1142" s="55"/>
      <c r="K1142" s="65"/>
      <c r="L1142" s="65"/>
      <c r="M1142" s="65"/>
      <c r="N1142" s="537"/>
      <c r="O1142"/>
      <c r="P1142" s="260"/>
      <c r="Q1142"/>
      <c r="R1142"/>
    </row>
    <row r="1143" spans="2:18" x14ac:dyDescent="0.2">
      <c r="B1143" s="106"/>
      <c r="C1143" s="232"/>
      <c r="D1143" s="261"/>
      <c r="E1143" s="133"/>
      <c r="F1143" s="8"/>
      <c r="G1143" s="55"/>
      <c r="H1143" s="55"/>
      <c r="I1143" s="55"/>
      <c r="J1143" s="55"/>
      <c r="K1143" s="65"/>
      <c r="L1143" s="65"/>
      <c r="M1143" s="65"/>
      <c r="N1143" s="537"/>
      <c r="O1143"/>
      <c r="P1143" s="260"/>
      <c r="Q1143"/>
      <c r="R1143"/>
    </row>
    <row r="1144" spans="2:18" x14ac:dyDescent="0.2">
      <c r="B1144" s="106"/>
      <c r="C1144" s="232"/>
      <c r="D1144" s="261"/>
      <c r="E1144" s="133"/>
      <c r="F1144" s="8"/>
      <c r="G1144" s="55"/>
      <c r="H1144" s="55"/>
      <c r="I1144" s="55"/>
      <c r="J1144" s="55"/>
      <c r="K1144" s="65"/>
      <c r="L1144" s="65"/>
      <c r="M1144" s="65"/>
      <c r="N1144" s="537"/>
      <c r="O1144"/>
      <c r="P1144" s="260"/>
      <c r="Q1144"/>
      <c r="R1144"/>
    </row>
    <row r="1145" spans="2:18" x14ac:dyDescent="0.2">
      <c r="B1145" s="106"/>
      <c r="C1145" s="232"/>
      <c r="D1145" s="261"/>
      <c r="E1145" s="133"/>
      <c r="F1145" s="8"/>
      <c r="G1145" s="55"/>
      <c r="H1145" s="55"/>
      <c r="I1145" s="55"/>
      <c r="J1145" s="55"/>
      <c r="K1145" s="65"/>
      <c r="L1145" s="65"/>
      <c r="M1145" s="65"/>
      <c r="N1145" s="537"/>
      <c r="O1145"/>
      <c r="P1145" s="260"/>
      <c r="Q1145"/>
      <c r="R1145"/>
    </row>
    <row r="1146" spans="2:18" x14ac:dyDescent="0.2">
      <c r="B1146" s="106"/>
      <c r="C1146" s="232"/>
      <c r="D1146" s="261"/>
      <c r="E1146" s="133"/>
      <c r="F1146" s="8"/>
      <c r="G1146" s="55"/>
      <c r="H1146" s="55"/>
      <c r="I1146" s="55"/>
      <c r="J1146" s="55"/>
      <c r="K1146" s="65"/>
      <c r="L1146" s="65"/>
      <c r="M1146" s="65"/>
      <c r="N1146" s="537"/>
      <c r="O1146"/>
      <c r="P1146" s="260"/>
      <c r="Q1146"/>
      <c r="R1146"/>
    </row>
    <row r="1147" spans="2:18" x14ac:dyDescent="0.2">
      <c r="B1147" s="106"/>
      <c r="C1147" s="232"/>
      <c r="D1147" s="261"/>
      <c r="E1147" s="133"/>
      <c r="F1147" s="8"/>
      <c r="G1147" s="55"/>
      <c r="H1147" s="55"/>
      <c r="I1147" s="55"/>
      <c r="J1147" s="55"/>
      <c r="K1147" s="65"/>
      <c r="L1147" s="65"/>
      <c r="M1147" s="65"/>
      <c r="N1147" s="537"/>
      <c r="O1147"/>
      <c r="P1147" s="260"/>
      <c r="Q1147"/>
      <c r="R1147"/>
    </row>
    <row r="1148" spans="2:18" x14ac:dyDescent="0.2">
      <c r="B1148" s="106"/>
      <c r="C1148" s="232"/>
      <c r="D1148" s="261"/>
      <c r="E1148" s="133"/>
      <c r="F1148" s="8"/>
      <c r="G1148" s="55"/>
      <c r="H1148" s="55"/>
      <c r="I1148" s="55"/>
      <c r="J1148" s="55"/>
      <c r="K1148" s="65"/>
      <c r="L1148" s="65"/>
      <c r="M1148" s="65"/>
      <c r="N1148" s="537"/>
      <c r="O1148"/>
      <c r="P1148" s="260"/>
      <c r="Q1148"/>
      <c r="R1148"/>
    </row>
    <row r="1149" spans="2:18" x14ac:dyDescent="0.2">
      <c r="B1149" s="106"/>
      <c r="C1149" s="232"/>
      <c r="D1149" s="261"/>
      <c r="E1149" s="133"/>
      <c r="F1149" s="8"/>
      <c r="G1149" s="55"/>
      <c r="H1149" s="55"/>
      <c r="I1149" s="55"/>
      <c r="J1149" s="55"/>
      <c r="K1149" s="65"/>
      <c r="L1149" s="65"/>
      <c r="M1149" s="65"/>
      <c r="N1149" s="537"/>
      <c r="O1149"/>
      <c r="P1149" s="260"/>
      <c r="Q1149"/>
      <c r="R1149"/>
    </row>
    <row r="1150" spans="2:18" x14ac:dyDescent="0.2">
      <c r="B1150" s="106"/>
      <c r="C1150" s="232"/>
      <c r="D1150" s="261"/>
      <c r="E1150" s="133"/>
      <c r="F1150" s="8"/>
      <c r="G1150" s="55"/>
      <c r="H1150" s="55"/>
      <c r="I1150" s="55"/>
      <c r="J1150" s="55"/>
      <c r="K1150" s="65"/>
      <c r="L1150" s="65"/>
      <c r="M1150" s="65"/>
      <c r="N1150" s="537"/>
      <c r="O1150"/>
      <c r="P1150" s="260"/>
      <c r="Q1150"/>
      <c r="R1150"/>
    </row>
    <row r="1151" spans="2:18" x14ac:dyDescent="0.2">
      <c r="B1151" s="106"/>
      <c r="C1151" s="232"/>
      <c r="D1151" s="261"/>
      <c r="E1151" s="133"/>
      <c r="F1151" s="8"/>
      <c r="G1151" s="55"/>
      <c r="H1151" s="55"/>
      <c r="I1151" s="55"/>
      <c r="J1151" s="55"/>
      <c r="K1151" s="65"/>
      <c r="L1151" s="65"/>
      <c r="M1151" s="65"/>
      <c r="N1151" s="537"/>
      <c r="O1151"/>
      <c r="P1151" s="260"/>
      <c r="Q1151"/>
      <c r="R1151"/>
    </row>
    <row r="1152" spans="2:18" x14ac:dyDescent="0.2">
      <c r="B1152" s="106"/>
      <c r="C1152" s="232"/>
      <c r="D1152" s="261"/>
      <c r="E1152" s="133"/>
      <c r="F1152" s="8"/>
      <c r="G1152" s="55"/>
      <c r="H1152" s="55"/>
      <c r="I1152" s="55"/>
      <c r="J1152" s="55"/>
      <c r="K1152" s="65"/>
      <c r="L1152" s="65"/>
      <c r="M1152" s="65"/>
      <c r="N1152" s="537"/>
      <c r="O1152"/>
      <c r="P1152" s="260"/>
      <c r="Q1152"/>
      <c r="R1152"/>
    </row>
    <row r="1153" spans="2:18" x14ac:dyDescent="0.2">
      <c r="B1153" s="106"/>
      <c r="C1153" s="232"/>
      <c r="D1153" s="261"/>
      <c r="E1153" s="133"/>
      <c r="F1153" s="8"/>
      <c r="G1153" s="55"/>
      <c r="H1153" s="55"/>
      <c r="I1153" s="55"/>
      <c r="J1153" s="55"/>
      <c r="K1153" s="65"/>
      <c r="L1153" s="65"/>
      <c r="M1153" s="65"/>
      <c r="N1153" s="537"/>
      <c r="O1153"/>
      <c r="P1153" s="260"/>
      <c r="Q1153"/>
      <c r="R1153"/>
    </row>
    <row r="1154" spans="2:18" x14ac:dyDescent="0.2">
      <c r="B1154" s="106"/>
      <c r="C1154" s="232"/>
      <c r="D1154" s="261"/>
      <c r="E1154" s="133"/>
      <c r="F1154" s="8"/>
      <c r="G1154" s="55"/>
      <c r="H1154" s="55"/>
      <c r="I1154" s="55"/>
      <c r="J1154" s="55"/>
      <c r="K1154" s="65"/>
      <c r="L1154" s="65"/>
      <c r="M1154" s="65"/>
      <c r="N1154" s="537"/>
      <c r="O1154"/>
      <c r="P1154" s="260"/>
      <c r="Q1154"/>
      <c r="R1154"/>
    </row>
    <row r="1155" spans="2:18" x14ac:dyDescent="0.2">
      <c r="B1155" s="106"/>
      <c r="C1155" s="232"/>
      <c r="D1155" s="261"/>
      <c r="E1155" s="133"/>
      <c r="F1155" s="8"/>
      <c r="G1155" s="55"/>
      <c r="H1155" s="55"/>
      <c r="I1155" s="55"/>
      <c r="J1155" s="55"/>
      <c r="K1155" s="65"/>
      <c r="L1155" s="65"/>
      <c r="M1155" s="65"/>
      <c r="N1155" s="537"/>
      <c r="O1155"/>
      <c r="P1155" s="260"/>
      <c r="Q1155"/>
      <c r="R1155"/>
    </row>
    <row r="1156" spans="2:18" x14ac:dyDescent="0.2">
      <c r="B1156" s="106"/>
      <c r="C1156" s="232"/>
      <c r="D1156" s="261"/>
      <c r="E1156" s="133"/>
      <c r="F1156" s="8"/>
      <c r="G1156" s="55"/>
      <c r="H1156" s="55"/>
      <c r="I1156" s="55"/>
      <c r="J1156" s="55"/>
      <c r="K1156" s="65"/>
      <c r="L1156" s="65"/>
      <c r="M1156" s="65"/>
      <c r="N1156" s="537"/>
      <c r="O1156"/>
      <c r="P1156" s="260"/>
      <c r="Q1156"/>
      <c r="R1156"/>
    </row>
    <row r="1157" spans="2:18" x14ac:dyDescent="0.2">
      <c r="B1157" s="106"/>
      <c r="C1157" s="232"/>
      <c r="D1157" s="261"/>
      <c r="E1157" s="133"/>
      <c r="F1157" s="8"/>
      <c r="G1157" s="55"/>
      <c r="H1157" s="55"/>
      <c r="I1157" s="55"/>
      <c r="J1157" s="55"/>
      <c r="K1157" s="65"/>
      <c r="L1157" s="65"/>
      <c r="M1157" s="65"/>
      <c r="N1157" s="537"/>
      <c r="O1157"/>
      <c r="P1157" s="260"/>
      <c r="Q1157"/>
      <c r="R1157"/>
    </row>
    <row r="1158" spans="2:18" x14ac:dyDescent="0.2">
      <c r="B1158" s="106"/>
      <c r="C1158" s="232"/>
      <c r="D1158" s="261"/>
      <c r="E1158" s="133"/>
      <c r="F1158" s="8"/>
      <c r="G1158" s="55"/>
      <c r="H1158" s="55"/>
      <c r="I1158" s="55"/>
      <c r="J1158" s="55"/>
      <c r="K1158" s="65"/>
      <c r="L1158" s="65"/>
      <c r="M1158" s="65"/>
      <c r="N1158" s="537"/>
      <c r="O1158"/>
      <c r="P1158" s="260"/>
      <c r="Q1158"/>
      <c r="R1158"/>
    </row>
    <row r="1159" spans="2:18" x14ac:dyDescent="0.2">
      <c r="B1159" s="106"/>
      <c r="C1159" s="232"/>
      <c r="D1159" s="261"/>
      <c r="E1159" s="133"/>
      <c r="F1159" s="8"/>
      <c r="G1159" s="55"/>
      <c r="H1159" s="55"/>
      <c r="I1159" s="55"/>
      <c r="J1159" s="55"/>
      <c r="K1159" s="65"/>
      <c r="L1159" s="65"/>
      <c r="M1159" s="65"/>
      <c r="N1159" s="537"/>
      <c r="O1159"/>
      <c r="P1159" s="260"/>
      <c r="Q1159"/>
      <c r="R1159"/>
    </row>
    <row r="1160" spans="2:18" x14ac:dyDescent="0.2">
      <c r="B1160" s="106"/>
      <c r="C1160" s="232"/>
      <c r="D1160" s="261"/>
      <c r="E1160" s="133"/>
      <c r="F1160" s="8"/>
      <c r="G1160" s="55"/>
      <c r="H1160" s="55"/>
      <c r="I1160" s="55"/>
      <c r="J1160" s="55"/>
      <c r="K1160" s="65"/>
      <c r="L1160" s="65"/>
      <c r="M1160" s="65"/>
      <c r="N1160" s="537"/>
      <c r="O1160"/>
      <c r="P1160" s="260"/>
      <c r="Q1160"/>
      <c r="R1160"/>
    </row>
    <row r="1161" spans="2:18" x14ac:dyDescent="0.2">
      <c r="B1161" s="106"/>
      <c r="C1161" s="232"/>
      <c r="D1161" s="261"/>
      <c r="E1161" s="133"/>
      <c r="F1161" s="8"/>
      <c r="G1161" s="55"/>
      <c r="H1161" s="55"/>
      <c r="I1161" s="55"/>
      <c r="J1161" s="55"/>
      <c r="K1161" s="65"/>
      <c r="L1161" s="65"/>
      <c r="M1161" s="65"/>
      <c r="N1161" s="537"/>
      <c r="O1161"/>
      <c r="P1161" s="260"/>
      <c r="Q1161"/>
      <c r="R1161"/>
    </row>
    <row r="1162" spans="2:18" x14ac:dyDescent="0.2">
      <c r="B1162" s="106"/>
      <c r="C1162" s="232"/>
      <c r="D1162" s="261"/>
      <c r="E1162" s="133"/>
      <c r="F1162" s="8"/>
      <c r="G1162" s="55"/>
      <c r="H1162" s="55"/>
      <c r="I1162" s="55"/>
      <c r="J1162" s="55"/>
      <c r="K1162" s="65"/>
      <c r="L1162" s="65"/>
      <c r="M1162" s="65"/>
      <c r="N1162" s="537"/>
      <c r="O1162"/>
      <c r="P1162" s="260"/>
      <c r="Q1162"/>
      <c r="R1162"/>
    </row>
    <row r="1163" spans="2:18" x14ac:dyDescent="0.2">
      <c r="B1163" s="106"/>
      <c r="C1163" s="232"/>
      <c r="D1163" s="261"/>
      <c r="E1163" s="133"/>
      <c r="F1163" s="8"/>
      <c r="G1163" s="55"/>
      <c r="H1163" s="55"/>
      <c r="I1163" s="55"/>
      <c r="J1163" s="55"/>
      <c r="K1163" s="65"/>
      <c r="L1163" s="65"/>
      <c r="M1163" s="65"/>
      <c r="N1163" s="537"/>
      <c r="O1163"/>
      <c r="P1163" s="260"/>
      <c r="Q1163"/>
      <c r="R1163"/>
    </row>
    <row r="1164" spans="2:18" x14ac:dyDescent="0.2">
      <c r="B1164" s="106"/>
      <c r="C1164" s="232"/>
      <c r="D1164" s="261"/>
      <c r="E1164" s="133"/>
      <c r="F1164" s="8"/>
      <c r="G1164" s="55"/>
      <c r="H1164" s="55"/>
      <c r="I1164" s="55"/>
      <c r="J1164" s="55"/>
      <c r="K1164" s="65"/>
      <c r="L1164" s="65"/>
      <c r="M1164" s="65"/>
      <c r="N1164" s="537"/>
      <c r="O1164"/>
      <c r="P1164" s="260"/>
      <c r="Q1164"/>
      <c r="R1164"/>
    </row>
    <row r="1165" spans="2:18" x14ac:dyDescent="0.2">
      <c r="B1165" s="106"/>
      <c r="C1165" s="232"/>
      <c r="D1165" s="261"/>
      <c r="E1165" s="133"/>
      <c r="F1165" s="8"/>
      <c r="G1165" s="55"/>
      <c r="H1165" s="55"/>
      <c r="I1165" s="55"/>
      <c r="J1165" s="55"/>
      <c r="K1165" s="65"/>
      <c r="L1165" s="65"/>
      <c r="M1165" s="65"/>
      <c r="N1165" s="537"/>
      <c r="O1165"/>
      <c r="P1165" s="260"/>
      <c r="Q1165"/>
      <c r="R1165"/>
    </row>
    <row r="1166" spans="2:18" x14ac:dyDescent="0.2">
      <c r="B1166" s="106"/>
      <c r="C1166" s="232"/>
      <c r="D1166" s="261"/>
      <c r="E1166" s="133"/>
      <c r="F1166" s="8"/>
      <c r="G1166" s="55"/>
      <c r="H1166" s="55"/>
      <c r="I1166" s="55"/>
      <c r="J1166" s="55"/>
      <c r="K1166" s="65"/>
      <c r="L1166" s="65"/>
      <c r="M1166" s="65"/>
      <c r="N1166" s="537"/>
      <c r="O1166"/>
      <c r="P1166" s="260"/>
      <c r="Q1166"/>
      <c r="R1166"/>
    </row>
    <row r="1167" spans="2:18" x14ac:dyDescent="0.2">
      <c r="B1167" s="106"/>
      <c r="C1167" s="232"/>
      <c r="D1167" s="261"/>
      <c r="E1167" s="133"/>
      <c r="F1167" s="8"/>
      <c r="G1167" s="55"/>
      <c r="H1167" s="55"/>
      <c r="I1167" s="55"/>
      <c r="J1167" s="55"/>
      <c r="K1167" s="65"/>
      <c r="L1167" s="65"/>
      <c r="M1167" s="65"/>
      <c r="N1167" s="537"/>
      <c r="O1167"/>
      <c r="P1167" s="260"/>
      <c r="Q1167"/>
      <c r="R1167"/>
    </row>
    <row r="1168" spans="2:18" x14ac:dyDescent="0.2">
      <c r="B1168" s="106"/>
      <c r="C1168" s="232"/>
      <c r="D1168" s="261"/>
      <c r="E1168" s="133"/>
      <c r="F1168" s="8"/>
      <c r="G1168" s="55"/>
      <c r="H1168" s="55"/>
      <c r="I1168" s="55"/>
      <c r="J1168" s="55"/>
      <c r="K1168" s="65"/>
      <c r="L1168" s="65"/>
      <c r="M1168" s="65"/>
      <c r="N1168" s="537"/>
      <c r="O1168"/>
      <c r="P1168" s="260"/>
      <c r="Q1168"/>
      <c r="R1168"/>
    </row>
    <row r="1169" spans="2:18" x14ac:dyDescent="0.2">
      <c r="B1169" s="106"/>
      <c r="C1169" s="232"/>
      <c r="D1169" s="261"/>
      <c r="E1169" s="133"/>
      <c r="F1169" s="8"/>
      <c r="G1169" s="55"/>
      <c r="H1169" s="55"/>
      <c r="I1169" s="55"/>
      <c r="J1169" s="55"/>
      <c r="K1169" s="65"/>
      <c r="L1169" s="65"/>
      <c r="M1169" s="65"/>
      <c r="N1169" s="537"/>
      <c r="O1169"/>
      <c r="P1169" s="260"/>
      <c r="Q1169"/>
      <c r="R1169"/>
    </row>
    <row r="1170" spans="2:18" x14ac:dyDescent="0.2">
      <c r="B1170" s="106"/>
      <c r="C1170" s="232"/>
      <c r="D1170" s="261"/>
      <c r="E1170" s="133"/>
      <c r="F1170" s="8"/>
      <c r="G1170" s="55"/>
      <c r="H1170" s="55"/>
      <c r="I1170" s="55"/>
      <c r="J1170" s="55"/>
      <c r="K1170" s="65"/>
      <c r="L1170" s="65"/>
      <c r="M1170" s="65"/>
      <c r="N1170" s="537"/>
      <c r="O1170"/>
      <c r="P1170" s="260"/>
      <c r="Q1170"/>
      <c r="R1170"/>
    </row>
    <row r="1171" spans="2:18" x14ac:dyDescent="0.2">
      <c r="B1171" s="106"/>
      <c r="C1171" s="232"/>
      <c r="D1171" s="261"/>
      <c r="E1171" s="133"/>
      <c r="F1171" s="8"/>
      <c r="G1171" s="55"/>
      <c r="H1171" s="55"/>
      <c r="I1171" s="55"/>
      <c r="J1171" s="55"/>
      <c r="K1171" s="65"/>
      <c r="L1171" s="65"/>
      <c r="M1171" s="65"/>
      <c r="N1171" s="537"/>
      <c r="O1171"/>
      <c r="P1171" s="260"/>
      <c r="Q1171"/>
      <c r="R1171"/>
    </row>
    <row r="1172" spans="2:18" x14ac:dyDescent="0.2">
      <c r="B1172" s="106"/>
      <c r="C1172" s="232"/>
      <c r="D1172" s="261"/>
      <c r="E1172" s="133"/>
      <c r="F1172" s="8"/>
      <c r="G1172" s="55"/>
      <c r="H1172" s="55"/>
      <c r="I1172" s="55"/>
      <c r="J1172" s="55"/>
      <c r="K1172" s="65"/>
      <c r="L1172" s="65"/>
      <c r="M1172" s="65"/>
      <c r="N1172" s="537"/>
      <c r="O1172"/>
      <c r="P1172" s="260"/>
      <c r="Q1172"/>
      <c r="R1172"/>
    </row>
    <row r="1173" spans="2:18" x14ac:dyDescent="0.2">
      <c r="B1173" s="106"/>
      <c r="C1173" s="232"/>
      <c r="D1173" s="261"/>
      <c r="E1173" s="133"/>
      <c r="F1173" s="8"/>
      <c r="G1173" s="55"/>
      <c r="H1173" s="55"/>
      <c r="I1173" s="55"/>
      <c r="J1173" s="55"/>
      <c r="K1173" s="65"/>
      <c r="L1173" s="65"/>
      <c r="M1173" s="65"/>
      <c r="N1173" s="537"/>
      <c r="O1173"/>
      <c r="P1173" s="260"/>
      <c r="Q1173"/>
      <c r="R1173"/>
    </row>
    <row r="1174" spans="2:18" x14ac:dyDescent="0.2">
      <c r="B1174" s="106"/>
      <c r="C1174" s="232"/>
      <c r="D1174" s="261"/>
      <c r="E1174" s="133"/>
      <c r="F1174" s="8"/>
      <c r="G1174" s="55"/>
      <c r="H1174" s="55"/>
      <c r="I1174" s="55"/>
      <c r="J1174" s="55"/>
      <c r="K1174" s="65"/>
      <c r="L1174" s="65"/>
      <c r="M1174" s="65"/>
      <c r="N1174" s="537"/>
      <c r="O1174"/>
      <c r="P1174" s="260"/>
      <c r="Q1174"/>
      <c r="R1174"/>
    </row>
    <row r="1175" spans="2:18" x14ac:dyDescent="0.2">
      <c r="B1175" s="106"/>
      <c r="C1175" s="232"/>
      <c r="D1175" s="261"/>
      <c r="E1175" s="133"/>
      <c r="F1175" s="8"/>
      <c r="G1175" s="55"/>
      <c r="H1175" s="55"/>
      <c r="I1175" s="55"/>
      <c r="J1175" s="55"/>
      <c r="K1175" s="65"/>
      <c r="L1175" s="65"/>
      <c r="M1175" s="65"/>
      <c r="N1175" s="537"/>
      <c r="O1175"/>
      <c r="P1175" s="260"/>
      <c r="Q1175"/>
      <c r="R1175"/>
    </row>
    <row r="1176" spans="2:18" x14ac:dyDescent="0.2">
      <c r="B1176" s="106"/>
      <c r="C1176" s="232"/>
      <c r="D1176" s="261"/>
      <c r="E1176" s="133"/>
      <c r="F1176" s="8"/>
      <c r="G1176" s="55"/>
      <c r="H1176" s="55"/>
      <c r="I1176" s="55"/>
      <c r="J1176" s="55"/>
      <c r="K1176" s="65"/>
      <c r="L1176" s="65"/>
      <c r="M1176" s="65"/>
      <c r="N1176" s="537"/>
      <c r="O1176"/>
      <c r="P1176" s="260"/>
      <c r="Q1176"/>
      <c r="R1176"/>
    </row>
    <row r="1177" spans="2:18" x14ac:dyDescent="0.2">
      <c r="B1177" s="106"/>
      <c r="C1177" s="232"/>
      <c r="D1177" s="261"/>
      <c r="E1177" s="133"/>
      <c r="F1177" s="8"/>
      <c r="G1177" s="55"/>
      <c r="H1177" s="55"/>
      <c r="I1177" s="55"/>
      <c r="J1177" s="55"/>
      <c r="K1177" s="65"/>
      <c r="L1177" s="65"/>
      <c r="M1177" s="65"/>
      <c r="N1177" s="537"/>
      <c r="O1177"/>
      <c r="P1177" s="260"/>
      <c r="Q1177"/>
      <c r="R1177"/>
    </row>
    <row r="1178" spans="2:18" x14ac:dyDescent="0.2">
      <c r="B1178" s="106"/>
      <c r="C1178" s="232"/>
      <c r="D1178" s="261"/>
      <c r="E1178" s="133"/>
      <c r="F1178" s="8"/>
      <c r="G1178" s="55"/>
      <c r="H1178" s="55"/>
      <c r="I1178" s="55"/>
      <c r="J1178" s="55"/>
      <c r="K1178" s="65"/>
      <c r="L1178" s="65"/>
      <c r="M1178" s="65"/>
      <c r="N1178" s="537"/>
      <c r="O1178"/>
      <c r="P1178" s="260"/>
      <c r="Q1178"/>
      <c r="R1178"/>
    </row>
    <row r="1179" spans="2:18" x14ac:dyDescent="0.2">
      <c r="B1179" s="106"/>
      <c r="C1179" s="232"/>
      <c r="D1179" s="261"/>
      <c r="E1179" s="133"/>
      <c r="F1179" s="8"/>
      <c r="G1179" s="55"/>
      <c r="H1179" s="55"/>
      <c r="I1179" s="55"/>
      <c r="J1179" s="55"/>
      <c r="K1179" s="65"/>
      <c r="L1179" s="65"/>
      <c r="M1179" s="65"/>
      <c r="N1179" s="537"/>
      <c r="O1179"/>
      <c r="P1179" s="260"/>
      <c r="Q1179"/>
      <c r="R1179"/>
    </row>
    <row r="1180" spans="2:18" x14ac:dyDescent="0.2">
      <c r="B1180" s="106"/>
      <c r="C1180" s="232"/>
      <c r="D1180" s="261"/>
      <c r="E1180" s="133"/>
      <c r="F1180" s="8"/>
      <c r="G1180" s="55"/>
      <c r="H1180" s="55"/>
      <c r="I1180" s="55"/>
      <c r="J1180" s="55"/>
      <c r="K1180" s="65"/>
      <c r="L1180" s="65"/>
      <c r="M1180" s="65"/>
      <c r="N1180" s="537"/>
      <c r="O1180"/>
      <c r="P1180" s="260"/>
      <c r="Q1180"/>
      <c r="R1180"/>
    </row>
    <row r="1181" spans="2:18" x14ac:dyDescent="0.2">
      <c r="B1181" s="106"/>
      <c r="C1181" s="232"/>
      <c r="D1181" s="261"/>
      <c r="E1181" s="133"/>
      <c r="F1181" s="8"/>
      <c r="G1181" s="55"/>
      <c r="H1181" s="55"/>
      <c r="I1181" s="55"/>
      <c r="J1181" s="55"/>
      <c r="K1181" s="65"/>
      <c r="L1181" s="65"/>
      <c r="M1181" s="65"/>
      <c r="N1181" s="537"/>
      <c r="O1181"/>
      <c r="P1181" s="260"/>
      <c r="Q1181"/>
      <c r="R1181"/>
    </row>
    <row r="1182" spans="2:18" x14ac:dyDescent="0.2">
      <c r="B1182" s="106"/>
      <c r="C1182" s="232"/>
      <c r="D1182" s="261"/>
      <c r="E1182" s="133"/>
      <c r="F1182" s="8"/>
      <c r="G1182" s="55"/>
      <c r="H1182" s="55"/>
      <c r="I1182" s="55"/>
      <c r="J1182" s="55"/>
      <c r="K1182" s="65"/>
      <c r="L1182" s="65"/>
      <c r="M1182" s="65"/>
      <c r="N1182" s="537"/>
      <c r="O1182"/>
      <c r="P1182" s="260"/>
      <c r="Q1182"/>
      <c r="R1182"/>
    </row>
    <row r="1183" spans="2:18" x14ac:dyDescent="0.2">
      <c r="B1183" s="106"/>
      <c r="C1183" s="232"/>
      <c r="D1183" s="261"/>
      <c r="E1183" s="133"/>
      <c r="F1183" s="8"/>
      <c r="G1183" s="55"/>
      <c r="H1183" s="55"/>
      <c r="I1183" s="55"/>
      <c r="J1183" s="55"/>
      <c r="K1183" s="65"/>
      <c r="L1183" s="65"/>
      <c r="M1183" s="65"/>
      <c r="N1183" s="537"/>
      <c r="O1183"/>
      <c r="P1183" s="260"/>
      <c r="Q1183"/>
      <c r="R1183"/>
    </row>
    <row r="1184" spans="2:18" x14ac:dyDescent="0.2">
      <c r="B1184" s="106"/>
      <c r="C1184" s="232"/>
      <c r="D1184" s="261"/>
      <c r="E1184" s="133"/>
      <c r="F1184" s="8"/>
      <c r="G1184" s="55"/>
      <c r="H1184" s="55"/>
      <c r="I1184" s="55"/>
      <c r="J1184" s="55"/>
      <c r="K1184" s="65"/>
      <c r="L1184" s="65"/>
      <c r="M1184" s="65"/>
      <c r="N1184" s="537"/>
      <c r="O1184"/>
      <c r="P1184" s="260"/>
      <c r="Q1184"/>
      <c r="R1184"/>
    </row>
    <row r="1185" spans="2:18" x14ac:dyDescent="0.2">
      <c r="B1185" s="106"/>
      <c r="C1185" s="232"/>
      <c r="D1185" s="261"/>
      <c r="E1185" s="133"/>
      <c r="F1185" s="8"/>
      <c r="G1185" s="55"/>
      <c r="H1185" s="55"/>
      <c r="I1185" s="55"/>
      <c r="J1185" s="55"/>
      <c r="K1185" s="65"/>
      <c r="L1185" s="65"/>
      <c r="M1185" s="65"/>
      <c r="N1185" s="537"/>
      <c r="O1185"/>
      <c r="P1185" s="260"/>
      <c r="Q1185"/>
      <c r="R1185"/>
    </row>
    <row r="1186" spans="2:18" x14ac:dyDescent="0.2">
      <c r="B1186" s="106"/>
      <c r="C1186" s="232"/>
      <c r="D1186" s="261"/>
      <c r="E1186" s="133"/>
      <c r="F1186" s="8"/>
      <c r="G1186" s="55"/>
      <c r="H1186" s="55"/>
      <c r="I1186" s="55"/>
      <c r="J1186" s="55"/>
      <c r="K1186" s="65"/>
      <c r="L1186" s="65"/>
      <c r="M1186" s="65"/>
      <c r="N1186" s="537"/>
      <c r="O1186"/>
      <c r="P1186" s="260"/>
      <c r="Q1186"/>
      <c r="R1186"/>
    </row>
    <row r="1187" spans="2:18" x14ac:dyDescent="0.2">
      <c r="B1187" s="106"/>
      <c r="C1187" s="232"/>
      <c r="D1187" s="261"/>
      <c r="E1187" s="133"/>
      <c r="F1187" s="8"/>
      <c r="G1187" s="55"/>
      <c r="H1187" s="55"/>
      <c r="I1187" s="55"/>
      <c r="J1187" s="55"/>
      <c r="K1187" s="65"/>
      <c r="L1187" s="65"/>
      <c r="M1187" s="65"/>
      <c r="N1187" s="537"/>
      <c r="O1187"/>
      <c r="P1187" s="260"/>
      <c r="Q1187"/>
      <c r="R1187"/>
    </row>
    <row r="1188" spans="2:18" x14ac:dyDescent="0.2">
      <c r="B1188" s="106"/>
      <c r="C1188" s="232"/>
      <c r="D1188" s="261"/>
      <c r="E1188" s="133"/>
      <c r="F1188" s="8"/>
      <c r="G1188" s="55"/>
      <c r="H1188" s="55"/>
      <c r="I1188" s="55"/>
      <c r="J1188" s="55"/>
      <c r="K1188" s="65"/>
      <c r="L1188" s="65"/>
      <c r="M1188" s="65"/>
      <c r="N1188" s="537"/>
      <c r="O1188"/>
      <c r="P1188" s="260"/>
      <c r="Q1188"/>
      <c r="R1188"/>
    </row>
    <row r="1189" spans="2:18" x14ac:dyDescent="0.2">
      <c r="B1189" s="106"/>
      <c r="C1189" s="232"/>
      <c r="D1189" s="261"/>
      <c r="E1189" s="133"/>
      <c r="F1189" s="8"/>
      <c r="G1189" s="55"/>
      <c r="H1189" s="55"/>
      <c r="I1189" s="55"/>
      <c r="J1189" s="55"/>
      <c r="K1189" s="65"/>
      <c r="L1189" s="65"/>
      <c r="M1189" s="65"/>
      <c r="N1189" s="537"/>
      <c r="O1189"/>
      <c r="P1189" s="260"/>
      <c r="Q1189"/>
      <c r="R1189"/>
    </row>
    <row r="1190" spans="2:18" x14ac:dyDescent="0.2">
      <c r="B1190" s="106"/>
      <c r="C1190" s="232"/>
      <c r="D1190" s="261"/>
      <c r="E1190" s="133"/>
      <c r="F1190" s="8"/>
      <c r="G1190" s="55"/>
      <c r="H1190" s="55"/>
      <c r="I1190" s="55"/>
      <c r="J1190" s="55"/>
      <c r="K1190" s="65"/>
      <c r="L1190" s="65"/>
      <c r="M1190" s="65"/>
      <c r="N1190" s="537"/>
      <c r="O1190"/>
      <c r="P1190" s="260"/>
      <c r="Q1190"/>
      <c r="R1190"/>
    </row>
    <row r="1191" spans="2:18" x14ac:dyDescent="0.2">
      <c r="B1191" s="106"/>
      <c r="C1191" s="232"/>
      <c r="D1191" s="261"/>
      <c r="E1191" s="133"/>
      <c r="F1191" s="8"/>
      <c r="G1191" s="55"/>
      <c r="H1191" s="55"/>
      <c r="I1191" s="55"/>
      <c r="J1191" s="55"/>
      <c r="K1191" s="65"/>
      <c r="L1191" s="65"/>
      <c r="M1191" s="65"/>
      <c r="N1191" s="537"/>
      <c r="O1191"/>
      <c r="P1191" s="260"/>
      <c r="Q1191"/>
      <c r="R1191"/>
    </row>
    <row r="1192" spans="2:18" x14ac:dyDescent="0.2">
      <c r="B1192" s="106"/>
      <c r="C1192" s="232"/>
      <c r="D1192" s="261"/>
      <c r="E1192" s="133"/>
      <c r="F1192" s="8"/>
      <c r="G1192" s="55"/>
      <c r="H1192" s="55"/>
      <c r="I1192" s="55"/>
      <c r="J1192" s="55"/>
      <c r="K1192" s="65"/>
      <c r="L1192" s="65"/>
      <c r="M1192" s="65"/>
      <c r="N1192" s="537"/>
      <c r="O1192"/>
      <c r="P1192" s="260"/>
      <c r="Q1192"/>
      <c r="R1192"/>
    </row>
    <row r="1193" spans="2:18" x14ac:dyDescent="0.2">
      <c r="B1193" s="106"/>
      <c r="C1193" s="232"/>
      <c r="D1193" s="261"/>
      <c r="E1193" s="133"/>
      <c r="F1193" s="8"/>
      <c r="G1193" s="55"/>
      <c r="H1193" s="55"/>
      <c r="I1193" s="55"/>
      <c r="J1193" s="55"/>
      <c r="K1193" s="65"/>
      <c r="L1193" s="65"/>
      <c r="M1193" s="65"/>
      <c r="N1193" s="537"/>
      <c r="O1193"/>
      <c r="P1193" s="260"/>
      <c r="Q1193"/>
      <c r="R1193"/>
    </row>
    <row r="1194" spans="2:18" x14ac:dyDescent="0.2">
      <c r="B1194" s="106"/>
      <c r="C1194" s="232"/>
      <c r="D1194" s="261"/>
      <c r="E1194" s="133"/>
      <c r="F1194" s="8"/>
      <c r="G1194" s="55"/>
      <c r="H1194" s="55"/>
      <c r="I1194" s="55"/>
      <c r="J1194" s="55"/>
      <c r="K1194" s="65"/>
      <c r="L1194" s="65"/>
      <c r="M1194" s="65"/>
      <c r="N1194" s="537"/>
      <c r="O1194"/>
      <c r="P1194" s="260"/>
      <c r="Q1194"/>
      <c r="R1194"/>
    </row>
    <row r="1195" spans="2:18" x14ac:dyDescent="0.2">
      <c r="B1195" s="106"/>
      <c r="C1195" s="232"/>
      <c r="D1195" s="261"/>
      <c r="E1195" s="133"/>
      <c r="F1195" s="8"/>
      <c r="G1195" s="55"/>
      <c r="H1195" s="55"/>
      <c r="I1195" s="55"/>
      <c r="J1195" s="55"/>
      <c r="K1195" s="65"/>
      <c r="L1195" s="65"/>
      <c r="M1195" s="65"/>
      <c r="N1195" s="537"/>
      <c r="O1195"/>
      <c r="P1195" s="260"/>
      <c r="Q1195"/>
      <c r="R1195"/>
    </row>
    <row r="1196" spans="2:18" x14ac:dyDescent="0.2">
      <c r="B1196" s="106"/>
      <c r="C1196" s="232"/>
      <c r="D1196" s="261"/>
      <c r="E1196" s="133"/>
      <c r="F1196" s="8"/>
      <c r="G1196" s="55"/>
      <c r="H1196" s="55"/>
      <c r="I1196" s="55"/>
      <c r="J1196" s="55"/>
      <c r="K1196" s="65"/>
      <c r="L1196" s="65"/>
      <c r="M1196" s="65"/>
      <c r="N1196" s="537"/>
      <c r="O1196"/>
      <c r="P1196" s="260"/>
      <c r="Q1196"/>
      <c r="R1196"/>
    </row>
    <row r="1197" spans="2:18" x14ac:dyDescent="0.2">
      <c r="B1197" s="106"/>
      <c r="C1197" s="232"/>
      <c r="D1197" s="261"/>
      <c r="E1197" s="133"/>
      <c r="F1197" s="8"/>
      <c r="G1197" s="55"/>
      <c r="H1197" s="55"/>
      <c r="I1197" s="55"/>
      <c r="J1197" s="55"/>
      <c r="K1197" s="65"/>
      <c r="L1197" s="65"/>
      <c r="M1197" s="65"/>
      <c r="N1197" s="537"/>
      <c r="O1197"/>
      <c r="P1197" s="260"/>
      <c r="Q1197"/>
      <c r="R1197"/>
    </row>
    <row r="1198" spans="2:18" x14ac:dyDescent="0.2">
      <c r="B1198" s="106"/>
      <c r="C1198" s="232"/>
      <c r="D1198" s="261"/>
      <c r="E1198" s="133"/>
      <c r="F1198" s="8"/>
      <c r="G1198" s="55"/>
      <c r="H1198" s="55"/>
      <c r="I1198" s="55"/>
      <c r="J1198" s="55"/>
      <c r="K1198" s="65"/>
      <c r="L1198" s="65"/>
      <c r="M1198" s="65"/>
      <c r="N1198" s="537"/>
      <c r="O1198"/>
      <c r="P1198" s="260"/>
      <c r="Q1198"/>
      <c r="R1198"/>
    </row>
    <row r="1199" spans="2:18" x14ac:dyDescent="0.2">
      <c r="B1199" s="106"/>
      <c r="C1199" s="232"/>
      <c r="D1199" s="261"/>
      <c r="E1199" s="133"/>
      <c r="F1199" s="8"/>
      <c r="G1199" s="55"/>
      <c r="H1199" s="55"/>
      <c r="I1199" s="55"/>
      <c r="J1199" s="55"/>
      <c r="K1199" s="65"/>
      <c r="L1199" s="65"/>
      <c r="M1199" s="65"/>
      <c r="N1199" s="537"/>
      <c r="O1199"/>
      <c r="P1199" s="260"/>
      <c r="Q1199"/>
      <c r="R1199"/>
    </row>
    <row r="1200" spans="2:18" x14ac:dyDescent="0.2">
      <c r="B1200" s="106"/>
      <c r="C1200" s="232"/>
      <c r="D1200" s="261"/>
      <c r="E1200" s="133"/>
      <c r="F1200" s="8"/>
      <c r="G1200" s="55"/>
      <c r="H1200" s="55"/>
      <c r="I1200" s="55"/>
      <c r="J1200" s="55"/>
      <c r="K1200" s="65"/>
      <c r="L1200" s="65"/>
      <c r="M1200" s="65"/>
      <c r="N1200" s="537"/>
      <c r="O1200"/>
      <c r="P1200" s="260"/>
      <c r="Q1200"/>
      <c r="R1200"/>
    </row>
    <row r="1201" spans="2:18" x14ac:dyDescent="0.2">
      <c r="B1201" s="106"/>
      <c r="C1201" s="232"/>
      <c r="D1201" s="261"/>
      <c r="E1201" s="133"/>
      <c r="F1201" s="8"/>
      <c r="G1201" s="55"/>
      <c r="H1201" s="55"/>
      <c r="I1201" s="55"/>
      <c r="J1201" s="55"/>
      <c r="K1201" s="65"/>
      <c r="L1201" s="65"/>
      <c r="M1201" s="65"/>
      <c r="N1201" s="537"/>
      <c r="O1201"/>
      <c r="P1201" s="260"/>
      <c r="Q1201"/>
      <c r="R1201"/>
    </row>
    <row r="1202" spans="2:18" x14ac:dyDescent="0.2">
      <c r="B1202" s="106"/>
      <c r="C1202" s="232"/>
      <c r="D1202" s="261"/>
      <c r="E1202" s="133"/>
      <c r="F1202" s="8"/>
      <c r="G1202" s="55"/>
      <c r="H1202" s="55"/>
      <c r="I1202" s="55"/>
      <c r="J1202" s="55"/>
      <c r="K1202" s="65"/>
      <c r="L1202" s="65"/>
      <c r="M1202" s="65"/>
      <c r="N1202" s="537"/>
      <c r="O1202"/>
      <c r="P1202" s="260"/>
      <c r="Q1202"/>
      <c r="R1202"/>
    </row>
    <row r="1203" spans="2:18" x14ac:dyDescent="0.2">
      <c r="B1203" s="106"/>
      <c r="C1203" s="232"/>
      <c r="D1203" s="261"/>
      <c r="E1203" s="133"/>
      <c r="F1203" s="8"/>
      <c r="G1203" s="55"/>
      <c r="H1203" s="55"/>
      <c r="I1203" s="55"/>
      <c r="J1203" s="55"/>
      <c r="K1203" s="65"/>
      <c r="L1203" s="65"/>
      <c r="M1203" s="65"/>
      <c r="N1203" s="537"/>
      <c r="O1203"/>
      <c r="P1203" s="260"/>
      <c r="Q1203"/>
      <c r="R1203"/>
    </row>
    <row r="1204" spans="2:18" x14ac:dyDescent="0.2">
      <c r="B1204" s="106"/>
      <c r="C1204" s="232"/>
      <c r="D1204" s="261"/>
      <c r="E1204" s="133"/>
      <c r="F1204" s="8"/>
      <c r="G1204" s="55"/>
      <c r="H1204" s="55"/>
      <c r="I1204" s="55"/>
      <c r="J1204" s="55"/>
      <c r="K1204" s="65"/>
      <c r="L1204" s="65"/>
      <c r="M1204" s="65"/>
      <c r="N1204" s="537"/>
      <c r="O1204"/>
      <c r="P1204" s="260"/>
      <c r="Q1204"/>
      <c r="R1204"/>
    </row>
    <row r="1205" spans="2:18" x14ac:dyDescent="0.2">
      <c r="B1205" s="106"/>
      <c r="C1205" s="232"/>
      <c r="D1205" s="261"/>
      <c r="E1205" s="133"/>
      <c r="F1205" s="8"/>
      <c r="G1205" s="55"/>
      <c r="H1205" s="55"/>
      <c r="I1205" s="55"/>
      <c r="J1205" s="55"/>
      <c r="K1205" s="65"/>
      <c r="L1205" s="65"/>
      <c r="M1205" s="65"/>
      <c r="N1205" s="537"/>
      <c r="O1205"/>
      <c r="P1205" s="260"/>
      <c r="Q1205"/>
      <c r="R1205"/>
    </row>
    <row r="1206" spans="2:18" x14ac:dyDescent="0.2">
      <c r="B1206" s="106"/>
      <c r="C1206" s="232"/>
      <c r="D1206" s="261"/>
      <c r="E1206" s="133"/>
      <c r="F1206" s="8"/>
      <c r="G1206" s="55"/>
      <c r="H1206" s="55"/>
      <c r="I1206" s="55"/>
      <c r="J1206" s="55"/>
      <c r="K1206" s="65"/>
      <c r="L1206" s="65"/>
      <c r="M1206" s="65"/>
      <c r="N1206" s="537"/>
      <c r="O1206"/>
      <c r="P1206" s="260"/>
      <c r="Q1206"/>
      <c r="R1206"/>
    </row>
    <row r="1207" spans="2:18" x14ac:dyDescent="0.2">
      <c r="B1207" s="106"/>
      <c r="C1207" s="232"/>
      <c r="D1207" s="261"/>
      <c r="E1207" s="133"/>
      <c r="F1207" s="8"/>
      <c r="G1207" s="55"/>
      <c r="H1207" s="55"/>
      <c r="I1207" s="55"/>
      <c r="J1207" s="55"/>
      <c r="K1207" s="65"/>
      <c r="L1207" s="65"/>
      <c r="M1207" s="65"/>
      <c r="N1207" s="537"/>
      <c r="O1207"/>
      <c r="P1207" s="260"/>
      <c r="Q1207"/>
      <c r="R1207"/>
    </row>
    <row r="1208" spans="2:18" x14ac:dyDescent="0.2">
      <c r="B1208" s="106"/>
      <c r="C1208" s="232"/>
      <c r="D1208" s="261"/>
      <c r="E1208" s="133"/>
      <c r="F1208" s="8"/>
      <c r="G1208" s="55"/>
      <c r="H1208" s="55"/>
      <c r="I1208" s="55"/>
      <c r="J1208" s="55"/>
      <c r="K1208" s="65"/>
      <c r="L1208" s="65"/>
      <c r="M1208" s="65"/>
      <c r="N1208" s="537"/>
      <c r="O1208"/>
      <c r="P1208" s="260"/>
      <c r="Q1208"/>
      <c r="R1208"/>
    </row>
    <row r="1209" spans="2:18" x14ac:dyDescent="0.2">
      <c r="B1209" s="106"/>
      <c r="C1209" s="232"/>
      <c r="D1209" s="261"/>
      <c r="E1209" s="133"/>
      <c r="F1209" s="8"/>
      <c r="G1209" s="55"/>
      <c r="H1209" s="55"/>
      <c r="I1209" s="55"/>
      <c r="J1209" s="55"/>
      <c r="K1209" s="65"/>
      <c r="L1209" s="65"/>
      <c r="M1209" s="65"/>
      <c r="N1209" s="537"/>
      <c r="O1209"/>
      <c r="P1209" s="260"/>
      <c r="Q1209"/>
      <c r="R1209"/>
    </row>
    <row r="1210" spans="2:18" x14ac:dyDescent="0.2">
      <c r="B1210" s="106"/>
      <c r="C1210" s="232"/>
      <c r="D1210" s="261"/>
      <c r="E1210" s="133"/>
      <c r="F1210" s="8"/>
      <c r="G1210" s="55"/>
      <c r="H1210" s="55"/>
      <c r="I1210" s="55"/>
      <c r="J1210" s="55"/>
      <c r="K1210" s="65"/>
      <c r="L1210" s="65"/>
      <c r="M1210" s="65"/>
      <c r="N1210" s="537"/>
      <c r="O1210"/>
      <c r="P1210" s="260"/>
      <c r="Q1210"/>
      <c r="R1210"/>
    </row>
    <row r="1211" spans="2:18" x14ac:dyDescent="0.2">
      <c r="B1211" s="106"/>
      <c r="C1211" s="232"/>
      <c r="D1211" s="261"/>
      <c r="E1211" s="133"/>
      <c r="F1211" s="8"/>
      <c r="G1211" s="55"/>
      <c r="H1211" s="55"/>
      <c r="I1211" s="55"/>
      <c r="J1211" s="55"/>
      <c r="K1211" s="65"/>
      <c r="L1211" s="65"/>
      <c r="M1211" s="65"/>
      <c r="N1211" s="537"/>
      <c r="O1211"/>
      <c r="P1211" s="260"/>
      <c r="Q1211"/>
      <c r="R1211"/>
    </row>
    <row r="1212" spans="2:18" x14ac:dyDescent="0.2">
      <c r="B1212" s="106"/>
      <c r="C1212" s="232"/>
      <c r="D1212" s="261"/>
      <c r="E1212" s="133"/>
      <c r="F1212" s="8"/>
      <c r="G1212" s="55"/>
      <c r="H1212" s="55"/>
      <c r="I1212" s="55"/>
      <c r="J1212" s="55"/>
      <c r="K1212" s="65"/>
      <c r="L1212" s="65"/>
      <c r="M1212" s="65"/>
      <c r="N1212" s="537"/>
      <c r="O1212"/>
      <c r="P1212" s="260"/>
      <c r="Q1212"/>
      <c r="R1212"/>
    </row>
    <row r="1213" spans="2:18" x14ac:dyDescent="0.2">
      <c r="B1213" s="106"/>
      <c r="C1213" s="232"/>
      <c r="D1213" s="261"/>
      <c r="E1213" s="133"/>
      <c r="F1213" s="8"/>
      <c r="G1213" s="55"/>
      <c r="H1213" s="55"/>
      <c r="I1213" s="55"/>
      <c r="J1213" s="55"/>
      <c r="K1213" s="65"/>
      <c r="L1213" s="65"/>
      <c r="M1213" s="65"/>
      <c r="N1213" s="537"/>
      <c r="O1213"/>
      <c r="P1213" s="260"/>
      <c r="Q1213"/>
      <c r="R1213"/>
    </row>
    <row r="1214" spans="2:18" x14ac:dyDescent="0.2">
      <c r="B1214" s="106"/>
      <c r="C1214" s="232"/>
      <c r="D1214" s="261"/>
      <c r="E1214" s="133"/>
      <c r="F1214" s="8"/>
      <c r="G1214" s="55"/>
      <c r="H1214" s="55"/>
      <c r="I1214" s="55"/>
      <c r="J1214" s="55"/>
      <c r="K1214" s="65"/>
      <c r="L1214" s="65"/>
      <c r="M1214" s="65"/>
      <c r="N1214" s="537"/>
      <c r="O1214"/>
      <c r="P1214" s="260"/>
      <c r="Q1214"/>
      <c r="R1214"/>
    </row>
    <row r="1215" spans="2:18" x14ac:dyDescent="0.2">
      <c r="B1215" s="106"/>
      <c r="C1215" s="232"/>
      <c r="D1215" s="261"/>
      <c r="E1215" s="133"/>
      <c r="F1215" s="8"/>
      <c r="G1215" s="55"/>
      <c r="H1215" s="55"/>
      <c r="I1215" s="55"/>
      <c r="J1215" s="55"/>
      <c r="K1215" s="65"/>
      <c r="L1215" s="65"/>
      <c r="M1215" s="65"/>
      <c r="N1215" s="537"/>
      <c r="O1215"/>
      <c r="P1215" s="260"/>
      <c r="Q1215"/>
      <c r="R1215"/>
    </row>
    <row r="1216" spans="2:18" x14ac:dyDescent="0.2">
      <c r="B1216" s="106"/>
      <c r="C1216" s="232"/>
      <c r="D1216" s="261"/>
      <c r="E1216" s="133"/>
      <c r="F1216" s="8"/>
      <c r="G1216" s="55"/>
      <c r="H1216" s="55"/>
      <c r="I1216" s="55"/>
      <c r="J1216" s="55"/>
      <c r="K1216" s="65"/>
      <c r="L1216" s="65"/>
      <c r="M1216" s="65"/>
      <c r="N1216" s="537"/>
      <c r="O1216"/>
      <c r="P1216" s="260"/>
      <c r="Q1216"/>
      <c r="R1216"/>
    </row>
    <row r="1217" spans="2:18" x14ac:dyDescent="0.2">
      <c r="B1217" s="106"/>
      <c r="C1217" s="232"/>
      <c r="D1217" s="261"/>
      <c r="E1217" s="133"/>
      <c r="F1217" s="8"/>
      <c r="G1217" s="55"/>
      <c r="H1217" s="55"/>
      <c r="I1217" s="55"/>
      <c r="J1217" s="55"/>
      <c r="K1217" s="65"/>
      <c r="L1217" s="65"/>
      <c r="M1217" s="65"/>
      <c r="N1217" s="537"/>
      <c r="O1217"/>
      <c r="P1217" s="260"/>
      <c r="Q1217"/>
      <c r="R1217"/>
    </row>
    <row r="1218" spans="2:18" x14ac:dyDescent="0.2">
      <c r="B1218" s="106"/>
      <c r="C1218" s="232"/>
      <c r="D1218" s="261"/>
      <c r="E1218" s="133"/>
      <c r="F1218" s="8"/>
      <c r="G1218" s="55"/>
      <c r="H1218" s="55"/>
      <c r="I1218" s="55"/>
      <c r="J1218" s="55"/>
      <c r="K1218" s="65"/>
      <c r="L1218" s="65"/>
      <c r="M1218" s="65"/>
      <c r="N1218" s="537"/>
      <c r="O1218"/>
      <c r="P1218" s="260"/>
      <c r="Q1218"/>
      <c r="R1218"/>
    </row>
    <row r="1219" spans="2:18" x14ac:dyDescent="0.2">
      <c r="B1219" s="106"/>
      <c r="C1219" s="232"/>
      <c r="D1219" s="261"/>
      <c r="E1219" s="133"/>
      <c r="F1219" s="8"/>
      <c r="G1219" s="55"/>
      <c r="H1219" s="55"/>
      <c r="I1219" s="55"/>
      <c r="J1219" s="55"/>
      <c r="K1219" s="65"/>
      <c r="L1219" s="65"/>
      <c r="M1219" s="65"/>
      <c r="N1219" s="537"/>
      <c r="O1219"/>
      <c r="P1219" s="260"/>
      <c r="Q1219"/>
      <c r="R1219"/>
    </row>
    <row r="1220" spans="2:18" x14ac:dyDescent="0.2">
      <c r="B1220" s="106"/>
      <c r="C1220" s="232"/>
      <c r="D1220" s="261"/>
      <c r="E1220" s="133"/>
      <c r="F1220" s="8"/>
      <c r="G1220" s="55"/>
      <c r="H1220" s="55"/>
      <c r="I1220" s="55"/>
      <c r="J1220" s="55"/>
      <c r="K1220" s="65"/>
      <c r="L1220" s="65"/>
      <c r="M1220" s="65"/>
      <c r="N1220" s="537"/>
      <c r="O1220"/>
      <c r="P1220" s="260"/>
      <c r="Q1220"/>
      <c r="R1220"/>
    </row>
    <row r="1221" spans="2:18" x14ac:dyDescent="0.2">
      <c r="B1221" s="106"/>
      <c r="C1221" s="232"/>
      <c r="D1221" s="261"/>
      <c r="E1221" s="133"/>
      <c r="F1221" s="8"/>
      <c r="G1221" s="55"/>
      <c r="H1221" s="55"/>
      <c r="I1221" s="55"/>
      <c r="J1221" s="55"/>
      <c r="K1221" s="65"/>
      <c r="L1221" s="65"/>
      <c r="M1221" s="65"/>
      <c r="N1221" s="537"/>
      <c r="O1221"/>
      <c r="P1221" s="260"/>
      <c r="Q1221"/>
      <c r="R1221"/>
    </row>
    <row r="1222" spans="2:18" x14ac:dyDescent="0.2">
      <c r="B1222" s="106"/>
      <c r="C1222" s="232"/>
      <c r="D1222" s="261"/>
      <c r="E1222" s="133"/>
      <c r="F1222" s="8"/>
      <c r="G1222" s="55"/>
      <c r="H1222" s="55"/>
      <c r="I1222" s="55"/>
      <c r="J1222" s="55"/>
      <c r="K1222" s="65"/>
      <c r="L1222" s="65"/>
      <c r="M1222" s="65"/>
      <c r="N1222" s="537"/>
      <c r="O1222"/>
      <c r="P1222" s="260"/>
      <c r="Q1222"/>
      <c r="R1222"/>
    </row>
    <row r="1223" spans="2:18" x14ac:dyDescent="0.2">
      <c r="B1223" s="106"/>
      <c r="C1223" s="232"/>
      <c r="D1223" s="261"/>
      <c r="E1223" s="133"/>
      <c r="F1223" s="8"/>
      <c r="G1223" s="55"/>
      <c r="H1223" s="55"/>
      <c r="I1223" s="55"/>
      <c r="J1223" s="55"/>
      <c r="K1223" s="65"/>
      <c r="L1223" s="65"/>
      <c r="M1223" s="65"/>
      <c r="N1223" s="537"/>
      <c r="O1223"/>
      <c r="P1223" s="260"/>
      <c r="Q1223"/>
      <c r="R1223"/>
    </row>
    <row r="1224" spans="2:18" x14ac:dyDescent="0.2">
      <c r="B1224" s="106"/>
      <c r="C1224" s="232"/>
      <c r="D1224" s="261"/>
      <c r="E1224" s="133"/>
      <c r="F1224" s="8"/>
      <c r="G1224" s="55"/>
      <c r="H1224" s="55"/>
      <c r="I1224" s="55"/>
      <c r="J1224" s="55"/>
      <c r="K1224" s="65"/>
      <c r="L1224" s="65"/>
      <c r="M1224" s="65"/>
      <c r="N1224" s="537"/>
      <c r="O1224"/>
      <c r="P1224" s="260"/>
      <c r="Q1224"/>
      <c r="R1224"/>
    </row>
    <row r="1225" spans="2:18" x14ac:dyDescent="0.2">
      <c r="B1225" s="106"/>
      <c r="C1225" s="232"/>
      <c r="D1225" s="261"/>
      <c r="E1225" s="133"/>
      <c r="F1225" s="8"/>
      <c r="G1225" s="55"/>
      <c r="H1225" s="55"/>
      <c r="I1225" s="55"/>
      <c r="J1225" s="55"/>
      <c r="K1225" s="65"/>
      <c r="L1225" s="65"/>
      <c r="M1225" s="65"/>
      <c r="N1225" s="537"/>
      <c r="O1225"/>
      <c r="P1225" s="260"/>
      <c r="Q1225"/>
      <c r="R1225"/>
    </row>
    <row r="1226" spans="2:18" x14ac:dyDescent="0.2">
      <c r="B1226" s="106"/>
      <c r="C1226" s="232"/>
      <c r="D1226" s="261"/>
      <c r="E1226" s="133"/>
      <c r="F1226" s="8"/>
      <c r="G1226" s="55"/>
      <c r="H1226" s="55"/>
      <c r="I1226" s="55"/>
      <c r="J1226" s="55"/>
      <c r="K1226" s="65"/>
      <c r="L1226" s="65"/>
      <c r="M1226" s="65"/>
      <c r="N1226" s="537"/>
      <c r="O1226"/>
      <c r="P1226" s="260"/>
      <c r="Q1226"/>
      <c r="R1226"/>
    </row>
    <row r="1227" spans="2:18" x14ac:dyDescent="0.2">
      <c r="B1227" s="106"/>
      <c r="C1227" s="232"/>
      <c r="D1227" s="261"/>
      <c r="E1227" s="133"/>
      <c r="F1227" s="8"/>
      <c r="G1227" s="55"/>
      <c r="H1227" s="55"/>
      <c r="I1227" s="55"/>
      <c r="J1227" s="55"/>
      <c r="K1227" s="65"/>
      <c r="L1227" s="65"/>
      <c r="M1227" s="65"/>
      <c r="N1227" s="537"/>
      <c r="O1227"/>
      <c r="P1227" s="260"/>
      <c r="Q1227"/>
      <c r="R1227"/>
    </row>
    <row r="1228" spans="2:18" x14ac:dyDescent="0.2">
      <c r="B1228" s="106"/>
      <c r="C1228" s="232"/>
      <c r="D1228" s="261"/>
      <c r="E1228" s="133"/>
      <c r="F1228" s="8"/>
      <c r="G1228" s="55"/>
      <c r="H1228" s="55"/>
      <c r="I1228" s="55"/>
      <c r="J1228" s="55"/>
      <c r="K1228" s="65"/>
      <c r="L1228" s="65"/>
      <c r="M1228" s="65"/>
      <c r="N1228" s="537"/>
      <c r="O1228"/>
      <c r="P1228" s="260"/>
      <c r="Q1228"/>
      <c r="R1228"/>
    </row>
    <row r="1229" spans="2:18" x14ac:dyDescent="0.2">
      <c r="B1229" s="106"/>
      <c r="C1229" s="232"/>
      <c r="D1229" s="261"/>
      <c r="E1229" s="133"/>
      <c r="F1229" s="8"/>
      <c r="G1229" s="55"/>
      <c r="H1229" s="55"/>
      <c r="I1229" s="55"/>
      <c r="J1229" s="55"/>
      <c r="K1229" s="65"/>
      <c r="L1229" s="65"/>
      <c r="M1229" s="65"/>
      <c r="N1229" s="537"/>
      <c r="O1229"/>
      <c r="P1229" s="260"/>
      <c r="Q1229"/>
      <c r="R1229"/>
    </row>
    <row r="1230" spans="2:18" x14ac:dyDescent="0.2">
      <c r="B1230" s="106"/>
      <c r="C1230" s="232"/>
      <c r="D1230" s="261"/>
      <c r="E1230" s="133"/>
      <c r="F1230" s="8"/>
      <c r="G1230" s="55"/>
      <c r="H1230" s="55"/>
      <c r="I1230" s="55"/>
      <c r="J1230" s="55"/>
      <c r="K1230" s="65"/>
      <c r="L1230" s="65"/>
      <c r="M1230" s="65"/>
      <c r="N1230" s="537"/>
      <c r="O1230"/>
      <c r="P1230" s="260"/>
      <c r="Q1230"/>
      <c r="R1230"/>
    </row>
    <row r="1231" spans="2:18" x14ac:dyDescent="0.2">
      <c r="B1231" s="106"/>
      <c r="C1231" s="232"/>
      <c r="D1231" s="261"/>
      <c r="E1231" s="133"/>
      <c r="F1231" s="8"/>
      <c r="G1231" s="55"/>
      <c r="H1231" s="55"/>
      <c r="I1231" s="55"/>
      <c r="J1231" s="55"/>
      <c r="K1231" s="65"/>
      <c r="L1231" s="65"/>
      <c r="M1231" s="65"/>
      <c r="N1231" s="537"/>
      <c r="O1231"/>
      <c r="P1231" s="260"/>
      <c r="Q1231"/>
      <c r="R1231"/>
    </row>
    <row r="1232" spans="2:18" x14ac:dyDescent="0.2">
      <c r="B1232" s="106"/>
      <c r="C1232" s="232"/>
      <c r="D1232" s="261"/>
      <c r="E1232" s="133"/>
      <c r="F1232" s="8"/>
      <c r="G1232" s="55"/>
      <c r="H1232" s="55"/>
      <c r="I1232" s="55"/>
      <c r="J1232" s="55"/>
      <c r="K1232" s="65"/>
      <c r="L1232" s="65"/>
      <c r="M1232" s="65"/>
      <c r="N1232" s="537"/>
      <c r="O1232"/>
      <c r="P1232" s="260"/>
      <c r="Q1232"/>
      <c r="R1232"/>
    </row>
    <row r="1233" spans="2:18" x14ac:dyDescent="0.2">
      <c r="B1233" s="106"/>
      <c r="C1233" s="232"/>
      <c r="D1233" s="261"/>
      <c r="E1233" s="133"/>
      <c r="F1233" s="8"/>
      <c r="G1233" s="55"/>
      <c r="H1233" s="55"/>
      <c r="I1233" s="55"/>
      <c r="J1233" s="55"/>
      <c r="K1233" s="65"/>
      <c r="L1233" s="65"/>
      <c r="M1233" s="65"/>
      <c r="N1233" s="537"/>
      <c r="O1233"/>
      <c r="P1233" s="260"/>
      <c r="Q1233"/>
      <c r="R1233"/>
    </row>
    <row r="1234" spans="2:18" x14ac:dyDescent="0.2">
      <c r="B1234" s="106"/>
      <c r="C1234" s="232"/>
      <c r="D1234" s="261"/>
      <c r="E1234" s="133"/>
      <c r="F1234" s="8"/>
      <c r="G1234" s="55"/>
      <c r="H1234" s="55"/>
      <c r="I1234" s="55"/>
      <c r="J1234" s="55"/>
      <c r="K1234" s="65"/>
      <c r="L1234" s="65"/>
      <c r="M1234" s="65"/>
      <c r="N1234" s="537"/>
      <c r="O1234"/>
      <c r="P1234" s="260"/>
      <c r="Q1234"/>
      <c r="R1234"/>
    </row>
    <row r="1235" spans="2:18" x14ac:dyDescent="0.2">
      <c r="B1235" s="106"/>
      <c r="C1235" s="232"/>
      <c r="D1235" s="261"/>
      <c r="E1235" s="133"/>
      <c r="F1235" s="8"/>
      <c r="G1235" s="55"/>
      <c r="H1235" s="55"/>
      <c r="I1235" s="55"/>
      <c r="J1235" s="55"/>
      <c r="K1235" s="65"/>
      <c r="L1235" s="65"/>
      <c r="M1235" s="65"/>
      <c r="N1235" s="537"/>
      <c r="O1235"/>
      <c r="P1235" s="260"/>
      <c r="Q1235"/>
      <c r="R1235"/>
    </row>
    <row r="1236" spans="2:18" x14ac:dyDescent="0.2">
      <c r="B1236" s="106"/>
      <c r="C1236" s="232"/>
      <c r="D1236" s="261"/>
      <c r="E1236" s="133"/>
      <c r="F1236" s="8"/>
      <c r="G1236" s="55"/>
      <c r="H1236" s="55"/>
      <c r="I1236" s="55"/>
      <c r="J1236" s="55"/>
      <c r="K1236" s="65"/>
      <c r="L1236" s="65"/>
      <c r="M1236" s="65"/>
      <c r="N1236" s="537"/>
      <c r="O1236"/>
      <c r="P1236" s="260"/>
      <c r="Q1236"/>
      <c r="R1236"/>
    </row>
    <row r="1237" spans="2:18" x14ac:dyDescent="0.2">
      <c r="B1237" s="106"/>
      <c r="C1237" s="232"/>
      <c r="D1237" s="261"/>
      <c r="E1237" s="133"/>
      <c r="F1237" s="8"/>
      <c r="G1237" s="55"/>
      <c r="H1237" s="55"/>
      <c r="I1237" s="55"/>
      <c r="J1237" s="55"/>
      <c r="K1237" s="65"/>
      <c r="L1237" s="65"/>
      <c r="M1237" s="65"/>
      <c r="N1237" s="537"/>
      <c r="O1237"/>
      <c r="P1237" s="260"/>
      <c r="Q1237"/>
      <c r="R1237"/>
    </row>
    <row r="1238" spans="2:18" x14ac:dyDescent="0.2">
      <c r="B1238" s="106"/>
      <c r="C1238" s="232"/>
      <c r="D1238" s="261"/>
      <c r="E1238" s="133"/>
      <c r="F1238" s="8"/>
      <c r="G1238" s="55"/>
      <c r="H1238" s="55"/>
      <c r="I1238" s="55"/>
      <c r="J1238" s="55"/>
      <c r="K1238" s="65"/>
      <c r="L1238" s="65"/>
      <c r="M1238" s="65"/>
      <c r="N1238" s="537"/>
      <c r="O1238"/>
      <c r="P1238" s="260"/>
      <c r="Q1238"/>
      <c r="R1238"/>
    </row>
    <row r="1239" spans="2:18" x14ac:dyDescent="0.2">
      <c r="B1239" s="106"/>
      <c r="C1239" s="232"/>
      <c r="D1239" s="261"/>
      <c r="E1239" s="133"/>
      <c r="F1239" s="8"/>
      <c r="G1239" s="55"/>
      <c r="H1239" s="55"/>
      <c r="I1239" s="55"/>
      <c r="J1239" s="55"/>
      <c r="K1239" s="65"/>
      <c r="L1239" s="65"/>
      <c r="M1239" s="65"/>
      <c r="N1239" s="537"/>
      <c r="O1239"/>
      <c r="P1239" s="260"/>
      <c r="Q1239"/>
      <c r="R1239"/>
    </row>
    <row r="1240" spans="2:18" x14ac:dyDescent="0.2">
      <c r="B1240" s="106"/>
      <c r="C1240" s="232"/>
      <c r="D1240" s="261"/>
      <c r="E1240" s="133"/>
      <c r="F1240" s="8"/>
      <c r="G1240" s="55"/>
      <c r="H1240" s="55"/>
      <c r="I1240" s="55"/>
      <c r="J1240" s="55"/>
      <c r="K1240" s="65"/>
      <c r="L1240" s="65"/>
      <c r="M1240" s="65"/>
      <c r="N1240" s="537"/>
      <c r="O1240"/>
      <c r="P1240" s="260"/>
      <c r="Q1240"/>
      <c r="R1240"/>
    </row>
    <row r="1241" spans="2:18" x14ac:dyDescent="0.2">
      <c r="B1241" s="106"/>
      <c r="C1241" s="232"/>
      <c r="D1241" s="261"/>
      <c r="E1241" s="133"/>
      <c r="F1241" s="8"/>
      <c r="G1241" s="55"/>
      <c r="H1241" s="55"/>
      <c r="I1241" s="55"/>
      <c r="J1241" s="55"/>
      <c r="K1241" s="65"/>
      <c r="L1241" s="65"/>
      <c r="M1241" s="65"/>
      <c r="N1241" s="537"/>
      <c r="O1241"/>
      <c r="P1241" s="260"/>
      <c r="Q1241"/>
      <c r="R1241"/>
    </row>
    <row r="1242" spans="2:18" x14ac:dyDescent="0.2">
      <c r="B1242" s="106"/>
      <c r="C1242" s="232"/>
      <c r="D1242" s="261"/>
      <c r="E1242" s="133"/>
      <c r="F1242" s="8"/>
      <c r="G1242" s="55"/>
      <c r="H1242" s="55"/>
      <c r="I1242" s="55"/>
      <c r="J1242" s="55"/>
      <c r="K1242" s="65"/>
      <c r="L1242" s="65"/>
      <c r="M1242" s="65"/>
      <c r="N1242" s="537"/>
      <c r="O1242"/>
      <c r="P1242" s="260"/>
      <c r="Q1242"/>
      <c r="R1242"/>
    </row>
    <row r="1243" spans="2:18" x14ac:dyDescent="0.2">
      <c r="B1243" s="106"/>
      <c r="C1243" s="232"/>
      <c r="D1243" s="261"/>
      <c r="E1243" s="133"/>
      <c r="F1243" s="8"/>
      <c r="G1243" s="55"/>
      <c r="H1243" s="55"/>
      <c r="I1243" s="55"/>
      <c r="J1243" s="55"/>
      <c r="K1243" s="65"/>
      <c r="L1243" s="65"/>
      <c r="M1243" s="65"/>
      <c r="N1243" s="537"/>
      <c r="O1243"/>
      <c r="P1243" s="260"/>
      <c r="Q1243"/>
      <c r="R1243"/>
    </row>
    <row r="1244" spans="2:18" x14ac:dyDescent="0.2">
      <c r="B1244" s="106"/>
      <c r="C1244" s="232"/>
      <c r="D1244" s="261"/>
      <c r="E1244" s="133"/>
      <c r="F1244" s="8"/>
      <c r="G1244" s="55"/>
      <c r="H1244" s="55"/>
      <c r="I1244" s="55"/>
      <c r="J1244" s="55"/>
      <c r="K1244" s="65"/>
      <c r="L1244" s="65"/>
      <c r="M1244" s="65"/>
      <c r="N1244" s="537"/>
      <c r="O1244"/>
      <c r="P1244" s="260"/>
      <c r="Q1244"/>
      <c r="R1244"/>
    </row>
    <row r="1245" spans="2:18" x14ac:dyDescent="0.2">
      <c r="B1245" s="106"/>
      <c r="C1245" s="232"/>
      <c r="D1245" s="261"/>
      <c r="E1245" s="133"/>
      <c r="F1245" s="8"/>
      <c r="G1245" s="55"/>
      <c r="H1245" s="55"/>
      <c r="I1245" s="55"/>
      <c r="J1245" s="55"/>
      <c r="K1245" s="65"/>
      <c r="L1245" s="65"/>
      <c r="M1245" s="65"/>
      <c r="N1245" s="537"/>
      <c r="O1245"/>
      <c r="P1245" s="260"/>
      <c r="Q1245"/>
      <c r="R1245"/>
    </row>
    <row r="1246" spans="2:18" x14ac:dyDescent="0.2">
      <c r="B1246" s="106"/>
      <c r="C1246" s="232"/>
      <c r="D1246" s="261"/>
      <c r="E1246" s="133"/>
      <c r="F1246" s="8"/>
      <c r="G1246" s="55"/>
      <c r="H1246" s="55"/>
      <c r="I1246" s="55"/>
      <c r="J1246" s="55"/>
      <c r="K1246" s="65"/>
      <c r="L1246" s="65"/>
      <c r="M1246" s="65"/>
      <c r="N1246" s="537"/>
      <c r="O1246"/>
      <c r="P1246" s="260"/>
      <c r="Q1246"/>
      <c r="R1246"/>
    </row>
    <row r="1247" spans="2:18" x14ac:dyDescent="0.2">
      <c r="B1247" s="106"/>
      <c r="C1247" s="232"/>
      <c r="D1247" s="261"/>
      <c r="E1247" s="133"/>
      <c r="F1247" s="8"/>
      <c r="G1247" s="55"/>
      <c r="H1247" s="55"/>
      <c r="I1247" s="55"/>
      <c r="J1247" s="55"/>
      <c r="K1247" s="65"/>
      <c r="L1247" s="65"/>
      <c r="M1247" s="65"/>
      <c r="N1247" s="537"/>
      <c r="O1247"/>
      <c r="P1247" s="260"/>
      <c r="Q1247"/>
      <c r="R1247"/>
    </row>
    <row r="1248" spans="2:18" x14ac:dyDescent="0.2">
      <c r="B1248" s="106"/>
      <c r="C1248" s="232"/>
      <c r="D1248" s="261"/>
      <c r="E1248" s="133"/>
      <c r="F1248" s="8"/>
      <c r="G1248" s="55"/>
      <c r="H1248" s="55"/>
      <c r="I1248" s="55"/>
      <c r="J1248" s="55"/>
      <c r="K1248" s="65"/>
      <c r="L1248" s="65"/>
      <c r="M1248" s="65"/>
      <c r="N1248" s="537"/>
      <c r="O1248"/>
      <c r="P1248" s="260"/>
      <c r="Q1248"/>
      <c r="R1248"/>
    </row>
    <row r="1249" spans="2:18" x14ac:dyDescent="0.2">
      <c r="B1249" s="106"/>
      <c r="C1249" s="232"/>
      <c r="D1249" s="261"/>
      <c r="E1249" s="133"/>
      <c r="F1249" s="8"/>
      <c r="G1249" s="55"/>
      <c r="H1249" s="55"/>
      <c r="I1249" s="55"/>
      <c r="J1249" s="55"/>
      <c r="K1249" s="65"/>
      <c r="L1249" s="65"/>
      <c r="M1249" s="65"/>
      <c r="N1249" s="537"/>
      <c r="O1249"/>
      <c r="P1249" s="260"/>
      <c r="Q1249"/>
      <c r="R1249"/>
    </row>
    <row r="1250" spans="2:18" x14ac:dyDescent="0.2">
      <c r="B1250" s="106"/>
      <c r="C1250" s="232"/>
      <c r="D1250" s="261"/>
      <c r="E1250" s="133"/>
      <c r="F1250" s="8"/>
      <c r="G1250" s="55"/>
      <c r="H1250" s="55"/>
      <c r="I1250" s="55"/>
      <c r="J1250" s="55"/>
      <c r="K1250" s="65"/>
      <c r="L1250" s="65"/>
      <c r="M1250" s="65"/>
      <c r="N1250" s="537"/>
      <c r="O1250"/>
      <c r="P1250" s="260"/>
      <c r="Q1250"/>
      <c r="R1250"/>
    </row>
    <row r="1251" spans="2:18" x14ac:dyDescent="0.2">
      <c r="B1251" s="106"/>
      <c r="C1251" s="232"/>
      <c r="D1251" s="261"/>
      <c r="E1251" s="133"/>
      <c r="F1251" s="8"/>
      <c r="G1251" s="55"/>
      <c r="H1251" s="55"/>
      <c r="I1251" s="55"/>
      <c r="J1251" s="55"/>
      <c r="K1251" s="65"/>
      <c r="L1251" s="65"/>
      <c r="M1251" s="65"/>
      <c r="N1251" s="537"/>
      <c r="O1251"/>
      <c r="P1251" s="260"/>
      <c r="Q1251"/>
      <c r="R1251"/>
    </row>
    <row r="1252" spans="2:18" x14ac:dyDescent="0.2">
      <c r="B1252" s="106"/>
      <c r="C1252" s="232"/>
      <c r="D1252" s="261"/>
      <c r="E1252" s="133"/>
      <c r="F1252" s="8"/>
      <c r="G1252" s="55"/>
      <c r="H1252" s="55"/>
      <c r="I1252" s="55"/>
      <c r="J1252" s="55"/>
      <c r="K1252" s="65"/>
      <c r="L1252" s="65"/>
      <c r="M1252" s="65"/>
      <c r="N1252" s="537"/>
      <c r="O1252"/>
      <c r="P1252" s="260"/>
      <c r="Q1252"/>
      <c r="R1252"/>
    </row>
    <row r="1253" spans="2:18" x14ac:dyDescent="0.2">
      <c r="B1253" s="106"/>
      <c r="C1253" s="232"/>
      <c r="D1253" s="261"/>
      <c r="E1253" s="133"/>
      <c r="F1253" s="8"/>
      <c r="G1253" s="55"/>
      <c r="H1253" s="55"/>
      <c r="I1253" s="55"/>
      <c r="J1253" s="55"/>
      <c r="K1253" s="65"/>
      <c r="L1253" s="65"/>
      <c r="M1253" s="65"/>
      <c r="N1253" s="537"/>
      <c r="O1253"/>
      <c r="P1253" s="260"/>
      <c r="Q1253"/>
      <c r="R1253"/>
    </row>
    <row r="1254" spans="2:18" x14ac:dyDescent="0.2">
      <c r="B1254" s="106"/>
      <c r="C1254" s="232"/>
      <c r="D1254" s="261"/>
      <c r="E1254" s="133"/>
      <c r="F1254" s="8"/>
      <c r="G1254" s="55"/>
      <c r="H1254" s="55"/>
      <c r="I1254" s="55"/>
      <c r="J1254" s="55"/>
      <c r="K1254" s="65"/>
      <c r="L1254" s="65"/>
      <c r="M1254" s="65"/>
      <c r="N1254" s="537"/>
      <c r="O1254"/>
      <c r="P1254" s="260"/>
      <c r="Q1254"/>
      <c r="R1254"/>
    </row>
    <row r="1255" spans="2:18" x14ac:dyDescent="0.2">
      <c r="B1255" s="106"/>
      <c r="C1255" s="232"/>
      <c r="D1255" s="261"/>
      <c r="E1255" s="133"/>
      <c r="F1255" s="8"/>
      <c r="G1255" s="55"/>
      <c r="H1255" s="55"/>
      <c r="I1255" s="55"/>
      <c r="J1255" s="55"/>
      <c r="K1255" s="65"/>
      <c r="L1255" s="65"/>
      <c r="M1255" s="65"/>
      <c r="N1255" s="537"/>
      <c r="O1255"/>
      <c r="P1255" s="260"/>
      <c r="Q1255"/>
      <c r="R1255"/>
    </row>
    <row r="1256" spans="2:18" x14ac:dyDescent="0.2">
      <c r="B1256" s="106"/>
      <c r="C1256" s="232"/>
      <c r="D1256" s="261"/>
      <c r="E1256" s="133"/>
      <c r="F1256" s="8"/>
      <c r="G1256" s="55"/>
      <c r="H1256" s="55"/>
      <c r="I1256" s="55"/>
      <c r="J1256" s="55"/>
      <c r="K1256" s="65"/>
      <c r="L1256" s="65"/>
      <c r="M1256" s="65"/>
      <c r="N1256" s="537"/>
      <c r="O1256"/>
      <c r="P1256" s="260"/>
      <c r="Q1256"/>
      <c r="R1256"/>
    </row>
    <row r="1257" spans="2:18" x14ac:dyDescent="0.2">
      <c r="B1257" s="106"/>
      <c r="C1257" s="232"/>
      <c r="D1257" s="261"/>
      <c r="E1257" s="133"/>
      <c r="F1257" s="8"/>
      <c r="G1257" s="55"/>
      <c r="H1257" s="55"/>
      <c r="I1257" s="55"/>
      <c r="J1257" s="55"/>
      <c r="K1257" s="65"/>
      <c r="L1257" s="65"/>
      <c r="M1257" s="65"/>
      <c r="N1257" s="537"/>
      <c r="O1257"/>
      <c r="P1257" s="260"/>
      <c r="Q1257"/>
      <c r="R1257"/>
    </row>
    <row r="1258" spans="2:18" x14ac:dyDescent="0.2">
      <c r="B1258" s="106"/>
      <c r="C1258" s="232"/>
      <c r="D1258" s="261"/>
      <c r="E1258" s="133"/>
      <c r="F1258" s="8"/>
      <c r="G1258" s="55"/>
      <c r="H1258" s="55"/>
      <c r="I1258" s="55"/>
      <c r="J1258" s="55"/>
      <c r="K1258" s="65"/>
      <c r="L1258" s="65"/>
      <c r="M1258" s="65"/>
      <c r="N1258" s="537"/>
      <c r="O1258"/>
      <c r="P1258" s="260"/>
      <c r="Q1258"/>
      <c r="R1258"/>
    </row>
    <row r="1259" spans="2:18" x14ac:dyDescent="0.2">
      <c r="B1259" s="106"/>
      <c r="C1259" s="232"/>
      <c r="D1259" s="261"/>
      <c r="E1259" s="133"/>
      <c r="F1259" s="8"/>
      <c r="G1259" s="55"/>
      <c r="H1259" s="55"/>
      <c r="I1259" s="55"/>
      <c r="J1259" s="55"/>
      <c r="K1259" s="65"/>
      <c r="L1259" s="65"/>
      <c r="M1259" s="65"/>
      <c r="N1259" s="537"/>
      <c r="O1259"/>
      <c r="P1259" s="260"/>
      <c r="Q1259"/>
      <c r="R1259"/>
    </row>
    <row r="1260" spans="2:18" x14ac:dyDescent="0.2">
      <c r="B1260" s="106"/>
      <c r="C1260" s="232"/>
      <c r="D1260" s="261"/>
      <c r="E1260" s="133"/>
      <c r="F1260" s="8"/>
      <c r="G1260" s="55"/>
      <c r="H1260" s="55"/>
      <c r="I1260" s="55"/>
      <c r="J1260" s="55"/>
      <c r="K1260" s="65"/>
      <c r="L1260" s="65"/>
      <c r="M1260" s="65"/>
      <c r="N1260" s="537"/>
      <c r="O1260"/>
      <c r="P1260" s="260"/>
      <c r="Q1260"/>
      <c r="R1260"/>
    </row>
    <row r="1261" spans="2:18" x14ac:dyDescent="0.2">
      <c r="B1261" s="106"/>
      <c r="C1261" s="232"/>
      <c r="D1261" s="261"/>
      <c r="E1261" s="133"/>
      <c r="F1261" s="8"/>
      <c r="G1261" s="55"/>
      <c r="H1261" s="55"/>
      <c r="I1261" s="55"/>
      <c r="J1261" s="55"/>
      <c r="K1261" s="65"/>
      <c r="L1261" s="65"/>
      <c r="M1261" s="65"/>
      <c r="N1261" s="537"/>
      <c r="O1261"/>
      <c r="P1261" s="260"/>
      <c r="Q1261"/>
      <c r="R1261"/>
    </row>
    <row r="1262" spans="2:18" x14ac:dyDescent="0.2">
      <c r="B1262" s="106"/>
      <c r="C1262" s="232"/>
      <c r="D1262" s="261"/>
      <c r="E1262" s="133"/>
      <c r="F1262" s="8"/>
      <c r="G1262" s="55"/>
      <c r="H1262" s="55"/>
      <c r="I1262" s="55"/>
      <c r="J1262" s="55"/>
      <c r="K1262" s="65"/>
      <c r="L1262" s="65"/>
      <c r="M1262" s="65"/>
      <c r="N1262" s="537"/>
      <c r="O1262"/>
      <c r="P1262" s="260"/>
      <c r="Q1262"/>
      <c r="R1262"/>
    </row>
    <row r="1263" spans="2:18" x14ac:dyDescent="0.2">
      <c r="B1263" s="106"/>
      <c r="C1263" s="232"/>
      <c r="D1263" s="261"/>
      <c r="E1263" s="133"/>
      <c r="F1263" s="8"/>
      <c r="G1263" s="55"/>
      <c r="H1263" s="55"/>
      <c r="I1263" s="55"/>
      <c r="J1263" s="55"/>
      <c r="K1263" s="65"/>
      <c r="L1263" s="65"/>
      <c r="M1263" s="65"/>
      <c r="N1263" s="537"/>
      <c r="O1263"/>
      <c r="P1263" s="260"/>
      <c r="Q1263"/>
      <c r="R1263"/>
    </row>
    <row r="1264" spans="2:18" x14ac:dyDescent="0.2">
      <c r="B1264" s="106"/>
      <c r="C1264" s="232"/>
      <c r="D1264" s="261"/>
      <c r="E1264" s="133"/>
      <c r="F1264" s="8"/>
      <c r="G1264" s="55"/>
      <c r="H1264" s="55"/>
      <c r="I1264" s="55"/>
      <c r="J1264" s="55"/>
      <c r="K1264" s="65"/>
      <c r="L1264" s="65"/>
      <c r="M1264" s="65"/>
      <c r="N1264" s="537"/>
      <c r="O1264"/>
      <c r="P1264" s="260"/>
      <c r="Q1264"/>
      <c r="R1264"/>
    </row>
    <row r="1265" spans="2:18" x14ac:dyDescent="0.2">
      <c r="B1265" s="106"/>
      <c r="C1265" s="232"/>
      <c r="D1265" s="261"/>
      <c r="E1265" s="133"/>
      <c r="F1265" s="8"/>
      <c r="G1265" s="55"/>
      <c r="H1265" s="55"/>
      <c r="I1265" s="55"/>
      <c r="J1265" s="55"/>
      <c r="K1265" s="65"/>
      <c r="L1265" s="65"/>
      <c r="M1265" s="65"/>
      <c r="N1265" s="537"/>
      <c r="O1265"/>
      <c r="P1265" s="260"/>
      <c r="Q1265"/>
      <c r="R1265"/>
    </row>
    <row r="1266" spans="2:18" x14ac:dyDescent="0.2">
      <c r="B1266" s="106"/>
      <c r="C1266" s="232"/>
      <c r="D1266" s="261"/>
      <c r="E1266" s="133"/>
      <c r="F1266" s="8"/>
      <c r="G1266" s="55"/>
      <c r="H1266" s="55"/>
      <c r="I1266" s="55"/>
      <c r="J1266" s="55"/>
      <c r="K1266" s="65"/>
      <c r="L1266" s="65"/>
      <c r="M1266" s="65"/>
      <c r="N1266" s="537"/>
      <c r="O1266"/>
      <c r="P1266" s="260"/>
      <c r="Q1266"/>
      <c r="R1266"/>
    </row>
    <row r="1267" spans="2:18" x14ac:dyDescent="0.2">
      <c r="B1267" s="106"/>
      <c r="C1267" s="232"/>
      <c r="D1267" s="261"/>
      <c r="E1267" s="133"/>
      <c r="F1267" s="8"/>
      <c r="G1267" s="55"/>
      <c r="H1267" s="55"/>
      <c r="I1267" s="55"/>
      <c r="J1267" s="55"/>
      <c r="K1267" s="65"/>
      <c r="L1267" s="65"/>
      <c r="M1267" s="65"/>
      <c r="N1267" s="537"/>
      <c r="O1267"/>
      <c r="P1267" s="260"/>
      <c r="Q1267"/>
      <c r="R1267"/>
    </row>
    <row r="1268" spans="2:18" x14ac:dyDescent="0.2">
      <c r="B1268" s="106"/>
      <c r="C1268" s="232"/>
      <c r="D1268" s="261"/>
      <c r="E1268" s="133"/>
      <c r="F1268" s="8"/>
      <c r="G1268" s="55"/>
      <c r="H1268" s="55"/>
      <c r="I1268" s="55"/>
      <c r="J1268" s="55"/>
      <c r="K1268" s="65"/>
      <c r="L1268" s="65"/>
      <c r="M1268" s="65"/>
      <c r="N1268" s="537"/>
      <c r="O1268"/>
      <c r="P1268" s="260"/>
      <c r="Q1268"/>
      <c r="R1268"/>
    </row>
    <row r="1269" spans="2:18" x14ac:dyDescent="0.2">
      <c r="B1269" s="106"/>
      <c r="C1269" s="232"/>
      <c r="D1269" s="261"/>
      <c r="E1269" s="133"/>
      <c r="F1269" s="8"/>
      <c r="G1269" s="55"/>
      <c r="H1269" s="55"/>
      <c r="I1269" s="55"/>
      <c r="J1269" s="55"/>
      <c r="K1269" s="65"/>
      <c r="L1269" s="65"/>
      <c r="M1269" s="65"/>
      <c r="N1269" s="537"/>
      <c r="O1269"/>
      <c r="P1269" s="260"/>
      <c r="Q1269"/>
      <c r="R1269"/>
    </row>
    <row r="1270" spans="2:18" x14ac:dyDescent="0.2">
      <c r="B1270" s="106"/>
      <c r="C1270" s="232"/>
      <c r="D1270" s="261"/>
      <c r="E1270" s="133"/>
      <c r="F1270" s="8"/>
      <c r="G1270" s="55"/>
      <c r="H1270" s="55"/>
      <c r="I1270" s="55"/>
      <c r="J1270" s="55"/>
      <c r="K1270" s="65"/>
      <c r="L1270" s="65"/>
      <c r="M1270" s="65"/>
      <c r="N1270" s="537"/>
      <c r="O1270"/>
      <c r="P1270" s="260"/>
      <c r="Q1270"/>
      <c r="R1270"/>
    </row>
    <row r="1271" spans="2:18" x14ac:dyDescent="0.2">
      <c r="B1271" s="106"/>
      <c r="C1271" s="232"/>
      <c r="D1271" s="261"/>
      <c r="E1271" s="133"/>
      <c r="F1271" s="8"/>
      <c r="G1271" s="55"/>
      <c r="H1271" s="55"/>
      <c r="I1271" s="55"/>
      <c r="J1271" s="55"/>
      <c r="K1271" s="65"/>
      <c r="L1271" s="65"/>
      <c r="M1271" s="65"/>
      <c r="N1271" s="537"/>
      <c r="O1271"/>
      <c r="P1271" s="260"/>
      <c r="Q1271"/>
      <c r="R1271"/>
    </row>
    <row r="1272" spans="2:18" x14ac:dyDescent="0.2">
      <c r="B1272" s="106"/>
      <c r="C1272" s="232"/>
      <c r="D1272" s="261"/>
      <c r="E1272" s="133"/>
      <c r="F1272" s="8"/>
      <c r="G1272" s="55"/>
      <c r="H1272" s="55"/>
      <c r="I1272" s="55"/>
      <c r="J1272" s="55"/>
      <c r="K1272" s="65"/>
      <c r="L1272" s="65"/>
      <c r="M1272" s="65"/>
      <c r="N1272" s="537"/>
      <c r="O1272"/>
      <c r="P1272" s="260"/>
      <c r="Q1272"/>
      <c r="R1272"/>
    </row>
    <row r="1273" spans="2:18" x14ac:dyDescent="0.2">
      <c r="B1273" s="106"/>
      <c r="C1273" s="232"/>
      <c r="D1273" s="261"/>
      <c r="E1273" s="133"/>
      <c r="F1273" s="8"/>
      <c r="G1273" s="55"/>
      <c r="H1273" s="55"/>
      <c r="I1273" s="55"/>
      <c r="J1273" s="55"/>
      <c r="K1273" s="65"/>
      <c r="L1273" s="65"/>
      <c r="M1273" s="65"/>
      <c r="N1273" s="537"/>
      <c r="O1273"/>
      <c r="P1273" s="260"/>
      <c r="Q1273"/>
      <c r="R1273"/>
    </row>
    <row r="1274" spans="2:18" x14ac:dyDescent="0.2">
      <c r="B1274" s="106"/>
      <c r="C1274" s="232"/>
      <c r="D1274" s="261"/>
      <c r="E1274" s="133"/>
      <c r="F1274" s="8"/>
      <c r="G1274" s="55"/>
      <c r="H1274" s="55"/>
      <c r="I1274" s="55"/>
      <c r="J1274" s="55"/>
      <c r="K1274" s="65"/>
      <c r="L1274" s="65"/>
      <c r="M1274" s="65"/>
      <c r="N1274" s="537"/>
      <c r="O1274"/>
      <c r="P1274" s="260"/>
      <c r="Q1274"/>
      <c r="R1274"/>
    </row>
    <row r="1275" spans="2:18" x14ac:dyDescent="0.2">
      <c r="B1275" s="106"/>
      <c r="C1275" s="232"/>
      <c r="D1275" s="261"/>
      <c r="E1275" s="133"/>
      <c r="F1275" s="8"/>
      <c r="G1275" s="55"/>
      <c r="H1275" s="55"/>
      <c r="I1275" s="55"/>
      <c r="J1275" s="55"/>
      <c r="K1275" s="65"/>
      <c r="L1275" s="65"/>
      <c r="M1275" s="65"/>
      <c r="N1275" s="537"/>
      <c r="O1275"/>
      <c r="P1275" s="260"/>
      <c r="Q1275"/>
      <c r="R1275"/>
    </row>
    <row r="1276" spans="2:18" x14ac:dyDescent="0.2">
      <c r="B1276" s="106"/>
      <c r="C1276" s="232"/>
      <c r="D1276" s="261"/>
      <c r="E1276" s="133"/>
      <c r="F1276" s="8"/>
      <c r="G1276" s="55"/>
      <c r="H1276" s="55"/>
      <c r="I1276" s="55"/>
      <c r="J1276" s="55"/>
      <c r="K1276" s="65"/>
      <c r="L1276" s="65"/>
      <c r="M1276" s="65"/>
      <c r="N1276" s="537"/>
      <c r="O1276"/>
      <c r="P1276" s="260"/>
      <c r="Q1276"/>
      <c r="R1276"/>
    </row>
    <row r="1277" spans="2:18" x14ac:dyDescent="0.2">
      <c r="B1277" s="106"/>
      <c r="C1277" s="232"/>
      <c r="D1277" s="261"/>
      <c r="E1277" s="133"/>
      <c r="F1277" s="8"/>
      <c r="G1277" s="55"/>
      <c r="H1277" s="55"/>
      <c r="I1277" s="55"/>
      <c r="J1277" s="55"/>
      <c r="K1277" s="65"/>
      <c r="L1277" s="65"/>
      <c r="M1277" s="65"/>
      <c r="N1277" s="537"/>
      <c r="O1277"/>
      <c r="P1277" s="260"/>
      <c r="Q1277"/>
      <c r="R1277"/>
    </row>
    <row r="1278" spans="2:18" x14ac:dyDescent="0.2">
      <c r="B1278" s="106"/>
      <c r="C1278" s="232"/>
      <c r="D1278" s="261"/>
      <c r="E1278" s="133"/>
      <c r="F1278" s="8"/>
      <c r="G1278" s="55"/>
      <c r="H1278" s="55"/>
      <c r="I1278" s="55"/>
      <c r="J1278" s="55"/>
      <c r="K1278" s="65"/>
      <c r="L1278" s="65"/>
      <c r="M1278" s="65"/>
      <c r="N1278" s="537"/>
      <c r="O1278"/>
      <c r="P1278" s="260"/>
      <c r="Q1278"/>
      <c r="R1278"/>
    </row>
    <row r="1279" spans="2:18" x14ac:dyDescent="0.2">
      <c r="B1279" s="106"/>
      <c r="C1279" s="232"/>
      <c r="D1279" s="261"/>
      <c r="E1279" s="133"/>
      <c r="F1279" s="8"/>
      <c r="G1279" s="55"/>
      <c r="H1279" s="55"/>
      <c r="I1279" s="55"/>
      <c r="J1279" s="55"/>
      <c r="K1279" s="65"/>
      <c r="L1279" s="65"/>
      <c r="M1279" s="65"/>
      <c r="N1279" s="537"/>
      <c r="O1279"/>
      <c r="P1279" s="260"/>
      <c r="Q1279"/>
      <c r="R1279"/>
    </row>
    <row r="1280" spans="2:18" x14ac:dyDescent="0.2">
      <c r="B1280" s="106"/>
      <c r="C1280" s="232"/>
      <c r="D1280" s="261"/>
      <c r="E1280" s="133"/>
      <c r="F1280" s="8"/>
      <c r="G1280" s="55"/>
      <c r="H1280" s="55"/>
      <c r="I1280" s="55"/>
      <c r="J1280" s="55"/>
      <c r="K1280" s="65"/>
      <c r="L1280" s="65"/>
      <c r="M1280" s="65"/>
      <c r="N1280" s="537"/>
      <c r="O1280"/>
      <c r="P1280" s="260"/>
      <c r="Q1280"/>
      <c r="R1280"/>
    </row>
    <row r="1281" spans="2:18" x14ac:dyDescent="0.2">
      <c r="B1281" s="106"/>
      <c r="C1281" s="232"/>
      <c r="D1281" s="261"/>
      <c r="E1281" s="133"/>
      <c r="F1281" s="8"/>
      <c r="G1281" s="55"/>
      <c r="H1281" s="55"/>
      <c r="I1281" s="55"/>
      <c r="J1281" s="55"/>
      <c r="K1281" s="65"/>
      <c r="L1281" s="65"/>
      <c r="M1281" s="65"/>
      <c r="N1281" s="537"/>
      <c r="O1281"/>
      <c r="P1281" s="260"/>
      <c r="Q1281"/>
      <c r="R1281"/>
    </row>
    <row r="1282" spans="2:18" x14ac:dyDescent="0.2">
      <c r="B1282" s="106"/>
      <c r="C1282" s="232"/>
      <c r="D1282" s="261"/>
      <c r="E1282" s="133"/>
      <c r="F1282" s="8"/>
      <c r="G1282" s="55"/>
      <c r="H1282" s="55"/>
      <c r="I1282" s="55"/>
      <c r="J1282" s="55"/>
      <c r="K1282" s="65"/>
      <c r="L1282" s="65"/>
      <c r="M1282" s="65"/>
      <c r="N1282" s="537"/>
      <c r="O1282"/>
      <c r="P1282" s="260"/>
      <c r="Q1282"/>
      <c r="R1282"/>
    </row>
    <row r="1283" spans="2:18" x14ac:dyDescent="0.2">
      <c r="B1283" s="106"/>
      <c r="C1283" s="232"/>
      <c r="D1283" s="261"/>
      <c r="E1283" s="133"/>
      <c r="F1283" s="8"/>
      <c r="G1283" s="55"/>
      <c r="H1283" s="55"/>
      <c r="I1283" s="55"/>
      <c r="J1283" s="55"/>
      <c r="K1283" s="65"/>
      <c r="L1283" s="65"/>
      <c r="M1283" s="65"/>
      <c r="N1283" s="537"/>
      <c r="O1283"/>
      <c r="P1283" s="260"/>
      <c r="Q1283"/>
      <c r="R1283"/>
    </row>
    <row r="1284" spans="2:18" x14ac:dyDescent="0.2">
      <c r="B1284" s="106"/>
      <c r="C1284" s="232"/>
      <c r="D1284" s="261"/>
      <c r="E1284" s="133"/>
      <c r="F1284" s="8"/>
      <c r="G1284" s="55"/>
      <c r="H1284" s="55"/>
      <c r="I1284" s="55"/>
      <c r="J1284" s="55"/>
      <c r="K1284" s="65"/>
      <c r="L1284" s="65"/>
      <c r="M1284" s="65"/>
      <c r="N1284" s="537"/>
      <c r="O1284"/>
      <c r="P1284" s="260"/>
      <c r="Q1284"/>
      <c r="R1284"/>
    </row>
    <row r="1285" spans="2:18" x14ac:dyDescent="0.2">
      <c r="B1285" s="106"/>
      <c r="C1285" s="232"/>
      <c r="D1285" s="261"/>
      <c r="E1285" s="133"/>
      <c r="F1285" s="8"/>
      <c r="G1285" s="55"/>
      <c r="H1285" s="55"/>
      <c r="I1285" s="55"/>
      <c r="J1285" s="55"/>
      <c r="K1285" s="65"/>
      <c r="L1285" s="65"/>
      <c r="M1285" s="65"/>
      <c r="N1285" s="537"/>
      <c r="O1285"/>
      <c r="P1285" s="260"/>
      <c r="Q1285"/>
      <c r="R1285"/>
    </row>
    <row r="1286" spans="2:18" x14ac:dyDescent="0.2">
      <c r="B1286" s="106"/>
      <c r="C1286" s="232"/>
      <c r="D1286" s="261"/>
      <c r="E1286" s="133"/>
      <c r="F1286" s="8"/>
      <c r="G1286" s="55"/>
      <c r="H1286" s="55"/>
      <c r="I1286" s="55"/>
      <c r="J1286" s="55"/>
      <c r="K1286" s="65"/>
      <c r="L1286" s="65"/>
      <c r="M1286" s="65"/>
      <c r="N1286" s="537"/>
      <c r="O1286"/>
      <c r="P1286" s="260"/>
      <c r="Q1286"/>
      <c r="R1286"/>
    </row>
    <row r="1287" spans="2:18" x14ac:dyDescent="0.2">
      <c r="B1287" s="106"/>
      <c r="C1287" s="232"/>
      <c r="D1287" s="261"/>
      <c r="E1287" s="133"/>
      <c r="F1287" s="8"/>
      <c r="G1287" s="55"/>
      <c r="H1287" s="55"/>
      <c r="I1287" s="55"/>
      <c r="J1287" s="55"/>
      <c r="K1287" s="65"/>
      <c r="L1287" s="65"/>
      <c r="M1287" s="65"/>
      <c r="N1287" s="537"/>
      <c r="O1287"/>
      <c r="P1287" s="260"/>
      <c r="Q1287"/>
      <c r="R1287"/>
    </row>
    <row r="1288" spans="2:18" x14ac:dyDescent="0.2">
      <c r="B1288" s="106"/>
      <c r="C1288" s="232"/>
      <c r="D1288" s="261"/>
      <c r="E1288" s="133"/>
      <c r="F1288" s="8"/>
      <c r="G1288" s="55"/>
      <c r="H1288" s="55"/>
      <c r="I1288" s="55"/>
      <c r="J1288" s="55"/>
      <c r="K1288" s="65"/>
      <c r="L1288" s="65"/>
      <c r="M1288" s="65"/>
      <c r="N1288" s="537"/>
      <c r="O1288"/>
      <c r="P1288" s="260"/>
      <c r="Q1288"/>
      <c r="R1288"/>
    </row>
    <row r="1289" spans="2:18" x14ac:dyDescent="0.2">
      <c r="B1289" s="106"/>
      <c r="C1289" s="232"/>
      <c r="D1289" s="261"/>
      <c r="E1289" s="133"/>
      <c r="F1289" s="8"/>
      <c r="G1289" s="55"/>
      <c r="H1289" s="55"/>
      <c r="I1289" s="55"/>
      <c r="J1289" s="55"/>
      <c r="K1289" s="65"/>
      <c r="L1289" s="65"/>
      <c r="M1289" s="65"/>
      <c r="N1289" s="537"/>
      <c r="O1289"/>
      <c r="P1289" s="260"/>
      <c r="Q1289"/>
      <c r="R1289"/>
    </row>
    <row r="1290" spans="2:18" x14ac:dyDescent="0.2">
      <c r="B1290" s="106"/>
      <c r="C1290" s="232"/>
      <c r="D1290" s="261"/>
      <c r="E1290" s="133"/>
      <c r="F1290" s="8"/>
      <c r="G1290" s="55"/>
      <c r="H1290" s="55"/>
      <c r="I1290" s="55"/>
      <c r="J1290" s="55"/>
      <c r="K1290" s="65"/>
      <c r="L1290" s="65"/>
      <c r="M1290" s="65"/>
      <c r="N1290" s="537"/>
      <c r="O1290"/>
      <c r="P1290" s="260"/>
      <c r="Q1290"/>
      <c r="R1290"/>
    </row>
    <row r="1291" spans="2:18" x14ac:dyDescent="0.2">
      <c r="B1291" s="106"/>
      <c r="C1291" s="232"/>
      <c r="D1291" s="261"/>
      <c r="E1291" s="133"/>
      <c r="F1291" s="8"/>
      <c r="G1291" s="55"/>
      <c r="H1291" s="55"/>
      <c r="I1291" s="55"/>
      <c r="J1291" s="55"/>
      <c r="K1291" s="65"/>
      <c r="L1291" s="65"/>
      <c r="M1291" s="65"/>
      <c r="N1291" s="537"/>
      <c r="O1291"/>
      <c r="P1291" s="260"/>
      <c r="Q1291"/>
      <c r="R1291"/>
    </row>
    <row r="1292" spans="2:18" x14ac:dyDescent="0.2">
      <c r="B1292" s="106"/>
      <c r="C1292" s="232"/>
      <c r="D1292" s="261"/>
      <c r="E1292" s="133"/>
      <c r="F1292" s="8"/>
      <c r="G1292" s="55"/>
      <c r="H1292" s="55"/>
      <c r="I1292" s="55"/>
      <c r="J1292" s="55"/>
      <c r="K1292" s="65"/>
      <c r="L1292" s="65"/>
      <c r="M1292" s="65"/>
      <c r="N1292" s="537"/>
      <c r="O1292"/>
      <c r="P1292" s="260"/>
      <c r="Q1292"/>
      <c r="R1292"/>
    </row>
    <row r="1293" spans="2:18" x14ac:dyDescent="0.2">
      <c r="B1293" s="106"/>
      <c r="C1293" s="232"/>
      <c r="D1293" s="261"/>
      <c r="E1293" s="133"/>
      <c r="F1293" s="8"/>
      <c r="G1293" s="55"/>
      <c r="H1293" s="55"/>
      <c r="I1293" s="55"/>
      <c r="J1293" s="55"/>
      <c r="K1293" s="65"/>
      <c r="L1293" s="65"/>
      <c r="M1293" s="65"/>
      <c r="N1293" s="537"/>
      <c r="O1293"/>
      <c r="P1293" s="260"/>
      <c r="Q1293"/>
      <c r="R1293"/>
    </row>
    <row r="1294" spans="2:18" x14ac:dyDescent="0.2">
      <c r="B1294" s="106"/>
      <c r="C1294" s="232"/>
      <c r="D1294" s="261"/>
      <c r="E1294" s="133"/>
      <c r="F1294" s="8"/>
      <c r="G1294" s="55"/>
      <c r="H1294" s="55"/>
      <c r="I1294" s="55"/>
      <c r="J1294" s="55"/>
      <c r="K1294" s="65"/>
      <c r="L1294" s="65"/>
      <c r="M1294" s="65"/>
      <c r="N1294" s="537"/>
      <c r="O1294"/>
      <c r="P1294" s="260"/>
      <c r="Q1294"/>
      <c r="R1294"/>
    </row>
    <row r="1295" spans="2:18" x14ac:dyDescent="0.2">
      <c r="B1295" s="106"/>
      <c r="C1295" s="232"/>
      <c r="D1295" s="261"/>
      <c r="E1295" s="133"/>
      <c r="F1295" s="8"/>
      <c r="G1295" s="55"/>
      <c r="H1295" s="55"/>
      <c r="I1295" s="55"/>
      <c r="J1295" s="55"/>
      <c r="K1295" s="65"/>
      <c r="L1295" s="65"/>
      <c r="M1295" s="65"/>
      <c r="N1295" s="537"/>
      <c r="O1295"/>
      <c r="P1295" s="260"/>
      <c r="Q1295"/>
      <c r="R1295"/>
    </row>
    <row r="1296" spans="2:18" x14ac:dyDescent="0.2">
      <c r="B1296" s="106"/>
      <c r="C1296" s="232"/>
      <c r="D1296" s="261"/>
      <c r="E1296" s="133"/>
      <c r="F1296" s="8"/>
      <c r="G1296" s="55"/>
      <c r="H1296" s="55"/>
      <c r="I1296" s="55"/>
      <c r="J1296" s="55"/>
      <c r="K1296" s="65"/>
      <c r="L1296" s="65"/>
      <c r="M1296" s="65"/>
      <c r="N1296" s="537"/>
      <c r="O1296"/>
      <c r="P1296" s="260"/>
      <c r="Q1296"/>
      <c r="R1296"/>
    </row>
    <row r="1297" spans="2:18" x14ac:dyDescent="0.2">
      <c r="B1297" s="106"/>
      <c r="C1297" s="232"/>
      <c r="D1297" s="261"/>
      <c r="E1297" s="133"/>
      <c r="F1297" s="8"/>
      <c r="G1297" s="55"/>
      <c r="H1297" s="55"/>
      <c r="I1297" s="55"/>
      <c r="J1297" s="55"/>
      <c r="K1297" s="65"/>
      <c r="L1297" s="65"/>
      <c r="M1297" s="65"/>
      <c r="N1297" s="537"/>
      <c r="O1297"/>
      <c r="P1297" s="260"/>
      <c r="Q1297"/>
      <c r="R1297"/>
    </row>
    <row r="1298" spans="2:18" x14ac:dyDescent="0.2">
      <c r="B1298" s="106"/>
      <c r="C1298" s="232"/>
      <c r="D1298" s="261"/>
      <c r="E1298" s="133"/>
      <c r="F1298" s="8"/>
      <c r="G1298" s="55"/>
      <c r="H1298" s="55"/>
      <c r="I1298" s="55"/>
      <c r="J1298" s="55"/>
      <c r="K1298" s="65"/>
      <c r="L1298" s="65"/>
      <c r="M1298" s="65"/>
      <c r="N1298" s="537"/>
      <c r="O1298"/>
      <c r="P1298" s="260"/>
      <c r="Q1298"/>
      <c r="R1298"/>
    </row>
    <row r="1299" spans="2:18" x14ac:dyDescent="0.2">
      <c r="B1299" s="106"/>
      <c r="C1299" s="232"/>
      <c r="D1299" s="261"/>
      <c r="E1299" s="133"/>
      <c r="F1299" s="8"/>
      <c r="G1299" s="55"/>
      <c r="H1299" s="55"/>
      <c r="I1299" s="55"/>
      <c r="J1299" s="55"/>
      <c r="K1299" s="65"/>
      <c r="L1299" s="65"/>
      <c r="M1299" s="65"/>
      <c r="N1299" s="537"/>
      <c r="O1299"/>
      <c r="P1299" s="260"/>
      <c r="Q1299"/>
      <c r="R1299"/>
    </row>
    <row r="1300" spans="2:18" x14ac:dyDescent="0.2">
      <c r="B1300" s="106"/>
      <c r="C1300" s="232"/>
      <c r="D1300" s="261"/>
      <c r="E1300" s="133"/>
      <c r="F1300" s="8"/>
      <c r="G1300" s="55"/>
      <c r="H1300" s="55"/>
      <c r="I1300" s="55"/>
      <c r="J1300" s="55"/>
      <c r="K1300" s="65"/>
      <c r="L1300" s="65"/>
      <c r="M1300" s="65"/>
      <c r="N1300" s="537"/>
      <c r="O1300"/>
      <c r="P1300" s="260"/>
      <c r="Q1300"/>
      <c r="R1300"/>
    </row>
    <row r="1301" spans="2:18" x14ac:dyDescent="0.2">
      <c r="B1301" s="106"/>
      <c r="C1301" s="232"/>
      <c r="D1301" s="261"/>
      <c r="E1301" s="133"/>
      <c r="F1301" s="8"/>
      <c r="G1301" s="55"/>
      <c r="H1301" s="55"/>
      <c r="I1301" s="55"/>
      <c r="J1301" s="55"/>
      <c r="K1301" s="65"/>
      <c r="L1301" s="65"/>
      <c r="M1301" s="65"/>
      <c r="N1301" s="537"/>
      <c r="O1301"/>
      <c r="P1301" s="260"/>
      <c r="Q1301"/>
      <c r="R1301"/>
    </row>
    <row r="1302" spans="2:18" x14ac:dyDescent="0.2">
      <c r="B1302" s="106"/>
      <c r="C1302" s="232"/>
      <c r="D1302" s="261"/>
      <c r="E1302" s="133"/>
      <c r="F1302" s="8"/>
      <c r="G1302" s="55"/>
      <c r="H1302" s="55"/>
      <c r="I1302" s="55"/>
      <c r="J1302" s="55"/>
      <c r="K1302" s="65"/>
      <c r="L1302" s="65"/>
      <c r="M1302" s="65"/>
      <c r="N1302" s="537"/>
      <c r="O1302"/>
      <c r="P1302" s="260"/>
      <c r="Q1302"/>
      <c r="R1302"/>
    </row>
    <row r="1303" spans="2:18" x14ac:dyDescent="0.2">
      <c r="B1303" s="106"/>
      <c r="C1303" s="232"/>
      <c r="D1303" s="261"/>
      <c r="E1303" s="133"/>
      <c r="F1303" s="8"/>
      <c r="G1303" s="55"/>
      <c r="H1303" s="55"/>
      <c r="I1303" s="55"/>
      <c r="J1303" s="55"/>
      <c r="K1303" s="65"/>
      <c r="L1303" s="65"/>
      <c r="M1303" s="65"/>
      <c r="N1303" s="537"/>
      <c r="O1303"/>
      <c r="P1303" s="260"/>
      <c r="Q1303"/>
      <c r="R1303"/>
    </row>
    <row r="1304" spans="2:18" x14ac:dyDescent="0.2">
      <c r="B1304" s="106"/>
      <c r="C1304" s="232"/>
      <c r="D1304" s="261"/>
      <c r="E1304" s="133"/>
      <c r="F1304" s="8"/>
      <c r="G1304" s="55"/>
      <c r="H1304" s="55"/>
      <c r="I1304" s="55"/>
      <c r="J1304" s="55"/>
      <c r="K1304" s="65"/>
      <c r="L1304" s="65"/>
      <c r="M1304" s="65"/>
      <c r="N1304" s="537"/>
      <c r="O1304"/>
      <c r="P1304" s="260"/>
      <c r="Q1304"/>
      <c r="R1304"/>
    </row>
    <row r="1305" spans="2:18" x14ac:dyDescent="0.2">
      <c r="B1305" s="106"/>
      <c r="C1305" s="232"/>
      <c r="D1305" s="261"/>
      <c r="E1305" s="133"/>
      <c r="F1305" s="8"/>
      <c r="G1305" s="55"/>
      <c r="H1305" s="55"/>
      <c r="I1305" s="55"/>
      <c r="J1305" s="55"/>
      <c r="K1305" s="65"/>
      <c r="L1305" s="65"/>
      <c r="M1305" s="65"/>
      <c r="N1305" s="537"/>
      <c r="O1305"/>
      <c r="P1305" s="260"/>
      <c r="Q1305"/>
      <c r="R1305"/>
    </row>
    <row r="1306" spans="2:18" x14ac:dyDescent="0.2">
      <c r="B1306" s="106"/>
      <c r="C1306" s="232"/>
      <c r="D1306" s="261"/>
      <c r="E1306" s="133"/>
      <c r="F1306" s="8"/>
      <c r="G1306" s="55"/>
      <c r="H1306" s="55"/>
      <c r="I1306" s="55"/>
      <c r="J1306" s="55"/>
      <c r="K1306" s="65"/>
      <c r="L1306" s="65"/>
      <c r="M1306" s="65"/>
      <c r="N1306" s="537"/>
      <c r="O1306"/>
      <c r="P1306" s="260"/>
      <c r="Q1306"/>
      <c r="R1306"/>
    </row>
    <row r="1307" spans="2:18" x14ac:dyDescent="0.2">
      <c r="B1307" s="106"/>
      <c r="C1307" s="232"/>
      <c r="D1307" s="261"/>
      <c r="E1307" s="133"/>
      <c r="F1307" s="8"/>
      <c r="G1307" s="55"/>
      <c r="H1307" s="55"/>
      <c r="I1307" s="55"/>
      <c r="J1307" s="55"/>
      <c r="K1307" s="65"/>
      <c r="L1307" s="65"/>
      <c r="M1307" s="65"/>
      <c r="N1307" s="537"/>
      <c r="O1307"/>
      <c r="P1307" s="260"/>
      <c r="Q1307"/>
      <c r="R1307"/>
    </row>
    <row r="1308" spans="2:18" x14ac:dyDescent="0.2">
      <c r="B1308" s="106"/>
      <c r="C1308" s="232"/>
      <c r="D1308" s="261"/>
      <c r="E1308" s="133"/>
      <c r="F1308" s="8"/>
      <c r="G1308" s="55"/>
      <c r="H1308" s="55"/>
      <c r="I1308" s="55"/>
      <c r="J1308" s="55"/>
      <c r="K1308" s="65"/>
      <c r="L1308" s="65"/>
      <c r="M1308" s="65"/>
      <c r="N1308" s="537"/>
      <c r="O1308"/>
      <c r="P1308" s="260"/>
      <c r="Q1308"/>
      <c r="R1308"/>
    </row>
    <row r="1309" spans="2:18" x14ac:dyDescent="0.2">
      <c r="B1309" s="106"/>
      <c r="C1309" s="232"/>
      <c r="D1309" s="261"/>
      <c r="E1309" s="133"/>
      <c r="F1309" s="8"/>
      <c r="G1309" s="55"/>
      <c r="H1309" s="55"/>
      <c r="I1309" s="55"/>
      <c r="J1309" s="55"/>
      <c r="K1309" s="65"/>
      <c r="L1309" s="65"/>
      <c r="M1309" s="65"/>
      <c r="N1309" s="537"/>
      <c r="O1309"/>
      <c r="P1309" s="260"/>
      <c r="Q1309"/>
      <c r="R1309"/>
    </row>
    <row r="1310" spans="2:18" x14ac:dyDescent="0.2">
      <c r="B1310" s="106"/>
      <c r="C1310" s="232"/>
      <c r="D1310" s="261"/>
      <c r="E1310" s="133"/>
      <c r="F1310" s="8"/>
      <c r="G1310" s="55"/>
      <c r="H1310" s="55"/>
      <c r="I1310" s="55"/>
      <c r="J1310" s="55"/>
      <c r="K1310" s="65"/>
      <c r="L1310" s="65"/>
      <c r="M1310" s="65"/>
      <c r="N1310" s="537"/>
      <c r="O1310"/>
      <c r="P1310" s="260"/>
      <c r="Q1310"/>
      <c r="R1310"/>
    </row>
    <row r="1311" spans="2:18" x14ac:dyDescent="0.2">
      <c r="B1311" s="106"/>
      <c r="C1311" s="232"/>
      <c r="D1311" s="261"/>
      <c r="E1311" s="133"/>
      <c r="F1311" s="8"/>
      <c r="G1311" s="55"/>
      <c r="H1311" s="55"/>
      <c r="I1311" s="55"/>
      <c r="J1311" s="55"/>
      <c r="K1311" s="65"/>
      <c r="L1311" s="65"/>
      <c r="M1311" s="65"/>
      <c r="N1311" s="537"/>
      <c r="O1311"/>
      <c r="P1311" s="260"/>
      <c r="Q1311"/>
      <c r="R1311"/>
    </row>
    <row r="1312" spans="2:18" x14ac:dyDescent="0.2">
      <c r="B1312" s="106"/>
      <c r="C1312" s="232"/>
      <c r="D1312" s="261"/>
      <c r="E1312" s="133"/>
      <c r="F1312" s="8"/>
      <c r="G1312" s="55"/>
      <c r="H1312" s="55"/>
      <c r="I1312" s="55"/>
      <c r="J1312" s="55"/>
      <c r="K1312" s="65"/>
      <c r="L1312" s="65"/>
      <c r="M1312" s="65"/>
      <c r="N1312" s="537"/>
      <c r="O1312"/>
      <c r="P1312" s="260"/>
      <c r="Q1312"/>
      <c r="R1312"/>
    </row>
    <row r="1313" spans="2:18" x14ac:dyDescent="0.2">
      <c r="B1313" s="106"/>
      <c r="C1313" s="232"/>
      <c r="D1313" s="261"/>
      <c r="E1313" s="133"/>
      <c r="F1313" s="8"/>
      <c r="G1313" s="55"/>
      <c r="H1313" s="55"/>
      <c r="I1313" s="55"/>
      <c r="J1313" s="55"/>
      <c r="K1313" s="65"/>
      <c r="L1313" s="65"/>
      <c r="M1313" s="65"/>
      <c r="N1313" s="537"/>
      <c r="O1313"/>
      <c r="P1313" s="260"/>
      <c r="Q1313"/>
      <c r="R1313"/>
    </row>
    <row r="1314" spans="2:18" x14ac:dyDescent="0.2">
      <c r="B1314" s="106"/>
      <c r="C1314" s="232"/>
      <c r="D1314" s="261"/>
      <c r="E1314" s="133"/>
      <c r="F1314" s="8"/>
      <c r="G1314" s="55"/>
      <c r="H1314" s="55"/>
      <c r="I1314" s="55"/>
      <c r="J1314" s="55"/>
      <c r="K1314" s="65"/>
      <c r="L1314" s="65"/>
      <c r="M1314" s="65"/>
      <c r="N1314" s="537"/>
      <c r="O1314"/>
      <c r="P1314" s="260"/>
      <c r="Q1314"/>
      <c r="R1314"/>
    </row>
    <row r="1315" spans="2:18" x14ac:dyDescent="0.2">
      <c r="B1315" s="106"/>
      <c r="C1315" s="232"/>
      <c r="D1315" s="261"/>
      <c r="E1315" s="133"/>
      <c r="F1315" s="8"/>
      <c r="G1315" s="55"/>
      <c r="H1315" s="55"/>
      <c r="I1315" s="55"/>
      <c r="J1315" s="55"/>
      <c r="K1315" s="65"/>
      <c r="L1315" s="65"/>
      <c r="M1315" s="65"/>
      <c r="N1315" s="537"/>
      <c r="O1315"/>
      <c r="P1315" s="260"/>
      <c r="Q1315"/>
      <c r="R1315"/>
    </row>
    <row r="1316" spans="2:18" x14ac:dyDescent="0.2">
      <c r="B1316" s="106"/>
      <c r="C1316" s="232"/>
      <c r="D1316" s="261"/>
      <c r="E1316" s="133"/>
      <c r="F1316" s="8"/>
      <c r="G1316" s="55"/>
      <c r="H1316" s="55"/>
      <c r="I1316" s="55"/>
      <c r="J1316" s="55"/>
      <c r="K1316" s="65"/>
      <c r="L1316" s="65"/>
      <c r="M1316" s="65"/>
      <c r="N1316" s="537"/>
      <c r="O1316"/>
      <c r="P1316" s="260"/>
      <c r="Q1316"/>
      <c r="R1316"/>
    </row>
    <row r="1317" spans="2:18" x14ac:dyDescent="0.2">
      <c r="B1317" s="106"/>
      <c r="C1317" s="232"/>
      <c r="D1317" s="261"/>
      <c r="E1317" s="133"/>
      <c r="F1317" s="8"/>
      <c r="G1317" s="55"/>
      <c r="H1317" s="55"/>
      <c r="I1317" s="55"/>
      <c r="J1317" s="55"/>
      <c r="K1317" s="65"/>
      <c r="L1317" s="65"/>
      <c r="M1317" s="65"/>
      <c r="N1317" s="537"/>
      <c r="O1317"/>
      <c r="P1317" s="260"/>
      <c r="Q1317"/>
      <c r="R1317"/>
    </row>
    <row r="1318" spans="2:18" x14ac:dyDescent="0.2">
      <c r="B1318" s="106"/>
      <c r="C1318" s="232"/>
      <c r="D1318" s="261"/>
      <c r="E1318" s="133"/>
      <c r="F1318" s="8"/>
      <c r="G1318" s="55"/>
      <c r="H1318" s="55"/>
      <c r="I1318" s="55"/>
      <c r="J1318" s="55"/>
      <c r="K1318" s="65"/>
      <c r="L1318" s="65"/>
      <c r="M1318" s="65"/>
      <c r="N1318" s="537"/>
      <c r="O1318"/>
      <c r="P1318" s="260"/>
      <c r="Q1318"/>
      <c r="R1318"/>
    </row>
    <row r="1319" spans="2:18" x14ac:dyDescent="0.2">
      <c r="B1319" s="106"/>
      <c r="C1319" s="232"/>
      <c r="D1319" s="261"/>
      <c r="E1319" s="133"/>
      <c r="F1319" s="8"/>
      <c r="G1319" s="55"/>
      <c r="H1319" s="55"/>
      <c r="I1319" s="55"/>
      <c r="J1319" s="55"/>
      <c r="K1319" s="65"/>
      <c r="L1319" s="65"/>
      <c r="M1319" s="65"/>
      <c r="N1319" s="537"/>
      <c r="O1319"/>
      <c r="P1319" s="260"/>
      <c r="Q1319"/>
      <c r="R1319"/>
    </row>
    <row r="1320" spans="2:18" x14ac:dyDescent="0.2">
      <c r="B1320" s="106"/>
      <c r="C1320" s="232"/>
      <c r="D1320" s="261"/>
      <c r="E1320" s="133"/>
      <c r="F1320" s="8"/>
      <c r="G1320" s="55"/>
      <c r="H1320" s="55"/>
      <c r="I1320" s="55"/>
      <c r="J1320" s="55"/>
      <c r="K1320" s="65"/>
      <c r="L1320" s="65"/>
      <c r="M1320" s="65"/>
      <c r="N1320" s="537"/>
      <c r="O1320"/>
      <c r="P1320" s="260"/>
      <c r="Q1320"/>
      <c r="R1320"/>
    </row>
    <row r="1321" spans="2:18" x14ac:dyDescent="0.2">
      <c r="B1321" s="106"/>
      <c r="C1321" s="232"/>
      <c r="D1321" s="261"/>
      <c r="E1321" s="133"/>
      <c r="F1321" s="8"/>
      <c r="G1321" s="55"/>
      <c r="H1321" s="55"/>
      <c r="I1321" s="55"/>
      <c r="J1321" s="55"/>
      <c r="K1321" s="65"/>
      <c r="L1321" s="65"/>
      <c r="M1321" s="65"/>
      <c r="N1321" s="537"/>
      <c r="O1321"/>
      <c r="P1321" s="260"/>
      <c r="Q1321"/>
      <c r="R1321"/>
    </row>
    <row r="1322" spans="2:18" x14ac:dyDescent="0.2">
      <c r="B1322" s="106"/>
      <c r="C1322" s="232"/>
      <c r="D1322" s="261"/>
      <c r="E1322" s="133"/>
      <c r="F1322" s="8"/>
      <c r="G1322" s="55"/>
      <c r="H1322" s="55"/>
      <c r="I1322" s="55"/>
      <c r="J1322" s="55"/>
      <c r="K1322" s="65"/>
      <c r="L1322" s="65"/>
      <c r="M1322" s="65"/>
      <c r="N1322" s="537"/>
      <c r="O1322"/>
      <c r="P1322" s="260"/>
      <c r="Q1322"/>
      <c r="R1322"/>
    </row>
    <row r="1323" spans="2:18" x14ac:dyDescent="0.2">
      <c r="B1323" s="106"/>
      <c r="C1323" s="232"/>
      <c r="D1323" s="261"/>
      <c r="E1323" s="133"/>
      <c r="F1323" s="8"/>
      <c r="G1323" s="55"/>
      <c r="H1323" s="55"/>
      <c r="I1323" s="55"/>
      <c r="J1323" s="55"/>
      <c r="K1323" s="65"/>
      <c r="L1323" s="65"/>
      <c r="M1323" s="65"/>
      <c r="N1323" s="537"/>
      <c r="O1323"/>
      <c r="P1323" s="260"/>
      <c r="Q1323"/>
      <c r="R1323"/>
    </row>
    <row r="1324" spans="2:18" x14ac:dyDescent="0.2">
      <c r="B1324" s="106"/>
      <c r="C1324" s="232"/>
      <c r="D1324" s="261"/>
      <c r="E1324" s="133"/>
      <c r="F1324" s="8"/>
      <c r="G1324" s="55"/>
      <c r="H1324" s="55"/>
      <c r="I1324" s="55"/>
      <c r="J1324" s="55"/>
      <c r="K1324" s="65"/>
      <c r="L1324" s="65"/>
      <c r="M1324" s="65"/>
      <c r="N1324" s="537"/>
      <c r="O1324"/>
      <c r="P1324" s="260"/>
      <c r="Q1324"/>
      <c r="R1324"/>
    </row>
    <row r="1325" spans="2:18" x14ac:dyDescent="0.2">
      <c r="B1325" s="106"/>
      <c r="C1325" s="232"/>
      <c r="D1325" s="261"/>
      <c r="E1325" s="133"/>
      <c r="F1325" s="8"/>
      <c r="G1325" s="55"/>
      <c r="H1325" s="55"/>
      <c r="I1325" s="55"/>
      <c r="J1325" s="55"/>
      <c r="K1325" s="65"/>
      <c r="L1325" s="65"/>
      <c r="M1325" s="65"/>
      <c r="N1325" s="537"/>
      <c r="O1325"/>
      <c r="P1325" s="260"/>
      <c r="Q1325"/>
      <c r="R1325"/>
    </row>
    <row r="1326" spans="2:18" x14ac:dyDescent="0.2">
      <c r="B1326" s="106"/>
      <c r="C1326" s="232"/>
      <c r="D1326" s="261"/>
      <c r="E1326" s="133"/>
      <c r="F1326" s="8"/>
      <c r="G1326" s="55"/>
      <c r="H1326" s="55"/>
      <c r="I1326" s="55"/>
      <c r="J1326" s="55"/>
      <c r="K1326" s="65"/>
      <c r="L1326" s="65"/>
      <c r="M1326" s="65"/>
      <c r="N1326" s="537"/>
      <c r="O1326"/>
      <c r="P1326" s="260"/>
      <c r="Q1326"/>
      <c r="R1326"/>
    </row>
    <row r="1327" spans="2:18" x14ac:dyDescent="0.2">
      <c r="B1327" s="106"/>
      <c r="C1327" s="232"/>
      <c r="D1327" s="261"/>
      <c r="E1327" s="133"/>
      <c r="F1327" s="8"/>
      <c r="G1327" s="55"/>
      <c r="H1327" s="55"/>
      <c r="I1327" s="55"/>
      <c r="J1327" s="55"/>
      <c r="K1327" s="65"/>
      <c r="L1327" s="65"/>
      <c r="M1327" s="65"/>
      <c r="N1327" s="537"/>
      <c r="O1327"/>
      <c r="P1327" s="260"/>
      <c r="Q1327"/>
      <c r="R1327"/>
    </row>
    <row r="1328" spans="2:18" x14ac:dyDescent="0.2">
      <c r="B1328" s="106"/>
      <c r="C1328" s="232"/>
      <c r="D1328" s="261"/>
      <c r="E1328" s="133"/>
      <c r="F1328" s="8"/>
      <c r="G1328" s="55"/>
      <c r="H1328" s="55"/>
      <c r="I1328" s="55"/>
      <c r="J1328" s="55"/>
      <c r="K1328" s="65"/>
      <c r="L1328" s="65"/>
      <c r="M1328" s="65"/>
      <c r="N1328" s="537"/>
      <c r="O1328"/>
      <c r="P1328" s="260"/>
      <c r="Q1328"/>
      <c r="R1328"/>
    </row>
    <row r="1329" spans="2:18" x14ac:dyDescent="0.2">
      <c r="B1329" s="106"/>
      <c r="C1329" s="232"/>
      <c r="D1329" s="261"/>
      <c r="E1329" s="133"/>
      <c r="F1329" s="8"/>
      <c r="G1329" s="55"/>
      <c r="H1329" s="55"/>
      <c r="I1329" s="55"/>
      <c r="J1329" s="55"/>
      <c r="K1329" s="65"/>
      <c r="L1329" s="65"/>
      <c r="M1329" s="65"/>
      <c r="N1329" s="537"/>
      <c r="O1329"/>
      <c r="P1329" s="260"/>
      <c r="Q1329"/>
      <c r="R1329"/>
    </row>
    <row r="1330" spans="2:18" x14ac:dyDescent="0.2">
      <c r="B1330" s="106"/>
      <c r="C1330" s="232"/>
      <c r="D1330" s="261"/>
      <c r="E1330" s="133"/>
      <c r="F1330" s="8"/>
      <c r="G1330" s="55"/>
      <c r="H1330" s="55"/>
      <c r="I1330" s="55"/>
      <c r="J1330" s="55"/>
      <c r="K1330" s="65"/>
      <c r="L1330" s="65"/>
      <c r="M1330" s="65"/>
      <c r="N1330" s="537"/>
      <c r="O1330"/>
      <c r="P1330" s="260"/>
      <c r="Q1330"/>
      <c r="R1330"/>
    </row>
    <row r="1331" spans="2:18" x14ac:dyDescent="0.2">
      <c r="B1331" s="106"/>
      <c r="C1331" s="232"/>
      <c r="D1331" s="261"/>
      <c r="E1331" s="133"/>
      <c r="F1331" s="8"/>
      <c r="G1331" s="55"/>
      <c r="H1331" s="55"/>
      <c r="I1331" s="55"/>
      <c r="J1331" s="55"/>
      <c r="K1331" s="65"/>
      <c r="L1331" s="65"/>
      <c r="M1331" s="65"/>
      <c r="N1331" s="537"/>
      <c r="O1331"/>
      <c r="P1331" s="260"/>
      <c r="Q1331"/>
      <c r="R1331"/>
    </row>
    <row r="1332" spans="2:18" x14ac:dyDescent="0.2">
      <c r="B1332" s="106"/>
      <c r="C1332" s="232"/>
      <c r="D1332" s="261"/>
      <c r="E1332" s="133"/>
      <c r="F1332" s="8"/>
      <c r="G1332" s="55"/>
      <c r="H1332" s="55"/>
      <c r="I1332" s="55"/>
      <c r="J1332" s="55"/>
      <c r="K1332" s="65"/>
      <c r="L1332" s="65"/>
      <c r="M1332" s="65"/>
      <c r="N1332" s="537"/>
      <c r="O1332"/>
      <c r="P1332" s="260"/>
      <c r="Q1332"/>
      <c r="R1332"/>
    </row>
    <row r="1333" spans="2:18" x14ac:dyDescent="0.2">
      <c r="B1333" s="106"/>
      <c r="C1333" s="232"/>
      <c r="D1333" s="261"/>
      <c r="E1333" s="133"/>
      <c r="F1333" s="8"/>
      <c r="G1333" s="55"/>
      <c r="H1333" s="55"/>
      <c r="I1333" s="55"/>
      <c r="J1333" s="55"/>
      <c r="K1333" s="65"/>
      <c r="L1333" s="65"/>
      <c r="M1333" s="65"/>
      <c r="N1333" s="537"/>
      <c r="O1333"/>
      <c r="P1333" s="260"/>
      <c r="Q1333"/>
      <c r="R1333"/>
    </row>
    <row r="1334" spans="2:18" x14ac:dyDescent="0.2">
      <c r="B1334" s="106"/>
      <c r="C1334" s="232"/>
      <c r="D1334" s="261"/>
      <c r="E1334" s="133"/>
      <c r="F1334" s="8"/>
      <c r="G1334" s="55"/>
      <c r="H1334" s="55"/>
      <c r="I1334" s="55"/>
      <c r="J1334" s="55"/>
      <c r="K1334" s="65"/>
      <c r="L1334" s="65"/>
      <c r="M1334" s="65"/>
      <c r="N1334" s="537"/>
      <c r="O1334"/>
      <c r="P1334" s="260"/>
      <c r="Q1334"/>
      <c r="R1334"/>
    </row>
    <row r="1335" spans="2:18" x14ac:dyDescent="0.2">
      <c r="B1335" s="106"/>
      <c r="C1335" s="232"/>
      <c r="D1335" s="261"/>
      <c r="E1335" s="133"/>
      <c r="F1335" s="8"/>
      <c r="G1335" s="55"/>
      <c r="H1335" s="55"/>
      <c r="I1335" s="55"/>
      <c r="J1335" s="55"/>
      <c r="K1335" s="65"/>
      <c r="L1335" s="65"/>
      <c r="M1335" s="65"/>
      <c r="N1335" s="537"/>
      <c r="O1335"/>
      <c r="P1335" s="260"/>
      <c r="Q1335"/>
      <c r="R1335"/>
    </row>
    <row r="1336" spans="2:18" x14ac:dyDescent="0.2">
      <c r="B1336" s="106"/>
      <c r="C1336" s="232"/>
      <c r="D1336" s="261"/>
      <c r="E1336" s="133"/>
      <c r="F1336" s="8"/>
      <c r="G1336" s="55"/>
      <c r="H1336" s="55"/>
      <c r="I1336" s="55"/>
      <c r="J1336" s="55"/>
      <c r="K1336" s="65"/>
      <c r="L1336" s="65"/>
      <c r="M1336" s="65"/>
      <c r="N1336" s="537"/>
      <c r="O1336"/>
      <c r="P1336" s="260"/>
      <c r="Q1336"/>
      <c r="R1336"/>
    </row>
    <row r="1337" spans="2:18" x14ac:dyDescent="0.2">
      <c r="B1337" s="106"/>
      <c r="C1337" s="232"/>
      <c r="D1337" s="261"/>
      <c r="E1337" s="133"/>
      <c r="F1337" s="8"/>
      <c r="G1337" s="55"/>
      <c r="H1337" s="55"/>
      <c r="I1337" s="55"/>
      <c r="J1337" s="55"/>
      <c r="K1337" s="65"/>
      <c r="L1337" s="65"/>
      <c r="M1337" s="65"/>
      <c r="N1337" s="537"/>
      <c r="O1337"/>
      <c r="P1337" s="260"/>
      <c r="Q1337"/>
      <c r="R1337"/>
    </row>
    <row r="1338" spans="2:18" x14ac:dyDescent="0.2">
      <c r="B1338" s="106"/>
      <c r="C1338" s="232"/>
      <c r="D1338" s="261"/>
      <c r="E1338" s="133"/>
      <c r="F1338" s="8"/>
      <c r="G1338" s="55"/>
      <c r="H1338" s="55"/>
      <c r="I1338" s="55"/>
      <c r="J1338" s="55"/>
      <c r="K1338" s="65"/>
      <c r="L1338" s="65"/>
      <c r="M1338" s="65"/>
      <c r="N1338" s="537"/>
      <c r="O1338"/>
      <c r="P1338" s="260"/>
      <c r="Q1338"/>
      <c r="R1338"/>
    </row>
    <row r="1339" spans="2:18" x14ac:dyDescent="0.2">
      <c r="B1339" s="106"/>
      <c r="C1339" s="232"/>
      <c r="D1339" s="261"/>
      <c r="E1339" s="133"/>
      <c r="F1339" s="8"/>
      <c r="G1339" s="55"/>
      <c r="H1339" s="55"/>
      <c r="I1339" s="55"/>
      <c r="J1339" s="55"/>
      <c r="K1339" s="65"/>
      <c r="L1339" s="65"/>
      <c r="M1339" s="65"/>
      <c r="N1339" s="537"/>
      <c r="O1339"/>
      <c r="P1339" s="260"/>
      <c r="Q1339"/>
      <c r="R1339"/>
    </row>
    <row r="1340" spans="2:18" x14ac:dyDescent="0.2">
      <c r="B1340" s="106"/>
      <c r="C1340" s="232"/>
      <c r="D1340" s="261"/>
      <c r="E1340" s="133"/>
      <c r="F1340" s="8"/>
      <c r="G1340" s="55"/>
      <c r="H1340" s="55"/>
      <c r="I1340" s="55"/>
      <c r="J1340" s="55"/>
      <c r="K1340" s="65"/>
      <c r="L1340" s="65"/>
      <c r="M1340" s="65"/>
      <c r="N1340" s="537"/>
      <c r="O1340"/>
      <c r="P1340" s="260"/>
      <c r="Q1340"/>
      <c r="R1340"/>
    </row>
    <row r="1341" spans="2:18" x14ac:dyDescent="0.2">
      <c r="B1341" s="106"/>
      <c r="C1341" s="232"/>
      <c r="D1341" s="261"/>
      <c r="E1341" s="133"/>
      <c r="F1341" s="8"/>
      <c r="G1341" s="55"/>
      <c r="H1341" s="55"/>
      <c r="I1341" s="55"/>
      <c r="J1341" s="55"/>
      <c r="K1341" s="65"/>
      <c r="L1341" s="65"/>
      <c r="M1341" s="65"/>
      <c r="N1341" s="537"/>
      <c r="O1341"/>
      <c r="P1341" s="260"/>
      <c r="Q1341"/>
      <c r="R1341"/>
    </row>
    <row r="1342" spans="2:18" x14ac:dyDescent="0.2">
      <c r="B1342" s="106"/>
      <c r="C1342" s="232"/>
      <c r="D1342" s="261"/>
      <c r="E1342" s="133"/>
      <c r="F1342" s="8"/>
      <c r="G1342" s="55"/>
      <c r="H1342" s="55"/>
      <c r="I1342" s="55"/>
      <c r="J1342" s="55"/>
      <c r="K1342" s="65"/>
      <c r="L1342" s="65"/>
      <c r="M1342" s="65"/>
      <c r="N1342" s="537"/>
      <c r="O1342"/>
      <c r="P1342" s="260"/>
      <c r="Q1342"/>
      <c r="R1342"/>
    </row>
    <row r="1343" spans="2:18" x14ac:dyDescent="0.2">
      <c r="B1343" s="106"/>
      <c r="C1343" s="232"/>
      <c r="D1343" s="261"/>
      <c r="E1343" s="133"/>
      <c r="F1343" s="8"/>
      <c r="G1343" s="55"/>
      <c r="H1343" s="55"/>
      <c r="I1343" s="55"/>
      <c r="J1343" s="55"/>
      <c r="K1343" s="65"/>
      <c r="L1343" s="65"/>
      <c r="M1343" s="65"/>
      <c r="N1343" s="537"/>
      <c r="O1343"/>
      <c r="P1343" s="260"/>
      <c r="Q1343"/>
      <c r="R1343"/>
    </row>
    <row r="1344" spans="2:18" x14ac:dyDescent="0.2">
      <c r="B1344" s="106"/>
      <c r="C1344" s="232"/>
      <c r="D1344" s="261"/>
      <c r="E1344" s="133"/>
      <c r="F1344" s="8"/>
      <c r="G1344" s="55"/>
      <c r="H1344" s="55"/>
      <c r="I1344" s="55"/>
      <c r="J1344" s="55"/>
      <c r="K1344" s="65"/>
      <c r="L1344" s="65"/>
      <c r="M1344" s="65"/>
      <c r="N1344" s="537"/>
      <c r="O1344"/>
      <c r="P1344" s="260"/>
      <c r="Q1344"/>
      <c r="R1344"/>
    </row>
    <row r="1345" spans="2:18" x14ac:dyDescent="0.2">
      <c r="B1345" s="106"/>
      <c r="C1345" s="232"/>
      <c r="D1345" s="261"/>
      <c r="E1345" s="133"/>
      <c r="F1345" s="8"/>
      <c r="G1345" s="55"/>
      <c r="H1345" s="55"/>
      <c r="I1345" s="55"/>
      <c r="J1345" s="55"/>
      <c r="K1345" s="65"/>
      <c r="L1345" s="65"/>
      <c r="M1345" s="65"/>
      <c r="N1345" s="537"/>
      <c r="O1345"/>
      <c r="P1345" s="260"/>
      <c r="Q1345"/>
      <c r="R1345"/>
    </row>
    <row r="1346" spans="2:18" x14ac:dyDescent="0.2">
      <c r="B1346" s="106"/>
      <c r="C1346" s="232"/>
      <c r="D1346" s="261"/>
      <c r="E1346" s="133"/>
      <c r="F1346" s="8"/>
      <c r="G1346" s="55"/>
      <c r="H1346" s="55"/>
      <c r="I1346" s="55"/>
      <c r="J1346" s="55"/>
      <c r="K1346" s="65"/>
      <c r="L1346" s="65"/>
      <c r="M1346" s="65"/>
      <c r="N1346" s="537"/>
      <c r="O1346"/>
      <c r="P1346" s="260"/>
      <c r="Q1346"/>
      <c r="R1346"/>
    </row>
    <row r="1347" spans="2:18" x14ac:dyDescent="0.2">
      <c r="B1347" s="106"/>
      <c r="C1347" s="232"/>
      <c r="D1347" s="261"/>
      <c r="E1347" s="133"/>
      <c r="F1347" s="8"/>
      <c r="G1347" s="55"/>
      <c r="H1347" s="55"/>
      <c r="I1347" s="55"/>
      <c r="J1347" s="55"/>
      <c r="K1347" s="65"/>
      <c r="L1347" s="65"/>
      <c r="M1347" s="65"/>
      <c r="N1347" s="537"/>
      <c r="O1347"/>
      <c r="P1347" s="260"/>
      <c r="Q1347"/>
      <c r="R1347"/>
    </row>
    <row r="1348" spans="2:18" x14ac:dyDescent="0.2">
      <c r="B1348" s="106"/>
      <c r="C1348" s="232"/>
      <c r="D1348" s="261"/>
      <c r="E1348" s="133"/>
      <c r="F1348" s="8"/>
      <c r="G1348" s="55"/>
      <c r="H1348" s="55"/>
      <c r="I1348" s="55"/>
      <c r="J1348" s="55"/>
      <c r="K1348" s="65"/>
      <c r="L1348" s="65"/>
      <c r="M1348" s="65"/>
      <c r="N1348" s="537"/>
      <c r="O1348"/>
      <c r="P1348" s="260"/>
      <c r="Q1348"/>
      <c r="R1348"/>
    </row>
    <row r="1349" spans="2:18" x14ac:dyDescent="0.2">
      <c r="B1349" s="106"/>
      <c r="C1349" s="232"/>
      <c r="D1349" s="261"/>
      <c r="E1349" s="133"/>
      <c r="F1349" s="8"/>
      <c r="G1349" s="55"/>
      <c r="H1349" s="55"/>
      <c r="I1349" s="55"/>
      <c r="J1349" s="55"/>
      <c r="K1349" s="65"/>
      <c r="L1349" s="65"/>
      <c r="M1349" s="65"/>
      <c r="N1349" s="537"/>
      <c r="O1349"/>
      <c r="P1349" s="260"/>
      <c r="Q1349"/>
      <c r="R1349"/>
    </row>
    <row r="1350" spans="2:18" x14ac:dyDescent="0.2">
      <c r="B1350" s="106"/>
      <c r="C1350" s="232"/>
      <c r="D1350" s="261"/>
      <c r="E1350" s="133"/>
      <c r="F1350" s="8"/>
      <c r="G1350" s="55"/>
      <c r="H1350" s="55"/>
      <c r="I1350" s="55"/>
      <c r="J1350" s="55"/>
      <c r="K1350" s="65"/>
      <c r="L1350" s="65"/>
      <c r="M1350" s="65"/>
      <c r="N1350" s="537"/>
      <c r="O1350"/>
      <c r="P1350" s="260"/>
      <c r="Q1350"/>
      <c r="R1350"/>
    </row>
    <row r="1351" spans="2:18" x14ac:dyDescent="0.2">
      <c r="B1351" s="106"/>
      <c r="C1351" s="232"/>
      <c r="D1351" s="261"/>
      <c r="E1351" s="133"/>
      <c r="F1351" s="8"/>
      <c r="G1351" s="55"/>
      <c r="H1351" s="55"/>
      <c r="I1351" s="55"/>
      <c r="J1351" s="55"/>
      <c r="K1351" s="65"/>
      <c r="L1351" s="65"/>
      <c r="M1351" s="65"/>
      <c r="N1351" s="537"/>
      <c r="O1351"/>
      <c r="P1351" s="260"/>
      <c r="Q1351"/>
      <c r="R1351"/>
    </row>
    <row r="1352" spans="2:18" x14ac:dyDescent="0.2">
      <c r="B1352" s="106"/>
      <c r="C1352" s="232"/>
      <c r="D1352" s="261"/>
      <c r="E1352" s="133"/>
      <c r="F1352" s="8"/>
      <c r="G1352" s="55"/>
      <c r="H1352" s="55"/>
      <c r="I1352" s="55"/>
      <c r="J1352" s="55"/>
      <c r="K1352" s="65"/>
      <c r="L1352" s="65"/>
      <c r="M1352" s="65"/>
      <c r="N1352" s="537"/>
      <c r="O1352"/>
      <c r="P1352" s="260"/>
      <c r="Q1352"/>
      <c r="R1352"/>
    </row>
    <row r="1353" spans="2:18" x14ac:dyDescent="0.2">
      <c r="B1353" s="106"/>
      <c r="C1353" s="232"/>
      <c r="D1353" s="261"/>
      <c r="E1353" s="133"/>
      <c r="F1353" s="8"/>
      <c r="G1353" s="55"/>
      <c r="H1353" s="55"/>
      <c r="I1353" s="55"/>
      <c r="J1353" s="55"/>
      <c r="K1353" s="65"/>
      <c r="L1353" s="65"/>
      <c r="M1353" s="65"/>
      <c r="N1353" s="537"/>
      <c r="O1353"/>
      <c r="P1353" s="260"/>
      <c r="Q1353"/>
      <c r="R1353"/>
    </row>
    <row r="1354" spans="2:18" x14ac:dyDescent="0.2">
      <c r="B1354" s="106"/>
      <c r="C1354" s="232"/>
      <c r="D1354" s="261"/>
      <c r="E1354" s="133"/>
      <c r="F1354" s="8"/>
      <c r="G1354" s="55"/>
      <c r="H1354" s="55"/>
      <c r="I1354" s="55"/>
      <c r="J1354" s="55"/>
      <c r="K1354" s="65"/>
      <c r="L1354" s="65"/>
      <c r="M1354" s="65"/>
      <c r="N1354" s="537"/>
      <c r="O1354"/>
      <c r="P1354" s="260"/>
      <c r="Q1354"/>
      <c r="R1354"/>
    </row>
    <row r="1355" spans="2:18" x14ac:dyDescent="0.2">
      <c r="B1355" s="106"/>
      <c r="C1355" s="232"/>
      <c r="D1355" s="261"/>
      <c r="E1355" s="133"/>
      <c r="F1355" s="8"/>
      <c r="G1355" s="55"/>
      <c r="H1355" s="55"/>
      <c r="I1355" s="55"/>
      <c r="J1355" s="55"/>
      <c r="K1355" s="65"/>
      <c r="L1355" s="65"/>
      <c r="M1355" s="65"/>
      <c r="N1355" s="537"/>
      <c r="O1355"/>
      <c r="P1355" s="260"/>
      <c r="Q1355"/>
      <c r="R1355"/>
    </row>
    <row r="1356" spans="2:18" x14ac:dyDescent="0.2">
      <c r="B1356" s="106"/>
      <c r="C1356" s="232"/>
      <c r="D1356" s="261"/>
      <c r="E1356" s="133"/>
      <c r="F1356" s="8"/>
      <c r="G1356" s="55"/>
      <c r="H1356" s="55"/>
      <c r="I1356" s="55"/>
      <c r="J1356" s="55"/>
      <c r="K1356" s="65"/>
      <c r="L1356" s="65"/>
      <c r="M1356" s="65"/>
      <c r="N1356" s="537"/>
      <c r="O1356"/>
      <c r="P1356" s="260"/>
      <c r="Q1356"/>
      <c r="R1356"/>
    </row>
    <row r="1357" spans="2:18" x14ac:dyDescent="0.2">
      <c r="B1357" s="106"/>
      <c r="C1357" s="232"/>
      <c r="D1357" s="261"/>
      <c r="E1357" s="133"/>
      <c r="F1357" s="8"/>
      <c r="G1357" s="55"/>
      <c r="H1357" s="55"/>
      <c r="I1357" s="55"/>
      <c r="J1357" s="55"/>
      <c r="K1357" s="65"/>
      <c r="L1357" s="65"/>
      <c r="M1357" s="65"/>
      <c r="N1357" s="537"/>
      <c r="O1357"/>
      <c r="P1357" s="260"/>
      <c r="Q1357"/>
      <c r="R1357"/>
    </row>
    <row r="1358" spans="2:18" x14ac:dyDescent="0.2">
      <c r="B1358" s="106"/>
      <c r="C1358" s="232"/>
      <c r="D1358" s="261"/>
      <c r="E1358" s="133"/>
      <c r="F1358" s="8"/>
      <c r="G1358" s="55"/>
      <c r="H1358" s="55"/>
      <c r="I1358" s="55"/>
      <c r="J1358" s="55"/>
      <c r="K1358" s="65"/>
      <c r="L1358" s="65"/>
      <c r="M1358" s="65"/>
      <c r="N1358" s="537"/>
      <c r="O1358"/>
      <c r="P1358" s="260"/>
      <c r="Q1358"/>
      <c r="R1358"/>
    </row>
    <row r="1359" spans="2:18" x14ac:dyDescent="0.2">
      <c r="B1359" s="106"/>
      <c r="C1359" s="232"/>
      <c r="D1359" s="261"/>
      <c r="E1359" s="133"/>
      <c r="F1359" s="8"/>
      <c r="G1359" s="55"/>
      <c r="H1359" s="55"/>
      <c r="I1359" s="55"/>
      <c r="J1359" s="55"/>
      <c r="K1359" s="65"/>
      <c r="L1359" s="65"/>
      <c r="M1359" s="65"/>
      <c r="N1359" s="537"/>
      <c r="O1359"/>
      <c r="P1359" s="260"/>
      <c r="Q1359"/>
      <c r="R1359"/>
    </row>
    <row r="1360" spans="2:18" x14ac:dyDescent="0.2">
      <c r="B1360" s="106"/>
      <c r="C1360" s="232"/>
      <c r="D1360" s="261"/>
      <c r="E1360" s="133"/>
      <c r="F1360" s="8"/>
      <c r="G1360" s="55"/>
      <c r="H1360" s="55"/>
      <c r="I1360" s="55"/>
      <c r="J1360" s="55"/>
      <c r="K1360" s="65"/>
      <c r="L1360" s="65"/>
      <c r="M1360" s="65"/>
      <c r="N1360" s="537"/>
      <c r="O1360"/>
      <c r="P1360" s="260"/>
      <c r="Q1360"/>
      <c r="R1360"/>
    </row>
    <row r="1361" spans="2:18" x14ac:dyDescent="0.2">
      <c r="B1361" s="106"/>
      <c r="C1361" s="232"/>
      <c r="D1361" s="261"/>
      <c r="E1361" s="133"/>
      <c r="F1361" s="8"/>
      <c r="G1361" s="55"/>
      <c r="H1361" s="55"/>
      <c r="I1361" s="55"/>
      <c r="J1361" s="55"/>
      <c r="K1361" s="65"/>
      <c r="L1361" s="65"/>
      <c r="M1361" s="65"/>
      <c r="N1361" s="537"/>
      <c r="O1361"/>
      <c r="P1361" s="260"/>
      <c r="Q1361"/>
      <c r="R1361"/>
    </row>
    <row r="1362" spans="2:18" x14ac:dyDescent="0.2">
      <c r="B1362" s="106"/>
      <c r="C1362" s="232"/>
      <c r="D1362" s="261"/>
      <c r="E1362" s="133"/>
      <c r="F1362" s="8"/>
      <c r="G1362" s="55"/>
      <c r="H1362" s="55"/>
      <c r="I1362" s="55"/>
      <c r="J1362" s="55"/>
      <c r="K1362" s="65"/>
      <c r="L1362" s="65"/>
      <c r="M1362" s="65"/>
      <c r="N1362" s="537"/>
      <c r="O1362"/>
      <c r="P1362" s="260"/>
      <c r="Q1362"/>
      <c r="R1362"/>
    </row>
    <row r="1363" spans="2:18" x14ac:dyDescent="0.2">
      <c r="B1363" s="106"/>
      <c r="C1363" s="232"/>
      <c r="D1363" s="261"/>
      <c r="E1363" s="133"/>
      <c r="F1363" s="8"/>
      <c r="G1363" s="55"/>
      <c r="H1363" s="55"/>
      <c r="I1363" s="55"/>
      <c r="J1363" s="55"/>
      <c r="K1363" s="65"/>
      <c r="L1363" s="65"/>
      <c r="M1363" s="65"/>
      <c r="N1363" s="537"/>
      <c r="O1363"/>
      <c r="P1363" s="260"/>
      <c r="Q1363"/>
      <c r="R1363"/>
    </row>
    <row r="1364" spans="2:18" x14ac:dyDescent="0.2">
      <c r="B1364" s="106"/>
      <c r="C1364" s="232"/>
      <c r="D1364" s="261"/>
      <c r="E1364" s="133"/>
      <c r="F1364" s="8"/>
      <c r="G1364" s="55"/>
      <c r="H1364" s="55"/>
      <c r="I1364" s="55"/>
      <c r="J1364" s="55"/>
      <c r="K1364" s="65"/>
      <c r="L1364" s="65"/>
      <c r="M1364" s="65"/>
      <c r="N1364" s="537"/>
      <c r="O1364"/>
      <c r="P1364" s="260"/>
      <c r="Q1364"/>
      <c r="R1364"/>
    </row>
    <row r="1365" spans="2:18" x14ac:dyDescent="0.2">
      <c r="B1365" s="106"/>
      <c r="C1365" s="232"/>
      <c r="D1365" s="261"/>
      <c r="E1365" s="133"/>
      <c r="F1365" s="8"/>
      <c r="G1365" s="55"/>
      <c r="H1365" s="55"/>
      <c r="I1365" s="55"/>
      <c r="J1365" s="55"/>
      <c r="K1365" s="65"/>
      <c r="L1365" s="65"/>
      <c r="M1365" s="65"/>
      <c r="N1365" s="537"/>
      <c r="O1365"/>
      <c r="P1365" s="260"/>
      <c r="Q1365"/>
      <c r="R1365"/>
    </row>
    <row r="1366" spans="2:18" x14ac:dyDescent="0.2">
      <c r="B1366" s="106"/>
      <c r="C1366" s="232"/>
      <c r="D1366" s="261"/>
      <c r="E1366" s="133"/>
      <c r="F1366" s="8"/>
      <c r="G1366" s="55"/>
      <c r="H1366" s="55"/>
      <c r="I1366" s="55"/>
      <c r="J1366" s="55"/>
      <c r="K1366" s="65"/>
      <c r="L1366" s="65"/>
      <c r="M1366" s="65"/>
      <c r="N1366" s="537"/>
      <c r="O1366"/>
      <c r="P1366" s="260"/>
      <c r="Q1366"/>
      <c r="R1366"/>
    </row>
    <row r="1367" spans="2:18" x14ac:dyDescent="0.2">
      <c r="B1367" s="106"/>
      <c r="C1367" s="232"/>
      <c r="D1367" s="261"/>
      <c r="E1367" s="133"/>
      <c r="F1367" s="8"/>
      <c r="G1367" s="55"/>
      <c r="H1367" s="55"/>
      <c r="I1367" s="55"/>
      <c r="J1367" s="55"/>
      <c r="K1367" s="65"/>
      <c r="L1367" s="65"/>
      <c r="M1367" s="65"/>
      <c r="N1367" s="537"/>
      <c r="O1367"/>
      <c r="P1367" s="260"/>
      <c r="Q1367"/>
      <c r="R1367"/>
    </row>
    <row r="1368" spans="2:18" x14ac:dyDescent="0.2">
      <c r="B1368" s="106"/>
      <c r="C1368" s="232"/>
      <c r="D1368" s="261"/>
      <c r="E1368" s="133"/>
      <c r="F1368" s="8"/>
      <c r="G1368" s="55"/>
      <c r="H1368" s="55"/>
      <c r="I1368" s="55"/>
      <c r="J1368" s="55"/>
      <c r="K1368" s="65"/>
      <c r="L1368" s="65"/>
      <c r="M1368" s="65"/>
      <c r="N1368" s="537"/>
      <c r="O1368"/>
      <c r="P1368"/>
      <c r="Q1368"/>
      <c r="R1368"/>
    </row>
    <row r="1369" spans="2:18" x14ac:dyDescent="0.2">
      <c r="B1369" s="106"/>
      <c r="C1369" s="232"/>
      <c r="D1369" s="261"/>
      <c r="E1369" s="133"/>
      <c r="F1369" s="8"/>
      <c r="G1369" s="55"/>
      <c r="H1369" s="55"/>
      <c r="I1369" s="55"/>
      <c r="J1369" s="55"/>
      <c r="K1369" s="65"/>
      <c r="L1369" s="65"/>
      <c r="M1369" s="65"/>
      <c r="N1369" s="537"/>
      <c r="O1369"/>
      <c r="P1369"/>
      <c r="Q1369"/>
      <c r="R1369"/>
    </row>
    <row r="1370" spans="2:18" x14ac:dyDescent="0.2">
      <c r="B1370" s="106"/>
      <c r="C1370" s="232"/>
      <c r="D1370" s="261"/>
      <c r="E1370" s="133"/>
      <c r="F1370" s="8"/>
      <c r="G1370" s="55"/>
      <c r="H1370" s="55"/>
      <c r="I1370" s="55"/>
      <c r="J1370" s="55"/>
      <c r="K1370" s="65"/>
      <c r="L1370" s="65"/>
      <c r="M1370" s="65"/>
      <c r="N1370" s="537"/>
      <c r="O1370"/>
      <c r="P1370"/>
      <c r="Q1370"/>
      <c r="R1370"/>
    </row>
    <row r="1371" spans="2:18" x14ac:dyDescent="0.2">
      <c r="B1371" s="106"/>
      <c r="C1371" s="232"/>
      <c r="D1371" s="261"/>
      <c r="E1371" s="133"/>
      <c r="F1371" s="8"/>
      <c r="G1371" s="55"/>
      <c r="H1371" s="55"/>
      <c r="I1371" s="55"/>
      <c r="J1371" s="55"/>
      <c r="K1371" s="65"/>
      <c r="L1371" s="65"/>
      <c r="M1371" s="65"/>
      <c r="N1371" s="537"/>
      <c r="O1371"/>
      <c r="P1371"/>
      <c r="Q1371"/>
      <c r="R1371"/>
    </row>
    <row r="1372" spans="2:18" x14ac:dyDescent="0.2">
      <c r="B1372" s="106"/>
      <c r="C1372" s="232"/>
      <c r="D1372" s="261"/>
      <c r="E1372" s="133"/>
      <c r="F1372" s="8"/>
      <c r="G1372" s="55"/>
      <c r="H1372" s="55"/>
      <c r="I1372" s="55"/>
      <c r="J1372" s="55"/>
      <c r="K1372" s="65"/>
      <c r="L1372" s="65"/>
      <c r="M1372" s="65"/>
      <c r="N1372" s="537"/>
      <c r="O1372"/>
      <c r="P1372"/>
      <c r="Q1372"/>
      <c r="R1372"/>
    </row>
    <row r="1373" spans="2:18" x14ac:dyDescent="0.2">
      <c r="B1373" s="106"/>
      <c r="C1373" s="232"/>
      <c r="D1373" s="261"/>
      <c r="E1373" s="133"/>
      <c r="F1373" s="8"/>
      <c r="G1373" s="55"/>
      <c r="H1373" s="55"/>
      <c r="I1373" s="55"/>
      <c r="J1373" s="55"/>
      <c r="K1373" s="65"/>
      <c r="L1373" s="65"/>
      <c r="M1373" s="65"/>
      <c r="N1373" s="537"/>
      <c r="O1373"/>
      <c r="P1373"/>
      <c r="Q1373"/>
      <c r="R1373"/>
    </row>
    <row r="1374" spans="2:18" x14ac:dyDescent="0.2">
      <c r="B1374" s="106"/>
      <c r="C1374" s="232"/>
      <c r="D1374" s="261"/>
      <c r="E1374" s="133"/>
      <c r="F1374" s="8"/>
      <c r="G1374" s="55"/>
      <c r="H1374" s="55"/>
      <c r="I1374" s="55"/>
      <c r="J1374" s="55"/>
      <c r="K1374" s="65"/>
      <c r="L1374" s="65"/>
      <c r="M1374" s="65"/>
      <c r="N1374" s="537"/>
      <c r="O1374"/>
      <c r="P1374"/>
      <c r="Q1374"/>
      <c r="R1374"/>
    </row>
    <row r="1375" spans="2:18" x14ac:dyDescent="0.2">
      <c r="B1375" s="106"/>
      <c r="C1375" s="232"/>
      <c r="D1375" s="261"/>
      <c r="E1375" s="133"/>
      <c r="F1375" s="8"/>
      <c r="G1375" s="55"/>
      <c r="H1375" s="55"/>
      <c r="I1375" s="55"/>
      <c r="J1375" s="55"/>
      <c r="K1375" s="65"/>
      <c r="L1375" s="65"/>
      <c r="M1375" s="65"/>
      <c r="N1375" s="537"/>
      <c r="O1375"/>
      <c r="P1375"/>
      <c r="Q1375"/>
      <c r="R1375"/>
    </row>
    <row r="1376" spans="2:18" x14ac:dyDescent="0.2">
      <c r="B1376" s="106"/>
      <c r="C1376" s="232"/>
      <c r="D1376" s="261"/>
      <c r="E1376" s="133"/>
      <c r="F1376" s="8"/>
      <c r="G1376" s="55"/>
      <c r="H1376" s="55"/>
      <c r="I1376" s="55"/>
      <c r="J1376" s="55"/>
      <c r="K1376" s="65"/>
      <c r="L1376" s="65"/>
      <c r="M1376" s="65"/>
      <c r="N1376" s="537"/>
      <c r="O1376"/>
      <c r="P1376"/>
      <c r="Q1376"/>
      <c r="R1376"/>
    </row>
    <row r="1377" spans="2:18" x14ac:dyDescent="0.2">
      <c r="B1377" s="106"/>
      <c r="C1377" s="232"/>
      <c r="D1377" s="261"/>
      <c r="E1377" s="133"/>
      <c r="F1377" s="8"/>
      <c r="G1377" s="55"/>
      <c r="H1377" s="55"/>
      <c r="I1377" s="55"/>
      <c r="J1377" s="55"/>
      <c r="K1377" s="65"/>
      <c r="L1377" s="65"/>
      <c r="M1377" s="65"/>
      <c r="N1377" s="537"/>
      <c r="O1377"/>
      <c r="P1377"/>
      <c r="Q1377"/>
      <c r="R1377"/>
    </row>
    <row r="1378" spans="2:18" x14ac:dyDescent="0.2">
      <c r="B1378" s="106"/>
      <c r="C1378" s="232"/>
      <c r="D1378" s="261"/>
      <c r="E1378" s="133"/>
      <c r="F1378" s="8"/>
      <c r="G1378" s="55"/>
      <c r="H1378" s="55"/>
      <c r="I1378" s="55"/>
      <c r="J1378" s="55"/>
      <c r="K1378" s="65"/>
      <c r="L1378" s="65"/>
      <c r="M1378" s="65"/>
      <c r="N1378" s="537"/>
      <c r="O1378"/>
      <c r="P1378"/>
      <c r="Q1378"/>
      <c r="R1378"/>
    </row>
    <row r="1379" spans="2:18" x14ac:dyDescent="0.2">
      <c r="B1379" s="106"/>
      <c r="C1379" s="232"/>
      <c r="D1379" s="261"/>
      <c r="E1379" s="133"/>
      <c r="F1379" s="8"/>
      <c r="G1379" s="55"/>
      <c r="H1379" s="55"/>
      <c r="I1379" s="55"/>
      <c r="J1379" s="55"/>
      <c r="K1379" s="65"/>
      <c r="L1379" s="65"/>
      <c r="M1379" s="65"/>
      <c r="N1379" s="537"/>
      <c r="O1379"/>
      <c r="P1379"/>
      <c r="Q1379"/>
      <c r="R1379"/>
    </row>
    <row r="1380" spans="2:18" x14ac:dyDescent="0.2">
      <c r="B1380" s="106"/>
      <c r="C1380" s="232"/>
      <c r="D1380" s="261"/>
      <c r="E1380" s="133"/>
      <c r="F1380" s="8"/>
      <c r="G1380" s="55"/>
      <c r="H1380" s="55"/>
      <c r="I1380" s="55"/>
      <c r="J1380" s="55"/>
      <c r="K1380" s="65"/>
      <c r="L1380" s="65"/>
      <c r="M1380" s="65"/>
      <c r="N1380" s="537"/>
      <c r="O1380"/>
      <c r="P1380"/>
      <c r="Q1380"/>
      <c r="R1380"/>
    </row>
    <row r="1381" spans="2:18" x14ac:dyDescent="0.2">
      <c r="B1381" s="106"/>
      <c r="C1381" s="232"/>
      <c r="D1381" s="261"/>
      <c r="E1381" s="133"/>
      <c r="F1381" s="8"/>
      <c r="G1381" s="55"/>
      <c r="H1381" s="55"/>
      <c r="I1381" s="55"/>
      <c r="J1381" s="55"/>
      <c r="K1381" s="65"/>
      <c r="L1381" s="65"/>
      <c r="M1381" s="65"/>
      <c r="N1381" s="537"/>
      <c r="O1381"/>
      <c r="P1381"/>
      <c r="Q1381"/>
      <c r="R1381"/>
    </row>
    <row r="1382" spans="2:18" x14ac:dyDescent="0.2">
      <c r="B1382" s="106"/>
      <c r="C1382" s="232"/>
      <c r="D1382" s="261"/>
      <c r="E1382" s="133"/>
      <c r="F1382" s="8"/>
      <c r="G1382" s="55"/>
      <c r="H1382" s="55"/>
      <c r="I1382" s="55"/>
      <c r="J1382" s="55"/>
      <c r="K1382" s="65"/>
      <c r="L1382" s="65"/>
      <c r="M1382" s="65"/>
      <c r="N1382" s="537"/>
      <c r="O1382"/>
      <c r="P1382"/>
      <c r="Q1382"/>
      <c r="R1382"/>
    </row>
    <row r="1383" spans="2:18" x14ac:dyDescent="0.2">
      <c r="B1383" s="106"/>
      <c r="C1383" s="232"/>
      <c r="D1383" s="261"/>
      <c r="E1383" s="133"/>
      <c r="F1383" s="8"/>
      <c r="G1383" s="55"/>
      <c r="H1383" s="55"/>
      <c r="I1383" s="55"/>
      <c r="J1383" s="55"/>
      <c r="K1383" s="65"/>
      <c r="L1383" s="65"/>
      <c r="M1383" s="65"/>
      <c r="N1383" s="537"/>
      <c r="O1383"/>
      <c r="P1383"/>
      <c r="Q1383"/>
      <c r="R1383"/>
    </row>
    <row r="1384" spans="2:18" x14ac:dyDescent="0.2">
      <c r="B1384" s="106"/>
      <c r="C1384" s="232"/>
      <c r="D1384" s="261"/>
      <c r="E1384" s="133"/>
      <c r="F1384" s="8"/>
      <c r="G1384" s="55"/>
      <c r="H1384" s="55"/>
      <c r="I1384" s="55"/>
      <c r="J1384" s="55"/>
      <c r="K1384" s="65"/>
      <c r="L1384" s="65"/>
      <c r="M1384" s="65"/>
      <c r="N1384" s="537"/>
      <c r="O1384"/>
      <c r="P1384"/>
      <c r="Q1384"/>
      <c r="R1384"/>
    </row>
    <row r="1385" spans="2:18" x14ac:dyDescent="0.2">
      <c r="B1385" s="106"/>
      <c r="C1385" s="232"/>
      <c r="D1385" s="261"/>
      <c r="E1385" s="133"/>
      <c r="F1385" s="8"/>
      <c r="G1385" s="55"/>
      <c r="H1385" s="55"/>
      <c r="I1385" s="55"/>
      <c r="J1385" s="55"/>
      <c r="K1385" s="65"/>
      <c r="L1385" s="65"/>
      <c r="M1385" s="65"/>
      <c r="N1385" s="537"/>
      <c r="O1385"/>
      <c r="P1385"/>
      <c r="Q1385"/>
      <c r="R1385"/>
    </row>
    <row r="1386" spans="2:18" x14ac:dyDescent="0.2">
      <c r="B1386" s="106"/>
      <c r="C1386" s="232"/>
      <c r="D1386" s="261"/>
      <c r="E1386" s="133"/>
      <c r="F1386" s="8"/>
      <c r="G1386" s="55"/>
      <c r="H1386" s="55"/>
      <c r="I1386" s="55"/>
      <c r="J1386" s="55"/>
      <c r="K1386" s="65"/>
      <c r="L1386" s="65"/>
      <c r="M1386" s="65"/>
      <c r="N1386" s="537"/>
      <c r="O1386"/>
      <c r="P1386"/>
      <c r="Q1386"/>
      <c r="R1386"/>
    </row>
    <row r="1387" spans="2:18" x14ac:dyDescent="0.2">
      <c r="B1387" s="106"/>
      <c r="C1387" s="232"/>
      <c r="D1387" s="261"/>
      <c r="E1387" s="133"/>
      <c r="F1387" s="8"/>
      <c r="G1387" s="55"/>
      <c r="H1387" s="55"/>
      <c r="I1387" s="55"/>
      <c r="J1387" s="55"/>
      <c r="K1387" s="65"/>
      <c r="L1387" s="65"/>
      <c r="M1387" s="65"/>
      <c r="N1387" s="537"/>
      <c r="O1387"/>
      <c r="P1387"/>
      <c r="Q1387"/>
      <c r="R1387"/>
    </row>
    <row r="1388" spans="2:18" x14ac:dyDescent="0.2">
      <c r="B1388" s="106"/>
      <c r="C1388" s="232"/>
      <c r="D1388" s="261"/>
      <c r="E1388" s="133"/>
      <c r="F1388" s="8"/>
      <c r="G1388" s="55"/>
      <c r="H1388" s="55"/>
      <c r="I1388" s="55"/>
      <c r="J1388" s="55"/>
      <c r="K1388" s="65"/>
      <c r="L1388" s="65"/>
      <c r="M1388" s="65"/>
      <c r="N1388" s="537"/>
      <c r="O1388"/>
      <c r="P1388"/>
      <c r="Q1388"/>
      <c r="R1388"/>
    </row>
    <row r="1389" spans="2:18" x14ac:dyDescent="0.2">
      <c r="B1389" s="106"/>
      <c r="C1389" s="232"/>
      <c r="D1389" s="261"/>
      <c r="E1389" s="133"/>
      <c r="F1389" s="8"/>
      <c r="G1389" s="55"/>
      <c r="H1389" s="55"/>
      <c r="I1389" s="55"/>
      <c r="J1389" s="55"/>
      <c r="K1389" s="65"/>
      <c r="L1389" s="65"/>
      <c r="M1389" s="65"/>
      <c r="N1389" s="537"/>
      <c r="O1389"/>
      <c r="P1389"/>
      <c r="Q1389"/>
      <c r="R1389"/>
    </row>
    <row r="1390" spans="2:18" x14ac:dyDescent="0.2">
      <c r="B1390" s="106"/>
      <c r="C1390" s="232"/>
      <c r="D1390" s="261"/>
      <c r="E1390" s="133"/>
      <c r="F1390" s="8"/>
      <c r="G1390" s="55"/>
      <c r="H1390" s="55"/>
      <c r="I1390" s="55"/>
      <c r="J1390" s="55"/>
      <c r="K1390" s="65"/>
      <c r="L1390" s="65"/>
      <c r="M1390" s="65"/>
      <c r="N1390" s="537"/>
      <c r="O1390"/>
      <c r="P1390"/>
      <c r="Q1390"/>
      <c r="R1390"/>
    </row>
    <row r="1391" spans="2:18" x14ac:dyDescent="0.2">
      <c r="B1391" s="106"/>
      <c r="C1391" s="232"/>
      <c r="D1391" s="261"/>
      <c r="E1391" s="133"/>
      <c r="F1391" s="8"/>
      <c r="G1391" s="55"/>
      <c r="H1391" s="55"/>
      <c r="I1391" s="55"/>
      <c r="J1391" s="55"/>
      <c r="K1391" s="65"/>
      <c r="L1391" s="65"/>
      <c r="M1391" s="65"/>
      <c r="N1391" s="537"/>
      <c r="O1391"/>
      <c r="P1391"/>
      <c r="Q1391"/>
      <c r="R1391"/>
    </row>
    <row r="1392" spans="2:18" x14ac:dyDescent="0.2">
      <c r="B1392" s="106"/>
      <c r="C1392" s="232"/>
      <c r="D1392" s="261"/>
      <c r="E1392" s="133"/>
      <c r="F1392" s="8"/>
      <c r="G1392" s="55"/>
      <c r="H1392" s="55"/>
      <c r="I1392" s="55"/>
      <c r="J1392" s="55"/>
      <c r="K1392" s="65"/>
      <c r="L1392" s="65"/>
      <c r="M1392" s="65"/>
      <c r="N1392" s="537"/>
      <c r="O1392"/>
      <c r="P1392"/>
      <c r="Q1392"/>
      <c r="R1392"/>
    </row>
    <row r="1393" spans="2:18" x14ac:dyDescent="0.2">
      <c r="B1393" s="106"/>
      <c r="C1393" s="232"/>
      <c r="D1393" s="261"/>
      <c r="E1393" s="133"/>
      <c r="F1393" s="8"/>
      <c r="G1393" s="55"/>
      <c r="H1393" s="55"/>
      <c r="I1393" s="55"/>
      <c r="J1393" s="55"/>
      <c r="K1393" s="65"/>
      <c r="L1393" s="65"/>
      <c r="M1393" s="65"/>
      <c r="N1393" s="537"/>
      <c r="O1393"/>
      <c r="P1393"/>
      <c r="Q1393"/>
      <c r="R1393"/>
    </row>
    <row r="1394" spans="2:18" x14ac:dyDescent="0.2">
      <c r="B1394" s="106"/>
      <c r="C1394" s="232"/>
      <c r="D1394" s="261"/>
      <c r="E1394" s="133"/>
      <c r="F1394" s="8"/>
      <c r="G1394" s="55"/>
      <c r="H1394" s="55"/>
      <c r="I1394" s="55"/>
      <c r="J1394" s="55"/>
      <c r="K1394" s="65"/>
      <c r="L1394" s="65"/>
      <c r="M1394" s="65"/>
      <c r="N1394" s="537"/>
      <c r="O1394"/>
      <c r="P1394"/>
      <c r="Q1394"/>
      <c r="R1394"/>
    </row>
    <row r="1395" spans="2:18" x14ac:dyDescent="0.2">
      <c r="B1395" s="106"/>
      <c r="C1395" s="232"/>
      <c r="D1395" s="261"/>
      <c r="E1395" s="133"/>
      <c r="F1395" s="8"/>
      <c r="G1395" s="55"/>
      <c r="H1395" s="55"/>
      <c r="I1395" s="55"/>
      <c r="J1395" s="55"/>
      <c r="K1395" s="65"/>
      <c r="L1395" s="65"/>
      <c r="M1395" s="65"/>
      <c r="N1395" s="537"/>
      <c r="O1395"/>
      <c r="P1395"/>
      <c r="Q1395"/>
      <c r="R1395"/>
    </row>
    <row r="1396" spans="2:18" x14ac:dyDescent="0.2">
      <c r="B1396" s="106"/>
      <c r="C1396" s="232"/>
      <c r="D1396" s="261"/>
      <c r="E1396" s="133"/>
      <c r="F1396" s="8"/>
      <c r="G1396" s="55"/>
      <c r="H1396" s="55"/>
      <c r="I1396" s="55"/>
      <c r="J1396" s="55"/>
      <c r="K1396" s="65"/>
      <c r="L1396" s="65"/>
      <c r="M1396" s="65"/>
      <c r="N1396" s="537"/>
      <c r="O1396"/>
      <c r="P1396"/>
      <c r="Q1396"/>
      <c r="R1396"/>
    </row>
    <row r="1397" spans="2:18" x14ac:dyDescent="0.2">
      <c r="B1397" s="106"/>
      <c r="C1397" s="232"/>
      <c r="D1397" s="261"/>
      <c r="E1397" s="133"/>
      <c r="F1397" s="8"/>
      <c r="G1397" s="55"/>
      <c r="H1397" s="55"/>
      <c r="I1397" s="55"/>
      <c r="J1397" s="55"/>
      <c r="K1397" s="65"/>
      <c r="L1397" s="65"/>
      <c r="M1397" s="65"/>
      <c r="N1397" s="537"/>
      <c r="O1397"/>
      <c r="P1397"/>
      <c r="Q1397"/>
      <c r="R1397"/>
    </row>
    <row r="1398" spans="2:18" x14ac:dyDescent="0.2">
      <c r="B1398" s="106"/>
      <c r="C1398" s="232"/>
      <c r="D1398" s="261"/>
      <c r="E1398" s="133"/>
      <c r="F1398" s="8"/>
      <c r="G1398" s="55"/>
      <c r="H1398" s="55"/>
      <c r="I1398" s="55"/>
      <c r="J1398" s="55"/>
      <c r="K1398" s="65"/>
      <c r="L1398" s="65"/>
      <c r="M1398" s="65"/>
      <c r="N1398" s="537"/>
      <c r="O1398"/>
      <c r="P1398"/>
      <c r="Q1398"/>
      <c r="R1398"/>
    </row>
    <row r="1399" spans="2:18" x14ac:dyDescent="0.2">
      <c r="B1399" s="106"/>
      <c r="C1399" s="232"/>
      <c r="D1399" s="261"/>
      <c r="E1399" s="133"/>
      <c r="F1399" s="8"/>
      <c r="G1399" s="55"/>
      <c r="H1399" s="55"/>
      <c r="I1399" s="55"/>
      <c r="J1399" s="55"/>
      <c r="K1399" s="65"/>
      <c r="L1399" s="65"/>
      <c r="M1399" s="65"/>
      <c r="N1399" s="537"/>
      <c r="O1399"/>
      <c r="P1399"/>
      <c r="Q1399"/>
      <c r="R1399"/>
    </row>
    <row r="1400" spans="2:18" x14ac:dyDescent="0.2">
      <c r="B1400" s="106"/>
      <c r="C1400" s="232"/>
      <c r="D1400" s="261"/>
      <c r="E1400" s="133"/>
      <c r="F1400" s="8"/>
      <c r="G1400" s="55"/>
      <c r="H1400" s="55"/>
      <c r="I1400" s="55"/>
      <c r="J1400" s="55"/>
      <c r="K1400" s="65"/>
      <c r="L1400" s="65"/>
      <c r="M1400" s="65"/>
      <c r="N1400" s="537"/>
      <c r="O1400"/>
      <c r="P1400"/>
      <c r="Q1400"/>
      <c r="R1400"/>
    </row>
    <row r="1401" spans="2:18" x14ac:dyDescent="0.2">
      <c r="B1401" s="106"/>
      <c r="C1401" s="232"/>
      <c r="D1401" s="261"/>
      <c r="E1401" s="133"/>
      <c r="F1401" s="8"/>
      <c r="G1401" s="55"/>
      <c r="H1401" s="55"/>
      <c r="I1401" s="55"/>
      <c r="J1401" s="55"/>
      <c r="K1401" s="65"/>
      <c r="L1401" s="65"/>
      <c r="M1401" s="65"/>
      <c r="N1401" s="537"/>
      <c r="O1401"/>
      <c r="P1401"/>
      <c r="Q1401"/>
      <c r="R1401"/>
    </row>
    <row r="1402" spans="2:18" x14ac:dyDescent="0.2">
      <c r="B1402" s="106"/>
      <c r="C1402" s="232"/>
      <c r="D1402" s="261"/>
      <c r="E1402" s="133"/>
      <c r="F1402" s="8"/>
      <c r="G1402" s="55"/>
      <c r="H1402" s="55"/>
      <c r="I1402" s="55"/>
      <c r="J1402" s="55"/>
      <c r="K1402" s="65"/>
      <c r="L1402" s="65"/>
      <c r="M1402" s="65"/>
      <c r="N1402" s="537"/>
      <c r="O1402"/>
      <c r="P1402"/>
      <c r="Q1402"/>
      <c r="R1402"/>
    </row>
    <row r="1403" spans="2:18" x14ac:dyDescent="0.2">
      <c r="B1403" s="106"/>
      <c r="C1403" s="232"/>
      <c r="D1403" s="261"/>
      <c r="E1403" s="133"/>
      <c r="F1403" s="8"/>
      <c r="G1403" s="55"/>
      <c r="H1403" s="55"/>
      <c r="I1403" s="55"/>
      <c r="J1403" s="55"/>
      <c r="K1403" s="65"/>
      <c r="L1403" s="65"/>
      <c r="M1403" s="65"/>
      <c r="N1403" s="537"/>
      <c r="O1403"/>
      <c r="P1403"/>
      <c r="Q1403"/>
      <c r="R1403"/>
    </row>
    <row r="1404" spans="2:18" x14ac:dyDescent="0.2">
      <c r="B1404" s="106"/>
      <c r="C1404" s="232"/>
      <c r="D1404" s="261"/>
      <c r="E1404" s="133"/>
      <c r="F1404" s="8"/>
      <c r="G1404" s="55"/>
      <c r="H1404" s="55"/>
      <c r="I1404" s="55"/>
      <c r="J1404" s="55"/>
      <c r="K1404" s="65"/>
      <c r="L1404" s="65"/>
      <c r="M1404" s="65"/>
      <c r="N1404" s="537"/>
      <c r="O1404"/>
      <c r="P1404"/>
      <c r="Q1404"/>
      <c r="R1404"/>
    </row>
    <row r="1405" spans="2:18" x14ac:dyDescent="0.2">
      <c r="B1405" s="106"/>
      <c r="C1405" s="232"/>
      <c r="D1405" s="261"/>
      <c r="E1405" s="133"/>
      <c r="F1405" s="8"/>
      <c r="G1405" s="55"/>
      <c r="H1405" s="55"/>
      <c r="I1405" s="55"/>
      <c r="J1405" s="55"/>
      <c r="K1405" s="65"/>
      <c r="L1405" s="65"/>
      <c r="M1405" s="65"/>
      <c r="N1405" s="537"/>
      <c r="O1405"/>
      <c r="P1405"/>
      <c r="Q1405"/>
      <c r="R1405"/>
    </row>
    <row r="1406" spans="2:18" x14ac:dyDescent="0.2">
      <c r="B1406" s="106"/>
      <c r="C1406" s="232"/>
      <c r="D1406" s="261"/>
      <c r="E1406" s="133"/>
      <c r="F1406" s="8"/>
      <c r="G1406" s="55"/>
      <c r="H1406" s="55"/>
      <c r="I1406" s="55"/>
      <c r="J1406" s="55"/>
      <c r="K1406" s="65"/>
      <c r="L1406" s="65"/>
      <c r="M1406" s="65"/>
      <c r="N1406" s="537"/>
      <c r="O1406"/>
      <c r="P1406"/>
      <c r="Q1406"/>
      <c r="R1406"/>
    </row>
    <row r="1407" spans="2:18" x14ac:dyDescent="0.2">
      <c r="B1407" s="106"/>
      <c r="C1407" s="232"/>
      <c r="D1407" s="261"/>
      <c r="E1407" s="133"/>
      <c r="F1407" s="8"/>
      <c r="G1407" s="55"/>
      <c r="H1407" s="55"/>
      <c r="I1407" s="55"/>
      <c r="J1407" s="55"/>
      <c r="K1407" s="65"/>
      <c r="L1407" s="65"/>
      <c r="M1407" s="65"/>
      <c r="N1407" s="537"/>
      <c r="O1407"/>
      <c r="P1407"/>
      <c r="Q1407"/>
      <c r="R1407"/>
    </row>
    <row r="1408" spans="2:18" x14ac:dyDescent="0.2">
      <c r="B1408" s="106"/>
      <c r="C1408" s="232"/>
      <c r="D1408" s="261"/>
      <c r="E1408" s="133"/>
      <c r="F1408" s="8"/>
      <c r="G1408" s="55"/>
      <c r="H1408" s="55"/>
      <c r="I1408" s="55"/>
      <c r="J1408" s="55"/>
      <c r="K1408" s="65"/>
      <c r="L1408" s="65"/>
      <c r="M1408" s="65"/>
      <c r="N1408" s="537"/>
      <c r="O1408"/>
      <c r="P1408"/>
      <c r="Q1408"/>
      <c r="R1408"/>
    </row>
    <row r="1409" spans="2:18" x14ac:dyDescent="0.2">
      <c r="B1409" s="106"/>
      <c r="C1409" s="232"/>
      <c r="D1409" s="261"/>
      <c r="E1409" s="133"/>
      <c r="F1409" s="8"/>
      <c r="G1409" s="55"/>
      <c r="H1409" s="55"/>
      <c r="I1409" s="55"/>
      <c r="J1409" s="55"/>
      <c r="K1409" s="65"/>
      <c r="L1409" s="65"/>
      <c r="M1409" s="65"/>
      <c r="N1409" s="537"/>
      <c r="O1409"/>
      <c r="P1409"/>
      <c r="Q1409"/>
      <c r="R1409"/>
    </row>
    <row r="1410" spans="2:18" x14ac:dyDescent="0.2">
      <c r="B1410" s="106"/>
      <c r="C1410" s="232"/>
      <c r="D1410" s="261"/>
      <c r="E1410" s="133"/>
      <c r="F1410" s="8"/>
      <c r="G1410" s="55"/>
      <c r="H1410" s="55"/>
      <c r="I1410" s="55"/>
      <c r="J1410" s="55"/>
      <c r="K1410" s="65"/>
      <c r="L1410" s="65"/>
      <c r="M1410" s="65"/>
      <c r="N1410" s="537"/>
      <c r="O1410"/>
      <c r="P1410"/>
      <c r="Q1410"/>
      <c r="R1410"/>
    </row>
    <row r="1411" spans="2:18" x14ac:dyDescent="0.2">
      <c r="B1411" s="106"/>
      <c r="C1411" s="232"/>
      <c r="D1411" s="261"/>
      <c r="E1411" s="133"/>
      <c r="F1411" s="8"/>
      <c r="G1411" s="55"/>
      <c r="H1411" s="55"/>
      <c r="I1411" s="55"/>
      <c r="J1411" s="55"/>
      <c r="K1411" s="65"/>
      <c r="L1411" s="65"/>
      <c r="M1411" s="65"/>
      <c r="N1411" s="537"/>
      <c r="O1411"/>
      <c r="P1411"/>
      <c r="Q1411"/>
      <c r="R1411"/>
    </row>
    <row r="1412" spans="2:18" x14ac:dyDescent="0.2">
      <c r="B1412" s="106"/>
      <c r="C1412" s="232"/>
      <c r="D1412" s="261"/>
      <c r="E1412" s="133"/>
      <c r="F1412" s="8"/>
      <c r="G1412" s="55"/>
      <c r="H1412" s="55"/>
      <c r="I1412" s="55"/>
      <c r="J1412" s="55"/>
      <c r="K1412" s="65"/>
      <c r="L1412" s="65"/>
      <c r="M1412" s="65"/>
      <c r="N1412" s="537"/>
      <c r="O1412"/>
      <c r="P1412"/>
      <c r="Q1412"/>
      <c r="R1412"/>
    </row>
    <row r="1413" spans="2:18" x14ac:dyDescent="0.2">
      <c r="B1413" s="106"/>
      <c r="C1413" s="232"/>
      <c r="D1413" s="261"/>
      <c r="E1413" s="133"/>
      <c r="F1413" s="8"/>
      <c r="G1413" s="55"/>
      <c r="H1413" s="55"/>
      <c r="I1413" s="55"/>
      <c r="J1413" s="55"/>
      <c r="K1413" s="65"/>
      <c r="L1413" s="65"/>
      <c r="M1413" s="65"/>
      <c r="N1413" s="537"/>
      <c r="O1413"/>
      <c r="P1413"/>
      <c r="Q1413"/>
      <c r="R1413"/>
    </row>
    <row r="1414" spans="2:18" x14ac:dyDescent="0.2">
      <c r="B1414" s="106"/>
      <c r="C1414" s="232"/>
      <c r="D1414" s="261"/>
      <c r="E1414" s="133"/>
      <c r="F1414" s="8"/>
      <c r="G1414" s="55"/>
      <c r="H1414" s="55"/>
      <c r="I1414" s="55"/>
      <c r="J1414" s="55"/>
      <c r="K1414" s="65"/>
      <c r="L1414" s="65"/>
      <c r="M1414" s="65"/>
      <c r="N1414" s="537"/>
      <c r="O1414"/>
      <c r="P1414"/>
      <c r="Q1414"/>
      <c r="R1414"/>
    </row>
    <row r="1415" spans="2:18" x14ac:dyDescent="0.2">
      <c r="B1415" s="106"/>
      <c r="C1415" s="232"/>
      <c r="D1415" s="261"/>
      <c r="E1415" s="133"/>
      <c r="F1415" s="8"/>
      <c r="G1415" s="55"/>
      <c r="H1415" s="55"/>
      <c r="I1415" s="55"/>
      <c r="J1415" s="55"/>
      <c r="K1415" s="65"/>
      <c r="L1415" s="65"/>
      <c r="M1415" s="65"/>
      <c r="N1415" s="537"/>
      <c r="O1415"/>
      <c r="P1415"/>
      <c r="Q1415"/>
      <c r="R1415"/>
    </row>
    <row r="1416" spans="2:18" x14ac:dyDescent="0.2">
      <c r="B1416" s="106"/>
      <c r="C1416" s="232"/>
      <c r="D1416" s="261"/>
      <c r="E1416" s="133"/>
      <c r="F1416" s="8"/>
      <c r="G1416" s="55"/>
      <c r="H1416" s="55"/>
      <c r="I1416" s="55"/>
      <c r="J1416" s="55"/>
      <c r="K1416" s="65"/>
      <c r="L1416" s="65"/>
      <c r="M1416" s="65"/>
      <c r="N1416" s="537"/>
      <c r="O1416"/>
      <c r="P1416"/>
      <c r="Q1416"/>
      <c r="R1416"/>
    </row>
    <row r="1417" spans="2:18" x14ac:dyDescent="0.2">
      <c r="B1417" s="106"/>
      <c r="C1417" s="232"/>
      <c r="D1417" s="261"/>
      <c r="E1417" s="133"/>
      <c r="F1417" s="8"/>
      <c r="G1417" s="55"/>
      <c r="H1417" s="55"/>
      <c r="I1417" s="55"/>
      <c r="J1417" s="55"/>
      <c r="K1417" s="65"/>
      <c r="L1417" s="65"/>
      <c r="M1417" s="65"/>
      <c r="N1417" s="537"/>
      <c r="O1417"/>
      <c r="P1417"/>
      <c r="Q1417"/>
      <c r="R1417"/>
    </row>
    <row r="1418" spans="2:18" x14ac:dyDescent="0.2">
      <c r="B1418" s="106"/>
      <c r="C1418" s="232"/>
      <c r="D1418" s="261"/>
      <c r="E1418" s="133"/>
      <c r="F1418" s="8"/>
      <c r="G1418" s="55"/>
      <c r="H1418" s="55"/>
      <c r="I1418" s="55"/>
      <c r="J1418" s="55"/>
      <c r="K1418" s="65"/>
      <c r="L1418" s="65"/>
      <c r="M1418" s="65"/>
      <c r="N1418" s="537"/>
      <c r="O1418"/>
      <c r="P1418"/>
      <c r="Q1418"/>
      <c r="R1418"/>
    </row>
    <row r="1419" spans="2:18" x14ac:dyDescent="0.2">
      <c r="B1419" s="106"/>
      <c r="C1419" s="232"/>
      <c r="D1419" s="261"/>
      <c r="E1419" s="133"/>
      <c r="F1419" s="8"/>
      <c r="G1419" s="55"/>
      <c r="H1419" s="55"/>
      <c r="I1419" s="55"/>
      <c r="J1419" s="55"/>
      <c r="K1419" s="65"/>
      <c r="L1419" s="65"/>
      <c r="M1419" s="65"/>
      <c r="N1419" s="537"/>
      <c r="O1419"/>
      <c r="P1419"/>
      <c r="Q1419"/>
      <c r="R1419"/>
    </row>
    <row r="1420" spans="2:18" x14ac:dyDescent="0.2">
      <c r="B1420" s="106"/>
      <c r="C1420" s="232"/>
      <c r="D1420" s="261"/>
      <c r="E1420" s="133"/>
      <c r="F1420" s="8"/>
      <c r="G1420" s="55"/>
      <c r="H1420" s="55"/>
      <c r="I1420" s="55"/>
      <c r="J1420" s="55"/>
      <c r="K1420" s="65"/>
      <c r="L1420" s="65"/>
      <c r="M1420" s="65"/>
      <c r="N1420" s="537"/>
      <c r="O1420"/>
      <c r="P1420"/>
      <c r="Q1420"/>
      <c r="R1420"/>
    </row>
    <row r="1421" spans="2:18" x14ac:dyDescent="0.2">
      <c r="B1421" s="106"/>
      <c r="C1421" s="232"/>
      <c r="D1421" s="261"/>
      <c r="E1421" s="133"/>
      <c r="F1421" s="8"/>
      <c r="G1421" s="55"/>
      <c r="H1421" s="55"/>
      <c r="I1421" s="55"/>
      <c r="J1421" s="55"/>
      <c r="K1421" s="65"/>
      <c r="L1421" s="65"/>
      <c r="M1421" s="65"/>
      <c r="N1421" s="537"/>
      <c r="O1421"/>
      <c r="P1421"/>
      <c r="Q1421"/>
      <c r="R1421"/>
    </row>
    <row r="1422" spans="2:18" x14ac:dyDescent="0.2">
      <c r="B1422" s="106"/>
      <c r="C1422" s="232"/>
      <c r="D1422" s="261"/>
      <c r="E1422" s="133"/>
      <c r="F1422" s="8"/>
      <c r="G1422" s="55"/>
      <c r="H1422" s="55"/>
      <c r="I1422" s="55"/>
      <c r="J1422" s="55"/>
      <c r="K1422" s="65"/>
      <c r="L1422" s="65"/>
      <c r="M1422" s="65"/>
      <c r="N1422" s="537"/>
      <c r="O1422"/>
      <c r="P1422"/>
      <c r="Q1422"/>
      <c r="R1422"/>
    </row>
    <row r="1423" spans="2:18" x14ac:dyDescent="0.2">
      <c r="B1423" s="106"/>
      <c r="C1423" s="232"/>
      <c r="D1423" s="261"/>
      <c r="E1423" s="133"/>
      <c r="F1423" s="8"/>
      <c r="G1423" s="55"/>
      <c r="H1423" s="55"/>
      <c r="I1423" s="55"/>
      <c r="J1423" s="55"/>
      <c r="K1423" s="65"/>
      <c r="L1423" s="65"/>
      <c r="M1423" s="65"/>
      <c r="N1423" s="537"/>
      <c r="O1423"/>
      <c r="P1423"/>
      <c r="Q1423"/>
      <c r="R1423"/>
    </row>
    <row r="1424" spans="2:18" x14ac:dyDescent="0.2">
      <c r="B1424" s="106"/>
      <c r="C1424" s="232"/>
      <c r="D1424" s="261"/>
      <c r="E1424" s="133"/>
      <c r="F1424" s="8"/>
      <c r="G1424" s="55"/>
      <c r="H1424" s="55"/>
      <c r="I1424" s="55"/>
      <c r="J1424" s="55"/>
      <c r="K1424" s="65"/>
      <c r="L1424" s="65"/>
      <c r="M1424" s="65"/>
      <c r="N1424" s="537"/>
      <c r="O1424"/>
      <c r="P1424"/>
      <c r="Q1424"/>
      <c r="R1424"/>
    </row>
    <row r="1425" spans="2:18" x14ac:dyDescent="0.2">
      <c r="B1425" s="106"/>
      <c r="C1425" s="232"/>
      <c r="D1425" s="261"/>
      <c r="E1425" s="133"/>
      <c r="F1425" s="8"/>
      <c r="G1425" s="55"/>
      <c r="H1425" s="55"/>
      <c r="I1425" s="55"/>
      <c r="J1425" s="55"/>
      <c r="K1425" s="65"/>
      <c r="L1425" s="65"/>
      <c r="M1425" s="65"/>
      <c r="N1425" s="537"/>
      <c r="O1425"/>
      <c r="P1425"/>
      <c r="Q1425"/>
      <c r="R1425"/>
    </row>
    <row r="1426" spans="2:18" x14ac:dyDescent="0.2">
      <c r="B1426" s="106"/>
      <c r="C1426" s="232"/>
      <c r="D1426" s="261"/>
      <c r="E1426" s="133"/>
      <c r="F1426" s="8"/>
      <c r="G1426" s="55"/>
      <c r="H1426" s="55"/>
      <c r="I1426" s="55"/>
      <c r="J1426" s="55"/>
      <c r="K1426" s="65"/>
      <c r="L1426" s="65"/>
      <c r="M1426" s="65"/>
      <c r="N1426" s="537"/>
      <c r="O1426"/>
      <c r="P1426"/>
      <c r="Q1426"/>
      <c r="R1426"/>
    </row>
    <row r="1427" spans="2:18" x14ac:dyDescent="0.2">
      <c r="B1427" s="106"/>
      <c r="C1427" s="232"/>
      <c r="D1427" s="261"/>
      <c r="E1427" s="133"/>
      <c r="F1427" s="8"/>
      <c r="G1427" s="55"/>
      <c r="H1427" s="55"/>
      <c r="I1427" s="55"/>
      <c r="J1427" s="55"/>
      <c r="K1427" s="65"/>
      <c r="L1427" s="65"/>
      <c r="M1427" s="65"/>
      <c r="N1427" s="537"/>
      <c r="O1427"/>
      <c r="P1427"/>
      <c r="Q1427"/>
      <c r="R1427"/>
    </row>
    <row r="1428" spans="2:18" x14ac:dyDescent="0.2">
      <c r="B1428" s="106"/>
      <c r="C1428" s="232"/>
      <c r="D1428" s="261"/>
      <c r="E1428" s="133"/>
      <c r="F1428" s="8"/>
      <c r="G1428" s="55"/>
      <c r="H1428" s="55"/>
      <c r="I1428" s="55"/>
      <c r="J1428" s="55"/>
      <c r="K1428" s="65"/>
      <c r="L1428" s="65"/>
      <c r="M1428" s="65"/>
      <c r="N1428" s="537"/>
      <c r="O1428"/>
      <c r="P1428"/>
      <c r="Q1428"/>
      <c r="R1428"/>
    </row>
    <row r="1429" spans="2:18" x14ac:dyDescent="0.2">
      <c r="B1429" s="106"/>
      <c r="C1429" s="232"/>
      <c r="D1429" s="261"/>
      <c r="E1429" s="133"/>
      <c r="F1429" s="8"/>
      <c r="G1429" s="55"/>
      <c r="H1429" s="55"/>
      <c r="I1429" s="55"/>
      <c r="J1429" s="55"/>
      <c r="K1429" s="65"/>
      <c r="L1429" s="65"/>
      <c r="M1429" s="65"/>
      <c r="N1429" s="537"/>
      <c r="O1429"/>
      <c r="P1429"/>
      <c r="Q1429"/>
      <c r="R1429"/>
    </row>
    <row r="1430" spans="2:18" x14ac:dyDescent="0.2">
      <c r="B1430" s="106"/>
      <c r="C1430" s="232"/>
      <c r="D1430" s="261"/>
      <c r="E1430" s="133"/>
      <c r="F1430" s="8"/>
      <c r="G1430" s="55"/>
      <c r="H1430" s="55"/>
      <c r="I1430" s="55"/>
      <c r="J1430" s="55"/>
      <c r="K1430" s="65"/>
      <c r="L1430" s="65"/>
      <c r="M1430" s="65"/>
      <c r="N1430" s="537"/>
      <c r="O1430"/>
      <c r="P1430"/>
      <c r="Q1430"/>
      <c r="R1430"/>
    </row>
    <row r="1431" spans="2:18" x14ac:dyDescent="0.2">
      <c r="B1431" s="106"/>
      <c r="C1431" s="232"/>
      <c r="D1431" s="261"/>
      <c r="E1431" s="133"/>
      <c r="F1431" s="8"/>
      <c r="G1431" s="55"/>
      <c r="H1431" s="55"/>
      <c r="I1431" s="55"/>
      <c r="J1431" s="55"/>
      <c r="K1431" s="65"/>
      <c r="L1431" s="65"/>
      <c r="M1431" s="65"/>
      <c r="N1431" s="537"/>
      <c r="O1431"/>
      <c r="P1431"/>
      <c r="Q1431"/>
      <c r="R1431"/>
    </row>
    <row r="1432" spans="2:18" x14ac:dyDescent="0.2">
      <c r="B1432" s="106"/>
      <c r="C1432" s="232"/>
      <c r="D1432" s="261"/>
      <c r="E1432" s="133"/>
      <c r="F1432" s="8"/>
      <c r="G1432" s="55"/>
      <c r="H1432" s="55"/>
      <c r="I1432" s="55"/>
      <c r="J1432" s="55"/>
      <c r="K1432" s="65"/>
      <c r="L1432" s="65"/>
      <c r="M1432" s="65"/>
      <c r="N1432" s="537"/>
      <c r="O1432"/>
      <c r="P1432"/>
      <c r="Q1432"/>
      <c r="R1432"/>
    </row>
    <row r="1433" spans="2:18" x14ac:dyDescent="0.2">
      <c r="B1433" s="106"/>
      <c r="C1433" s="232"/>
      <c r="D1433" s="261"/>
      <c r="E1433" s="133"/>
      <c r="F1433" s="8"/>
      <c r="G1433" s="55"/>
      <c r="H1433" s="55"/>
      <c r="I1433" s="55"/>
      <c r="J1433" s="55"/>
      <c r="K1433" s="65"/>
      <c r="L1433" s="65"/>
      <c r="M1433" s="65"/>
      <c r="N1433" s="537"/>
      <c r="O1433"/>
      <c r="P1433"/>
      <c r="Q1433"/>
      <c r="R1433"/>
    </row>
    <row r="1434" spans="2:18" x14ac:dyDescent="0.2">
      <c r="B1434" s="106"/>
      <c r="C1434" s="232"/>
      <c r="D1434" s="261"/>
      <c r="E1434" s="133"/>
      <c r="F1434" s="8"/>
      <c r="G1434" s="55"/>
      <c r="H1434" s="55"/>
      <c r="I1434" s="55"/>
      <c r="J1434" s="55"/>
      <c r="K1434" s="65"/>
      <c r="L1434" s="65"/>
      <c r="M1434" s="65"/>
      <c r="N1434" s="537"/>
      <c r="O1434"/>
      <c r="P1434"/>
      <c r="Q1434"/>
      <c r="R1434"/>
    </row>
    <row r="1435" spans="2:18" x14ac:dyDescent="0.2">
      <c r="B1435" s="106"/>
      <c r="C1435" s="232"/>
      <c r="D1435" s="261"/>
      <c r="E1435" s="133"/>
      <c r="F1435" s="8"/>
      <c r="G1435" s="55"/>
      <c r="H1435" s="55"/>
      <c r="I1435" s="55"/>
      <c r="J1435" s="55"/>
      <c r="K1435" s="65"/>
      <c r="L1435" s="65"/>
      <c r="M1435" s="65"/>
      <c r="N1435" s="537"/>
      <c r="O1435"/>
      <c r="P1435"/>
      <c r="Q1435"/>
      <c r="R1435"/>
    </row>
    <row r="1436" spans="2:18" x14ac:dyDescent="0.2">
      <c r="B1436" s="106"/>
      <c r="C1436" s="232"/>
      <c r="D1436" s="261"/>
      <c r="E1436" s="133"/>
      <c r="F1436" s="8"/>
      <c r="G1436" s="55"/>
      <c r="H1436" s="55"/>
      <c r="I1436" s="55"/>
      <c r="J1436" s="55"/>
      <c r="K1436" s="65"/>
      <c r="L1436" s="65"/>
      <c r="M1436" s="65"/>
      <c r="N1436" s="537"/>
      <c r="O1436"/>
      <c r="P1436"/>
      <c r="Q1436"/>
      <c r="R1436"/>
    </row>
    <row r="1437" spans="2:18" x14ac:dyDescent="0.2">
      <c r="B1437" s="106"/>
      <c r="C1437" s="232"/>
      <c r="D1437" s="261"/>
      <c r="E1437" s="133"/>
      <c r="F1437" s="8"/>
      <c r="G1437" s="55"/>
      <c r="H1437" s="55"/>
      <c r="I1437" s="55"/>
      <c r="J1437" s="55"/>
      <c r="K1437" s="65"/>
      <c r="L1437" s="65"/>
      <c r="M1437" s="65"/>
      <c r="N1437" s="537"/>
      <c r="O1437"/>
      <c r="P1437"/>
      <c r="Q1437"/>
      <c r="R1437"/>
    </row>
    <row r="1438" spans="2:18" x14ac:dyDescent="0.2">
      <c r="B1438" s="106"/>
      <c r="C1438" s="232"/>
      <c r="D1438" s="261"/>
      <c r="E1438" s="133"/>
      <c r="F1438" s="8"/>
      <c r="G1438" s="55"/>
      <c r="H1438" s="55"/>
      <c r="I1438" s="55"/>
      <c r="J1438" s="55"/>
      <c r="K1438" s="65"/>
      <c r="L1438" s="65"/>
      <c r="M1438" s="65"/>
      <c r="N1438" s="537"/>
      <c r="O1438"/>
      <c r="P1438"/>
      <c r="Q1438"/>
      <c r="R1438"/>
    </row>
    <row r="1439" spans="2:18" x14ac:dyDescent="0.2">
      <c r="B1439" s="106"/>
      <c r="C1439" s="232"/>
      <c r="D1439" s="261"/>
      <c r="E1439" s="133"/>
      <c r="F1439" s="8"/>
      <c r="G1439" s="55"/>
      <c r="H1439" s="55"/>
      <c r="I1439" s="55"/>
      <c r="J1439" s="55"/>
      <c r="K1439" s="65"/>
      <c r="L1439" s="65"/>
      <c r="M1439" s="65"/>
      <c r="N1439" s="537"/>
      <c r="O1439"/>
      <c r="P1439"/>
      <c r="Q1439"/>
      <c r="R1439"/>
    </row>
    <row r="1440" spans="2:18" x14ac:dyDescent="0.2">
      <c r="B1440" s="106"/>
      <c r="C1440" s="232"/>
      <c r="D1440" s="261"/>
      <c r="E1440" s="133"/>
      <c r="F1440" s="8"/>
      <c r="G1440" s="55"/>
      <c r="H1440" s="55"/>
      <c r="I1440" s="55"/>
      <c r="J1440" s="55"/>
      <c r="K1440" s="65"/>
      <c r="L1440" s="65"/>
      <c r="M1440" s="65"/>
      <c r="N1440" s="537"/>
      <c r="O1440"/>
      <c r="P1440"/>
      <c r="Q1440"/>
      <c r="R1440"/>
    </row>
    <row r="1441" spans="2:18" x14ac:dyDescent="0.2">
      <c r="B1441" s="106"/>
      <c r="C1441" s="232"/>
      <c r="D1441" s="261"/>
      <c r="E1441" s="133"/>
      <c r="F1441" s="8"/>
      <c r="G1441" s="55"/>
      <c r="H1441" s="55"/>
      <c r="I1441" s="55"/>
      <c r="J1441" s="55"/>
      <c r="K1441" s="65"/>
      <c r="L1441" s="65"/>
      <c r="M1441" s="65"/>
      <c r="N1441" s="537"/>
      <c r="O1441"/>
      <c r="P1441"/>
      <c r="Q1441"/>
      <c r="R1441"/>
    </row>
    <row r="1442" spans="2:18" x14ac:dyDescent="0.2">
      <c r="B1442" s="106"/>
      <c r="C1442" s="232"/>
      <c r="D1442" s="261"/>
      <c r="E1442" s="133"/>
      <c r="F1442" s="8"/>
      <c r="G1442" s="55"/>
      <c r="H1442" s="55"/>
      <c r="I1442" s="55"/>
      <c r="J1442" s="55"/>
      <c r="K1442" s="65"/>
      <c r="L1442" s="65"/>
      <c r="M1442" s="65"/>
      <c r="N1442" s="537"/>
      <c r="O1442"/>
      <c r="P1442"/>
      <c r="Q1442"/>
      <c r="R1442"/>
    </row>
    <row r="1443" spans="2:18" x14ac:dyDescent="0.2">
      <c r="B1443" s="106"/>
      <c r="C1443" s="232"/>
      <c r="D1443" s="261"/>
      <c r="E1443" s="133"/>
      <c r="F1443" s="8"/>
      <c r="G1443" s="55"/>
      <c r="H1443" s="55"/>
      <c r="I1443" s="55"/>
      <c r="J1443" s="55"/>
      <c r="K1443" s="65"/>
      <c r="L1443" s="65"/>
      <c r="M1443" s="65"/>
      <c r="N1443" s="537"/>
    </row>
    <row r="1444" spans="2:18" x14ac:dyDescent="0.2">
      <c r="B1444" s="106"/>
      <c r="C1444" s="232"/>
      <c r="D1444" s="261"/>
      <c r="E1444" s="133"/>
      <c r="F1444" s="8"/>
      <c r="G1444" s="55"/>
      <c r="H1444" s="55"/>
      <c r="I1444" s="55"/>
      <c r="J1444" s="55"/>
      <c r="K1444" s="65"/>
      <c r="L1444" s="65"/>
      <c r="M1444" s="65"/>
      <c r="N1444" s="537"/>
    </row>
    <row r="1445" spans="2:18" x14ac:dyDescent="0.2">
      <c r="B1445" s="106"/>
      <c r="C1445" s="232"/>
      <c r="D1445" s="261"/>
      <c r="E1445" s="133"/>
      <c r="F1445" s="8"/>
      <c r="G1445" s="55"/>
      <c r="H1445" s="55"/>
      <c r="I1445" s="55"/>
      <c r="J1445" s="55"/>
      <c r="K1445" s="65"/>
      <c r="L1445" s="65"/>
      <c r="M1445" s="65"/>
      <c r="N1445" s="537"/>
    </row>
    <row r="1446" spans="2:18" x14ac:dyDescent="0.2">
      <c r="B1446" s="106"/>
      <c r="C1446" s="232"/>
      <c r="D1446" s="261"/>
      <c r="E1446" s="133"/>
      <c r="F1446" s="8"/>
      <c r="G1446" s="55"/>
      <c r="H1446" s="55"/>
      <c r="I1446" s="55"/>
      <c r="J1446" s="55"/>
      <c r="K1446" s="65"/>
      <c r="L1446" s="65"/>
      <c r="M1446" s="65"/>
      <c r="N1446" s="537"/>
    </row>
    <row r="1447" spans="2:18" x14ac:dyDescent="0.2">
      <c r="B1447" s="106"/>
      <c r="C1447" s="232"/>
      <c r="D1447" s="261"/>
      <c r="E1447" s="133"/>
      <c r="F1447" s="8"/>
      <c r="G1447" s="55"/>
      <c r="H1447" s="55"/>
      <c r="I1447" s="55"/>
      <c r="J1447" s="55"/>
      <c r="K1447" s="65"/>
      <c r="L1447" s="65"/>
      <c r="M1447" s="65"/>
      <c r="N1447" s="537"/>
    </row>
    <row r="1448" spans="2:18" x14ac:dyDescent="0.2">
      <c r="B1448" s="106"/>
      <c r="C1448" s="232"/>
      <c r="D1448" s="261"/>
      <c r="E1448" s="133"/>
      <c r="F1448" s="8"/>
      <c r="G1448" s="55"/>
      <c r="H1448" s="55"/>
      <c r="I1448" s="55"/>
      <c r="J1448" s="55"/>
      <c r="K1448" s="65"/>
      <c r="L1448" s="65"/>
      <c r="M1448" s="65"/>
      <c r="N1448" s="537"/>
    </row>
    <row r="1449" spans="2:18" x14ac:dyDescent="0.2">
      <c r="B1449" s="106"/>
      <c r="C1449" s="232"/>
      <c r="D1449" s="261"/>
      <c r="E1449" s="133"/>
      <c r="F1449" s="8"/>
      <c r="G1449" s="55"/>
      <c r="H1449" s="55"/>
      <c r="I1449" s="55"/>
      <c r="J1449" s="55"/>
      <c r="K1449" s="65"/>
      <c r="L1449" s="65"/>
      <c r="M1449" s="65"/>
      <c r="N1449" s="537"/>
    </row>
    <row r="1450" spans="2:18" x14ac:dyDescent="0.2">
      <c r="B1450" s="106"/>
      <c r="C1450" s="232"/>
      <c r="D1450" s="261"/>
      <c r="E1450" s="133"/>
      <c r="F1450" s="8"/>
      <c r="G1450" s="55"/>
      <c r="H1450" s="55"/>
      <c r="I1450" s="55"/>
      <c r="J1450" s="55"/>
      <c r="K1450" s="65"/>
      <c r="L1450" s="65"/>
      <c r="M1450" s="65"/>
      <c r="N1450" s="537"/>
    </row>
    <row r="1451" spans="2:18" x14ac:dyDescent="0.2">
      <c r="B1451" s="106"/>
      <c r="C1451" s="232"/>
      <c r="D1451" s="261"/>
      <c r="E1451" s="133"/>
      <c r="F1451" s="8"/>
      <c r="G1451" s="55"/>
      <c r="H1451" s="55"/>
      <c r="I1451" s="55"/>
      <c r="J1451" s="55"/>
      <c r="K1451" s="65"/>
      <c r="L1451" s="65"/>
      <c r="M1451" s="65"/>
      <c r="N1451" s="537"/>
    </row>
    <row r="1452" spans="2:18" x14ac:dyDescent="0.2">
      <c r="B1452" s="106"/>
      <c r="C1452" s="232"/>
      <c r="D1452" s="261"/>
      <c r="E1452" s="133"/>
      <c r="F1452" s="8"/>
      <c r="G1452" s="55"/>
      <c r="H1452" s="55"/>
      <c r="I1452" s="55"/>
      <c r="J1452" s="55"/>
      <c r="K1452" s="65"/>
      <c r="L1452" s="65"/>
      <c r="M1452" s="65"/>
      <c r="N1452" s="537"/>
    </row>
    <row r="1453" spans="2:18" x14ac:dyDescent="0.2">
      <c r="B1453" s="106"/>
      <c r="C1453" s="232"/>
      <c r="D1453" s="261"/>
      <c r="E1453" s="133"/>
      <c r="F1453" s="8"/>
      <c r="G1453" s="55"/>
      <c r="H1453" s="55"/>
      <c r="I1453" s="55"/>
      <c r="J1453" s="55"/>
      <c r="K1453" s="65"/>
      <c r="L1453" s="65"/>
      <c r="M1453" s="65"/>
      <c r="N1453" s="537"/>
    </row>
    <row r="1454" spans="2:18" x14ac:dyDescent="0.2">
      <c r="B1454" s="106"/>
      <c r="C1454" s="232"/>
      <c r="D1454" s="261"/>
      <c r="E1454" s="133"/>
      <c r="F1454" s="8"/>
      <c r="G1454" s="55"/>
      <c r="H1454" s="55"/>
      <c r="I1454" s="55"/>
      <c r="J1454" s="55"/>
      <c r="K1454" s="65"/>
      <c r="L1454" s="65"/>
      <c r="M1454" s="65"/>
      <c r="N1454" s="537"/>
    </row>
    <row r="1455" spans="2:18" x14ac:dyDescent="0.2">
      <c r="B1455" s="106"/>
      <c r="C1455" s="232"/>
      <c r="D1455" s="261"/>
      <c r="E1455" s="133"/>
      <c r="F1455" s="8"/>
      <c r="G1455" s="55"/>
      <c r="H1455" s="55"/>
      <c r="I1455" s="55"/>
      <c r="J1455" s="55"/>
      <c r="K1455" s="65"/>
      <c r="L1455" s="65"/>
      <c r="M1455" s="65"/>
      <c r="N1455" s="537"/>
    </row>
    <row r="1456" spans="2:18" x14ac:dyDescent="0.2">
      <c r="B1456" s="106"/>
      <c r="C1456" s="232"/>
      <c r="D1456" s="261"/>
      <c r="E1456" s="133"/>
      <c r="F1456" s="8"/>
      <c r="G1456" s="55"/>
      <c r="H1456" s="55"/>
      <c r="I1456" s="55"/>
      <c r="J1456" s="55"/>
      <c r="K1456" s="65"/>
      <c r="L1456" s="65"/>
      <c r="M1456" s="65"/>
      <c r="N1456" s="537"/>
    </row>
    <row r="1457" spans="2:14" x14ac:dyDescent="0.2">
      <c r="B1457" s="106"/>
      <c r="C1457" s="232"/>
      <c r="D1457" s="261"/>
      <c r="E1457" s="133"/>
      <c r="F1457" s="8"/>
      <c r="G1457" s="55"/>
      <c r="H1457" s="55"/>
      <c r="I1457" s="55"/>
      <c r="J1457" s="55"/>
      <c r="K1457" s="65"/>
      <c r="L1457" s="65"/>
      <c r="M1457" s="65"/>
      <c r="N1457" s="537"/>
    </row>
    <row r="1458" spans="2:14" x14ac:dyDescent="0.2">
      <c r="B1458" s="106"/>
      <c r="C1458" s="232"/>
      <c r="D1458" s="261"/>
      <c r="E1458" s="133"/>
      <c r="F1458" s="8"/>
      <c r="G1458" s="55"/>
      <c r="H1458" s="55"/>
      <c r="I1458" s="55"/>
      <c r="J1458" s="55"/>
      <c r="K1458" s="65"/>
      <c r="L1458" s="65"/>
      <c r="M1458" s="65"/>
      <c r="N1458" s="537"/>
    </row>
    <row r="1459" spans="2:14" x14ac:dyDescent="0.2">
      <c r="B1459" s="106"/>
      <c r="C1459" s="232"/>
      <c r="D1459" s="261"/>
      <c r="E1459" s="133"/>
      <c r="F1459" s="8"/>
      <c r="G1459" s="55"/>
      <c r="H1459" s="55"/>
      <c r="I1459" s="55"/>
      <c r="J1459" s="55"/>
      <c r="K1459" s="65"/>
      <c r="L1459" s="65"/>
      <c r="M1459" s="65"/>
      <c r="N1459" s="537"/>
    </row>
    <row r="1460" spans="2:14" x14ac:dyDescent="0.2">
      <c r="B1460" s="106"/>
      <c r="C1460" s="232"/>
      <c r="D1460" s="261"/>
      <c r="E1460" s="133"/>
      <c r="F1460" s="8"/>
      <c r="G1460" s="55"/>
      <c r="H1460" s="55"/>
      <c r="I1460" s="55"/>
      <c r="J1460" s="55"/>
      <c r="K1460" s="65"/>
      <c r="L1460" s="65"/>
      <c r="M1460" s="65"/>
      <c r="N1460" s="537"/>
    </row>
    <row r="1461" spans="2:14" x14ac:dyDescent="0.2">
      <c r="B1461" s="106"/>
      <c r="C1461" s="232"/>
      <c r="D1461" s="261"/>
      <c r="E1461" s="133"/>
      <c r="F1461" s="8"/>
      <c r="G1461" s="55"/>
      <c r="H1461" s="55"/>
      <c r="I1461" s="55"/>
      <c r="J1461" s="55"/>
      <c r="K1461" s="65"/>
      <c r="L1461" s="65"/>
      <c r="M1461" s="65"/>
      <c r="N1461" s="537"/>
    </row>
    <row r="1462" spans="2:14" x14ac:dyDescent="0.2">
      <c r="B1462" s="106"/>
      <c r="C1462" s="232"/>
      <c r="D1462" s="261"/>
      <c r="E1462" s="133"/>
      <c r="F1462" s="8"/>
      <c r="G1462" s="55"/>
      <c r="H1462" s="55"/>
      <c r="I1462" s="55"/>
      <c r="J1462" s="55"/>
      <c r="K1462" s="65"/>
      <c r="L1462" s="65"/>
      <c r="M1462" s="65"/>
      <c r="N1462" s="537"/>
    </row>
    <row r="1463" spans="2:14" x14ac:dyDescent="0.2">
      <c r="B1463" s="106"/>
      <c r="C1463" s="232"/>
      <c r="D1463" s="261"/>
      <c r="E1463" s="133"/>
      <c r="F1463" s="8"/>
      <c r="G1463" s="55"/>
      <c r="H1463" s="55"/>
      <c r="I1463" s="55"/>
      <c r="J1463" s="55"/>
      <c r="K1463" s="65"/>
      <c r="L1463" s="65"/>
      <c r="M1463" s="65"/>
      <c r="N1463" s="537"/>
    </row>
    <row r="1464" spans="2:14" x14ac:dyDescent="0.2">
      <c r="B1464" s="106"/>
      <c r="C1464" s="232"/>
      <c r="D1464" s="261"/>
      <c r="E1464" s="133"/>
      <c r="F1464" s="8"/>
      <c r="G1464" s="55"/>
      <c r="H1464" s="55"/>
      <c r="I1464" s="55"/>
      <c r="J1464" s="55"/>
      <c r="K1464" s="65"/>
      <c r="L1464" s="65"/>
      <c r="M1464" s="65"/>
      <c r="N1464" s="537"/>
    </row>
    <row r="1465" spans="2:14" x14ac:dyDescent="0.2">
      <c r="B1465" s="106"/>
      <c r="C1465" s="232"/>
      <c r="D1465" s="261"/>
      <c r="E1465" s="133"/>
      <c r="F1465" s="8"/>
      <c r="G1465" s="55"/>
      <c r="H1465" s="55"/>
      <c r="I1465" s="55"/>
      <c r="J1465" s="55"/>
      <c r="K1465" s="65"/>
      <c r="L1465" s="65"/>
      <c r="M1465" s="65"/>
      <c r="N1465" s="537"/>
    </row>
    <row r="1466" spans="2:14" x14ac:dyDescent="0.2">
      <c r="B1466" s="106"/>
      <c r="C1466" s="232"/>
      <c r="D1466" s="261"/>
      <c r="E1466" s="133"/>
      <c r="F1466" s="8"/>
      <c r="G1466" s="55"/>
      <c r="H1466" s="55"/>
      <c r="I1466" s="55"/>
      <c r="J1466" s="55"/>
      <c r="K1466" s="65"/>
      <c r="L1466" s="65"/>
      <c r="M1466" s="65"/>
      <c r="N1466" s="537"/>
    </row>
    <row r="1467" spans="2:14" x14ac:dyDescent="0.2">
      <c r="B1467" s="106"/>
      <c r="C1467" s="232"/>
      <c r="D1467" s="261"/>
      <c r="E1467" s="133"/>
      <c r="F1467" s="8"/>
      <c r="G1467" s="55"/>
      <c r="H1467" s="55"/>
      <c r="I1467" s="55"/>
      <c r="J1467" s="55"/>
      <c r="K1467" s="65"/>
      <c r="L1467" s="65"/>
      <c r="M1467" s="65"/>
      <c r="N1467" s="537"/>
    </row>
    <row r="1468" spans="2:14" x14ac:dyDescent="0.2">
      <c r="B1468" s="106"/>
      <c r="C1468" s="232"/>
      <c r="D1468" s="261"/>
      <c r="E1468" s="133"/>
      <c r="F1468" s="8"/>
      <c r="G1468" s="55"/>
      <c r="H1468" s="55"/>
      <c r="I1468" s="55"/>
      <c r="J1468" s="55"/>
      <c r="K1468" s="65"/>
      <c r="L1468" s="65"/>
      <c r="M1468" s="65"/>
      <c r="N1468" s="537"/>
    </row>
    <row r="1469" spans="2:14" x14ac:dyDescent="0.2">
      <c r="B1469" s="106"/>
      <c r="C1469" s="232"/>
      <c r="D1469" s="261"/>
      <c r="E1469" s="133"/>
      <c r="F1469" s="8"/>
      <c r="G1469" s="55"/>
      <c r="H1469" s="55"/>
      <c r="I1469" s="55"/>
      <c r="J1469" s="55"/>
      <c r="K1469" s="65"/>
      <c r="L1469" s="65"/>
      <c r="M1469" s="65"/>
      <c r="N1469" s="537"/>
    </row>
    <row r="1470" spans="2:14" x14ac:dyDescent="0.2">
      <c r="B1470" s="106"/>
      <c r="C1470" s="232"/>
      <c r="D1470" s="261"/>
      <c r="E1470" s="133"/>
      <c r="F1470" s="8"/>
      <c r="G1470" s="55"/>
      <c r="H1470" s="55"/>
      <c r="I1470" s="55"/>
      <c r="J1470" s="55"/>
      <c r="K1470" s="65"/>
      <c r="L1470" s="65"/>
      <c r="M1470" s="65"/>
      <c r="N1470" s="537"/>
    </row>
    <row r="1471" spans="2:14" x14ac:dyDescent="0.2">
      <c r="B1471" s="106"/>
      <c r="C1471" s="232"/>
      <c r="D1471" s="261"/>
      <c r="E1471" s="133"/>
      <c r="F1471" s="8"/>
      <c r="G1471" s="55"/>
      <c r="H1471" s="55"/>
      <c r="I1471" s="55"/>
      <c r="J1471" s="55"/>
      <c r="K1471" s="65"/>
      <c r="L1471" s="65"/>
      <c r="M1471" s="65"/>
      <c r="N1471" s="537"/>
    </row>
    <row r="1472" spans="2:14" x14ac:dyDescent="0.2">
      <c r="B1472" s="106"/>
      <c r="C1472" s="232"/>
      <c r="D1472" s="261"/>
      <c r="E1472" s="133"/>
      <c r="F1472" s="8"/>
      <c r="G1472" s="55"/>
      <c r="H1472" s="55"/>
      <c r="I1472" s="55"/>
      <c r="J1472" s="55"/>
      <c r="K1472" s="65"/>
      <c r="L1472" s="65"/>
      <c r="M1472" s="65"/>
      <c r="N1472" s="537"/>
    </row>
    <row r="1473" spans="2:14" x14ac:dyDescent="0.2">
      <c r="B1473" s="106"/>
      <c r="C1473" s="232"/>
      <c r="D1473" s="261"/>
      <c r="E1473" s="133"/>
      <c r="F1473" s="8"/>
      <c r="G1473" s="55"/>
      <c r="H1473" s="55"/>
      <c r="I1473" s="55"/>
      <c r="J1473" s="55"/>
      <c r="K1473" s="65"/>
      <c r="L1473" s="65"/>
      <c r="M1473" s="65"/>
      <c r="N1473" s="537"/>
    </row>
    <row r="1474" spans="2:14" x14ac:dyDescent="0.2">
      <c r="B1474" s="106"/>
      <c r="C1474" s="232"/>
      <c r="D1474" s="261"/>
      <c r="E1474" s="133"/>
      <c r="F1474" s="8"/>
      <c r="G1474" s="55"/>
      <c r="H1474" s="55"/>
      <c r="I1474" s="55"/>
      <c r="J1474" s="55"/>
      <c r="K1474" s="65"/>
      <c r="L1474" s="65"/>
      <c r="M1474" s="65"/>
      <c r="N1474" s="537"/>
    </row>
    <row r="1475" spans="2:14" x14ac:dyDescent="0.2">
      <c r="B1475" s="106"/>
      <c r="C1475" s="232"/>
      <c r="D1475" s="261"/>
      <c r="E1475" s="133"/>
      <c r="F1475" s="8"/>
      <c r="G1475" s="55"/>
      <c r="H1475" s="55"/>
      <c r="I1475" s="55"/>
      <c r="J1475" s="55"/>
      <c r="K1475" s="65"/>
      <c r="L1475" s="65"/>
      <c r="M1475" s="65"/>
      <c r="N1475" s="537"/>
    </row>
    <row r="1476" spans="2:14" x14ac:dyDescent="0.2">
      <c r="B1476" s="106"/>
      <c r="C1476" s="232"/>
      <c r="D1476" s="261"/>
      <c r="E1476" s="133"/>
      <c r="F1476" s="8"/>
      <c r="G1476" s="55"/>
      <c r="H1476" s="55"/>
      <c r="I1476" s="55"/>
      <c r="J1476" s="55"/>
      <c r="K1476" s="65"/>
      <c r="L1476" s="65"/>
      <c r="M1476" s="65"/>
      <c r="N1476" s="537"/>
    </row>
    <row r="1477" spans="2:14" x14ac:dyDescent="0.2">
      <c r="B1477" s="106"/>
      <c r="C1477" s="232"/>
      <c r="D1477" s="261"/>
      <c r="E1477" s="133"/>
      <c r="F1477" s="8"/>
      <c r="G1477" s="55"/>
      <c r="H1477" s="55"/>
      <c r="I1477" s="55"/>
      <c r="J1477" s="55"/>
      <c r="K1477" s="65"/>
      <c r="L1477" s="65"/>
      <c r="M1477" s="65"/>
      <c r="N1477" s="537"/>
    </row>
    <row r="1478" spans="2:14" x14ac:dyDescent="0.2">
      <c r="B1478" s="106"/>
      <c r="C1478" s="232"/>
      <c r="D1478" s="261"/>
      <c r="E1478" s="133"/>
      <c r="F1478" s="8"/>
      <c r="G1478" s="55"/>
      <c r="H1478" s="55"/>
      <c r="I1478" s="55"/>
      <c r="J1478" s="55"/>
      <c r="K1478" s="65"/>
      <c r="L1478" s="65"/>
      <c r="M1478" s="65"/>
      <c r="N1478" s="537"/>
    </row>
    <row r="1479" spans="2:14" x14ac:dyDescent="0.2">
      <c r="B1479" s="106"/>
      <c r="C1479" s="232"/>
      <c r="D1479" s="261"/>
      <c r="E1479" s="133"/>
      <c r="F1479" s="8"/>
      <c r="G1479" s="55"/>
      <c r="H1479" s="55"/>
      <c r="I1479" s="55"/>
      <c r="J1479" s="55"/>
      <c r="K1479" s="65"/>
      <c r="L1479" s="65"/>
      <c r="M1479" s="65"/>
      <c r="N1479" s="537"/>
    </row>
    <row r="1480" spans="2:14" x14ac:dyDescent="0.2">
      <c r="B1480" s="106"/>
      <c r="C1480" s="232"/>
      <c r="D1480" s="261"/>
      <c r="E1480" s="133"/>
      <c r="F1480" s="8"/>
      <c r="G1480" s="55"/>
      <c r="H1480" s="55"/>
      <c r="I1480" s="55"/>
      <c r="J1480" s="55"/>
      <c r="K1480" s="65"/>
      <c r="L1480" s="65"/>
      <c r="M1480" s="65"/>
      <c r="N1480" s="537"/>
    </row>
    <row r="1481" spans="2:14" x14ac:dyDescent="0.2">
      <c r="B1481" s="106"/>
      <c r="C1481" s="232"/>
      <c r="D1481" s="261"/>
      <c r="E1481" s="133"/>
      <c r="F1481" s="8"/>
      <c r="G1481" s="55"/>
      <c r="H1481" s="55"/>
      <c r="I1481" s="55"/>
      <c r="J1481" s="55"/>
      <c r="K1481" s="65"/>
      <c r="L1481" s="65"/>
      <c r="M1481" s="65"/>
      <c r="N1481" s="537"/>
    </row>
    <row r="1482" spans="2:14" x14ac:dyDescent="0.2">
      <c r="B1482" s="106"/>
      <c r="C1482" s="232"/>
      <c r="D1482" s="261"/>
      <c r="E1482" s="133"/>
      <c r="F1482" s="8"/>
      <c r="G1482" s="55"/>
      <c r="H1482" s="55"/>
      <c r="I1482" s="55"/>
      <c r="J1482" s="55"/>
      <c r="K1482" s="65"/>
      <c r="L1482" s="65"/>
      <c r="M1482" s="65"/>
      <c r="N1482" s="537"/>
    </row>
    <row r="1483" spans="2:14" x14ac:dyDescent="0.2">
      <c r="B1483" s="106"/>
      <c r="C1483" s="232"/>
      <c r="D1483" s="261"/>
      <c r="E1483" s="133"/>
      <c r="F1483" s="8"/>
      <c r="G1483" s="55"/>
      <c r="H1483" s="55"/>
      <c r="I1483" s="55"/>
      <c r="J1483" s="55"/>
      <c r="K1483" s="65"/>
      <c r="L1483" s="65"/>
      <c r="M1483" s="65"/>
      <c r="N1483" s="537"/>
    </row>
    <row r="1484" spans="2:14" x14ac:dyDescent="0.2">
      <c r="B1484" s="106"/>
      <c r="C1484" s="232"/>
      <c r="D1484" s="261"/>
      <c r="E1484" s="133"/>
      <c r="F1484" s="8"/>
      <c r="G1484" s="55"/>
      <c r="H1484" s="55"/>
      <c r="I1484" s="55"/>
      <c r="J1484" s="55"/>
      <c r="K1484" s="65"/>
      <c r="L1484" s="65"/>
      <c r="M1484" s="65"/>
      <c r="N1484" s="537"/>
    </row>
    <row r="1485" spans="2:14" x14ac:dyDescent="0.2">
      <c r="B1485" s="106"/>
      <c r="C1485" s="232"/>
      <c r="D1485" s="261"/>
      <c r="E1485" s="133"/>
      <c r="F1485" s="8"/>
      <c r="G1485" s="55"/>
      <c r="H1485" s="55"/>
      <c r="I1485" s="55"/>
      <c r="J1485" s="55"/>
      <c r="K1485" s="65"/>
      <c r="L1485" s="65"/>
      <c r="M1485" s="65"/>
      <c r="N1485" s="537"/>
    </row>
    <row r="1486" spans="2:14" x14ac:dyDescent="0.2">
      <c r="B1486" s="106"/>
      <c r="C1486" s="232"/>
      <c r="D1486" s="261"/>
      <c r="E1486" s="133"/>
      <c r="F1486" s="8"/>
      <c r="G1486" s="55"/>
      <c r="H1486" s="55"/>
      <c r="I1486" s="55"/>
      <c r="J1486" s="55"/>
      <c r="K1486" s="65"/>
      <c r="L1486" s="65"/>
      <c r="M1486" s="65"/>
      <c r="N1486" s="537"/>
    </row>
    <row r="1487" spans="2:14" x14ac:dyDescent="0.2">
      <c r="B1487" s="106"/>
      <c r="C1487" s="232"/>
      <c r="D1487" s="261"/>
      <c r="E1487" s="133"/>
      <c r="F1487" s="8"/>
      <c r="G1487" s="55"/>
      <c r="H1487" s="55"/>
      <c r="I1487" s="55"/>
      <c r="J1487" s="55"/>
      <c r="K1487" s="65"/>
      <c r="L1487" s="65"/>
      <c r="M1487" s="65"/>
      <c r="N1487" s="537"/>
    </row>
    <row r="1488" spans="2:14" x14ac:dyDescent="0.2">
      <c r="B1488" s="106"/>
      <c r="C1488" s="232"/>
      <c r="D1488" s="261"/>
      <c r="E1488" s="133"/>
      <c r="F1488" s="8"/>
      <c r="G1488" s="55"/>
      <c r="H1488" s="55"/>
      <c r="I1488" s="55"/>
      <c r="J1488" s="55"/>
      <c r="K1488" s="65"/>
      <c r="L1488" s="65"/>
      <c r="M1488" s="65"/>
      <c r="N1488" s="537"/>
    </row>
    <row r="1489" spans="2:14" x14ac:dyDescent="0.2">
      <c r="B1489" s="106"/>
      <c r="C1489" s="232"/>
      <c r="D1489" s="261"/>
      <c r="E1489" s="133"/>
      <c r="F1489" s="8"/>
      <c r="G1489" s="55"/>
      <c r="H1489" s="55"/>
      <c r="I1489" s="55"/>
      <c r="J1489" s="55"/>
      <c r="K1489" s="65"/>
      <c r="L1489" s="65"/>
      <c r="M1489" s="65"/>
      <c r="N1489" s="537"/>
    </row>
    <row r="1490" spans="2:14" x14ac:dyDescent="0.2">
      <c r="B1490" s="106"/>
      <c r="C1490" s="232"/>
      <c r="D1490" s="261"/>
      <c r="E1490" s="133"/>
      <c r="F1490" s="8"/>
      <c r="G1490" s="55"/>
      <c r="H1490" s="55"/>
      <c r="I1490" s="55"/>
      <c r="J1490" s="55"/>
      <c r="K1490" s="65"/>
      <c r="L1490" s="65"/>
      <c r="M1490" s="65"/>
      <c r="N1490" s="537"/>
    </row>
    <row r="1491" spans="2:14" x14ac:dyDescent="0.2">
      <c r="B1491" s="106"/>
      <c r="C1491" s="232"/>
      <c r="D1491" s="261"/>
      <c r="E1491" s="133"/>
      <c r="F1491" s="8"/>
      <c r="G1491" s="55"/>
      <c r="H1491" s="55"/>
      <c r="I1491" s="55"/>
      <c r="J1491" s="55"/>
      <c r="K1491" s="65"/>
      <c r="L1491" s="65"/>
      <c r="M1491" s="65"/>
      <c r="N1491" s="537"/>
    </row>
    <row r="1492" spans="2:14" x14ac:dyDescent="0.2">
      <c r="B1492" s="106"/>
      <c r="C1492" s="232"/>
      <c r="D1492" s="261"/>
      <c r="E1492" s="133"/>
      <c r="F1492" s="8"/>
      <c r="G1492" s="55"/>
      <c r="H1492" s="55"/>
      <c r="I1492" s="55"/>
      <c r="J1492" s="55"/>
      <c r="K1492" s="65"/>
      <c r="L1492" s="65"/>
      <c r="M1492" s="65"/>
      <c r="N1492" s="537"/>
    </row>
    <row r="1493" spans="2:14" x14ac:dyDescent="0.2">
      <c r="C1493" s="56"/>
      <c r="D1493" s="56"/>
    </row>
  </sheetData>
  <mergeCells count="2">
    <mergeCell ref="B31:K31"/>
    <mergeCell ref="B51:I51"/>
  </mergeCells>
  <phoneticPr fontId="25" type="noConversion"/>
  <pageMargins left="0.78740157499999996" right="0.78740157499999996" top="0.984251969" bottom="0.984251969" header="0.49212598499999999" footer="0.49212598499999999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4" r:id="rId4" name="Button 10">
              <controlPr defaultSize="0" print="0" autoFill="0" autoPict="0" macro="[0]!NTNFCDI">
                <anchor moveWithCells="1" sizeWithCells="1">
                  <from>
                    <xdr:col>5</xdr:col>
                    <xdr:colOff>600075</xdr:colOff>
                    <xdr:row>0</xdr:row>
                    <xdr:rowOff>161925</xdr:rowOff>
                  </from>
                  <to>
                    <xdr:col>6</xdr:col>
                    <xdr:colOff>695325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5" name="Button 11">
              <controlPr defaultSize="0" print="0" autoFill="0" autoPict="0" macro="[0]!NTNFD2">
                <anchor moveWithCells="1" sizeWithCells="1">
                  <from>
                    <xdr:col>7</xdr:col>
                    <xdr:colOff>552450</xdr:colOff>
                    <xdr:row>1</xdr:row>
                    <xdr:rowOff>9525</xdr:rowOff>
                  </from>
                  <to>
                    <xdr:col>9</xdr:col>
                    <xdr:colOff>47625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BQ1430"/>
  <sheetViews>
    <sheetView topLeftCell="A73" workbookViewId="0">
      <pane xSplit="18675" topLeftCell="OP1"/>
      <selection activeCell="N77" sqref="N77"/>
      <selection pane="topRight" activeCell="AO56" sqref="AO56"/>
    </sheetView>
  </sheetViews>
  <sheetFormatPr defaultRowHeight="12.75" x14ac:dyDescent="0.2"/>
  <cols>
    <col min="1" max="1" width="9.140625" style="222"/>
    <col min="2" max="2" width="14.42578125" style="222" bestFit="1" customWidth="1"/>
    <col min="3" max="3" width="19.5703125" style="222" bestFit="1" customWidth="1"/>
    <col min="4" max="6" width="9.140625" style="222"/>
    <col min="7" max="7" width="9.140625" style="219"/>
    <col min="8" max="8" width="10.140625" style="219" bestFit="1" customWidth="1"/>
    <col min="9" max="14" width="9.140625" style="219"/>
    <col min="15" max="15" width="10.28515625" style="219" bestFit="1" customWidth="1"/>
    <col min="16" max="16" width="13.28515625" style="219" bestFit="1" customWidth="1"/>
    <col min="17" max="20" width="9.140625" style="219"/>
    <col min="21" max="21" width="12.28515625" style="219" bestFit="1" customWidth="1"/>
    <col min="22" max="22" width="9.28515625" style="219" bestFit="1" customWidth="1"/>
    <col min="23" max="23" width="11.28515625" style="219" bestFit="1" customWidth="1"/>
    <col min="24" max="24" width="12.28515625" style="219" bestFit="1" customWidth="1"/>
    <col min="25" max="26" width="12.28515625" style="219" customWidth="1"/>
    <col min="27" max="27" width="19" style="219" bestFit="1" customWidth="1"/>
    <col min="28" max="28" width="19.5703125" style="219" bestFit="1" customWidth="1"/>
    <col min="29" max="29" width="19.7109375" style="219" bestFit="1" customWidth="1"/>
    <col min="30" max="30" width="19.140625" style="219" bestFit="1" customWidth="1"/>
    <col min="31" max="31" width="19" style="219" bestFit="1" customWidth="1"/>
    <col min="32" max="32" width="19.5703125" style="219" bestFit="1" customWidth="1"/>
    <col min="33" max="33" width="13.28515625" style="219" bestFit="1" customWidth="1"/>
    <col min="34" max="36" width="9.140625" style="219"/>
    <col min="37" max="38" width="18.28515625" style="219" bestFit="1" customWidth="1"/>
    <col min="39" max="39" width="22.7109375" style="219" bestFit="1" customWidth="1"/>
    <col min="40" max="40" width="9.140625" style="219"/>
    <col min="41" max="41" width="38" style="219" bestFit="1" customWidth="1"/>
    <col min="42" max="42" width="22.7109375" style="219" bestFit="1" customWidth="1"/>
    <col min="43" max="43" width="20.28515625" style="219" bestFit="1" customWidth="1"/>
    <col min="44" max="44" width="18.140625" style="219" bestFit="1" customWidth="1"/>
    <col min="45" max="53" width="9.140625" style="219"/>
    <col min="54" max="54" width="16.28515625" style="219" customWidth="1"/>
    <col min="55" max="16384" width="9.140625" style="219"/>
  </cols>
  <sheetData>
    <row r="1" spans="1:17" x14ac:dyDescent="0.2">
      <c r="H1" s="219" t="str">
        <f t="shared" ref="H1:H64" si="0">IF(A1&lt;&gt;"",A1,"")</f>
        <v/>
      </c>
      <c r="I1" s="219" t="str">
        <f t="shared" ref="I1:I64" si="1">IF(A1&lt;&gt;"",(CONCATENATE("DI1",C1)),"")</f>
        <v/>
      </c>
      <c r="J1" s="219" t="str">
        <f>IF(I1="","",VLOOKUP(LEFT(C1,1),dadosexternosBMF_1!$L$2:$M$13,2,FALSE))</f>
        <v/>
      </c>
      <c r="K1" s="219" t="str">
        <f t="shared" ref="K1:K64" si="2">IF(I1="","",1+CONCATENATE(20,RIGHT(C1,2))-1)</f>
        <v/>
      </c>
      <c r="L1" s="422" t="str">
        <f t="shared" ref="L1:L64" si="3">IF(I1="","",CONCATENATE(1,"/",J1,"/",K1)+1-1)</f>
        <v/>
      </c>
      <c r="M1" s="422" t="str">
        <f>IF(I1="","",WORKDAY(L1-1,1,FERIADOS!$A$2:$A$831))</f>
        <v/>
      </c>
      <c r="O1" s="423" t="str">
        <f>IF(C1&lt;&gt;"",IF(ISERROR((100000/E1)^(252/N1)-1),Curva!#REF!,((100000/E1)^(252/N1)-1)),"")</f>
        <v/>
      </c>
      <c r="P1" s="219" t="str">
        <f>IF(OR(G1=1,G1=2),dadosexternosBMF_1!B1,"")</f>
        <v/>
      </c>
      <c r="Q1" s="219" t="str">
        <f>IF(OR(G1=1,G1=2),dadosexternosBMF_1!D1,"")</f>
        <v/>
      </c>
    </row>
    <row r="2" spans="1:17" x14ac:dyDescent="0.2">
      <c r="A2" s="222" t="str">
        <f t="shared" ref="A2:A65" si="4">IF(AND(A1&lt;&gt;"",C2&lt;&gt;""),A1+1,IF(B2="DI1 - DI de 1 dia",1,""))</f>
        <v/>
      </c>
      <c r="B2" s="222" t="str">
        <f>IF(dadosexternosBMF_1!A2="DI1 - DI de 1 dia","DI1 - DI de 1 dia","")</f>
        <v/>
      </c>
      <c r="C2" s="222" t="str">
        <f>IF(dadosexternosBMF_1!A2="DOL - Dólar comercial","",IF(C1&lt;&gt;"",dadosexternosBMF_1!B2,IF(dadosexternosBMF_1!A2="DI1 - DI de 1 dia",dadosexternosBMF_1!B2,"")))</f>
        <v/>
      </c>
      <c r="D2" s="222" t="str">
        <f>IF(C2&lt;&gt;"",dadosexternosBMF_1!C2,"")</f>
        <v/>
      </c>
      <c r="E2" s="222" t="str">
        <f>IF(C2&lt;&gt;"",dadosexternosBMF_1!D2,"")</f>
        <v/>
      </c>
      <c r="G2" s="219" t="str">
        <f t="shared" ref="G2:G65" si="5">IF(G1=1,2,IF(AND(H2="",H1&lt;&gt;""),1,""))</f>
        <v/>
      </c>
      <c r="H2" s="219" t="str">
        <f t="shared" si="0"/>
        <v/>
      </c>
      <c r="I2" s="219" t="str">
        <f t="shared" si="1"/>
        <v/>
      </c>
      <c r="J2" s="219" t="str">
        <f>IF(I2="","",VLOOKUP(LEFT(C2,1),dadosexternosBMF_1!$L$2:$M$13,2,FALSE))</f>
        <v/>
      </c>
      <c r="K2" s="219" t="str">
        <f t="shared" si="2"/>
        <v/>
      </c>
      <c r="L2" s="422" t="str">
        <f t="shared" si="3"/>
        <v/>
      </c>
      <c r="M2" s="422" t="str">
        <f>IF(I2="","",WORKDAY(L2-1,1,FERIADOS!$A$2:$A$831))</f>
        <v/>
      </c>
      <c r="N2" s="219" t="str">
        <f>IF(I2="","",NETWORKDAYS(Curva!$M$2,M2,FERIADOS!$A$2:$A$831)-1)</f>
        <v/>
      </c>
      <c r="O2" s="423" t="str">
        <f>IF(C2&lt;&gt;"",IF(ISERROR((100000/E2)^(252/N2)-1),Curva!$B$2,((100000/E2)^(252/N2)-1)),"")</f>
        <v/>
      </c>
      <c r="P2" s="219" t="str">
        <f>IF(OR(G2=1,G2=2),dadosexternosBMF_1!B2,"")</f>
        <v/>
      </c>
      <c r="Q2" s="219" t="str">
        <f>IF(OR(G2=1,G2=2),dadosexternosBMF_1!D2,"")</f>
        <v/>
      </c>
    </row>
    <row r="3" spans="1:17" x14ac:dyDescent="0.2">
      <c r="A3" s="222" t="str">
        <f t="shared" si="4"/>
        <v/>
      </c>
      <c r="B3" s="222" t="str">
        <f>IF(dadosexternosBMF_1!A3="DI1 - DI de 1 dia","DI1 - DI de 1 dia","")</f>
        <v/>
      </c>
      <c r="C3" s="222" t="str">
        <f>IF(dadosexternosBMF_1!A3="DOL - Dólar comercial","",IF(C2&lt;&gt;"",dadosexternosBMF_1!B3,IF(dadosexternosBMF_1!A3="DI1 - DI de 1 dia",dadosexternosBMF_1!B3,"")))</f>
        <v/>
      </c>
      <c r="D3" s="222" t="str">
        <f>IF(C3&lt;&gt;"",dadosexternosBMF_1!C3,"")</f>
        <v/>
      </c>
      <c r="E3" s="222" t="str">
        <f>IF(C3&lt;&gt;"",dadosexternosBMF_1!D3,"")</f>
        <v/>
      </c>
      <c r="G3" s="219" t="str">
        <f t="shared" si="5"/>
        <v/>
      </c>
      <c r="H3" s="219" t="str">
        <f t="shared" si="0"/>
        <v/>
      </c>
      <c r="I3" s="219" t="str">
        <f t="shared" si="1"/>
        <v/>
      </c>
      <c r="J3" s="219" t="str">
        <f>IF(I3="","",VLOOKUP(LEFT(C3,1),dadosexternosBMF_1!$L$2:$M$13,2,FALSE))</f>
        <v/>
      </c>
      <c r="K3" s="219" t="str">
        <f t="shared" si="2"/>
        <v/>
      </c>
      <c r="L3" s="422" t="str">
        <f t="shared" si="3"/>
        <v/>
      </c>
      <c r="M3" s="422" t="str">
        <f>IF(I3="","",WORKDAY(L3-1,1,FERIADOS!$A$2:$A$831))</f>
        <v/>
      </c>
      <c r="N3" s="219" t="str">
        <f>IF(I3="","",NETWORKDAYS(Curva!$M$2,M3,FERIADOS!$A$2:$A$831)-1)</f>
        <v/>
      </c>
      <c r="O3" s="423" t="str">
        <f>IF(C3&lt;&gt;"",IF(ISERROR((100000/E3)^(252/N3)-1),Curva!$B$2,((100000/E3)^(252/N3)-1)),"")</f>
        <v/>
      </c>
      <c r="P3" s="219" t="str">
        <f>IF(OR(G3=1,G3=2),dadosexternosBMF_1!B3,"")</f>
        <v/>
      </c>
      <c r="Q3" s="219" t="str">
        <f>IF(OR(G3=1,G3=2),dadosexternosBMF_1!D3,"")</f>
        <v/>
      </c>
    </row>
    <row r="4" spans="1:17" x14ac:dyDescent="0.2">
      <c r="A4" s="222" t="str">
        <f t="shared" si="4"/>
        <v/>
      </c>
      <c r="B4" s="222" t="str">
        <f>IF(dadosexternosBMF_1!A4="DI1 - DI de 1 dia","DI1 - DI de 1 dia","")</f>
        <v/>
      </c>
      <c r="C4" s="222" t="str">
        <f>IF(dadosexternosBMF_1!A4="DOL - Dólar comercial","",IF(C3&lt;&gt;"",dadosexternosBMF_1!B4,IF(dadosexternosBMF_1!A4="DI1 - DI de 1 dia",dadosexternosBMF_1!B4,"")))</f>
        <v/>
      </c>
      <c r="D4" s="222" t="str">
        <f>IF(C4&lt;&gt;"",dadosexternosBMF_1!C4,"")</f>
        <v/>
      </c>
      <c r="E4" s="222" t="str">
        <f>IF(C4&lt;&gt;"",dadosexternosBMF_1!D4,"")</f>
        <v/>
      </c>
      <c r="G4" s="219" t="str">
        <f t="shared" si="5"/>
        <v/>
      </c>
      <c r="H4" s="219" t="str">
        <f t="shared" si="0"/>
        <v/>
      </c>
      <c r="I4" s="219" t="str">
        <f t="shared" si="1"/>
        <v/>
      </c>
      <c r="J4" s="219" t="str">
        <f>IF(I4="","",VLOOKUP(LEFT(C4,1),dadosexternosBMF_1!$L$2:$M$13,2,FALSE))</f>
        <v/>
      </c>
      <c r="K4" s="219" t="str">
        <f t="shared" si="2"/>
        <v/>
      </c>
      <c r="L4" s="422" t="str">
        <f t="shared" si="3"/>
        <v/>
      </c>
      <c r="M4" s="422" t="str">
        <f>IF(I4="","",WORKDAY(L4-1,1,FERIADOS!$A$2:$A$831))</f>
        <v/>
      </c>
      <c r="N4" s="219" t="str">
        <f>IF(I4="","",NETWORKDAYS(Curva!$M$2,M4,FERIADOS!$A$2:$A$831)-1)</f>
        <v/>
      </c>
      <c r="O4" s="423" t="str">
        <f>IF(C4&lt;&gt;"",IF(ISERROR((100000/E4)^(252/N4)-1),Curva!$B$2,((100000/E4)^(252/N4)-1)),"")</f>
        <v/>
      </c>
      <c r="P4" s="219" t="str">
        <f>IF(OR(G4=1,G4=2),dadosexternosBMF_1!B4,"")</f>
        <v/>
      </c>
      <c r="Q4" s="219" t="str">
        <f>IF(OR(G4=1,G4=2),dadosexternosBMF_1!D4,"")</f>
        <v/>
      </c>
    </row>
    <row r="5" spans="1:17" x14ac:dyDescent="0.2">
      <c r="A5" s="222" t="str">
        <f t="shared" si="4"/>
        <v/>
      </c>
      <c r="B5" s="222" t="str">
        <f>IF(dadosexternosBMF_1!A5="DI1 - DI de 1 dia","DI1 - DI de 1 dia","")</f>
        <v/>
      </c>
      <c r="C5" s="222" t="str">
        <f>IF(dadosexternosBMF_1!A5="DOL - Dólar comercial","",IF(C4&lt;&gt;"",dadosexternosBMF_1!B5,IF(dadosexternosBMF_1!A5="DI1 - DI de 1 dia",dadosexternosBMF_1!B5,"")))</f>
        <v/>
      </c>
      <c r="D5" s="222" t="str">
        <f>IF(C5&lt;&gt;"",dadosexternosBMF_1!C5,"")</f>
        <v/>
      </c>
      <c r="E5" s="222" t="str">
        <f>IF(C5&lt;&gt;"",dadosexternosBMF_1!D5,"")</f>
        <v/>
      </c>
      <c r="G5" s="219" t="str">
        <f t="shared" si="5"/>
        <v/>
      </c>
      <c r="H5" s="219" t="str">
        <f t="shared" si="0"/>
        <v/>
      </c>
      <c r="I5" s="219" t="str">
        <f t="shared" si="1"/>
        <v/>
      </c>
      <c r="J5" s="219" t="str">
        <f>IF(I5="","",VLOOKUP(LEFT(C5,1),dadosexternosBMF_1!$L$2:$M$13,2,FALSE))</f>
        <v/>
      </c>
      <c r="K5" s="219" t="str">
        <f t="shared" si="2"/>
        <v/>
      </c>
      <c r="L5" s="422" t="str">
        <f t="shared" si="3"/>
        <v/>
      </c>
      <c r="M5" s="422" t="str">
        <f>IF(I5="","",WORKDAY(L5-1,1,FERIADOS!$A$2:$A$831))</f>
        <v/>
      </c>
      <c r="N5" s="219" t="str">
        <f>IF(I5="","",NETWORKDAYS(Curva!$M$2,M5,FERIADOS!$A$2:$A$831)-1)</f>
        <v/>
      </c>
      <c r="O5" s="423" t="str">
        <f>IF(C5&lt;&gt;"",IF(ISERROR((100000/E5)^(252/N5)-1),Curva!$B$2,((100000/E5)^(252/N5)-1)),"")</f>
        <v/>
      </c>
      <c r="P5" s="219" t="str">
        <f>IF(OR(G5=1,G5=2),dadosexternosBMF_1!B5,"")</f>
        <v/>
      </c>
      <c r="Q5" s="219" t="str">
        <f>IF(OR(G5=1,G5=2),dadosexternosBMF_1!D5,"")</f>
        <v/>
      </c>
    </row>
    <row r="6" spans="1:17" x14ac:dyDescent="0.2">
      <c r="A6" s="222" t="str">
        <f t="shared" si="4"/>
        <v/>
      </c>
      <c r="B6" s="222" t="str">
        <f>IF(dadosexternosBMF_1!A6="DI1 - DI de 1 dia","DI1 - DI de 1 dia","")</f>
        <v/>
      </c>
      <c r="C6" s="222" t="str">
        <f>IF(dadosexternosBMF_1!A6="DOL - Dólar comercial","",IF(C5&lt;&gt;"",dadosexternosBMF_1!B6,IF(dadosexternosBMF_1!A6="DI1 - DI de 1 dia",dadosexternosBMF_1!B6,"")))</f>
        <v/>
      </c>
      <c r="D6" s="222" t="str">
        <f>IF(C6&lt;&gt;"",dadosexternosBMF_1!C6,"")</f>
        <v/>
      </c>
      <c r="E6" s="222" t="str">
        <f>IF(C6&lt;&gt;"",dadosexternosBMF_1!D6,"")</f>
        <v/>
      </c>
      <c r="G6" s="219" t="str">
        <f t="shared" si="5"/>
        <v/>
      </c>
      <c r="H6" s="219" t="str">
        <f t="shared" si="0"/>
        <v/>
      </c>
      <c r="I6" s="219" t="str">
        <f t="shared" si="1"/>
        <v/>
      </c>
      <c r="J6" s="219" t="str">
        <f>IF(I6="","",VLOOKUP(LEFT(C6,1),dadosexternosBMF_1!$L$2:$M$13,2,FALSE))</f>
        <v/>
      </c>
      <c r="K6" s="219" t="str">
        <f t="shared" si="2"/>
        <v/>
      </c>
      <c r="L6" s="422" t="str">
        <f t="shared" si="3"/>
        <v/>
      </c>
      <c r="M6" s="422" t="str">
        <f>IF(I6="","",WORKDAY(L6-1,1,FERIADOS!$A$2:$A$831))</f>
        <v/>
      </c>
      <c r="N6" s="219" t="str">
        <f>IF(I6="","",NETWORKDAYS(Curva!$M$2,M6,FERIADOS!$A$2:$A$831)-1)</f>
        <v/>
      </c>
      <c r="O6" s="423" t="str">
        <f>IF(C6&lt;&gt;"",IF(ISERROR((100000/E6)^(252/N6)-1),Curva!$B$2,((100000/E6)^(252/N6)-1)),"")</f>
        <v/>
      </c>
      <c r="P6" s="219" t="str">
        <f>IF(OR(G6=1,G6=2),dadosexternosBMF_1!B6,"")</f>
        <v/>
      </c>
      <c r="Q6" s="219" t="str">
        <f>IF(OR(G6=1,G6=2),dadosexternosBMF_1!D6,"")</f>
        <v/>
      </c>
    </row>
    <row r="7" spans="1:17" x14ac:dyDescent="0.2">
      <c r="A7" s="222" t="str">
        <f t="shared" si="4"/>
        <v/>
      </c>
      <c r="B7" s="222" t="str">
        <f>IF(dadosexternosBMF_1!A7="DI1 - DI de 1 dia","DI1 - DI de 1 dia","")</f>
        <v/>
      </c>
      <c r="C7" s="222" t="str">
        <f>IF(dadosexternosBMF_1!A7="DOL - Dólar comercial","",IF(C6&lt;&gt;"",dadosexternosBMF_1!B7,IF(dadosexternosBMF_1!A7="DI1 - DI de 1 dia",dadosexternosBMF_1!B7,"")))</f>
        <v/>
      </c>
      <c r="D7" s="222" t="str">
        <f>IF(C7&lt;&gt;"",dadosexternosBMF_1!C7,"")</f>
        <v/>
      </c>
      <c r="E7" s="222" t="str">
        <f>IF(C7&lt;&gt;"",dadosexternosBMF_1!D7,"")</f>
        <v/>
      </c>
      <c r="G7" s="219" t="str">
        <f t="shared" si="5"/>
        <v/>
      </c>
      <c r="H7" s="219" t="str">
        <f t="shared" si="0"/>
        <v/>
      </c>
      <c r="I7" s="219" t="str">
        <f t="shared" si="1"/>
        <v/>
      </c>
      <c r="J7" s="219" t="str">
        <f>IF(I7="","",VLOOKUP(LEFT(C7,1),dadosexternosBMF_1!$L$2:$M$13,2,FALSE))</f>
        <v/>
      </c>
      <c r="K7" s="219" t="str">
        <f t="shared" si="2"/>
        <v/>
      </c>
      <c r="L7" s="422" t="str">
        <f t="shared" si="3"/>
        <v/>
      </c>
      <c r="M7" s="422" t="str">
        <f>IF(I7="","",WORKDAY(L7-1,1,FERIADOS!$A$2:$A$831))</f>
        <v/>
      </c>
      <c r="N7" s="219" t="str">
        <f>IF(I7="","",NETWORKDAYS(Curva!$M$2,M7,FERIADOS!$A$2:$A$831)-1)</f>
        <v/>
      </c>
      <c r="O7" s="423" t="str">
        <f>IF(C7&lt;&gt;"",IF(ISERROR((100000/E7)^(252/N7)-1),Curva!$B$2,((100000/E7)^(252/N7)-1)),"")</f>
        <v/>
      </c>
      <c r="P7" s="219" t="str">
        <f>IF(OR(G7=1,G7=2),dadosexternosBMF_1!B7,"")</f>
        <v/>
      </c>
      <c r="Q7" s="219" t="str">
        <f>IF(OR(G7=1,G7=2),dadosexternosBMF_1!D7,"")</f>
        <v/>
      </c>
    </row>
    <row r="8" spans="1:17" x14ac:dyDescent="0.2">
      <c r="A8" s="222" t="str">
        <f t="shared" si="4"/>
        <v/>
      </c>
      <c r="B8" s="222" t="str">
        <f>IF(dadosexternosBMF_1!A8="DI1 - DI de 1 dia","DI1 - DI de 1 dia","")</f>
        <v/>
      </c>
      <c r="C8" s="222" t="str">
        <f>IF(dadosexternosBMF_1!A8="DOL - Dólar comercial","",IF(C7&lt;&gt;"",dadosexternosBMF_1!B8,IF(dadosexternosBMF_1!A8="DI1 - DI de 1 dia",dadosexternosBMF_1!B8,"")))</f>
        <v/>
      </c>
      <c r="D8" s="222" t="str">
        <f>IF(C8&lt;&gt;"",dadosexternosBMF_1!C8,"")</f>
        <v/>
      </c>
      <c r="E8" s="222" t="str">
        <f>IF(C8&lt;&gt;"",dadosexternosBMF_1!D8,"")</f>
        <v/>
      </c>
      <c r="G8" s="219" t="str">
        <f t="shared" si="5"/>
        <v/>
      </c>
      <c r="H8" s="219" t="str">
        <f t="shared" si="0"/>
        <v/>
      </c>
      <c r="I8" s="219" t="str">
        <f t="shared" si="1"/>
        <v/>
      </c>
      <c r="J8" s="219" t="str">
        <f>IF(I8="","",VLOOKUP(LEFT(C8,1),dadosexternosBMF_1!$L$2:$M$13,2,FALSE))</f>
        <v/>
      </c>
      <c r="K8" s="219" t="str">
        <f t="shared" si="2"/>
        <v/>
      </c>
      <c r="L8" s="422" t="str">
        <f t="shared" si="3"/>
        <v/>
      </c>
      <c r="M8" s="422" t="str">
        <f>IF(I8="","",WORKDAY(L8-1,1,FERIADOS!$A$2:$A$831))</f>
        <v/>
      </c>
      <c r="N8" s="219" t="str">
        <f>IF(I8="","",NETWORKDAYS(Curva!$M$2,M8,FERIADOS!$A$2:$A$831)-1)</f>
        <v/>
      </c>
      <c r="O8" s="423" t="str">
        <f>IF(C8&lt;&gt;"",IF(ISERROR((100000/E8)^(252/N8)-1),Curva!$B$2,((100000/E8)^(252/N8)-1)),"")</f>
        <v/>
      </c>
      <c r="P8" s="219" t="str">
        <f>IF(OR(G8=1,G8=2),dadosexternosBMF_1!B8,"")</f>
        <v/>
      </c>
      <c r="Q8" s="219" t="str">
        <f>IF(OR(G8=1,G8=2),dadosexternosBMF_1!D8,"")</f>
        <v/>
      </c>
    </row>
    <row r="9" spans="1:17" x14ac:dyDescent="0.2">
      <c r="A9" s="222" t="str">
        <f t="shared" si="4"/>
        <v/>
      </c>
      <c r="B9" s="222" t="str">
        <f>IF(dadosexternosBMF_1!A9="DI1 - DI de 1 dia","DI1 - DI de 1 dia","")</f>
        <v/>
      </c>
      <c r="C9" s="222" t="str">
        <f>IF(dadosexternosBMF_1!A9="DOL - Dólar comercial","",IF(C8&lt;&gt;"",dadosexternosBMF_1!B9,IF(dadosexternosBMF_1!A9="DI1 - DI de 1 dia",dadosexternosBMF_1!B9,"")))</f>
        <v/>
      </c>
      <c r="D9" s="222" t="str">
        <f>IF(C9&lt;&gt;"",dadosexternosBMF_1!C9,"")</f>
        <v/>
      </c>
      <c r="E9" s="222" t="str">
        <f>IF(C9&lt;&gt;"",dadosexternosBMF_1!D9,"")</f>
        <v/>
      </c>
      <c r="G9" s="219" t="str">
        <f t="shared" si="5"/>
        <v/>
      </c>
      <c r="H9" s="219" t="str">
        <f t="shared" si="0"/>
        <v/>
      </c>
      <c r="I9" s="219" t="str">
        <f t="shared" si="1"/>
        <v/>
      </c>
      <c r="J9" s="219" t="str">
        <f>IF(I9="","",VLOOKUP(LEFT(C9,1),dadosexternosBMF_1!$L$2:$M$13,2,FALSE))</f>
        <v/>
      </c>
      <c r="K9" s="219" t="str">
        <f t="shared" si="2"/>
        <v/>
      </c>
      <c r="L9" s="422" t="str">
        <f t="shared" si="3"/>
        <v/>
      </c>
      <c r="M9" s="422" t="str">
        <f>IF(I9="","",WORKDAY(L9-1,1,FERIADOS!$A$2:$A$831))</f>
        <v/>
      </c>
      <c r="N9" s="219" t="str">
        <f>IF(I9="","",NETWORKDAYS(Curva!$M$2,M9,FERIADOS!$A$2:$A$831)-1)</f>
        <v/>
      </c>
      <c r="O9" s="423" t="str">
        <f>IF(C9&lt;&gt;"",IF(ISERROR((100000/E9)^(252/N9)-1),Curva!$B$2,((100000/E9)^(252/N9)-1)),"")</f>
        <v/>
      </c>
      <c r="P9" s="219" t="str">
        <f>IF(OR(G9=1,G9=2),dadosexternosBMF_1!B9,"")</f>
        <v/>
      </c>
      <c r="Q9" s="219" t="str">
        <f>IF(OR(G9=1,G9=2),dadosexternosBMF_1!D9,"")</f>
        <v/>
      </c>
    </row>
    <row r="10" spans="1:17" x14ac:dyDescent="0.2">
      <c r="A10" s="222" t="str">
        <f t="shared" si="4"/>
        <v/>
      </c>
      <c r="B10" s="222" t="str">
        <f>IF(dadosexternosBMF_1!A10="DI1 - DI de 1 dia","DI1 - DI de 1 dia","")</f>
        <v/>
      </c>
      <c r="C10" s="222" t="str">
        <f>IF(dadosexternosBMF_1!A10="DOL - Dólar comercial","",IF(C9&lt;&gt;"",dadosexternosBMF_1!B10,IF(dadosexternosBMF_1!A10="DI1 - DI de 1 dia",dadosexternosBMF_1!B10,"")))</f>
        <v/>
      </c>
      <c r="D10" s="222" t="str">
        <f>IF(C10&lt;&gt;"",dadosexternosBMF_1!C10,"")</f>
        <v/>
      </c>
      <c r="E10" s="222" t="str">
        <f>IF(C10&lt;&gt;"",dadosexternosBMF_1!D10,"")</f>
        <v/>
      </c>
      <c r="G10" s="219" t="str">
        <f t="shared" si="5"/>
        <v/>
      </c>
      <c r="H10" s="219" t="str">
        <f t="shared" si="0"/>
        <v/>
      </c>
      <c r="I10" s="219" t="str">
        <f t="shared" si="1"/>
        <v/>
      </c>
      <c r="J10" s="219" t="str">
        <f>IF(I10="","",VLOOKUP(LEFT(C10,1),dadosexternosBMF_1!$L$2:$M$13,2,FALSE))</f>
        <v/>
      </c>
      <c r="K10" s="219" t="str">
        <f t="shared" si="2"/>
        <v/>
      </c>
      <c r="L10" s="422" t="str">
        <f t="shared" si="3"/>
        <v/>
      </c>
      <c r="M10" s="422" t="str">
        <f>IF(I10="","",WORKDAY(L10-1,1,FERIADOS!$A$2:$A$831))</f>
        <v/>
      </c>
      <c r="N10" s="219" t="str">
        <f>IF(I10="","",NETWORKDAYS(Curva!$M$2,M10,FERIADOS!$A$2:$A$831)-1)</f>
        <v/>
      </c>
      <c r="O10" s="423" t="str">
        <f>IF(C10&lt;&gt;"",IF(ISERROR((100000/E10)^(252/N10)-1),Curva!$B$2,((100000/E10)^(252/N10)-1)),"")</f>
        <v/>
      </c>
      <c r="P10" s="219" t="str">
        <f>IF(OR(G10=1,G10=2),dadosexternosBMF_1!B10,"")</f>
        <v/>
      </c>
      <c r="Q10" s="219" t="str">
        <f>IF(OR(G10=1,G10=2),dadosexternosBMF_1!D10,"")</f>
        <v/>
      </c>
    </row>
    <row r="11" spans="1:17" x14ac:dyDescent="0.2">
      <c r="A11" s="222" t="str">
        <f t="shared" si="4"/>
        <v/>
      </c>
      <c r="B11" s="222" t="str">
        <f>IF(dadosexternosBMF_1!A11="DI1 - DI de 1 dia","DI1 - DI de 1 dia","")</f>
        <v/>
      </c>
      <c r="C11" s="222" t="str">
        <f>IF(dadosexternosBMF_1!A11="DOL - Dólar comercial","",IF(C10&lt;&gt;"",dadosexternosBMF_1!B11,IF(dadosexternosBMF_1!A11="DI1 - DI de 1 dia",dadosexternosBMF_1!B11,"")))</f>
        <v/>
      </c>
      <c r="D11" s="222" t="str">
        <f>IF(C11&lt;&gt;"",dadosexternosBMF_1!C11,"")</f>
        <v/>
      </c>
      <c r="E11" s="222" t="str">
        <f>IF(C11&lt;&gt;"",dadosexternosBMF_1!D11,"")</f>
        <v/>
      </c>
      <c r="G11" s="219" t="str">
        <f t="shared" si="5"/>
        <v/>
      </c>
      <c r="H11" s="219" t="str">
        <f t="shared" si="0"/>
        <v/>
      </c>
      <c r="I11" s="219" t="str">
        <f t="shared" si="1"/>
        <v/>
      </c>
      <c r="J11" s="219" t="str">
        <f>IF(I11="","",VLOOKUP(LEFT(C11,1),dadosexternosBMF_1!$L$2:$M$13,2,FALSE))</f>
        <v/>
      </c>
      <c r="K11" s="219" t="str">
        <f t="shared" si="2"/>
        <v/>
      </c>
      <c r="L11" s="422" t="str">
        <f t="shared" si="3"/>
        <v/>
      </c>
      <c r="M11" s="422" t="str">
        <f>IF(I11="","",WORKDAY(L11-1,1,FERIADOS!$A$2:$A$831))</f>
        <v/>
      </c>
      <c r="N11" s="219" t="str">
        <f>IF(I11="","",NETWORKDAYS(Curva!$M$2,M11,FERIADOS!$A$2:$A$831)-1)</f>
        <v/>
      </c>
      <c r="O11" s="423" t="str">
        <f>IF(C11&lt;&gt;"",IF(ISERROR((100000/E11)^(252/N11)-1),Curva!$B$2,((100000/E11)^(252/N11)-1)),"")</f>
        <v/>
      </c>
      <c r="P11" s="219" t="str">
        <f>IF(OR(G11=1,G11=2),dadosexternosBMF_1!B11,"")</f>
        <v/>
      </c>
      <c r="Q11" s="219" t="str">
        <f>IF(OR(G11=1,G11=2),dadosexternosBMF_1!D11,"")</f>
        <v/>
      </c>
    </row>
    <row r="12" spans="1:17" x14ac:dyDescent="0.2">
      <c r="A12" s="222" t="str">
        <f t="shared" si="4"/>
        <v/>
      </c>
      <c r="B12" s="222" t="str">
        <f>IF(dadosexternosBMF_1!A12="DI1 - DI de 1 dia","DI1 - DI de 1 dia","")</f>
        <v/>
      </c>
      <c r="C12" s="222" t="str">
        <f>IF(dadosexternosBMF_1!A12="DOL - Dólar comercial","",IF(C11&lt;&gt;"",dadosexternosBMF_1!B12,IF(dadosexternosBMF_1!A12="DI1 - DI de 1 dia",dadosexternosBMF_1!B12,"")))</f>
        <v/>
      </c>
      <c r="D12" s="222" t="str">
        <f>IF(C12&lt;&gt;"",dadosexternosBMF_1!C12,"")</f>
        <v/>
      </c>
      <c r="E12" s="222" t="str">
        <f>IF(C12&lt;&gt;"",dadosexternosBMF_1!D12,"")</f>
        <v/>
      </c>
      <c r="G12" s="219" t="str">
        <f t="shared" si="5"/>
        <v/>
      </c>
      <c r="H12" s="219" t="str">
        <f t="shared" si="0"/>
        <v/>
      </c>
      <c r="I12" s="219" t="str">
        <f t="shared" si="1"/>
        <v/>
      </c>
      <c r="J12" s="219" t="str">
        <f>IF(I12="","",VLOOKUP(LEFT(C12,1),dadosexternosBMF_1!$L$2:$M$13,2,FALSE))</f>
        <v/>
      </c>
      <c r="K12" s="219" t="str">
        <f t="shared" si="2"/>
        <v/>
      </c>
      <c r="L12" s="422" t="str">
        <f t="shared" si="3"/>
        <v/>
      </c>
      <c r="M12" s="422" t="str">
        <f>IF(I12="","",WORKDAY(L12-1,1,FERIADOS!$A$2:$A$831))</f>
        <v/>
      </c>
      <c r="N12" s="219" t="str">
        <f>IF(I12="","",NETWORKDAYS(Curva!$M$2,M12,FERIADOS!$A$2:$A$831)-1)</f>
        <v/>
      </c>
      <c r="O12" s="423" t="str">
        <f>IF(C12&lt;&gt;"",IF(ISERROR((100000/E12)^(252/N12)-1),Curva!$B$2,((100000/E12)^(252/N12)-1)),"")</f>
        <v/>
      </c>
      <c r="P12" s="219" t="str">
        <f>IF(OR(G12=1,G12=2),dadosexternosBMF_1!B12,"")</f>
        <v/>
      </c>
      <c r="Q12" s="219" t="str">
        <f>IF(OR(G12=1,G12=2),dadosexternosBMF_1!D12,"")</f>
        <v/>
      </c>
    </row>
    <row r="13" spans="1:17" x14ac:dyDescent="0.2">
      <c r="A13" s="222" t="str">
        <f t="shared" si="4"/>
        <v/>
      </c>
      <c r="B13" s="222" t="str">
        <f>IF(dadosexternosBMF_1!A13="DI1 - DI de 1 dia","DI1 - DI de 1 dia","")</f>
        <v/>
      </c>
      <c r="C13" s="222" t="str">
        <f>IF(dadosexternosBMF_1!A13="DOL - Dólar comercial","",IF(C12&lt;&gt;"",dadosexternosBMF_1!B13,IF(dadosexternosBMF_1!A13="DI1 - DI de 1 dia",dadosexternosBMF_1!B13,"")))</f>
        <v/>
      </c>
      <c r="D13" s="222" t="str">
        <f>IF(C13&lt;&gt;"",dadosexternosBMF_1!C13,"")</f>
        <v/>
      </c>
      <c r="E13" s="222" t="str">
        <f>IF(C13&lt;&gt;"",dadosexternosBMF_1!D13,"")</f>
        <v/>
      </c>
      <c r="G13" s="219" t="str">
        <f t="shared" si="5"/>
        <v/>
      </c>
      <c r="H13" s="219" t="str">
        <f t="shared" si="0"/>
        <v/>
      </c>
      <c r="I13" s="219" t="str">
        <f t="shared" si="1"/>
        <v/>
      </c>
      <c r="J13" s="219" t="str">
        <f>IF(I13="","",VLOOKUP(LEFT(C13,1),dadosexternosBMF_1!$L$2:$M$13,2,FALSE))</f>
        <v/>
      </c>
      <c r="K13" s="219" t="str">
        <f t="shared" si="2"/>
        <v/>
      </c>
      <c r="L13" s="422" t="str">
        <f t="shared" si="3"/>
        <v/>
      </c>
      <c r="M13" s="422" t="str">
        <f>IF(I13="","",WORKDAY(L13-1,1,FERIADOS!$A$2:$A$831))</f>
        <v/>
      </c>
      <c r="N13" s="219" t="str">
        <f>IF(I13="","",NETWORKDAYS(Curva!$M$2,M13,FERIADOS!$A$2:$A$831)-1)</f>
        <v/>
      </c>
      <c r="O13" s="423" t="str">
        <f>IF(C13&lt;&gt;"",IF(ISERROR((100000/E13)^(252/N13)-1),Curva!$B$2,((100000/E13)^(252/N13)-1)),"")</f>
        <v/>
      </c>
      <c r="P13" s="219" t="str">
        <f>IF(OR(G13=1,G13=2),dadosexternosBMF_1!B13,"")</f>
        <v/>
      </c>
      <c r="Q13" s="219" t="str">
        <f>IF(OR(G13=1,G13=2),dadosexternosBMF_1!D13,"")</f>
        <v/>
      </c>
    </row>
    <row r="14" spans="1:17" x14ac:dyDescent="0.2">
      <c r="A14" s="222" t="str">
        <f t="shared" si="4"/>
        <v/>
      </c>
      <c r="B14" s="222" t="str">
        <f>IF(dadosexternosBMF_1!A14="DI1 - DI de 1 dia","DI1 - DI de 1 dia","")</f>
        <v/>
      </c>
      <c r="C14" s="222" t="str">
        <f>IF(dadosexternosBMF_1!A14="DOL - Dólar comercial","",IF(C13&lt;&gt;"",dadosexternosBMF_1!B14,IF(dadosexternosBMF_1!A14="DI1 - DI de 1 dia",dadosexternosBMF_1!B14,"")))</f>
        <v/>
      </c>
      <c r="D14" s="222" t="str">
        <f>IF(C14&lt;&gt;"",dadosexternosBMF_1!C14,"")</f>
        <v/>
      </c>
      <c r="E14" s="222" t="str">
        <f>IF(C14&lt;&gt;"",dadosexternosBMF_1!D14,"")</f>
        <v/>
      </c>
      <c r="G14" s="219" t="str">
        <f t="shared" si="5"/>
        <v/>
      </c>
      <c r="H14" s="219" t="str">
        <f t="shared" si="0"/>
        <v/>
      </c>
      <c r="I14" s="219" t="str">
        <f t="shared" si="1"/>
        <v/>
      </c>
      <c r="J14" s="219" t="str">
        <f>IF(I14="","",VLOOKUP(LEFT(C14,1),dadosexternosBMF_1!$L$2:$M$13,2,FALSE))</f>
        <v/>
      </c>
      <c r="K14" s="219" t="str">
        <f t="shared" si="2"/>
        <v/>
      </c>
      <c r="L14" s="422" t="str">
        <f t="shared" si="3"/>
        <v/>
      </c>
      <c r="M14" s="422" t="str">
        <f>IF(I14="","",WORKDAY(L14-1,1,FERIADOS!$A$2:$A$831))</f>
        <v/>
      </c>
      <c r="N14" s="219" t="str">
        <f>IF(I14="","",NETWORKDAYS(Curva!$M$2,M14,FERIADOS!$A$2:$A$831)-1)</f>
        <v/>
      </c>
      <c r="O14" s="423" t="str">
        <f>IF(C14&lt;&gt;"",IF(ISERROR((100000/E14)^(252/N14)-1),Curva!$B$2,((100000/E14)^(252/N14)-1)),"")</f>
        <v/>
      </c>
      <c r="P14" s="219" t="str">
        <f>IF(OR(G14=1,G14=2),dadosexternosBMF_1!B14,"")</f>
        <v/>
      </c>
      <c r="Q14" s="219" t="str">
        <f>IF(OR(G14=1,G14=2),dadosexternosBMF_1!D14,"")</f>
        <v/>
      </c>
    </row>
    <row r="15" spans="1:17" x14ac:dyDescent="0.2">
      <c r="A15" s="222" t="str">
        <f t="shared" si="4"/>
        <v/>
      </c>
      <c r="B15" s="222" t="str">
        <f>IF(dadosexternosBMF_1!A15="DI1 - DI de 1 dia","DI1 - DI de 1 dia","")</f>
        <v/>
      </c>
      <c r="C15" s="222" t="str">
        <f>IF(dadosexternosBMF_1!A15="DOL - Dólar comercial","",IF(C14&lt;&gt;"",dadosexternosBMF_1!B15,IF(dadosexternosBMF_1!A15="DI1 - DI de 1 dia",dadosexternosBMF_1!B15,"")))</f>
        <v/>
      </c>
      <c r="D15" s="222" t="str">
        <f>IF(C15&lt;&gt;"",dadosexternosBMF_1!C15,"")</f>
        <v/>
      </c>
      <c r="E15" s="222" t="str">
        <f>IF(C15&lt;&gt;"",dadosexternosBMF_1!D15,"")</f>
        <v/>
      </c>
      <c r="G15" s="219" t="str">
        <f t="shared" si="5"/>
        <v/>
      </c>
      <c r="H15" s="219" t="str">
        <f t="shared" si="0"/>
        <v/>
      </c>
      <c r="I15" s="219" t="str">
        <f t="shared" si="1"/>
        <v/>
      </c>
      <c r="J15" s="219" t="str">
        <f>IF(I15="","",VLOOKUP(LEFT(C15,1),dadosexternosBMF_1!$L$2:$M$13,2,FALSE))</f>
        <v/>
      </c>
      <c r="K15" s="219" t="str">
        <f t="shared" si="2"/>
        <v/>
      </c>
      <c r="L15" s="422" t="str">
        <f t="shared" si="3"/>
        <v/>
      </c>
      <c r="M15" s="422" t="str">
        <f>IF(I15="","",WORKDAY(L15-1,1,FERIADOS!$A$2:$A$831))</f>
        <v/>
      </c>
      <c r="N15" s="219" t="str">
        <f>IF(I15="","",NETWORKDAYS(Curva!$M$2,M15,FERIADOS!$A$2:$A$831)-1)</f>
        <v/>
      </c>
      <c r="O15" s="423" t="str">
        <f>IF(C15&lt;&gt;"",IF(ISERROR((100000/E15)^(252/N15)-1),Curva!$B$2,((100000/E15)^(252/N15)-1)),"")</f>
        <v/>
      </c>
      <c r="P15" s="219" t="str">
        <f>IF(OR(G15=1,G15=2),dadosexternosBMF_1!B15,"")</f>
        <v/>
      </c>
      <c r="Q15" s="219" t="str">
        <f>IF(OR(G15=1,G15=2),dadosexternosBMF_1!D15,"")</f>
        <v/>
      </c>
    </row>
    <row r="16" spans="1:17" x14ac:dyDescent="0.2">
      <c r="A16" s="222" t="str">
        <f t="shared" si="4"/>
        <v/>
      </c>
      <c r="B16" s="222" t="str">
        <f>IF(dadosexternosBMF_1!A16="DI1 - DI de 1 dia","DI1 - DI de 1 dia","")</f>
        <v/>
      </c>
      <c r="C16" s="222" t="str">
        <f>IF(dadosexternosBMF_1!A16="DOL - Dólar comercial","",IF(C15&lt;&gt;"",dadosexternosBMF_1!B16,IF(dadosexternosBMF_1!A16="DI1 - DI de 1 dia",dadosexternosBMF_1!B16,"")))</f>
        <v/>
      </c>
      <c r="D16" s="222" t="str">
        <f>IF(C16&lt;&gt;"",dadosexternosBMF_1!C16,"")</f>
        <v/>
      </c>
      <c r="E16" s="222" t="str">
        <f>IF(C16&lt;&gt;"",dadosexternosBMF_1!D16,"")</f>
        <v/>
      </c>
      <c r="G16" s="219" t="str">
        <f t="shared" si="5"/>
        <v/>
      </c>
      <c r="H16" s="219" t="str">
        <f t="shared" si="0"/>
        <v/>
      </c>
      <c r="I16" s="219" t="str">
        <f t="shared" si="1"/>
        <v/>
      </c>
      <c r="J16" s="219" t="str">
        <f>IF(I16="","",VLOOKUP(LEFT(C16,1),dadosexternosBMF_1!$L$2:$M$13,2,FALSE))</f>
        <v/>
      </c>
      <c r="K16" s="219" t="str">
        <f t="shared" si="2"/>
        <v/>
      </c>
      <c r="L16" s="422" t="str">
        <f t="shared" si="3"/>
        <v/>
      </c>
      <c r="M16" s="422" t="str">
        <f>IF(I16="","",WORKDAY(L16-1,1,FERIADOS!$A$2:$A$831))</f>
        <v/>
      </c>
      <c r="N16" s="219" t="str">
        <f>IF(I16="","",NETWORKDAYS(Curva!$M$2,M16,FERIADOS!$A$2:$A$831)-1)</f>
        <v/>
      </c>
      <c r="O16" s="423" t="str">
        <f>IF(C16&lt;&gt;"",IF(ISERROR((100000/E16)^(252/N16)-1),Curva!$B$2,((100000/E16)^(252/N16)-1)),"")</f>
        <v/>
      </c>
      <c r="P16" s="219" t="str">
        <f>IF(OR(G16=1,G16=2),dadosexternosBMF_1!B16,"")</f>
        <v/>
      </c>
      <c r="Q16" s="219" t="str">
        <f>IF(OR(G16=1,G16=2),dadosexternosBMF_1!D16,"")</f>
        <v/>
      </c>
    </row>
    <row r="17" spans="1:17" x14ac:dyDescent="0.2">
      <c r="A17" s="222" t="str">
        <f t="shared" si="4"/>
        <v/>
      </c>
      <c r="B17" s="222" t="str">
        <f>IF(dadosexternosBMF_1!A17="DI1 - DI de 1 dia","DI1 - DI de 1 dia","")</f>
        <v/>
      </c>
      <c r="C17" s="222" t="str">
        <f>IF(dadosexternosBMF_1!A17="DOL - Dólar comercial","",IF(C16&lt;&gt;"",dadosexternosBMF_1!B17,IF(dadosexternosBMF_1!A17="DI1 - DI de 1 dia",dadosexternosBMF_1!B17,"")))</f>
        <v/>
      </c>
      <c r="D17" s="222" t="str">
        <f>IF(C17&lt;&gt;"",dadosexternosBMF_1!C17,"")</f>
        <v/>
      </c>
      <c r="E17" s="222" t="str">
        <f>IF(C17&lt;&gt;"",dadosexternosBMF_1!D17,"")</f>
        <v/>
      </c>
      <c r="G17" s="219" t="str">
        <f t="shared" si="5"/>
        <v/>
      </c>
      <c r="H17" s="219" t="str">
        <f t="shared" si="0"/>
        <v/>
      </c>
      <c r="I17" s="219" t="str">
        <f t="shared" si="1"/>
        <v/>
      </c>
      <c r="J17" s="219" t="str">
        <f>IF(I17="","",VLOOKUP(LEFT(C17,1),dadosexternosBMF_1!$L$2:$M$13,2,FALSE))</f>
        <v/>
      </c>
      <c r="K17" s="219" t="str">
        <f t="shared" si="2"/>
        <v/>
      </c>
      <c r="L17" s="422" t="str">
        <f t="shared" si="3"/>
        <v/>
      </c>
      <c r="M17" s="422" t="str">
        <f>IF(I17="","",WORKDAY(L17-1,1,FERIADOS!$A$2:$A$831))</f>
        <v/>
      </c>
      <c r="N17" s="219" t="str">
        <f>IF(I17="","",NETWORKDAYS(Curva!$M$2,M17,FERIADOS!$A$2:$A$831)-1)</f>
        <v/>
      </c>
      <c r="O17" s="423" t="str">
        <f>IF(C17&lt;&gt;"",IF(ISERROR((100000/E17)^(252/N17)-1),Curva!$B$2,((100000/E17)^(252/N17)-1)),"")</f>
        <v/>
      </c>
      <c r="P17" s="219" t="str">
        <f>IF(OR(G17=1,G17=2),dadosexternosBMF_1!B17,"")</f>
        <v/>
      </c>
      <c r="Q17" s="219" t="str">
        <f>IF(OR(G17=1,G17=2),dadosexternosBMF_1!D17,"")</f>
        <v/>
      </c>
    </row>
    <row r="18" spans="1:17" x14ac:dyDescent="0.2">
      <c r="A18" s="222" t="str">
        <f t="shared" si="4"/>
        <v/>
      </c>
      <c r="B18" s="222" t="str">
        <f>IF(dadosexternosBMF_1!A18="DI1 - DI de 1 dia","DI1 - DI de 1 dia","")</f>
        <v/>
      </c>
      <c r="C18" s="222" t="str">
        <f>IF(dadosexternosBMF_1!A18="DOL - Dólar comercial","",IF(C17&lt;&gt;"",dadosexternosBMF_1!B18,IF(dadosexternosBMF_1!A18="DI1 - DI de 1 dia",dadosexternosBMF_1!B18,"")))</f>
        <v/>
      </c>
      <c r="D18" s="222" t="str">
        <f>IF(C18&lt;&gt;"",dadosexternosBMF_1!C18,"")</f>
        <v/>
      </c>
      <c r="E18" s="222" t="str">
        <f>IF(C18&lt;&gt;"",dadosexternosBMF_1!D18,"")</f>
        <v/>
      </c>
      <c r="G18" s="219" t="str">
        <f t="shared" si="5"/>
        <v/>
      </c>
      <c r="H18" s="219" t="str">
        <f t="shared" si="0"/>
        <v/>
      </c>
      <c r="I18" s="219" t="str">
        <f t="shared" si="1"/>
        <v/>
      </c>
      <c r="J18" s="219" t="str">
        <f>IF(I18="","",VLOOKUP(LEFT(C18,1),dadosexternosBMF_1!$L$2:$M$13,2,FALSE))</f>
        <v/>
      </c>
      <c r="K18" s="219" t="str">
        <f t="shared" si="2"/>
        <v/>
      </c>
      <c r="L18" s="422" t="str">
        <f t="shared" si="3"/>
        <v/>
      </c>
      <c r="M18" s="422" t="str">
        <f>IF(I18="","",WORKDAY(L18-1,1,FERIADOS!$A$2:$A$831))</f>
        <v/>
      </c>
      <c r="N18" s="219" t="str">
        <f>IF(I18="","",NETWORKDAYS(Curva!$M$2,M18,FERIADOS!$A$2:$A$831)-1)</f>
        <v/>
      </c>
      <c r="O18" s="423" t="str">
        <f>IF(C18&lt;&gt;"",IF(ISERROR((100000/E18)^(252/N18)-1),Curva!$B$2,((100000/E18)^(252/N18)-1)),"")</f>
        <v/>
      </c>
      <c r="P18" s="219" t="str">
        <f>IF(OR(G18=1,G18=2),dadosexternosBMF_1!B18,"")</f>
        <v/>
      </c>
      <c r="Q18" s="219" t="str">
        <f>IF(OR(G18=1,G18=2),dadosexternosBMF_1!D18,"")</f>
        <v/>
      </c>
    </row>
    <row r="19" spans="1:17" x14ac:dyDescent="0.2">
      <c r="A19" s="222" t="str">
        <f t="shared" si="4"/>
        <v/>
      </c>
      <c r="B19" s="222" t="str">
        <f>IF(dadosexternosBMF_1!A19="DI1 - DI de 1 dia","DI1 - DI de 1 dia","")</f>
        <v/>
      </c>
      <c r="C19" s="222" t="str">
        <f>IF(dadosexternosBMF_1!A19="DOL - Dólar comercial","",IF(C18&lt;&gt;"",dadosexternosBMF_1!B19,IF(dadosexternosBMF_1!A19="DI1 - DI de 1 dia",dadosexternosBMF_1!B19,"")))</f>
        <v/>
      </c>
      <c r="D19" s="222" t="str">
        <f>IF(C19&lt;&gt;"",dadosexternosBMF_1!C19,"")</f>
        <v/>
      </c>
      <c r="E19" s="222" t="str">
        <f>IF(C19&lt;&gt;"",dadosexternosBMF_1!D19,"")</f>
        <v/>
      </c>
      <c r="G19" s="219" t="str">
        <f t="shared" si="5"/>
        <v/>
      </c>
      <c r="H19" s="219" t="str">
        <f t="shared" si="0"/>
        <v/>
      </c>
      <c r="I19" s="219" t="str">
        <f t="shared" si="1"/>
        <v/>
      </c>
      <c r="J19" s="219" t="str">
        <f>IF(I19="","",VLOOKUP(LEFT(C19,1),dadosexternosBMF_1!$L$2:$M$13,2,FALSE))</f>
        <v/>
      </c>
      <c r="K19" s="219" t="str">
        <f t="shared" si="2"/>
        <v/>
      </c>
      <c r="L19" s="422" t="str">
        <f t="shared" si="3"/>
        <v/>
      </c>
      <c r="M19" s="422" t="str">
        <f>IF(I19="","",WORKDAY(L19-1,1,FERIADOS!$A$2:$A$831))</f>
        <v/>
      </c>
      <c r="N19" s="219" t="str">
        <f>IF(I19="","",NETWORKDAYS(Curva!$M$2,M19,FERIADOS!$A$2:$A$831)-1)</f>
        <v/>
      </c>
      <c r="O19" s="423" t="str">
        <f>IF(C19&lt;&gt;"",IF(ISERROR((100000/E19)^(252/N19)-1),Curva!$B$2,((100000/E19)^(252/N19)-1)),"")</f>
        <v/>
      </c>
      <c r="P19" s="219" t="str">
        <f>IF(OR(G19=1,G19=2),dadosexternosBMF_1!B19,"")</f>
        <v/>
      </c>
      <c r="Q19" s="219" t="str">
        <f>IF(OR(G19=1,G19=2),dadosexternosBMF_1!D19,"")</f>
        <v/>
      </c>
    </row>
    <row r="20" spans="1:17" x14ac:dyDescent="0.2">
      <c r="A20" s="222" t="str">
        <f t="shared" si="4"/>
        <v/>
      </c>
      <c r="B20" s="222" t="str">
        <f>IF(dadosexternosBMF_1!A20="DI1 - DI de 1 dia","DI1 - DI de 1 dia","")</f>
        <v/>
      </c>
      <c r="C20" s="222" t="str">
        <f>IF(dadosexternosBMF_1!A20="DOL - Dólar comercial","",IF(C19&lt;&gt;"",dadosexternosBMF_1!B20,IF(dadosexternosBMF_1!A20="DI1 - DI de 1 dia",dadosexternosBMF_1!B20,"")))</f>
        <v/>
      </c>
      <c r="D20" s="222" t="str">
        <f>IF(C20&lt;&gt;"",dadosexternosBMF_1!C20,"")</f>
        <v/>
      </c>
      <c r="E20" s="222" t="str">
        <f>IF(C20&lt;&gt;"",dadosexternosBMF_1!D20,"")</f>
        <v/>
      </c>
      <c r="G20" s="219" t="str">
        <f t="shared" si="5"/>
        <v/>
      </c>
      <c r="H20" s="219" t="str">
        <f t="shared" si="0"/>
        <v/>
      </c>
      <c r="I20" s="219" t="str">
        <f t="shared" si="1"/>
        <v/>
      </c>
      <c r="J20" s="219" t="str">
        <f>IF(I20="","",VLOOKUP(LEFT(C20,1),dadosexternosBMF_1!$L$2:$M$13,2,FALSE))</f>
        <v/>
      </c>
      <c r="K20" s="219" t="str">
        <f t="shared" si="2"/>
        <v/>
      </c>
      <c r="L20" s="422" t="str">
        <f t="shared" si="3"/>
        <v/>
      </c>
      <c r="M20" s="422" t="str">
        <f>IF(I20="","",WORKDAY(L20-1,1,FERIADOS!$A$2:$A$831))</f>
        <v/>
      </c>
      <c r="N20" s="219" t="str">
        <f>IF(I20="","",NETWORKDAYS(Curva!$M$2,M20,FERIADOS!$A$2:$A$831)-1)</f>
        <v/>
      </c>
      <c r="O20" s="423" t="str">
        <f>IF(C20&lt;&gt;"",IF(ISERROR((100000/E20)^(252/N20)-1),Curva!$B$2,((100000/E20)^(252/N20)-1)),"")</f>
        <v/>
      </c>
      <c r="P20" s="219" t="str">
        <f>IF(OR(G20=1,G20=2),dadosexternosBMF_1!B20,"")</f>
        <v/>
      </c>
      <c r="Q20" s="219" t="str">
        <f>IF(OR(G20=1,G20=2),dadosexternosBMF_1!D20,"")</f>
        <v/>
      </c>
    </row>
    <row r="21" spans="1:17" x14ac:dyDescent="0.2">
      <c r="A21" s="222" t="str">
        <f t="shared" si="4"/>
        <v/>
      </c>
      <c r="B21" s="222" t="str">
        <f>IF(dadosexternosBMF_1!A21="DI1 - DI de 1 dia","DI1 - DI de 1 dia","")</f>
        <v/>
      </c>
      <c r="C21" s="222" t="str">
        <f>IF(dadosexternosBMF_1!A21="DOL - Dólar comercial","",IF(C20&lt;&gt;"",dadosexternosBMF_1!B21,IF(dadosexternosBMF_1!A21="DI1 - DI de 1 dia",dadosexternosBMF_1!B21,"")))</f>
        <v/>
      </c>
      <c r="D21" s="222" t="str">
        <f>IF(C21&lt;&gt;"",dadosexternosBMF_1!C21,"")</f>
        <v/>
      </c>
      <c r="E21" s="222" t="str">
        <f>IF(C21&lt;&gt;"",dadosexternosBMF_1!D21,"")</f>
        <v/>
      </c>
      <c r="G21" s="219" t="str">
        <f t="shared" si="5"/>
        <v/>
      </c>
      <c r="H21" s="219" t="str">
        <f t="shared" si="0"/>
        <v/>
      </c>
      <c r="I21" s="219" t="str">
        <f t="shared" si="1"/>
        <v/>
      </c>
      <c r="J21" s="219" t="str">
        <f>IF(I21="","",VLOOKUP(LEFT(C21,1),dadosexternosBMF_1!$L$2:$M$13,2,FALSE))</f>
        <v/>
      </c>
      <c r="K21" s="219" t="str">
        <f t="shared" si="2"/>
        <v/>
      </c>
      <c r="L21" s="422" t="str">
        <f t="shared" si="3"/>
        <v/>
      </c>
      <c r="M21" s="422" t="str">
        <f>IF(I21="","",WORKDAY(L21-1,1,FERIADOS!$A$2:$A$831))</f>
        <v/>
      </c>
      <c r="N21" s="219" t="str">
        <f>IF(I21="","",NETWORKDAYS(Curva!$M$2,M21,FERIADOS!$A$2:$A$831)-1)</f>
        <v/>
      </c>
      <c r="O21" s="423" t="str">
        <f>IF(C21&lt;&gt;"",IF(ISERROR((100000/E21)^(252/N21)-1),Curva!$B$2,((100000/E21)^(252/N21)-1)),"")</f>
        <v/>
      </c>
      <c r="P21" s="219" t="str">
        <f>IF(OR(G21=1,G21=2),dadosexternosBMF_1!B21,"")</f>
        <v/>
      </c>
      <c r="Q21" s="219" t="str">
        <f>IF(OR(G21=1,G21=2),dadosexternosBMF_1!D21,"")</f>
        <v/>
      </c>
    </row>
    <row r="22" spans="1:17" x14ac:dyDescent="0.2">
      <c r="A22" s="222" t="str">
        <f t="shared" si="4"/>
        <v/>
      </c>
      <c r="B22" s="222" t="str">
        <f>IF(dadosexternosBMF_1!A22="DI1 - DI de 1 dia","DI1 - DI de 1 dia","")</f>
        <v/>
      </c>
      <c r="C22" s="222" t="str">
        <f>IF(dadosexternosBMF_1!A22="DOL - Dólar comercial","",IF(C21&lt;&gt;"",dadosexternosBMF_1!B22,IF(dadosexternosBMF_1!A22="DI1 - DI de 1 dia",dadosexternosBMF_1!B22,"")))</f>
        <v/>
      </c>
      <c r="D22" s="222" t="str">
        <f>IF(C22&lt;&gt;"",dadosexternosBMF_1!C22,"")</f>
        <v/>
      </c>
      <c r="E22" s="222" t="str">
        <f>IF(C22&lt;&gt;"",dadosexternosBMF_1!D22,"")</f>
        <v/>
      </c>
      <c r="G22" s="219" t="str">
        <f t="shared" si="5"/>
        <v/>
      </c>
      <c r="H22" s="219" t="str">
        <f t="shared" si="0"/>
        <v/>
      </c>
      <c r="I22" s="219" t="str">
        <f t="shared" si="1"/>
        <v/>
      </c>
      <c r="J22" s="219" t="str">
        <f>IF(I22="","",VLOOKUP(LEFT(C22,1),dadosexternosBMF_1!$L$2:$M$13,2,FALSE))</f>
        <v/>
      </c>
      <c r="K22" s="219" t="str">
        <f t="shared" si="2"/>
        <v/>
      </c>
      <c r="L22" s="422" t="str">
        <f t="shared" si="3"/>
        <v/>
      </c>
      <c r="M22" s="422" t="str">
        <f>IF(I22="","",WORKDAY(L22-1,1,FERIADOS!$A$2:$A$831))</f>
        <v/>
      </c>
      <c r="N22" s="219" t="str">
        <f>IF(I22="","",NETWORKDAYS(Curva!$M$2,M22,FERIADOS!$A$2:$A$831)-1)</f>
        <v/>
      </c>
      <c r="O22" s="423" t="str">
        <f>IF(C22&lt;&gt;"",IF(ISERROR((100000/E22)^(252/N22)-1),Curva!$B$2,((100000/E22)^(252/N22)-1)),"")</f>
        <v/>
      </c>
      <c r="P22" s="219" t="str">
        <f>IF(OR(G22=1,G22=2),dadosexternosBMF_1!B22,"")</f>
        <v/>
      </c>
      <c r="Q22" s="219" t="str">
        <f>IF(OR(G22=1,G22=2),dadosexternosBMF_1!D22,"")</f>
        <v/>
      </c>
    </row>
    <row r="23" spans="1:17" x14ac:dyDescent="0.2">
      <c r="A23" s="222" t="str">
        <f t="shared" si="4"/>
        <v/>
      </c>
      <c r="B23" s="222" t="str">
        <f>IF(dadosexternosBMF_1!A23="DI1 - DI de 1 dia","DI1 - DI de 1 dia","")</f>
        <v/>
      </c>
      <c r="C23" s="222" t="str">
        <f>IF(dadosexternosBMF_1!A23="DOL - Dólar comercial","",IF(C22&lt;&gt;"",dadosexternosBMF_1!B23,IF(dadosexternosBMF_1!A23="DI1 - DI de 1 dia",dadosexternosBMF_1!B23,"")))</f>
        <v/>
      </c>
      <c r="D23" s="222" t="str">
        <f>IF(C23&lt;&gt;"",dadosexternosBMF_1!C23,"")</f>
        <v/>
      </c>
      <c r="E23" s="222" t="str">
        <f>IF(C23&lt;&gt;"",dadosexternosBMF_1!D23,"")</f>
        <v/>
      </c>
      <c r="G23" s="219" t="str">
        <f t="shared" si="5"/>
        <v/>
      </c>
      <c r="H23" s="219" t="str">
        <f t="shared" si="0"/>
        <v/>
      </c>
      <c r="I23" s="219" t="str">
        <f t="shared" si="1"/>
        <v/>
      </c>
      <c r="J23" s="219" t="str">
        <f>IF(I23="","",VLOOKUP(LEFT(C23,1),dadosexternosBMF_1!$L$2:$M$13,2,FALSE))</f>
        <v/>
      </c>
      <c r="K23" s="219" t="str">
        <f t="shared" si="2"/>
        <v/>
      </c>
      <c r="L23" s="422" t="str">
        <f t="shared" si="3"/>
        <v/>
      </c>
      <c r="M23" s="422" t="str">
        <f>IF(I23="","",WORKDAY(L23-1,1,FERIADOS!$A$2:$A$831))</f>
        <v/>
      </c>
      <c r="N23" s="219" t="str">
        <f>IF(I23="","",NETWORKDAYS(Curva!$M$2,M23,FERIADOS!$A$2:$A$831)-1)</f>
        <v/>
      </c>
      <c r="O23" s="423" t="str">
        <f>IF(C23&lt;&gt;"",IF(ISERROR((100000/E23)^(252/N23)-1),Curva!$B$2,((100000/E23)^(252/N23)-1)),"")</f>
        <v/>
      </c>
      <c r="P23" s="219" t="str">
        <f>IF(OR(G23=1,G23=2),dadosexternosBMF_1!B23,"")</f>
        <v/>
      </c>
      <c r="Q23" s="219" t="str">
        <f>IF(OR(G23=1,G23=2),dadosexternosBMF_1!D23,"")</f>
        <v/>
      </c>
    </row>
    <row r="24" spans="1:17" x14ac:dyDescent="0.2">
      <c r="A24" s="222" t="str">
        <f t="shared" si="4"/>
        <v/>
      </c>
      <c r="B24" s="222" t="str">
        <f>IF(dadosexternosBMF_1!A24="DI1 - DI de 1 dia","DI1 - DI de 1 dia","")</f>
        <v/>
      </c>
      <c r="C24" s="222" t="str">
        <f>IF(dadosexternosBMF_1!A24="DOL - Dólar comercial","",IF(C23&lt;&gt;"",dadosexternosBMF_1!B24,IF(dadosexternosBMF_1!A24="DI1 - DI de 1 dia",dadosexternosBMF_1!B24,"")))</f>
        <v/>
      </c>
      <c r="D24" s="222" t="str">
        <f>IF(C24&lt;&gt;"",dadosexternosBMF_1!C24,"")</f>
        <v/>
      </c>
      <c r="E24" s="222" t="str">
        <f>IF(C24&lt;&gt;"",dadosexternosBMF_1!D24,"")</f>
        <v/>
      </c>
      <c r="G24" s="219" t="str">
        <f t="shared" si="5"/>
        <v/>
      </c>
      <c r="H24" s="219" t="str">
        <f t="shared" si="0"/>
        <v/>
      </c>
      <c r="I24" s="219" t="str">
        <f t="shared" si="1"/>
        <v/>
      </c>
      <c r="J24" s="219" t="str">
        <f>IF(I24="","",VLOOKUP(LEFT(C24,1),dadosexternosBMF_1!$L$2:$M$13,2,FALSE))</f>
        <v/>
      </c>
      <c r="K24" s="219" t="str">
        <f t="shared" si="2"/>
        <v/>
      </c>
      <c r="L24" s="422" t="str">
        <f t="shared" si="3"/>
        <v/>
      </c>
      <c r="M24" s="422" t="str">
        <f>IF(I24="","",WORKDAY(L24-1,1,FERIADOS!$A$2:$A$831))</f>
        <v/>
      </c>
      <c r="N24" s="219" t="str">
        <f>IF(I24="","",NETWORKDAYS(Curva!$M$2,M24,FERIADOS!$A$2:$A$831)-1)</f>
        <v/>
      </c>
      <c r="O24" s="423" t="str">
        <f>IF(C24&lt;&gt;"",IF(ISERROR((100000/E24)^(252/N24)-1),Curva!$B$2,((100000/E24)^(252/N24)-1)),"")</f>
        <v/>
      </c>
      <c r="P24" s="219" t="str">
        <f>IF(OR(G24=1,G24=2),dadosexternosBMF_1!B24,"")</f>
        <v/>
      </c>
      <c r="Q24" s="219" t="str">
        <f>IF(OR(G24=1,G24=2),dadosexternosBMF_1!D24,"")</f>
        <v/>
      </c>
    </row>
    <row r="25" spans="1:17" x14ac:dyDescent="0.2">
      <c r="A25" s="222" t="str">
        <f t="shared" si="4"/>
        <v/>
      </c>
      <c r="B25" s="222" t="str">
        <f>IF(dadosexternosBMF_1!A25="DI1 - DI de 1 dia","DI1 - DI de 1 dia","")</f>
        <v/>
      </c>
      <c r="C25" s="222" t="str">
        <f>IF(dadosexternosBMF_1!A25="DOL - Dólar comercial","",IF(C24&lt;&gt;"",dadosexternosBMF_1!B25,IF(dadosexternosBMF_1!A25="DI1 - DI de 1 dia",dadosexternosBMF_1!B25,"")))</f>
        <v/>
      </c>
      <c r="D25" s="222" t="str">
        <f>IF(C25&lt;&gt;"",dadosexternosBMF_1!C25,"")</f>
        <v/>
      </c>
      <c r="E25" s="222" t="str">
        <f>IF(C25&lt;&gt;"",dadosexternosBMF_1!D25,"")</f>
        <v/>
      </c>
      <c r="G25" s="219" t="str">
        <f t="shared" si="5"/>
        <v/>
      </c>
      <c r="H25" s="219" t="str">
        <f t="shared" si="0"/>
        <v/>
      </c>
      <c r="I25" s="219" t="str">
        <f t="shared" si="1"/>
        <v/>
      </c>
      <c r="J25" s="219" t="str">
        <f>IF(I25="","",VLOOKUP(LEFT(C25,1),dadosexternosBMF_1!$L$2:$M$13,2,FALSE))</f>
        <v/>
      </c>
      <c r="K25" s="219" t="str">
        <f t="shared" si="2"/>
        <v/>
      </c>
      <c r="L25" s="422" t="str">
        <f t="shared" si="3"/>
        <v/>
      </c>
      <c r="M25" s="422" t="str">
        <f>IF(I25="","",WORKDAY(L25-1,1,FERIADOS!$A$2:$A$831))</f>
        <v/>
      </c>
      <c r="N25" s="219" t="str">
        <f>IF(I25="","",NETWORKDAYS(Curva!$M$2,M25,FERIADOS!$A$2:$A$831)-1)</f>
        <v/>
      </c>
      <c r="O25" s="423" t="str">
        <f>IF(C25&lt;&gt;"",IF(ISERROR((100000/E25)^(252/N25)-1),Curva!$B$2,((100000/E25)^(252/N25)-1)),"")</f>
        <v/>
      </c>
      <c r="P25" s="219" t="str">
        <f>IF(OR(G25=1,G25=2),dadosexternosBMF_1!B25,"")</f>
        <v/>
      </c>
      <c r="Q25" s="219" t="str">
        <f>IF(OR(G25=1,G25=2),dadosexternosBMF_1!D25,"")</f>
        <v/>
      </c>
    </row>
    <row r="26" spans="1:17" x14ac:dyDescent="0.2">
      <c r="A26" s="222" t="str">
        <f t="shared" si="4"/>
        <v/>
      </c>
      <c r="B26" s="222" t="str">
        <f>IF(dadosexternosBMF_1!A26="DI1 - DI de 1 dia","DI1 - DI de 1 dia","")</f>
        <v/>
      </c>
      <c r="C26" s="222" t="str">
        <f>IF(dadosexternosBMF_1!A26="DOL - Dólar comercial","",IF(C25&lt;&gt;"",dadosexternosBMF_1!B26,IF(dadosexternosBMF_1!A26="DI1 - DI de 1 dia",dadosexternosBMF_1!B26,"")))</f>
        <v/>
      </c>
      <c r="D26" s="222" t="str">
        <f>IF(C26&lt;&gt;"",dadosexternosBMF_1!C26,"")</f>
        <v/>
      </c>
      <c r="E26" s="222" t="str">
        <f>IF(C26&lt;&gt;"",dadosexternosBMF_1!D26,"")</f>
        <v/>
      </c>
      <c r="G26" s="219" t="str">
        <f t="shared" si="5"/>
        <v/>
      </c>
      <c r="H26" s="219" t="str">
        <f t="shared" si="0"/>
        <v/>
      </c>
      <c r="I26" s="219" t="str">
        <f t="shared" si="1"/>
        <v/>
      </c>
      <c r="J26" s="219" t="str">
        <f>IF(I26="","",VLOOKUP(LEFT(C26,1),dadosexternosBMF_1!$L$2:$M$13,2,FALSE))</f>
        <v/>
      </c>
      <c r="K26" s="219" t="str">
        <f t="shared" si="2"/>
        <v/>
      </c>
      <c r="L26" s="422" t="str">
        <f t="shared" si="3"/>
        <v/>
      </c>
      <c r="M26" s="422" t="str">
        <f>IF(I26="","",WORKDAY(L26-1,1,FERIADOS!$A$2:$A$831))</f>
        <v/>
      </c>
      <c r="N26" s="219" t="str">
        <f>IF(I26="","",NETWORKDAYS(Curva!$M$2,M26,FERIADOS!$A$2:$A$831)-1)</f>
        <v/>
      </c>
      <c r="O26" s="423" t="str">
        <f>IF(C26&lt;&gt;"",IF(ISERROR((100000/E26)^(252/N26)-1),Curva!$B$2,((100000/E26)^(252/N26)-1)),"")</f>
        <v/>
      </c>
      <c r="P26" s="219" t="str">
        <f>IF(OR(G26=1,G26=2),dadosexternosBMF_1!B26,"")</f>
        <v/>
      </c>
      <c r="Q26" s="219" t="str">
        <f>IF(OR(G26=1,G26=2),dadosexternosBMF_1!D26,"")</f>
        <v/>
      </c>
    </row>
    <row r="27" spans="1:17" x14ac:dyDescent="0.2">
      <c r="A27" s="222" t="str">
        <f t="shared" si="4"/>
        <v/>
      </c>
      <c r="B27" s="222" t="str">
        <f>IF(dadosexternosBMF_1!A27="DI1 - DI de 1 dia","DI1 - DI de 1 dia","")</f>
        <v/>
      </c>
      <c r="C27" s="222" t="str">
        <f>IF(dadosexternosBMF_1!A27="DOL - Dólar comercial","",IF(C26&lt;&gt;"",dadosexternosBMF_1!B27,IF(dadosexternosBMF_1!A27="DI1 - DI de 1 dia",dadosexternosBMF_1!B27,"")))</f>
        <v/>
      </c>
      <c r="D27" s="222" t="str">
        <f>IF(C27&lt;&gt;"",dadosexternosBMF_1!C27,"")</f>
        <v/>
      </c>
      <c r="E27" s="222" t="str">
        <f>IF(C27&lt;&gt;"",dadosexternosBMF_1!D27,"")</f>
        <v/>
      </c>
      <c r="G27" s="219" t="str">
        <f t="shared" si="5"/>
        <v/>
      </c>
      <c r="H27" s="219" t="str">
        <f t="shared" si="0"/>
        <v/>
      </c>
      <c r="I27" s="219" t="str">
        <f t="shared" si="1"/>
        <v/>
      </c>
      <c r="J27" s="219" t="str">
        <f>IF(I27="","",VLOOKUP(LEFT(C27,1),dadosexternosBMF_1!$L$2:$M$13,2,FALSE))</f>
        <v/>
      </c>
      <c r="K27" s="219" t="str">
        <f t="shared" si="2"/>
        <v/>
      </c>
      <c r="L27" s="422" t="str">
        <f t="shared" si="3"/>
        <v/>
      </c>
      <c r="M27" s="422" t="str">
        <f>IF(I27="","",WORKDAY(L27-1,1,FERIADOS!$A$2:$A$831))</f>
        <v/>
      </c>
      <c r="N27" s="219" t="str">
        <f>IF(I27="","",NETWORKDAYS(Curva!$M$2,M27,FERIADOS!$A$2:$A$831)-1)</f>
        <v/>
      </c>
      <c r="O27" s="423" t="str">
        <f>IF(C27&lt;&gt;"",IF(ISERROR((100000/E27)^(252/N27)-1),Curva!$B$2,((100000/E27)^(252/N27)-1)),"")</f>
        <v/>
      </c>
      <c r="P27" s="219" t="str">
        <f>IF(OR(G27=1,G27=2),dadosexternosBMF_1!B27,"")</f>
        <v/>
      </c>
      <c r="Q27" s="219" t="str">
        <f>IF(OR(G27=1,G27=2),dadosexternosBMF_1!D27,"")</f>
        <v/>
      </c>
    </row>
    <row r="28" spans="1:17" x14ac:dyDescent="0.2">
      <c r="A28" s="222" t="str">
        <f t="shared" si="4"/>
        <v/>
      </c>
      <c r="B28" s="222" t="str">
        <f>IF(dadosexternosBMF_1!A28="DI1 - DI de 1 dia","DI1 - DI de 1 dia","")</f>
        <v/>
      </c>
      <c r="C28" s="222" t="str">
        <f>IF(dadosexternosBMF_1!A28="DOL - Dólar comercial","",IF(C27&lt;&gt;"",dadosexternosBMF_1!B28,IF(dadosexternosBMF_1!A28="DI1 - DI de 1 dia",dadosexternosBMF_1!B28,"")))</f>
        <v/>
      </c>
      <c r="D28" s="222" t="str">
        <f>IF(C28&lt;&gt;"",dadosexternosBMF_1!C28,"")</f>
        <v/>
      </c>
      <c r="E28" s="222" t="str">
        <f>IF(C28&lt;&gt;"",dadosexternosBMF_1!D28,"")</f>
        <v/>
      </c>
      <c r="G28" s="219" t="str">
        <f t="shared" si="5"/>
        <v/>
      </c>
      <c r="H28" s="219" t="str">
        <f t="shared" si="0"/>
        <v/>
      </c>
      <c r="I28" s="219" t="str">
        <f t="shared" si="1"/>
        <v/>
      </c>
      <c r="J28" s="219" t="str">
        <f>IF(I28="","",VLOOKUP(LEFT(C28,1),dadosexternosBMF_1!$L$2:$M$13,2,FALSE))</f>
        <v/>
      </c>
      <c r="K28" s="219" t="str">
        <f t="shared" si="2"/>
        <v/>
      </c>
      <c r="L28" s="422" t="str">
        <f t="shared" si="3"/>
        <v/>
      </c>
      <c r="M28" s="422" t="str">
        <f>IF(I28="","",WORKDAY(L28-1,1,FERIADOS!$A$2:$A$831))</f>
        <v/>
      </c>
      <c r="N28" s="219" t="str">
        <f>IF(I28="","",NETWORKDAYS(Curva!$M$2,M28,FERIADOS!$A$2:$A$831)-1)</f>
        <v/>
      </c>
      <c r="O28" s="423" t="str">
        <f>IF(C28&lt;&gt;"",IF(ISERROR((100000/E28)^(252/N28)-1),Curva!$B$2,((100000/E28)^(252/N28)-1)),"")</f>
        <v/>
      </c>
      <c r="P28" s="219" t="str">
        <f>IF(OR(G28=1,G28=2),dadosexternosBMF_1!B28,"")</f>
        <v/>
      </c>
      <c r="Q28" s="219" t="str">
        <f>IF(OR(G28=1,G28=2),dadosexternosBMF_1!D28,"")</f>
        <v/>
      </c>
    </row>
    <row r="29" spans="1:17" x14ac:dyDescent="0.2">
      <c r="A29" s="222" t="str">
        <f t="shared" si="4"/>
        <v/>
      </c>
      <c r="B29" s="222" t="str">
        <f>IF(dadosexternosBMF_1!A29="DI1 - DI de 1 dia","DI1 - DI de 1 dia","")</f>
        <v/>
      </c>
      <c r="C29" s="222" t="str">
        <f>IF(dadosexternosBMF_1!A29="DOL - Dólar comercial","",IF(C28&lt;&gt;"",dadosexternosBMF_1!B29,IF(dadosexternosBMF_1!A29="DI1 - DI de 1 dia",dadosexternosBMF_1!B29,"")))</f>
        <v/>
      </c>
      <c r="D29" s="222" t="str">
        <f>IF(C29&lt;&gt;"",dadosexternosBMF_1!C29,"")</f>
        <v/>
      </c>
      <c r="E29" s="222" t="str">
        <f>IF(C29&lt;&gt;"",dadosexternosBMF_1!D29,"")</f>
        <v/>
      </c>
      <c r="G29" s="219" t="str">
        <f t="shared" si="5"/>
        <v/>
      </c>
      <c r="H29" s="219" t="str">
        <f t="shared" si="0"/>
        <v/>
      </c>
      <c r="I29" s="219" t="str">
        <f t="shared" si="1"/>
        <v/>
      </c>
      <c r="J29" s="219" t="str">
        <f>IF(I29="","",VLOOKUP(LEFT(C29,1),dadosexternosBMF_1!$L$2:$M$13,2,FALSE))</f>
        <v/>
      </c>
      <c r="K29" s="219" t="str">
        <f t="shared" si="2"/>
        <v/>
      </c>
      <c r="L29" s="422" t="str">
        <f t="shared" si="3"/>
        <v/>
      </c>
      <c r="M29" s="422" t="str">
        <f>IF(I29="","",WORKDAY(L29-1,1,FERIADOS!$A$2:$A$831))</f>
        <v/>
      </c>
      <c r="N29" s="219" t="str">
        <f>IF(I29="","",NETWORKDAYS(Curva!$M$2,M29,FERIADOS!$A$2:$A$831)-1)</f>
        <v/>
      </c>
      <c r="O29" s="423" t="str">
        <f>IF(C29&lt;&gt;"",IF(ISERROR((100000/E29)^(252/N29)-1),Curva!$B$2,((100000/E29)^(252/N29)-1)),"")</f>
        <v/>
      </c>
      <c r="P29" s="219" t="str">
        <f>IF(OR(G29=1,G29=2),dadosexternosBMF_1!B29,"")</f>
        <v/>
      </c>
      <c r="Q29" s="219" t="str">
        <f>IF(OR(G29=1,G29=2),dadosexternosBMF_1!D29,"")</f>
        <v/>
      </c>
    </row>
    <row r="30" spans="1:17" x14ac:dyDescent="0.2">
      <c r="A30" s="222" t="str">
        <f t="shared" si="4"/>
        <v/>
      </c>
      <c r="B30" s="222" t="str">
        <f>IF(dadosexternosBMF_1!A30="DI1 - DI de 1 dia","DI1 - DI de 1 dia","")</f>
        <v/>
      </c>
      <c r="C30" s="222" t="str">
        <f>IF(dadosexternosBMF_1!A30="DOL - Dólar comercial","",IF(C29&lt;&gt;"",dadosexternosBMF_1!B30,IF(dadosexternosBMF_1!A30="DI1 - DI de 1 dia",dadosexternosBMF_1!B30,"")))</f>
        <v/>
      </c>
      <c r="D30" s="222" t="str">
        <f>IF(C30&lt;&gt;"",dadosexternosBMF_1!C30,"")</f>
        <v/>
      </c>
      <c r="E30" s="222" t="str">
        <f>IF(C30&lt;&gt;"",dadosexternosBMF_1!D30,"")</f>
        <v/>
      </c>
      <c r="G30" s="219" t="str">
        <f t="shared" si="5"/>
        <v/>
      </c>
      <c r="H30" s="219" t="str">
        <f t="shared" si="0"/>
        <v/>
      </c>
      <c r="I30" s="219" t="str">
        <f t="shared" si="1"/>
        <v/>
      </c>
      <c r="J30" s="219" t="str">
        <f>IF(I30="","",VLOOKUP(LEFT(C30,1),dadosexternosBMF_1!$L$2:$M$13,2,FALSE))</f>
        <v/>
      </c>
      <c r="K30" s="219" t="str">
        <f t="shared" si="2"/>
        <v/>
      </c>
      <c r="L30" s="422" t="str">
        <f t="shared" si="3"/>
        <v/>
      </c>
      <c r="M30" s="422" t="str">
        <f>IF(I30="","",WORKDAY(L30-1,1,FERIADOS!$A$2:$A$831))</f>
        <v/>
      </c>
      <c r="N30" s="219" t="str">
        <f>IF(I30="","",NETWORKDAYS(Curva!$M$2,M30,FERIADOS!$A$2:$A$831)-1)</f>
        <v/>
      </c>
      <c r="O30" s="423" t="str">
        <f>IF(C30&lt;&gt;"",IF(ISERROR((100000/E30)^(252/N30)-1),Curva!$B$2,((100000/E30)^(252/N30)-1)),"")</f>
        <v/>
      </c>
      <c r="P30" s="219" t="str">
        <f>IF(OR(G30=1,G30=2),dadosexternosBMF_1!B30,"")</f>
        <v/>
      </c>
      <c r="Q30" s="219" t="str">
        <f>IF(OR(G30=1,G30=2),dadosexternosBMF_1!D30,"")</f>
        <v/>
      </c>
    </row>
    <row r="31" spans="1:17" x14ac:dyDescent="0.2">
      <c r="A31" s="222" t="str">
        <f t="shared" si="4"/>
        <v/>
      </c>
      <c r="B31" s="222" t="str">
        <f>IF(dadosexternosBMF_1!A31="DI1 - DI de 1 dia","DI1 - DI de 1 dia","")</f>
        <v/>
      </c>
      <c r="C31" s="222" t="str">
        <f>IF(dadosexternosBMF_1!A31="DOL - Dólar comercial","",IF(C30&lt;&gt;"",dadosexternosBMF_1!B31,IF(dadosexternosBMF_1!A31="DI1 - DI de 1 dia",dadosexternosBMF_1!B31,"")))</f>
        <v/>
      </c>
      <c r="D31" s="222" t="str">
        <f>IF(C31&lt;&gt;"",dadosexternosBMF_1!C31,"")</f>
        <v/>
      </c>
      <c r="E31" s="222" t="str">
        <f>IF(C31&lt;&gt;"",dadosexternosBMF_1!D31,"")</f>
        <v/>
      </c>
      <c r="G31" s="219" t="str">
        <f t="shared" si="5"/>
        <v/>
      </c>
      <c r="H31" s="219" t="str">
        <f t="shared" si="0"/>
        <v/>
      </c>
      <c r="I31" s="219" t="str">
        <f t="shared" si="1"/>
        <v/>
      </c>
      <c r="J31" s="219" t="str">
        <f>IF(I31="","",VLOOKUP(LEFT(C31,1),dadosexternosBMF_1!$L$2:$M$13,2,FALSE))</f>
        <v/>
      </c>
      <c r="K31" s="219" t="str">
        <f t="shared" si="2"/>
        <v/>
      </c>
      <c r="L31" s="422" t="str">
        <f t="shared" si="3"/>
        <v/>
      </c>
      <c r="M31" s="422" t="str">
        <f>IF(I31="","",WORKDAY(L31-1,1,FERIADOS!$A$2:$A$831))</f>
        <v/>
      </c>
      <c r="N31" s="219" t="str">
        <f>IF(I31="","",NETWORKDAYS(Curva!$M$2,M31,FERIADOS!$A$2:$A$831)-1)</f>
        <v/>
      </c>
      <c r="O31" s="423" t="str">
        <f>IF(C31&lt;&gt;"",IF(ISERROR((100000/E31)^(252/N31)-1),Curva!$B$2,((100000/E31)^(252/N31)-1)),"")</f>
        <v/>
      </c>
      <c r="P31" s="219" t="str">
        <f>IF(OR(G31=1,G31=2),dadosexternosBMF_1!B31,"")</f>
        <v/>
      </c>
      <c r="Q31" s="219" t="str">
        <f>IF(OR(G31=1,G31=2),dadosexternosBMF_1!D31,"")</f>
        <v/>
      </c>
    </row>
    <row r="32" spans="1:17" x14ac:dyDescent="0.2">
      <c r="A32" s="222" t="str">
        <f t="shared" si="4"/>
        <v/>
      </c>
      <c r="B32" s="222" t="str">
        <f>IF(dadosexternosBMF_1!A32="DI1 - DI de 1 dia","DI1 - DI de 1 dia","")</f>
        <v/>
      </c>
      <c r="C32" s="222" t="str">
        <f>IF(dadosexternosBMF_1!A32="DOL - Dólar comercial","",IF(C31&lt;&gt;"",dadosexternosBMF_1!B32,IF(dadosexternosBMF_1!A32="DI1 - DI de 1 dia",dadosexternosBMF_1!B32,"")))</f>
        <v/>
      </c>
      <c r="D32" s="222" t="str">
        <f>IF(C32&lt;&gt;"",dadosexternosBMF_1!C32,"")</f>
        <v/>
      </c>
      <c r="E32" s="222" t="str">
        <f>IF(C32&lt;&gt;"",dadosexternosBMF_1!D32,"")</f>
        <v/>
      </c>
      <c r="G32" s="219" t="str">
        <f t="shared" si="5"/>
        <v/>
      </c>
      <c r="H32" s="219" t="str">
        <f t="shared" si="0"/>
        <v/>
      </c>
      <c r="I32" s="219" t="str">
        <f t="shared" si="1"/>
        <v/>
      </c>
      <c r="J32" s="219" t="str">
        <f>IF(I32="","",VLOOKUP(LEFT(C32,1),dadosexternosBMF_1!$L$2:$M$13,2,FALSE))</f>
        <v/>
      </c>
      <c r="K32" s="219" t="str">
        <f t="shared" si="2"/>
        <v/>
      </c>
      <c r="L32" s="422" t="str">
        <f t="shared" si="3"/>
        <v/>
      </c>
      <c r="M32" s="422" t="str">
        <f>IF(I32="","",WORKDAY(L32-1,1,FERIADOS!$A$2:$A$831))</f>
        <v/>
      </c>
      <c r="N32" s="219" t="str">
        <f>IF(I32="","",NETWORKDAYS(Curva!$M$2,M32,FERIADOS!$A$2:$A$831)-1)</f>
        <v/>
      </c>
      <c r="O32" s="423" t="str">
        <f>IF(C32&lt;&gt;"",IF(ISERROR((100000/E32)^(252/N32)-1),Curva!$B$2,((100000/E32)^(252/N32)-1)),"")</f>
        <v/>
      </c>
      <c r="P32" s="219" t="str">
        <f>IF(OR(G32=1,G32=2),dadosexternosBMF_1!B32,"")</f>
        <v/>
      </c>
      <c r="Q32" s="219" t="str">
        <f>IF(OR(G32=1,G32=2),dadosexternosBMF_1!D32,"")</f>
        <v/>
      </c>
    </row>
    <row r="33" spans="1:17" x14ac:dyDescent="0.2">
      <c r="A33" s="222" t="str">
        <f t="shared" si="4"/>
        <v/>
      </c>
      <c r="B33" s="222" t="str">
        <f>IF(dadosexternosBMF_1!A33="DI1 - DI de 1 dia","DI1 - DI de 1 dia","")</f>
        <v/>
      </c>
      <c r="C33" s="222" t="str">
        <f>IF(dadosexternosBMF_1!A33="DOL - Dólar comercial","",IF(C32&lt;&gt;"",dadosexternosBMF_1!B33,IF(dadosexternosBMF_1!A33="DI1 - DI de 1 dia",dadosexternosBMF_1!B33,"")))</f>
        <v/>
      </c>
      <c r="D33" s="222" t="str">
        <f>IF(C33&lt;&gt;"",dadosexternosBMF_1!C33,"")</f>
        <v/>
      </c>
      <c r="E33" s="222" t="str">
        <f>IF(C33&lt;&gt;"",dadosexternosBMF_1!D33,"")</f>
        <v/>
      </c>
      <c r="G33" s="219" t="str">
        <f t="shared" si="5"/>
        <v/>
      </c>
      <c r="H33" s="219" t="str">
        <f t="shared" si="0"/>
        <v/>
      </c>
      <c r="I33" s="219" t="str">
        <f t="shared" si="1"/>
        <v/>
      </c>
      <c r="J33" s="219" t="str">
        <f>IF(I33="","",VLOOKUP(LEFT(C33,1),dadosexternosBMF_1!$L$2:$M$13,2,FALSE))</f>
        <v/>
      </c>
      <c r="K33" s="219" t="str">
        <f t="shared" si="2"/>
        <v/>
      </c>
      <c r="L33" s="422" t="str">
        <f t="shared" si="3"/>
        <v/>
      </c>
      <c r="M33" s="422" t="str">
        <f>IF(I33="","",WORKDAY(L33-1,1,FERIADOS!$A$2:$A$831))</f>
        <v/>
      </c>
      <c r="N33" s="219" t="str">
        <f>IF(I33="","",NETWORKDAYS(Curva!$M$2,M33,FERIADOS!$A$2:$A$831)-1)</f>
        <v/>
      </c>
      <c r="O33" s="423" t="str">
        <f>IF(C33&lt;&gt;"",IF(ISERROR((100000/E33)^(252/N33)-1),Curva!$B$2,((100000/E33)^(252/N33)-1)),"")</f>
        <v/>
      </c>
      <c r="P33" s="219" t="str">
        <f>IF(OR(G33=1,G33=2),dadosexternosBMF_1!B33,"")</f>
        <v/>
      </c>
      <c r="Q33" s="219" t="str">
        <f>IF(OR(G33=1,G33=2),dadosexternosBMF_1!D33,"")</f>
        <v/>
      </c>
    </row>
    <row r="34" spans="1:17" x14ac:dyDescent="0.2">
      <c r="A34" s="222" t="str">
        <f t="shared" si="4"/>
        <v/>
      </c>
      <c r="B34" s="222" t="str">
        <f>IF(dadosexternosBMF_1!A34="DI1 - DI de 1 dia","DI1 - DI de 1 dia","")</f>
        <v/>
      </c>
      <c r="C34" s="222" t="str">
        <f>IF(dadosexternosBMF_1!A34="DOL - Dólar comercial","",IF(C33&lt;&gt;"",dadosexternosBMF_1!B34,IF(dadosexternosBMF_1!A34="DI1 - DI de 1 dia",dadosexternosBMF_1!B34,"")))</f>
        <v/>
      </c>
      <c r="D34" s="222" t="str">
        <f>IF(C34&lt;&gt;"",dadosexternosBMF_1!C34,"")</f>
        <v/>
      </c>
      <c r="E34" s="222" t="str">
        <f>IF(C34&lt;&gt;"",dadosexternosBMF_1!D34,"")</f>
        <v/>
      </c>
      <c r="G34" s="219" t="str">
        <f t="shared" si="5"/>
        <v/>
      </c>
      <c r="H34" s="219" t="str">
        <f t="shared" si="0"/>
        <v/>
      </c>
      <c r="I34" s="219" t="str">
        <f t="shared" si="1"/>
        <v/>
      </c>
      <c r="J34" s="219" t="str">
        <f>IF(I34="","",VLOOKUP(LEFT(C34,1),dadosexternosBMF_1!$L$2:$M$13,2,FALSE))</f>
        <v/>
      </c>
      <c r="K34" s="219" t="str">
        <f t="shared" si="2"/>
        <v/>
      </c>
      <c r="L34" s="422" t="str">
        <f t="shared" si="3"/>
        <v/>
      </c>
      <c r="M34" s="422" t="str">
        <f>IF(I34="","",WORKDAY(L34-1,1,FERIADOS!$A$2:$A$831))</f>
        <v/>
      </c>
      <c r="N34" s="219" t="str">
        <f>IF(I34="","",NETWORKDAYS(Curva!$M$2,M34,FERIADOS!$A$2:$A$831)-1)</f>
        <v/>
      </c>
      <c r="O34" s="423" t="str">
        <f>IF(C34&lt;&gt;"",IF(ISERROR((100000/E34)^(252/N34)-1),Curva!$B$2,((100000/E34)^(252/N34)-1)),"")</f>
        <v/>
      </c>
      <c r="P34" s="219" t="str">
        <f>IF(OR(G34=1,G34=2),dadosexternosBMF_1!B34,"")</f>
        <v/>
      </c>
      <c r="Q34" s="219" t="str">
        <f>IF(OR(G34=1,G34=2),dadosexternosBMF_1!D34,"")</f>
        <v/>
      </c>
    </row>
    <row r="35" spans="1:17" x14ac:dyDescent="0.2">
      <c r="A35" s="222" t="str">
        <f t="shared" si="4"/>
        <v/>
      </c>
      <c r="B35" s="222" t="str">
        <f>IF(dadosexternosBMF_1!A35="DI1 - DI de 1 dia","DI1 - DI de 1 dia","")</f>
        <v/>
      </c>
      <c r="C35" s="222" t="str">
        <f>IF(dadosexternosBMF_1!A35="DOL - Dólar comercial","",IF(C34&lt;&gt;"",dadosexternosBMF_1!B35,IF(dadosexternosBMF_1!A35="DI1 - DI de 1 dia",dadosexternosBMF_1!B35,"")))</f>
        <v/>
      </c>
      <c r="D35" s="222" t="str">
        <f>IF(C35&lt;&gt;"",dadosexternosBMF_1!C35,"")</f>
        <v/>
      </c>
      <c r="E35" s="222" t="str">
        <f>IF(C35&lt;&gt;"",dadosexternosBMF_1!D35,"")</f>
        <v/>
      </c>
      <c r="G35" s="219" t="str">
        <f t="shared" si="5"/>
        <v/>
      </c>
      <c r="H35" s="219" t="str">
        <f t="shared" si="0"/>
        <v/>
      </c>
      <c r="I35" s="219" t="str">
        <f t="shared" si="1"/>
        <v/>
      </c>
      <c r="J35" s="219" t="str">
        <f>IF(I35="","",VLOOKUP(LEFT(C35,1),dadosexternosBMF_1!$L$2:$M$13,2,FALSE))</f>
        <v/>
      </c>
      <c r="K35" s="219" t="str">
        <f t="shared" si="2"/>
        <v/>
      </c>
      <c r="L35" s="422" t="str">
        <f t="shared" si="3"/>
        <v/>
      </c>
      <c r="M35" s="422" t="str">
        <f>IF(I35="","",WORKDAY(L35-1,1,FERIADOS!$A$2:$A$831))</f>
        <v/>
      </c>
      <c r="N35" s="219" t="str">
        <f>IF(I35="","",NETWORKDAYS(Curva!$M$2,M35,FERIADOS!$A$2:$A$831)-1)</f>
        <v/>
      </c>
      <c r="O35" s="423" t="str">
        <f>IF(C35&lt;&gt;"",IF(ISERROR((100000/E35)^(252/N35)-1),Curva!$B$2,((100000/E35)^(252/N35)-1)),"")</f>
        <v/>
      </c>
      <c r="P35" s="219" t="str">
        <f>IF(OR(G35=1,G35=2),dadosexternosBMF_1!B35,"")</f>
        <v/>
      </c>
      <c r="Q35" s="219" t="str">
        <f>IF(OR(G35=1,G35=2),dadosexternosBMF_1!D35,"")</f>
        <v/>
      </c>
    </row>
    <row r="36" spans="1:17" x14ac:dyDescent="0.2">
      <c r="A36" s="222" t="str">
        <f t="shared" si="4"/>
        <v/>
      </c>
      <c r="B36" s="222" t="str">
        <f>IF(dadosexternosBMF_1!A36="DI1 - DI de 1 dia","DI1 - DI de 1 dia","")</f>
        <v/>
      </c>
      <c r="C36" s="222" t="str">
        <f>IF(dadosexternosBMF_1!A36="DOL - Dólar comercial","",IF(C35&lt;&gt;"",dadosexternosBMF_1!B36,IF(dadosexternosBMF_1!A36="DI1 - DI de 1 dia",dadosexternosBMF_1!B36,"")))</f>
        <v/>
      </c>
      <c r="D36" s="222" t="str">
        <f>IF(C36&lt;&gt;"",dadosexternosBMF_1!C36,"")</f>
        <v/>
      </c>
      <c r="E36" s="222" t="str">
        <f>IF(C36&lt;&gt;"",dadosexternosBMF_1!D36,"")</f>
        <v/>
      </c>
      <c r="G36" s="219" t="str">
        <f t="shared" si="5"/>
        <v/>
      </c>
      <c r="H36" s="219" t="str">
        <f t="shared" si="0"/>
        <v/>
      </c>
      <c r="I36" s="219" t="str">
        <f t="shared" si="1"/>
        <v/>
      </c>
      <c r="J36" s="219" t="str">
        <f>IF(I36="","",VLOOKUP(LEFT(C36,1),dadosexternosBMF_1!$L$2:$M$13,2,FALSE))</f>
        <v/>
      </c>
      <c r="K36" s="219" t="str">
        <f t="shared" si="2"/>
        <v/>
      </c>
      <c r="L36" s="422" t="str">
        <f t="shared" si="3"/>
        <v/>
      </c>
      <c r="M36" s="422" t="str">
        <f>IF(I36="","",WORKDAY(L36-1,1,FERIADOS!$A$2:$A$831))</f>
        <v/>
      </c>
      <c r="N36" s="219" t="str">
        <f>IF(I36="","",NETWORKDAYS(Curva!$M$2,M36,FERIADOS!$A$2:$A$831)-1)</f>
        <v/>
      </c>
      <c r="O36" s="423" t="str">
        <f>IF(C36&lt;&gt;"",IF(ISERROR((100000/E36)^(252/N36)-1),Curva!$B$2,((100000/E36)^(252/N36)-1)),"")</f>
        <v/>
      </c>
      <c r="P36" s="219" t="str">
        <f>IF(OR(G36=1,G36=2),dadosexternosBMF_1!B36,"")</f>
        <v/>
      </c>
      <c r="Q36" s="219" t="str">
        <f>IF(OR(G36=1,G36=2),dadosexternosBMF_1!D36,"")</f>
        <v/>
      </c>
    </row>
    <row r="37" spans="1:17" x14ac:dyDescent="0.2">
      <c r="A37" s="222" t="str">
        <f t="shared" si="4"/>
        <v/>
      </c>
      <c r="B37" s="222" t="str">
        <f>IF(dadosexternosBMF_1!A37="DI1 - DI de 1 dia","DI1 - DI de 1 dia","")</f>
        <v/>
      </c>
      <c r="C37" s="222" t="str">
        <f>IF(dadosexternosBMF_1!A37="DOL - Dólar comercial","",IF(C36&lt;&gt;"",dadosexternosBMF_1!B37,IF(dadosexternosBMF_1!A37="DI1 - DI de 1 dia",dadosexternosBMF_1!B37,"")))</f>
        <v/>
      </c>
      <c r="D37" s="222" t="str">
        <f>IF(C37&lt;&gt;"",dadosexternosBMF_1!C37,"")</f>
        <v/>
      </c>
      <c r="E37" s="222" t="str">
        <f>IF(C37&lt;&gt;"",dadosexternosBMF_1!D37,"")</f>
        <v/>
      </c>
      <c r="G37" s="219" t="str">
        <f t="shared" si="5"/>
        <v/>
      </c>
      <c r="H37" s="219" t="str">
        <f t="shared" si="0"/>
        <v/>
      </c>
      <c r="I37" s="219" t="str">
        <f t="shared" si="1"/>
        <v/>
      </c>
      <c r="J37" s="219" t="str">
        <f>IF(I37="","",VLOOKUP(LEFT(C37,1),dadosexternosBMF_1!$L$2:$M$13,2,FALSE))</f>
        <v/>
      </c>
      <c r="K37" s="219" t="str">
        <f t="shared" si="2"/>
        <v/>
      </c>
      <c r="L37" s="422" t="str">
        <f t="shared" si="3"/>
        <v/>
      </c>
      <c r="M37" s="422" t="str">
        <f>IF(I37="","",WORKDAY(L37-1,1,FERIADOS!$A$2:$A$831))</f>
        <v/>
      </c>
      <c r="N37" s="219" t="str">
        <f>IF(I37="","",NETWORKDAYS(Curva!$M$2,M37,FERIADOS!$A$2:$A$831)-1)</f>
        <v/>
      </c>
      <c r="O37" s="423" t="str">
        <f>IF(C37&lt;&gt;"",IF(ISERROR((100000/E37)^(252/N37)-1),Curva!$B$2,((100000/E37)^(252/N37)-1)),"")</f>
        <v/>
      </c>
      <c r="P37" s="219" t="str">
        <f>IF(OR(G37=1,G37=2),dadosexternosBMF_1!B37,"")</f>
        <v/>
      </c>
      <c r="Q37" s="219" t="str">
        <f>IF(OR(G37=1,G37=2),dadosexternosBMF_1!D37,"")</f>
        <v/>
      </c>
    </row>
    <row r="38" spans="1:17" x14ac:dyDescent="0.2">
      <c r="A38" s="222" t="str">
        <f t="shared" si="4"/>
        <v/>
      </c>
      <c r="B38" s="222" t="str">
        <f>IF(dadosexternosBMF_1!A38="DI1 - DI de 1 dia","DI1 - DI de 1 dia","")</f>
        <v/>
      </c>
      <c r="C38" s="222" t="str">
        <f>IF(dadosexternosBMF_1!A38="DOL - Dólar comercial","",IF(C37&lt;&gt;"",dadosexternosBMF_1!B38,IF(dadosexternosBMF_1!A38="DI1 - DI de 1 dia",dadosexternosBMF_1!B38,"")))</f>
        <v/>
      </c>
      <c r="D38" s="222" t="str">
        <f>IF(C38&lt;&gt;"",dadosexternosBMF_1!C38,"")</f>
        <v/>
      </c>
      <c r="E38" s="222" t="str">
        <f>IF(C38&lt;&gt;"",dadosexternosBMF_1!D38,"")</f>
        <v/>
      </c>
      <c r="G38" s="219" t="str">
        <f t="shared" si="5"/>
        <v/>
      </c>
      <c r="H38" s="219" t="str">
        <f t="shared" si="0"/>
        <v/>
      </c>
      <c r="I38" s="219" t="str">
        <f t="shared" si="1"/>
        <v/>
      </c>
      <c r="J38" s="219" t="str">
        <f>IF(I38="","",VLOOKUP(LEFT(C38,1),dadosexternosBMF_1!$L$2:$M$13,2,FALSE))</f>
        <v/>
      </c>
      <c r="K38" s="219" t="str">
        <f t="shared" si="2"/>
        <v/>
      </c>
      <c r="L38" s="422" t="str">
        <f t="shared" si="3"/>
        <v/>
      </c>
      <c r="M38" s="422" t="str">
        <f>IF(I38="","",WORKDAY(L38-1,1,FERIADOS!$A$2:$A$831))</f>
        <v/>
      </c>
      <c r="N38" s="219" t="str">
        <f>IF(I38="","",NETWORKDAYS(Curva!$M$2,M38,FERIADOS!$A$2:$A$831)-1)</f>
        <v/>
      </c>
      <c r="O38" s="423" t="str">
        <f>IF(C38&lt;&gt;"",IF(ISERROR((100000/E38)^(252/N38)-1),Curva!$B$2,((100000/E38)^(252/N38)-1)),"")</f>
        <v/>
      </c>
      <c r="P38" s="219" t="str">
        <f>IF(OR(G38=1,G38=2),dadosexternosBMF_1!B38,"")</f>
        <v/>
      </c>
      <c r="Q38" s="219" t="str">
        <f>IF(OR(G38=1,G38=2),dadosexternosBMF_1!D38,"")</f>
        <v/>
      </c>
    </row>
    <row r="39" spans="1:17" x14ac:dyDescent="0.2">
      <c r="A39" s="222" t="str">
        <f t="shared" si="4"/>
        <v/>
      </c>
      <c r="B39" s="222" t="str">
        <f>IF(dadosexternosBMF_1!A39="DI1 - DI de 1 dia","DI1 - DI de 1 dia","")</f>
        <v/>
      </c>
      <c r="C39" s="222" t="str">
        <f>IF(dadosexternosBMF_1!A39="DOL - Dólar comercial","",IF(C38&lt;&gt;"",dadosexternosBMF_1!B39,IF(dadosexternosBMF_1!A39="DI1 - DI de 1 dia",dadosexternosBMF_1!B39,"")))</f>
        <v/>
      </c>
      <c r="D39" s="222" t="str">
        <f>IF(C39&lt;&gt;"",dadosexternosBMF_1!C39,"")</f>
        <v/>
      </c>
      <c r="E39" s="222" t="str">
        <f>IF(C39&lt;&gt;"",dadosexternosBMF_1!D39,"")</f>
        <v/>
      </c>
      <c r="G39" s="219" t="str">
        <f t="shared" si="5"/>
        <v/>
      </c>
      <c r="H39" s="219" t="str">
        <f t="shared" si="0"/>
        <v/>
      </c>
      <c r="I39" s="219" t="str">
        <f t="shared" si="1"/>
        <v/>
      </c>
      <c r="J39" s="219" t="str">
        <f>IF(I39="","",VLOOKUP(LEFT(C39,1),dadosexternosBMF_1!$L$2:$M$13,2,FALSE))</f>
        <v/>
      </c>
      <c r="K39" s="219" t="str">
        <f t="shared" si="2"/>
        <v/>
      </c>
      <c r="L39" s="422" t="str">
        <f t="shared" si="3"/>
        <v/>
      </c>
      <c r="M39" s="422" t="str">
        <f>IF(I39="","",WORKDAY(L39-1,1,FERIADOS!$A$2:$A$831))</f>
        <v/>
      </c>
      <c r="N39" s="219" t="str">
        <f>IF(I39="","",NETWORKDAYS(Curva!$M$2,M39,FERIADOS!$A$2:$A$831)-1)</f>
        <v/>
      </c>
      <c r="O39" s="423" t="str">
        <f>IF(C39&lt;&gt;"",IF(ISERROR((100000/E39)^(252/N39)-1),Curva!$B$2,((100000/E39)^(252/N39)-1)),"")</f>
        <v/>
      </c>
      <c r="P39" s="219" t="str">
        <f>IF(OR(G39=1,G39=2),dadosexternosBMF_1!B39,"")</f>
        <v/>
      </c>
      <c r="Q39" s="219" t="str">
        <f>IF(OR(G39=1,G39=2),dadosexternosBMF_1!D39,"")</f>
        <v/>
      </c>
    </row>
    <row r="40" spans="1:17" x14ac:dyDescent="0.2">
      <c r="A40" s="222" t="str">
        <f t="shared" si="4"/>
        <v/>
      </c>
      <c r="B40" s="222" t="str">
        <f>IF(dadosexternosBMF_1!A40="DI1 - DI de 1 dia","DI1 - DI de 1 dia","")</f>
        <v/>
      </c>
      <c r="C40" s="222" t="str">
        <f>IF(dadosexternosBMF_1!A40="DOL - Dólar comercial","",IF(C39&lt;&gt;"",dadosexternosBMF_1!B40,IF(dadosexternosBMF_1!A40="DI1 - DI de 1 dia",dadosexternosBMF_1!B40,"")))</f>
        <v/>
      </c>
      <c r="D40" s="222" t="str">
        <f>IF(C40&lt;&gt;"",dadosexternosBMF_1!C40,"")</f>
        <v/>
      </c>
      <c r="E40" s="222" t="str">
        <f>IF(C40&lt;&gt;"",dadosexternosBMF_1!D40,"")</f>
        <v/>
      </c>
      <c r="G40" s="219" t="str">
        <f t="shared" si="5"/>
        <v/>
      </c>
      <c r="H40" s="219" t="str">
        <f t="shared" si="0"/>
        <v/>
      </c>
      <c r="I40" s="219" t="str">
        <f t="shared" si="1"/>
        <v/>
      </c>
      <c r="J40" s="219" t="str">
        <f>IF(I40="","",VLOOKUP(LEFT(C40,1),dadosexternosBMF_1!$L$2:$M$13,2,FALSE))</f>
        <v/>
      </c>
      <c r="K40" s="219" t="str">
        <f t="shared" si="2"/>
        <v/>
      </c>
      <c r="L40" s="422" t="str">
        <f t="shared" si="3"/>
        <v/>
      </c>
      <c r="M40" s="422" t="str">
        <f>IF(I40="","",WORKDAY(L40-1,1,FERIADOS!$A$2:$A$831))</f>
        <v/>
      </c>
      <c r="N40" s="219" t="str">
        <f>IF(I40="","",NETWORKDAYS(Curva!$M$2,M40,FERIADOS!$A$2:$A$831)-1)</f>
        <v/>
      </c>
      <c r="O40" s="423" t="str">
        <f>IF(C40&lt;&gt;"",IF(ISERROR((100000/E40)^(252/N40)-1),Curva!$B$2,((100000/E40)^(252/N40)-1)),"")</f>
        <v/>
      </c>
      <c r="P40" s="219" t="str">
        <f>IF(OR(G40=1,G40=2),dadosexternosBMF_1!B40,"")</f>
        <v/>
      </c>
      <c r="Q40" s="219" t="str">
        <f>IF(OR(G40=1,G40=2),dadosexternosBMF_1!D40,"")</f>
        <v/>
      </c>
    </row>
    <row r="41" spans="1:17" x14ac:dyDescent="0.2">
      <c r="A41" s="222" t="str">
        <f t="shared" si="4"/>
        <v/>
      </c>
      <c r="B41" s="222" t="str">
        <f>IF(dadosexternosBMF_1!A41="DI1 - DI de 1 dia","DI1 - DI de 1 dia","")</f>
        <v/>
      </c>
      <c r="C41" s="222" t="str">
        <f>IF(dadosexternosBMF_1!A41="DOL - Dólar comercial","",IF(C40&lt;&gt;"",dadosexternosBMF_1!B41,IF(dadosexternosBMF_1!A41="DI1 - DI de 1 dia",dadosexternosBMF_1!B41,"")))</f>
        <v/>
      </c>
      <c r="D41" s="222" t="str">
        <f>IF(C41&lt;&gt;"",dadosexternosBMF_1!C41,"")</f>
        <v/>
      </c>
      <c r="E41" s="222" t="str">
        <f>IF(C41&lt;&gt;"",dadosexternosBMF_1!D41,"")</f>
        <v/>
      </c>
      <c r="G41" s="219" t="str">
        <f t="shared" si="5"/>
        <v/>
      </c>
      <c r="H41" s="219" t="str">
        <f t="shared" si="0"/>
        <v/>
      </c>
      <c r="I41" s="219" t="str">
        <f t="shared" si="1"/>
        <v/>
      </c>
      <c r="J41" s="219" t="str">
        <f>IF(I41="","",VLOOKUP(LEFT(C41,1),dadosexternosBMF_1!$L$2:$M$13,2,FALSE))</f>
        <v/>
      </c>
      <c r="K41" s="219" t="str">
        <f t="shared" si="2"/>
        <v/>
      </c>
      <c r="L41" s="422" t="str">
        <f t="shared" si="3"/>
        <v/>
      </c>
      <c r="M41" s="422" t="str">
        <f>IF(I41="","",WORKDAY(L41-1,1,FERIADOS!$A$2:$A$831))</f>
        <v/>
      </c>
      <c r="N41" s="219" t="str">
        <f>IF(I41="","",NETWORKDAYS(Curva!$M$2,M41,FERIADOS!$A$2:$A$831)-1)</f>
        <v/>
      </c>
      <c r="O41" s="423" t="str">
        <f>IF(C41&lt;&gt;"",IF(ISERROR((100000/E41)^(252/N41)-1),Curva!$B$2,((100000/E41)^(252/N41)-1)),"")</f>
        <v/>
      </c>
      <c r="P41" s="219" t="str">
        <f>IF(OR(G41=1,G41=2),dadosexternosBMF_1!B41,"")</f>
        <v/>
      </c>
      <c r="Q41" s="219" t="str">
        <f>IF(OR(G41=1,G41=2),dadosexternosBMF_1!D41,"")</f>
        <v/>
      </c>
    </row>
    <row r="42" spans="1:17" x14ac:dyDescent="0.2">
      <c r="A42" s="222" t="str">
        <f t="shared" si="4"/>
        <v/>
      </c>
      <c r="B42" s="222" t="str">
        <f>IF(dadosexternosBMF_1!A42="DI1 - DI de 1 dia","DI1 - DI de 1 dia","")</f>
        <v/>
      </c>
      <c r="C42" s="222" t="str">
        <f>IF(dadosexternosBMF_1!A42="DOL - Dólar comercial","",IF(C41&lt;&gt;"",dadosexternosBMF_1!B42,IF(dadosexternosBMF_1!A42="DI1 - DI de 1 dia",dadosexternosBMF_1!B42,"")))</f>
        <v/>
      </c>
      <c r="D42" s="222" t="str">
        <f>IF(C42&lt;&gt;"",dadosexternosBMF_1!C42,"")</f>
        <v/>
      </c>
      <c r="E42" s="222" t="str">
        <f>IF(C42&lt;&gt;"",dadosexternosBMF_1!D42,"")</f>
        <v/>
      </c>
      <c r="G42" s="219" t="str">
        <f t="shared" si="5"/>
        <v/>
      </c>
      <c r="H42" s="219" t="str">
        <f t="shared" si="0"/>
        <v/>
      </c>
      <c r="I42" s="219" t="str">
        <f t="shared" si="1"/>
        <v/>
      </c>
      <c r="J42" s="219" t="str">
        <f>IF(I42="","",VLOOKUP(LEFT(C42,1),dadosexternosBMF_1!$L$2:$M$13,2,FALSE))</f>
        <v/>
      </c>
      <c r="K42" s="219" t="str">
        <f t="shared" si="2"/>
        <v/>
      </c>
      <c r="L42" s="422" t="str">
        <f t="shared" si="3"/>
        <v/>
      </c>
      <c r="M42" s="422" t="str">
        <f>IF(I42="","",WORKDAY(L42-1,1,FERIADOS!$A$2:$A$831))</f>
        <v/>
      </c>
      <c r="N42" s="219" t="str">
        <f>IF(I42="","",NETWORKDAYS(Curva!$M$2,M42,FERIADOS!$A$2:$A$831)-1)</f>
        <v/>
      </c>
      <c r="O42" s="423" t="str">
        <f>IF(C42&lt;&gt;"",IF(ISERROR((100000/E42)^(252/N42)-1),Curva!$B$2,((100000/E42)^(252/N42)-1)),"")</f>
        <v/>
      </c>
      <c r="P42" s="219" t="str">
        <f>IF(OR(G42=1,G42=2),dadosexternosBMF_1!B42,"")</f>
        <v/>
      </c>
      <c r="Q42" s="219" t="str">
        <f>IF(OR(G42=1,G42=2),dadosexternosBMF_1!D42,"")</f>
        <v/>
      </c>
    </row>
    <row r="43" spans="1:17" x14ac:dyDescent="0.2">
      <c r="A43" s="222" t="str">
        <f t="shared" si="4"/>
        <v/>
      </c>
      <c r="B43" s="222" t="str">
        <f>IF(dadosexternosBMF_1!A43="DI1 - DI de 1 dia","DI1 - DI de 1 dia","")</f>
        <v/>
      </c>
      <c r="C43" s="222" t="str">
        <f>IF(dadosexternosBMF_1!A43="DOL - Dólar comercial","",IF(C42&lt;&gt;"",dadosexternosBMF_1!B43,IF(dadosexternosBMF_1!A43="DI1 - DI de 1 dia",dadosexternosBMF_1!B43,"")))</f>
        <v/>
      </c>
      <c r="D43" s="222" t="str">
        <f>IF(C43&lt;&gt;"",dadosexternosBMF_1!C43,"")</f>
        <v/>
      </c>
      <c r="E43" s="222" t="str">
        <f>IF(C43&lt;&gt;"",dadosexternosBMF_1!D43,"")</f>
        <v/>
      </c>
      <c r="G43" s="219" t="str">
        <f t="shared" si="5"/>
        <v/>
      </c>
      <c r="H43" s="219" t="str">
        <f t="shared" si="0"/>
        <v/>
      </c>
      <c r="I43" s="219" t="str">
        <f t="shared" si="1"/>
        <v/>
      </c>
      <c r="J43" s="219" t="str">
        <f>IF(I43="","",VLOOKUP(LEFT(C43,1),dadosexternosBMF_1!$L$2:$M$13,2,FALSE))</f>
        <v/>
      </c>
      <c r="K43" s="219" t="str">
        <f t="shared" si="2"/>
        <v/>
      </c>
      <c r="L43" s="422" t="str">
        <f t="shared" si="3"/>
        <v/>
      </c>
      <c r="M43" s="422" t="str">
        <f>IF(I43="","",WORKDAY(L43-1,1,FERIADOS!$A$2:$A$831))</f>
        <v/>
      </c>
      <c r="N43" s="219" t="str">
        <f>IF(I43="","",NETWORKDAYS(Curva!$M$2,M43,FERIADOS!$A$2:$A$831)-1)</f>
        <v/>
      </c>
      <c r="O43" s="423" t="str">
        <f>IF(C43&lt;&gt;"",IF(ISERROR((100000/E43)^(252/N43)-1),Curva!$B$2,((100000/E43)^(252/N43)-1)),"")</f>
        <v/>
      </c>
      <c r="P43" s="219" t="str">
        <f>IF(OR(G43=1,G43=2),dadosexternosBMF_1!B43,"")</f>
        <v/>
      </c>
      <c r="Q43" s="219" t="str">
        <f>IF(OR(G43=1,G43=2),dadosexternosBMF_1!D43,"")</f>
        <v/>
      </c>
    </row>
    <row r="44" spans="1:17" x14ac:dyDescent="0.2">
      <c r="A44" s="222" t="str">
        <f t="shared" si="4"/>
        <v/>
      </c>
      <c r="B44" s="222" t="str">
        <f>IF(dadosexternosBMF_1!A44="DI1 - DI de 1 dia","DI1 - DI de 1 dia","")</f>
        <v/>
      </c>
      <c r="C44" s="222" t="str">
        <f>IF(dadosexternosBMF_1!A44="DOL - Dólar comercial","",IF(C43&lt;&gt;"",dadosexternosBMF_1!B44,IF(dadosexternosBMF_1!A44="DI1 - DI de 1 dia",dadosexternosBMF_1!B44,"")))</f>
        <v/>
      </c>
      <c r="D44" s="222" t="str">
        <f>IF(C44&lt;&gt;"",dadosexternosBMF_1!C44,"")</f>
        <v/>
      </c>
      <c r="E44" s="222" t="str">
        <f>IF(C44&lt;&gt;"",dadosexternosBMF_1!D44,"")</f>
        <v/>
      </c>
      <c r="G44" s="219" t="str">
        <f t="shared" si="5"/>
        <v/>
      </c>
      <c r="H44" s="219" t="str">
        <f t="shared" si="0"/>
        <v/>
      </c>
      <c r="I44" s="219" t="str">
        <f t="shared" si="1"/>
        <v/>
      </c>
      <c r="J44" s="219" t="str">
        <f>IF(I44="","",VLOOKUP(LEFT(C44,1),dadosexternosBMF_1!$L$2:$M$13,2,FALSE))</f>
        <v/>
      </c>
      <c r="K44" s="219" t="str">
        <f t="shared" si="2"/>
        <v/>
      </c>
      <c r="L44" s="422" t="str">
        <f t="shared" si="3"/>
        <v/>
      </c>
      <c r="M44" s="422" t="str">
        <f>IF(I44="","",WORKDAY(L44-1,1,FERIADOS!$A$2:$A$831))</f>
        <v/>
      </c>
      <c r="N44" s="219" t="str">
        <f>IF(I44="","",NETWORKDAYS(Curva!$M$2,M44,FERIADOS!$A$2:$A$831)-1)</f>
        <v/>
      </c>
      <c r="O44" s="423" t="str">
        <f>IF(C44&lt;&gt;"",IF(ISERROR((100000/E44)^(252/N44)-1),Curva!$B$2,((100000/E44)^(252/N44)-1)),"")</f>
        <v/>
      </c>
      <c r="P44" s="219" t="str">
        <f>IF(OR(G44=1,G44=2),dadosexternosBMF_1!B44,"")</f>
        <v/>
      </c>
      <c r="Q44" s="219" t="str">
        <f>IF(OR(G44=1,G44=2),dadosexternosBMF_1!D44,"")</f>
        <v/>
      </c>
    </row>
    <row r="45" spans="1:17" x14ac:dyDescent="0.2">
      <c r="A45" s="222" t="str">
        <f t="shared" si="4"/>
        <v/>
      </c>
      <c r="B45" s="222" t="str">
        <f>IF(dadosexternosBMF_1!A45="DI1 - DI de 1 dia","DI1 - DI de 1 dia","")</f>
        <v/>
      </c>
      <c r="C45" s="222" t="str">
        <f>IF(dadosexternosBMF_1!A45="DOL - Dólar comercial","",IF(C44&lt;&gt;"",dadosexternosBMF_1!B45,IF(dadosexternosBMF_1!A45="DI1 - DI de 1 dia",dadosexternosBMF_1!B45,"")))</f>
        <v/>
      </c>
      <c r="D45" s="222" t="str">
        <f>IF(C45&lt;&gt;"",dadosexternosBMF_1!C45,"")</f>
        <v/>
      </c>
      <c r="E45" s="222" t="str">
        <f>IF(C45&lt;&gt;"",dadosexternosBMF_1!D45,"")</f>
        <v/>
      </c>
      <c r="G45" s="219" t="str">
        <f t="shared" si="5"/>
        <v/>
      </c>
      <c r="H45" s="219" t="str">
        <f t="shared" si="0"/>
        <v/>
      </c>
      <c r="I45" s="219" t="str">
        <f t="shared" si="1"/>
        <v/>
      </c>
      <c r="J45" s="219" t="str">
        <f>IF(I45="","",VLOOKUP(LEFT(C45,1),dadosexternosBMF_1!$L$2:$M$13,2,FALSE))</f>
        <v/>
      </c>
      <c r="K45" s="219" t="str">
        <f t="shared" si="2"/>
        <v/>
      </c>
      <c r="L45" s="422" t="str">
        <f t="shared" si="3"/>
        <v/>
      </c>
      <c r="M45" s="422" t="str">
        <f>IF(I45="","",WORKDAY(L45-1,1,FERIADOS!$A$2:$A$831))</f>
        <v/>
      </c>
      <c r="N45" s="219" t="str">
        <f>IF(I45="","",NETWORKDAYS(Curva!$M$2,M45,FERIADOS!$A$2:$A$831)-1)</f>
        <v/>
      </c>
      <c r="O45" s="423" t="str">
        <f>IF(C45&lt;&gt;"",IF(ISERROR((100000/E45)^(252/N45)-1),Curva!$B$2,((100000/E45)^(252/N45)-1)),"")</f>
        <v/>
      </c>
      <c r="P45" s="219" t="str">
        <f>IF(OR(G45=1,G45=2),dadosexternosBMF_1!B45,"")</f>
        <v/>
      </c>
      <c r="Q45" s="219" t="str">
        <f>IF(OR(G45=1,G45=2),dadosexternosBMF_1!D45,"")</f>
        <v/>
      </c>
    </row>
    <row r="46" spans="1:17" x14ac:dyDescent="0.2">
      <c r="A46" s="222" t="str">
        <f t="shared" si="4"/>
        <v/>
      </c>
      <c r="B46" s="222" t="str">
        <f>IF(dadosexternosBMF_1!A46="DI1 - DI de 1 dia","DI1 - DI de 1 dia","")</f>
        <v/>
      </c>
      <c r="C46" s="222" t="str">
        <f>IF(dadosexternosBMF_1!A46="DOL - Dólar comercial","",IF(C45&lt;&gt;"",dadosexternosBMF_1!B46,IF(dadosexternosBMF_1!A46="DI1 - DI de 1 dia",dadosexternosBMF_1!B46,"")))</f>
        <v/>
      </c>
      <c r="D46" s="222" t="str">
        <f>IF(C46&lt;&gt;"",dadosexternosBMF_1!C46,"")</f>
        <v/>
      </c>
      <c r="E46" s="222" t="str">
        <f>IF(C46&lt;&gt;"",dadosexternosBMF_1!D46,"")</f>
        <v/>
      </c>
      <c r="G46" s="219" t="str">
        <f t="shared" si="5"/>
        <v/>
      </c>
      <c r="H46" s="219" t="str">
        <f t="shared" si="0"/>
        <v/>
      </c>
      <c r="I46" s="219" t="str">
        <f t="shared" si="1"/>
        <v/>
      </c>
      <c r="J46" s="219" t="str">
        <f>IF(I46="","",VLOOKUP(LEFT(C46,1),dadosexternosBMF_1!$L$2:$M$13,2,FALSE))</f>
        <v/>
      </c>
      <c r="K46" s="219" t="str">
        <f t="shared" si="2"/>
        <v/>
      </c>
      <c r="L46" s="422" t="str">
        <f t="shared" si="3"/>
        <v/>
      </c>
      <c r="M46" s="422" t="str">
        <f>IF(I46="","",WORKDAY(L46-1,1,FERIADOS!$A$2:$A$831))</f>
        <v/>
      </c>
      <c r="N46" s="219" t="str">
        <f>IF(I46="","",NETWORKDAYS(Curva!$M$2,M46,FERIADOS!$A$2:$A$831)-1)</f>
        <v/>
      </c>
      <c r="O46" s="423" t="str">
        <f>IF(C46&lt;&gt;"",IF(ISERROR((100000/E46)^(252/N46)-1),Curva!$B$2,((100000/E46)^(252/N46)-1)),"")</f>
        <v/>
      </c>
      <c r="P46" s="219" t="str">
        <f>IF(OR(G46=1,G46=2),dadosexternosBMF_1!B46,"")</f>
        <v/>
      </c>
      <c r="Q46" s="219" t="str">
        <f>IF(OR(G46=1,G46=2),dadosexternosBMF_1!D46,"")</f>
        <v/>
      </c>
    </row>
    <row r="47" spans="1:17" x14ac:dyDescent="0.2">
      <c r="A47" s="222" t="str">
        <f t="shared" si="4"/>
        <v/>
      </c>
      <c r="B47" s="222" t="str">
        <f>IF(dadosexternosBMF_1!A47="DI1 - DI de 1 dia","DI1 - DI de 1 dia","")</f>
        <v/>
      </c>
      <c r="C47" s="222" t="str">
        <f>IF(dadosexternosBMF_1!A47="DOL - Dólar comercial","",IF(C46&lt;&gt;"",dadosexternosBMF_1!B47,IF(dadosexternosBMF_1!A47="DI1 - DI de 1 dia",dadosexternosBMF_1!B47,"")))</f>
        <v/>
      </c>
      <c r="D47" s="222" t="str">
        <f>IF(C47&lt;&gt;"",dadosexternosBMF_1!C47,"")</f>
        <v/>
      </c>
      <c r="E47" s="222" t="str">
        <f>IF(C47&lt;&gt;"",dadosexternosBMF_1!D47,"")</f>
        <v/>
      </c>
      <c r="G47" s="219" t="str">
        <f t="shared" si="5"/>
        <v/>
      </c>
      <c r="H47" s="219" t="str">
        <f t="shared" si="0"/>
        <v/>
      </c>
      <c r="I47" s="219" t="str">
        <f t="shared" si="1"/>
        <v/>
      </c>
      <c r="J47" s="219" t="str">
        <f>IF(I47="","",VLOOKUP(LEFT(C47,1),dadosexternosBMF_1!$L$2:$M$13,2,FALSE))</f>
        <v/>
      </c>
      <c r="K47" s="219" t="str">
        <f t="shared" si="2"/>
        <v/>
      </c>
      <c r="L47" s="422" t="str">
        <f t="shared" si="3"/>
        <v/>
      </c>
      <c r="M47" s="422" t="str">
        <f>IF(I47="","",WORKDAY(L47-1,1,FERIADOS!$A$2:$A$831))</f>
        <v/>
      </c>
      <c r="N47" s="219" t="str">
        <f>IF(I47="","",NETWORKDAYS(Curva!$M$2,M47,FERIADOS!$A$2:$A$831)-1)</f>
        <v/>
      </c>
      <c r="O47" s="423" t="str">
        <f>IF(C47&lt;&gt;"",IF(ISERROR((100000/E47)^(252/N47)-1),Curva!$B$2,((100000/E47)^(252/N47)-1)),"")</f>
        <v/>
      </c>
      <c r="P47" s="219" t="str">
        <f>IF(OR(G47=1,G47=2),dadosexternosBMF_1!B47,"")</f>
        <v/>
      </c>
      <c r="Q47" s="219" t="str">
        <f>IF(OR(G47=1,G47=2),dadosexternosBMF_1!D47,"")</f>
        <v/>
      </c>
    </row>
    <row r="48" spans="1:17" x14ac:dyDescent="0.2">
      <c r="A48" s="222" t="str">
        <f t="shared" si="4"/>
        <v/>
      </c>
      <c r="B48" s="222" t="str">
        <f>IF(dadosexternosBMF_1!A48="DI1 - DI de 1 dia","DI1 - DI de 1 dia","")</f>
        <v/>
      </c>
      <c r="C48" s="222" t="str">
        <f>IF(dadosexternosBMF_1!A48="DOL - Dólar comercial","",IF(C47&lt;&gt;"",dadosexternosBMF_1!B48,IF(dadosexternosBMF_1!A48="DI1 - DI de 1 dia",dadosexternosBMF_1!B48,"")))</f>
        <v/>
      </c>
      <c r="D48" s="222" t="str">
        <f>IF(C48&lt;&gt;"",dadosexternosBMF_1!C48,"")</f>
        <v/>
      </c>
      <c r="E48" s="222" t="str">
        <f>IF(C48&lt;&gt;"",dadosexternosBMF_1!D48,"")</f>
        <v/>
      </c>
      <c r="G48" s="219" t="str">
        <f t="shared" si="5"/>
        <v/>
      </c>
      <c r="H48" s="219" t="str">
        <f t="shared" si="0"/>
        <v/>
      </c>
      <c r="I48" s="219" t="str">
        <f t="shared" si="1"/>
        <v/>
      </c>
      <c r="J48" s="219" t="str">
        <f>IF(I48="","",VLOOKUP(LEFT(C48,1),dadosexternosBMF_1!$L$2:$M$13,2,FALSE))</f>
        <v/>
      </c>
      <c r="K48" s="219" t="str">
        <f t="shared" si="2"/>
        <v/>
      </c>
      <c r="L48" s="422" t="str">
        <f t="shared" si="3"/>
        <v/>
      </c>
      <c r="M48" s="422" t="str">
        <f>IF(I48="","",WORKDAY(L48-1,1,FERIADOS!$A$2:$A$831))</f>
        <v/>
      </c>
      <c r="N48" s="219" t="str">
        <f>IF(I48="","",NETWORKDAYS(Curva!$M$2,M48,FERIADOS!$A$2:$A$831)-1)</f>
        <v/>
      </c>
      <c r="O48" s="423" t="str">
        <f>IF(C48&lt;&gt;"",IF(ISERROR((100000/E48)^(252/N48)-1),Curva!$B$2,((100000/E48)^(252/N48)-1)),"")</f>
        <v/>
      </c>
      <c r="P48" s="219" t="str">
        <f>IF(OR(G48=1,G48=2),dadosexternosBMF_1!B48,"")</f>
        <v/>
      </c>
      <c r="Q48" s="219" t="str">
        <f>IF(OR(G48=1,G48=2),dadosexternosBMF_1!D48,"")</f>
        <v/>
      </c>
    </row>
    <row r="49" spans="1:69" x14ac:dyDescent="0.2">
      <c r="A49" s="222" t="str">
        <f t="shared" si="4"/>
        <v/>
      </c>
      <c r="B49" s="222" t="str">
        <f>IF(dadosexternosBMF_1!A49="DI1 - DI de 1 dia","DI1 - DI de 1 dia","")</f>
        <v/>
      </c>
      <c r="C49" s="222" t="str">
        <f>IF(dadosexternosBMF_1!A49="DOL - Dólar comercial","",IF(C48&lt;&gt;"",dadosexternosBMF_1!B49,IF(dadosexternosBMF_1!A49="DI1 - DI de 1 dia",dadosexternosBMF_1!B49,"")))</f>
        <v/>
      </c>
      <c r="D49" s="222" t="str">
        <f>IF(C49&lt;&gt;"",dadosexternosBMF_1!C49,"")</f>
        <v/>
      </c>
      <c r="E49" s="222" t="str">
        <f>IF(C49&lt;&gt;"",dadosexternosBMF_1!D49,"")</f>
        <v/>
      </c>
      <c r="G49" s="219" t="str">
        <f t="shared" si="5"/>
        <v/>
      </c>
      <c r="H49" s="219" t="str">
        <f t="shared" si="0"/>
        <v/>
      </c>
      <c r="I49" s="219" t="str">
        <f t="shared" si="1"/>
        <v/>
      </c>
      <c r="J49" s="219" t="str">
        <f>IF(I49="","",VLOOKUP(LEFT(C49,1),dadosexternosBMF_1!$L$2:$M$13,2,FALSE))</f>
        <v/>
      </c>
      <c r="K49" s="219" t="str">
        <f t="shared" si="2"/>
        <v/>
      </c>
      <c r="L49" s="422" t="str">
        <f t="shared" si="3"/>
        <v/>
      </c>
      <c r="M49" s="422" t="str">
        <f>IF(I49="","",WORKDAY(L49-1,1,FERIADOS!$A$2:$A$831))</f>
        <v/>
      </c>
      <c r="N49" s="219" t="str">
        <f>IF(I49="","",NETWORKDAYS(Curva!$M$2,M49,FERIADOS!$A$2:$A$831)-1)</f>
        <v/>
      </c>
      <c r="O49" s="423" t="str">
        <f>IF(C49&lt;&gt;"",IF(ISERROR((100000/E49)^(252/N49)-1),Curva!$B$2,((100000/E49)^(252/N49)-1)),"")</f>
        <v/>
      </c>
      <c r="P49" s="219" t="str">
        <f>IF(OR(G49=1,G49=2),dadosexternosBMF_1!B49,"")</f>
        <v/>
      </c>
      <c r="Q49" s="219" t="str">
        <f>IF(OR(G49=1,G49=2),dadosexternosBMF_1!D49,"")</f>
        <v/>
      </c>
      <c r="AM49" s="424"/>
    </row>
    <row r="50" spans="1:69" x14ac:dyDescent="0.2">
      <c r="A50" s="222" t="str">
        <f t="shared" si="4"/>
        <v/>
      </c>
      <c r="B50" s="222" t="str">
        <f>IF(dadosexternosBMF_1!A50="DI1 - DI de 1 dia","DI1 - DI de 1 dia","")</f>
        <v/>
      </c>
      <c r="C50" s="222" t="str">
        <f>IF(dadosexternosBMF_1!A50="DOL - Dólar comercial","",IF(C49&lt;&gt;"",dadosexternosBMF_1!B50,IF(dadosexternosBMF_1!A50="DI1 - DI de 1 dia",dadosexternosBMF_1!B50,"")))</f>
        <v/>
      </c>
      <c r="D50" s="222" t="str">
        <f>IF(C50&lt;&gt;"",dadosexternosBMF_1!C50,"")</f>
        <v/>
      </c>
      <c r="E50" s="222" t="str">
        <f>IF(C50&lt;&gt;"",dadosexternosBMF_1!D50,"")</f>
        <v/>
      </c>
      <c r="G50" s="219" t="str">
        <f t="shared" si="5"/>
        <v/>
      </c>
      <c r="H50" s="219" t="str">
        <f t="shared" si="0"/>
        <v/>
      </c>
      <c r="I50" s="219" t="str">
        <f t="shared" si="1"/>
        <v/>
      </c>
      <c r="J50" s="219" t="str">
        <f>IF(I50="","",VLOOKUP(LEFT(C50,1),dadosexternosBMF_1!$L$2:$M$13,2,FALSE))</f>
        <v/>
      </c>
      <c r="K50" s="219" t="str">
        <f t="shared" si="2"/>
        <v/>
      </c>
      <c r="L50" s="422" t="str">
        <f t="shared" si="3"/>
        <v/>
      </c>
      <c r="M50" s="422" t="str">
        <f>IF(I50="","",WORKDAY(L50-1,1,FERIADOS!$A$2:$A$831))</f>
        <v/>
      </c>
      <c r="N50" s="219" t="str">
        <f>IF(I50="","",NETWORKDAYS(Curva!$M$2,M50,FERIADOS!$A$2:$A$831)-1)</f>
        <v/>
      </c>
      <c r="O50" s="423" t="str">
        <f>IF(C50&lt;&gt;"",IF(ISERROR((100000/E50)^(252/N50)-1),Curva!$B$2,((100000/E50)^(252/N50)-1)),"")</f>
        <v/>
      </c>
      <c r="P50" s="219" t="str">
        <f>IF(OR(G50=1,G50=2),dadosexternosBMF_1!B50,"")</f>
        <v/>
      </c>
      <c r="Q50" s="219" t="str">
        <f>IF(OR(G50=1,G50=2),dadosexternosBMF_1!D50,"")</f>
        <v/>
      </c>
    </row>
    <row r="51" spans="1:69" x14ac:dyDescent="0.2">
      <c r="A51" s="222" t="str">
        <f t="shared" si="4"/>
        <v/>
      </c>
      <c r="B51" s="222" t="str">
        <f>IF(dadosexternosBMF_1!A51="DI1 - DI de 1 dia","DI1 - DI de 1 dia","")</f>
        <v/>
      </c>
      <c r="C51" s="222" t="str">
        <f>IF(dadosexternosBMF_1!A51="DOL - Dólar comercial","",IF(C50&lt;&gt;"",dadosexternosBMF_1!B51,IF(dadosexternosBMF_1!A51="DI1 - DI de 1 dia",dadosexternosBMF_1!B51,"")))</f>
        <v/>
      </c>
      <c r="D51" s="222" t="str">
        <f>IF(C51&lt;&gt;"",dadosexternosBMF_1!C51,"")</f>
        <v/>
      </c>
      <c r="E51" s="222" t="str">
        <f>IF(C51&lt;&gt;"",dadosexternosBMF_1!D51,"")</f>
        <v/>
      </c>
      <c r="G51" s="219" t="str">
        <f t="shared" si="5"/>
        <v/>
      </c>
      <c r="H51" s="219" t="str">
        <f t="shared" si="0"/>
        <v/>
      </c>
      <c r="I51" s="219" t="str">
        <f t="shared" si="1"/>
        <v/>
      </c>
      <c r="J51" s="219" t="str">
        <f>IF(I51="","",VLOOKUP(LEFT(C51,1),dadosexternosBMF_1!$L$2:$M$13,2,FALSE))</f>
        <v/>
      </c>
      <c r="K51" s="219" t="str">
        <f t="shared" si="2"/>
        <v/>
      </c>
      <c r="L51" s="422" t="str">
        <f t="shared" si="3"/>
        <v/>
      </c>
      <c r="M51" s="422" t="str">
        <f>IF(I51="","",WORKDAY(L51-1,1,FERIADOS!$A$2:$A$831))</f>
        <v/>
      </c>
      <c r="N51" s="219" t="str">
        <f>IF(I51="","",NETWORKDAYS(Curva!$M$2,M51,FERIADOS!$A$2:$A$831)-1)</f>
        <v/>
      </c>
      <c r="O51" s="423" t="str">
        <f>IF(C51&lt;&gt;"",IF(ISERROR((100000/E51)^(252/N51)-1),Curva!$B$2,((100000/E51)^(252/N51)-1)),"")</f>
        <v/>
      </c>
      <c r="P51" s="219" t="str">
        <f>IF(OR(G51=1,G51=2),dadosexternosBMF_1!B51,"")</f>
        <v/>
      </c>
      <c r="Q51" s="219" t="str">
        <f>IF(OR(G51=1,G51=2),dadosexternosBMF_1!D51,"")</f>
        <v/>
      </c>
    </row>
    <row r="52" spans="1:69" x14ac:dyDescent="0.2">
      <c r="A52" s="222" t="str">
        <f t="shared" si="4"/>
        <v/>
      </c>
      <c r="B52" s="222" t="str">
        <f>IF(dadosexternosBMF_1!A52="DI1 - DI de 1 dia","DI1 - DI de 1 dia","")</f>
        <v/>
      </c>
      <c r="C52" s="222" t="str">
        <f>IF(dadosexternosBMF_1!A52="DOL - Dólar comercial","",IF(C51&lt;&gt;"",dadosexternosBMF_1!B52,IF(dadosexternosBMF_1!A52="DI1 - DI de 1 dia",dadosexternosBMF_1!B52,"")))</f>
        <v/>
      </c>
      <c r="D52" s="222" t="str">
        <f>IF(C52&lt;&gt;"",dadosexternosBMF_1!C52,"")</f>
        <v/>
      </c>
      <c r="E52" s="222" t="str">
        <f>IF(C52&lt;&gt;"",dadosexternosBMF_1!D52,"")</f>
        <v/>
      </c>
      <c r="G52" s="219" t="str">
        <f t="shared" si="5"/>
        <v/>
      </c>
      <c r="H52" s="219" t="str">
        <f t="shared" si="0"/>
        <v/>
      </c>
      <c r="I52" s="219" t="str">
        <f t="shared" si="1"/>
        <v/>
      </c>
      <c r="J52" s="219" t="str">
        <f>IF(I52="","",VLOOKUP(LEFT(C52,1),dadosexternosBMF_1!$L$2:$M$13,2,FALSE))</f>
        <v/>
      </c>
      <c r="K52" s="219" t="str">
        <f t="shared" si="2"/>
        <v/>
      </c>
      <c r="L52" s="422" t="str">
        <f t="shared" si="3"/>
        <v/>
      </c>
      <c r="M52" s="422" t="str">
        <f>IF(I52="","",WORKDAY(L52-1,1,FERIADOS!$A$2:$A$831))</f>
        <v/>
      </c>
      <c r="N52" s="219" t="str">
        <f>IF(I52="","",NETWORKDAYS(Curva!$M$2,M52,FERIADOS!$A$2:$A$831)-1)</f>
        <v/>
      </c>
      <c r="O52" s="423" t="str">
        <f>IF(C52&lt;&gt;"",IF(ISERROR((100000/E52)^(252/N52)-1),Curva!$B$2,((100000/E52)^(252/N52)-1)),"")</f>
        <v/>
      </c>
      <c r="P52" s="219" t="str">
        <f>IF(OR(G52=1,G52=2),dadosexternosBMF_1!B52,"")</f>
        <v/>
      </c>
      <c r="Q52" s="219" t="str">
        <f>IF(OR(G52=1,G52=2),dadosexternosBMF_1!D52,"")</f>
        <v/>
      </c>
      <c r="T52" s="222"/>
      <c r="U52" s="222"/>
      <c r="V52" s="222"/>
      <c r="W52" s="222"/>
      <c r="X52" s="222"/>
      <c r="Y52" s="222"/>
      <c r="Z52" s="222"/>
    </row>
    <row r="53" spans="1:69" x14ac:dyDescent="0.2">
      <c r="A53" s="222" t="str">
        <f t="shared" si="4"/>
        <v/>
      </c>
      <c r="B53" s="222" t="str">
        <f>IF(dadosexternosBMF_1!A53="DI1 - DI de 1 dia","DI1 - DI de 1 dia","")</f>
        <v/>
      </c>
      <c r="C53" s="222" t="str">
        <f>IF(dadosexternosBMF_1!A53="DOL - Dólar comercial","",IF(C52&lt;&gt;"",dadosexternosBMF_1!B53,IF(dadosexternosBMF_1!A53="DI1 - DI de 1 dia",dadosexternosBMF_1!B53,"")))</f>
        <v/>
      </c>
      <c r="D53" s="222" t="str">
        <f>IF(C53&lt;&gt;"",dadosexternosBMF_1!C53,"")</f>
        <v/>
      </c>
      <c r="E53" s="222" t="str">
        <f>IF(C53&lt;&gt;"",dadosexternosBMF_1!D53,"")</f>
        <v/>
      </c>
      <c r="G53" s="219" t="str">
        <f t="shared" si="5"/>
        <v/>
      </c>
      <c r="H53" s="219" t="str">
        <f t="shared" si="0"/>
        <v/>
      </c>
      <c r="I53" s="219" t="str">
        <f t="shared" si="1"/>
        <v/>
      </c>
      <c r="J53" s="219" t="str">
        <f>IF(I53="","",VLOOKUP(LEFT(C53,1),dadosexternosBMF_1!$L$2:$M$13,2,FALSE))</f>
        <v/>
      </c>
      <c r="K53" s="219" t="str">
        <f t="shared" si="2"/>
        <v/>
      </c>
      <c r="L53" s="422" t="str">
        <f t="shared" si="3"/>
        <v/>
      </c>
      <c r="M53" s="422" t="str">
        <f>IF(I53="","",WORKDAY(L53-1,1,FERIADOS!$A$2:$A$831))</f>
        <v/>
      </c>
      <c r="N53" s="219" t="str">
        <f>IF(I53="","",NETWORKDAYS(Curva!$M$2,M53,FERIADOS!$A$2:$A$831)-1)</f>
        <v/>
      </c>
      <c r="O53" s="423" t="str">
        <f>IF(C53&lt;&gt;"",IF(ISERROR((100000/E53)^(252/N53)-1),Curva!$B$2,((100000/E53)^(252/N53)-1)),"")</f>
        <v/>
      </c>
      <c r="P53" s="219" t="str">
        <f>IF(OR(G53=1,G53=2),dadosexternosBMF_1!B53,"")</f>
        <v/>
      </c>
      <c r="Q53" s="219" t="str">
        <f>IF(OR(G53=1,G53=2),dadosexternosBMF_1!D53,"")</f>
        <v/>
      </c>
    </row>
    <row r="54" spans="1:69" x14ac:dyDescent="0.2">
      <c r="A54" s="222" t="str">
        <f t="shared" si="4"/>
        <v/>
      </c>
      <c r="B54" s="222" t="str">
        <f>IF(dadosexternosBMF_1!A54="DI1 - DI de 1 dia","DI1 - DI de 1 dia","")</f>
        <v/>
      </c>
      <c r="C54" s="222" t="str">
        <f>IF(dadosexternosBMF_1!A54="DOL - Dólar comercial","",IF(C53&lt;&gt;"",dadosexternosBMF_1!B54,IF(dadosexternosBMF_1!A54="DI1 - DI de 1 dia",dadosexternosBMF_1!B54,"")))</f>
        <v/>
      </c>
      <c r="D54" s="222" t="str">
        <f>IF(C54&lt;&gt;"",dadosexternosBMF_1!C54,"")</f>
        <v/>
      </c>
      <c r="E54" s="222" t="str">
        <f>IF(C54&lt;&gt;"",dadosexternosBMF_1!D54,"")</f>
        <v/>
      </c>
      <c r="G54" s="219" t="str">
        <f t="shared" si="5"/>
        <v/>
      </c>
      <c r="H54" s="219" t="str">
        <f t="shared" si="0"/>
        <v/>
      </c>
      <c r="I54" s="219" t="str">
        <f t="shared" si="1"/>
        <v/>
      </c>
      <c r="J54" s="219" t="str">
        <f>IF(I54="","",VLOOKUP(LEFT(C54,1),dadosexternosBMF_1!$L$2:$M$13,2,FALSE))</f>
        <v/>
      </c>
      <c r="K54" s="219" t="str">
        <f t="shared" si="2"/>
        <v/>
      </c>
      <c r="L54" s="422" t="str">
        <f t="shared" si="3"/>
        <v/>
      </c>
      <c r="M54" s="422" t="str">
        <f>IF(I54="","",WORKDAY(L54-1,1,FERIADOS!$A$2:$A$831))</f>
        <v/>
      </c>
      <c r="N54" s="219" t="str">
        <f>IF(I54="","",NETWORKDAYS(Curva!$M$2,M54,FERIADOS!$A$2:$A$831)-1)</f>
        <v/>
      </c>
      <c r="O54" s="423" t="str">
        <f>IF(C54&lt;&gt;"",IF(ISERROR((100000/E54)^(252/N54)-1),Curva!$B$2,((100000/E54)^(252/N54)-1)),"")</f>
        <v/>
      </c>
      <c r="P54" s="219" t="str">
        <f>IF(OR(G54=1,G54=2),dadosexternosBMF_1!B54,"")</f>
        <v/>
      </c>
      <c r="Q54" s="219" t="str">
        <f>IF(OR(G54=1,G54=2),dadosexternosBMF_1!D54,"")</f>
        <v/>
      </c>
    </row>
    <row r="55" spans="1:69" x14ac:dyDescent="0.2">
      <c r="A55" s="222" t="str">
        <f t="shared" si="4"/>
        <v/>
      </c>
      <c r="B55" s="222" t="str">
        <f>IF(dadosexternosBMF_1!A55="DI1 - DI de 1 dia","DI1 - DI de 1 dia","")</f>
        <v/>
      </c>
      <c r="C55" s="222" t="str">
        <f>IF(dadosexternosBMF_1!A55="DOL - Dólar comercial","",IF(C54&lt;&gt;"",dadosexternosBMF_1!B55,IF(dadosexternosBMF_1!A55="DI1 - DI de 1 dia",dadosexternosBMF_1!B55,"")))</f>
        <v/>
      </c>
      <c r="D55" s="222" t="str">
        <f>IF(C55&lt;&gt;"",dadosexternosBMF_1!C55,"")</f>
        <v/>
      </c>
      <c r="E55" s="222" t="str">
        <f>IF(C55&lt;&gt;"",dadosexternosBMF_1!D55,"")</f>
        <v/>
      </c>
      <c r="G55" s="219" t="str">
        <f t="shared" si="5"/>
        <v/>
      </c>
      <c r="H55" s="219" t="str">
        <f t="shared" si="0"/>
        <v/>
      </c>
      <c r="I55" s="219" t="str">
        <f t="shared" si="1"/>
        <v/>
      </c>
      <c r="J55" s="219" t="str">
        <f>IF(I55="","",VLOOKUP(LEFT(C55,1),dadosexternosBMF_1!$L$2:$M$13,2,FALSE))</f>
        <v/>
      </c>
      <c r="K55" s="219" t="str">
        <f t="shared" si="2"/>
        <v/>
      </c>
      <c r="L55" s="422" t="str">
        <f t="shared" si="3"/>
        <v/>
      </c>
      <c r="M55" s="422" t="str">
        <f>IF(I55="","",WORKDAY(L55-1,1,FERIADOS!$A$2:$A$831))</f>
        <v/>
      </c>
      <c r="N55" s="219" t="str">
        <f>IF(I55="","",NETWORKDAYS(Curva!$M$2,M55,FERIADOS!$A$2:$A$831)-1)</f>
        <v/>
      </c>
      <c r="O55" s="423" t="str">
        <f>IF(C55&lt;&gt;"",IF(ISERROR((100000/E55)^(252/N55)-1),Curva!$B$2,((100000/E55)^(252/N55)-1)),"")</f>
        <v/>
      </c>
      <c r="P55" s="219" t="str">
        <f>IF(OR(G55=1,G55=2),dadosexternosBMF_1!B55,"")</f>
        <v/>
      </c>
      <c r="Q55" s="219" t="str">
        <f>IF(OR(G55=1,G55=2),dadosexternosBMF_1!D55,"")</f>
        <v/>
      </c>
    </row>
    <row r="56" spans="1:69" x14ac:dyDescent="0.2">
      <c r="A56" s="222" t="str">
        <f t="shared" si="4"/>
        <v/>
      </c>
      <c r="B56" s="222" t="str">
        <f>IF(dadosexternosBMF_1!A56="DI1 - DI de 1 dia","DI1 - DI de 1 dia","")</f>
        <v/>
      </c>
      <c r="C56" s="222" t="str">
        <f>IF(dadosexternosBMF_1!A56="DOL - Dólar comercial","",IF(C55&lt;&gt;"",dadosexternosBMF_1!B56,IF(dadosexternosBMF_1!A56="DI1 - DI de 1 dia",dadosexternosBMF_1!B56,"")))</f>
        <v/>
      </c>
      <c r="D56" s="222" t="str">
        <f>IF(C56&lt;&gt;"",dadosexternosBMF_1!C56,"")</f>
        <v/>
      </c>
      <c r="E56" s="222" t="str">
        <f>IF(C56&lt;&gt;"",dadosexternosBMF_1!D56,"")</f>
        <v/>
      </c>
      <c r="G56" s="219" t="str">
        <f t="shared" si="5"/>
        <v/>
      </c>
      <c r="H56" s="219" t="str">
        <f t="shared" si="0"/>
        <v/>
      </c>
      <c r="I56" s="219" t="str">
        <f t="shared" si="1"/>
        <v/>
      </c>
      <c r="J56" s="219" t="str">
        <f>IF(I56="","",VLOOKUP(LEFT(C56,1),dadosexternosBMF_1!$L$2:$M$13,2,FALSE))</f>
        <v/>
      </c>
      <c r="K56" s="219" t="str">
        <f t="shared" si="2"/>
        <v/>
      </c>
      <c r="L56" s="422" t="str">
        <f t="shared" si="3"/>
        <v/>
      </c>
      <c r="M56" s="422" t="str">
        <f>IF(I56="","",WORKDAY(L56-1,1,FERIADOS!$A$2:$A$831))</f>
        <v/>
      </c>
      <c r="N56" s="219" t="str">
        <f>IF(I56="","",NETWORKDAYS(Curva!$M$2,M56,FERIADOS!$A$2:$A$831)-1)</f>
        <v/>
      </c>
      <c r="O56" s="423" t="str">
        <f>IF(C56&lt;&gt;"",IF(ISERROR((100000/E56)^(252/N56)-1),Curva!$B$2,((100000/E56)^(252/N56)-1)),"")</f>
        <v/>
      </c>
      <c r="P56" s="219" t="str">
        <f>IF(OR(G56=1,G56=2),dadosexternosBMF_1!B56,"")</f>
        <v/>
      </c>
      <c r="Q56" s="219" t="str">
        <f>IF(OR(G56=1,G56=2),dadosexternosBMF_1!D56,"")</f>
        <v/>
      </c>
      <c r="R56" s="158" t="s">
        <v>160</v>
      </c>
    </row>
    <row r="57" spans="1:69" ht="13.5" thickBot="1" x14ac:dyDescent="0.25">
      <c r="A57" s="222" t="str">
        <f t="shared" si="4"/>
        <v/>
      </c>
      <c r="B57" s="222" t="str">
        <f>IF(dadosexternosBMF_1!A57="DI1 - DI de 1 dia","DI1 - DI de 1 dia","")</f>
        <v/>
      </c>
      <c r="C57" s="222" t="str">
        <f>IF(dadosexternosBMF_1!A57="DOL - Dólar comercial","",IF(C56&lt;&gt;"",dadosexternosBMF_1!B57,IF(dadosexternosBMF_1!A57="DI1 - DI de 1 dia",dadosexternosBMF_1!B57,"")))</f>
        <v/>
      </c>
      <c r="D57" s="222" t="str">
        <f>IF(C57&lt;&gt;"",dadosexternosBMF_1!C57,"")</f>
        <v/>
      </c>
      <c r="E57" s="222" t="str">
        <f>IF(C57&lt;&gt;"",dadosexternosBMF_1!D57,"")</f>
        <v/>
      </c>
      <c r="G57" s="219" t="str">
        <f t="shared" si="5"/>
        <v/>
      </c>
      <c r="H57" s="219" t="str">
        <f t="shared" si="0"/>
        <v/>
      </c>
      <c r="I57" s="219" t="str">
        <f t="shared" si="1"/>
        <v/>
      </c>
      <c r="J57" s="219" t="str">
        <f>IF(I57="","",VLOOKUP(LEFT(C57,1),dadosexternosBMF_1!$L$2:$M$13,2,FALSE))</f>
        <v/>
      </c>
      <c r="K57" s="219" t="str">
        <f t="shared" si="2"/>
        <v/>
      </c>
      <c r="L57" s="422" t="str">
        <f t="shared" si="3"/>
        <v/>
      </c>
      <c r="M57" s="422" t="str">
        <f>IF(I57="","",WORKDAY(L57-1,1,FERIADOS!$A$2:$A$831))</f>
        <v/>
      </c>
      <c r="N57" s="219" t="str">
        <f>IF(I57="","",NETWORKDAYS(Curva!$M$2,M57,FERIADOS!$A$2:$A$831)-1)</f>
        <v/>
      </c>
      <c r="O57" s="423" t="str">
        <f>IF(C57&lt;&gt;"",IF(ISERROR((100000/E57)^(252/N57)-1),Curva!$B$2,((100000/E57)^(252/N57)-1)),"")</f>
        <v/>
      </c>
      <c r="P57" s="219" t="str">
        <f>IF(OR(G57=1,G57=2),dadosexternosBMF_1!B57,"")</f>
        <v/>
      </c>
      <c r="Q57" s="219" t="str">
        <f>IF(OR(G57=1,G57=2),dadosexternosBMF_1!D57,"")</f>
        <v/>
      </c>
    </row>
    <row r="58" spans="1:69" ht="22.5" thickBot="1" x14ac:dyDescent="0.25">
      <c r="A58" s="222" t="str">
        <f t="shared" si="4"/>
        <v/>
      </c>
      <c r="B58" s="222" t="str">
        <f>IF(dadosexternosBMF_1!A58="DI1 - DI de 1 dia","DI1 - DI de 1 dia","")</f>
        <v/>
      </c>
      <c r="C58" s="222" t="str">
        <f>IF(dadosexternosBMF_1!A58="DOL - Dólar comercial","",IF(C57&lt;&gt;"",dadosexternosBMF_1!B58,IF(dadosexternosBMF_1!A58="DI1 - DI de 1 dia",dadosexternosBMF_1!B58,"")))</f>
        <v/>
      </c>
      <c r="D58" s="222" t="str">
        <f>IF(C58&lt;&gt;"",dadosexternosBMF_1!C58,"")</f>
        <v/>
      </c>
      <c r="E58" s="222" t="str">
        <f>IF(C58&lt;&gt;"",dadosexternosBMF_1!D58,"")</f>
        <v/>
      </c>
      <c r="G58" s="219" t="str">
        <f t="shared" si="5"/>
        <v/>
      </c>
      <c r="H58" s="219" t="str">
        <f t="shared" si="0"/>
        <v/>
      </c>
      <c r="I58" s="219" t="str">
        <f t="shared" si="1"/>
        <v/>
      </c>
      <c r="J58" s="219" t="str">
        <f>IF(I58="","",VLOOKUP(LEFT(C58,1),dadosexternosBMF_1!$L$2:$M$13,2,FALSE))</f>
        <v/>
      </c>
      <c r="K58" s="219" t="str">
        <f t="shared" si="2"/>
        <v/>
      </c>
      <c r="L58" s="422" t="str">
        <f t="shared" si="3"/>
        <v/>
      </c>
      <c r="M58" s="422" t="str">
        <f>IF(I58="","",WORKDAY(L58-1,1,FERIADOS!$A$2:$A$831))</f>
        <v/>
      </c>
      <c r="N58" s="219" t="str">
        <f>IF(I58="","",NETWORKDAYS(Curva!$M$2,M58,FERIADOS!$A$2:$A$831)-1)</f>
        <v/>
      </c>
      <c r="O58" s="423" t="str">
        <f>IF(C58&lt;&gt;"",IF(ISERROR((100000/E58)^(252/N58)-1),Curva!$B$2,((100000/E58)^(252/N58)-1)),"")</f>
        <v/>
      </c>
      <c r="P58" s="219" t="str">
        <f>IF(OR(G58=1,G58=2),dadosexternosBMF_1!B58,"")</f>
        <v/>
      </c>
      <c r="Q58" s="219" t="str">
        <f>IF(OR(G58=1,G58=2),dadosexternosBMF_1!D58,"")</f>
        <v/>
      </c>
      <c r="R58" s="222">
        <v>1</v>
      </c>
      <c r="S58" s="222" t="s">
        <v>206</v>
      </c>
      <c r="T58" s="219">
        <f ca="1">IF(S58="","",NETWORKDAYS(Curva!$M$2,Y58,FERIADOS!$A$2:$A$831)-1)</f>
        <v>7</v>
      </c>
      <c r="U58" s="425">
        <f ca="1">IF(ISERROR(_xll.Spline($N$70:$N$108,$O$70:$O$108,T58)),VLOOKUP(S58,$I$1:$O$1100,7,FALSE),_xll.Spline($N$70:$N$108,$O$70:$O$108,T58))</f>
        <v>8.1418312442013141E-2</v>
      </c>
      <c r="V58" s="426">
        <f>IF(S58="","",VLOOKUP(LEFT(RIGHT(S58,3),1),dadosexternosBMF_1!$L$2:$M$13,2,FALSE))</f>
        <v>10</v>
      </c>
      <c r="W58" s="426">
        <f t="shared" ref="W58:W99" si="6">IF(S58="","",1+CONCATENATE(20,RIGHT(S58,2))-1)</f>
        <v>2017</v>
      </c>
      <c r="X58" s="422">
        <f t="shared" ref="X58:X99" si="7">IF(S58="","",CONCATENATE(1,"/",V58,"/",W58)+1-1)</f>
        <v>43009</v>
      </c>
      <c r="Y58" s="422">
        <f>IF(S58="","",WORKDAY(X58-1,1,FERIADOS!$A$2:$A$8310))</f>
        <v>43010</v>
      </c>
      <c r="Z58" s="427">
        <f ca="1">T58</f>
        <v>7</v>
      </c>
      <c r="AA58" s="707">
        <f ca="1">U58</f>
        <v>8.1418312442013141E-2</v>
      </c>
      <c r="AB58" s="160" t="str">
        <f t="shared" ref="AB58:AB88" si="8">IF(S58="","",CONCATENATE("=BC|Cot!",S58,".ULT"))</f>
        <v>=BC|Cot!DI1V17.ULT</v>
      </c>
      <c r="AC58" s="160" t="str">
        <f t="shared" ref="AC58:AC98" si="9">IF(S58="","",CONCATENATE("=BC|Cot!",S58,".OCP"))</f>
        <v>=BC|Cot!DI1V17.OCP</v>
      </c>
      <c r="AD58" s="160" t="str">
        <f t="shared" ref="AD58:AD98" si="10">IF(S58="","",CONCATENATE("=BC|Cot!",S58,".OVD"))</f>
        <v>=BC|Cot!DI1V17.OVD</v>
      </c>
      <c r="AE58" s="161" t="str">
        <f t="shared" ref="AE58:AE98" si="11">IF(S58="","",CONCATENATE("=BC|Cot!",S58,".FEC"))</f>
        <v>=BC|Cot!DI1V17.FEC</v>
      </c>
      <c r="AF58" s="161" t="str">
        <f t="shared" ref="AF58:AF98" si="12">IF(S58="","",CONCATENATE("=BC|Cot!",S58,".AJU"))</f>
        <v>=BC|Cot!DI1V17.AJU</v>
      </c>
      <c r="AG58" s="161" t="str">
        <f t="shared" ref="AG58:AG98" si="13">IF(S58="","",CONCATENATE("=BC|Cot!",S58,".HOR"))</f>
        <v>=BC|Cot!DI1V17.HOR</v>
      </c>
      <c r="AH58" s="219" t="str">
        <f t="shared" ref="AH58:AH98" si="14">S58</f>
        <v>DI1V17</v>
      </c>
      <c r="AO58" s="219" t="str">
        <f>IF(I58="","",NETWORKDAYS(Curva!$M$2,M58,FERIADOS!$A$2:$A$831)-1)</f>
        <v/>
      </c>
      <c r="BB58" s="219" t="s">
        <v>161</v>
      </c>
      <c r="BC58" s="219" t="s">
        <v>162</v>
      </c>
      <c r="BD58" s="219" t="s">
        <v>163</v>
      </c>
      <c r="BF58" s="219" t="s">
        <v>164</v>
      </c>
      <c r="BH58" s="219" t="s">
        <v>165</v>
      </c>
      <c r="BI58" s="219" t="s">
        <v>166</v>
      </c>
      <c r="BK58" s="219" t="s">
        <v>167</v>
      </c>
      <c r="BL58" s="219" t="s">
        <v>168</v>
      </c>
      <c r="BP58" s="219" t="s">
        <v>169</v>
      </c>
      <c r="BQ58" s="219" t="s">
        <v>170</v>
      </c>
    </row>
    <row r="59" spans="1:69" ht="22.5" thickBot="1" x14ac:dyDescent="0.25">
      <c r="A59" s="222" t="str">
        <f t="shared" si="4"/>
        <v/>
      </c>
      <c r="B59" s="222" t="str">
        <f>IF(dadosexternosBMF_1!A59="DI1 - DI de 1 dia","DI1 - DI de 1 dia","")</f>
        <v/>
      </c>
      <c r="C59" s="222" t="str">
        <f>IF(dadosexternosBMF_1!A59="DOL - Dólar comercial","",IF(C58&lt;&gt;"",dadosexternosBMF_1!B59,IF(dadosexternosBMF_1!A59="DI1 - DI de 1 dia",dadosexternosBMF_1!B59,"")))</f>
        <v/>
      </c>
      <c r="D59" s="222" t="str">
        <f>IF(C59&lt;&gt;"",dadosexternosBMF_1!C59,"")</f>
        <v/>
      </c>
      <c r="E59" s="222" t="str">
        <f>IF(C59&lt;&gt;"",dadosexternosBMF_1!D59,"")</f>
        <v/>
      </c>
      <c r="G59" s="219" t="str">
        <f t="shared" si="5"/>
        <v/>
      </c>
      <c r="H59" s="219" t="str">
        <f t="shared" si="0"/>
        <v/>
      </c>
      <c r="I59" s="219" t="str">
        <f t="shared" si="1"/>
        <v/>
      </c>
      <c r="J59" s="219" t="str">
        <f>IF(I59="","",VLOOKUP(LEFT(C59,1),dadosexternosBMF_1!$L$2:$M$13,2,FALSE))</f>
        <v/>
      </c>
      <c r="K59" s="219" t="str">
        <f t="shared" si="2"/>
        <v/>
      </c>
      <c r="L59" s="422" t="str">
        <f t="shared" si="3"/>
        <v/>
      </c>
      <c r="M59" s="422" t="str">
        <f>IF(I59="","",WORKDAY(L59-1,1,FERIADOS!$A$2:$A$831))</f>
        <v/>
      </c>
      <c r="N59" s="219" t="str">
        <f>IF(I59="","",NETWORKDAYS(Curva!$M$2,M59,FERIADOS!$A$2:$A$831)-1)</f>
        <v/>
      </c>
      <c r="O59" s="423" t="str">
        <f>IF(C59&lt;&gt;"",IF(ISERROR((100000/E59)^(252/N59)-1),Curva!$B$2,((100000/E59)^(252/N59)-1)),"")</f>
        <v/>
      </c>
      <c r="P59" s="219" t="str">
        <f>IF(OR(G59=1,G59=2),dadosexternosBMF_1!B59,"")</f>
        <v/>
      </c>
      <c r="Q59" s="219" t="str">
        <f>IF(OR(G59=1,G59=2),dadosexternosBMF_1!D59,"")</f>
        <v/>
      </c>
      <c r="R59" s="222">
        <v>2</v>
      </c>
      <c r="S59" s="222" t="s">
        <v>431</v>
      </c>
      <c r="T59" s="219">
        <f ca="1">IF(S59="","",NETWORKDAYS(Curva!$M$2,Y59,FERIADOS!$A$2:$A$831)-1)</f>
        <v>28</v>
      </c>
      <c r="U59" s="425">
        <f ca="1">IF(ISERROR(_xll.Spline($N$70:$N$108,$O$70:$O$108,T59)),VLOOKUP(S59,$I$1:$O$1100,7,FALSE),_xll.Spline($N$70:$N$108,$O$70:$O$108,T59))</f>
        <v>8.0350350610693289E-2</v>
      </c>
      <c r="V59" s="426">
        <f>IF(S59="","",VLOOKUP(LEFT(RIGHT(S59,3),1),dadosexternosBMF_1!$L$2:$M$13,2,FALSE))</f>
        <v>11</v>
      </c>
      <c r="W59" s="426">
        <f t="shared" si="6"/>
        <v>2017</v>
      </c>
      <c r="X59" s="422">
        <f t="shared" si="7"/>
        <v>43040</v>
      </c>
      <c r="Y59" s="422">
        <f>IF(S59="","",WORKDAY(X59-1,1,FERIADOS!$A$2:$A$8310))</f>
        <v>43040</v>
      </c>
      <c r="Z59" s="427">
        <f t="shared" ref="Z59:Z98" ca="1" si="15">T59</f>
        <v>28</v>
      </c>
      <c r="AA59" s="707">
        <f t="shared" ref="AA59:AA98" ca="1" si="16">U59</f>
        <v>8.0350350610693289E-2</v>
      </c>
      <c r="AB59" s="160" t="str">
        <f t="shared" si="8"/>
        <v>=BC|Cot!DI1X17.ULT</v>
      </c>
      <c r="AC59" s="160" t="str">
        <f t="shared" si="9"/>
        <v>=BC|Cot!DI1X17.OCP</v>
      </c>
      <c r="AD59" s="160" t="str">
        <f t="shared" si="10"/>
        <v>=BC|Cot!DI1X17.OVD</v>
      </c>
      <c r="AE59" s="161" t="str">
        <f t="shared" si="11"/>
        <v>=BC|Cot!DI1X17.FEC</v>
      </c>
      <c r="AF59" s="161" t="str">
        <f t="shared" si="12"/>
        <v>=BC|Cot!DI1X17.AJU</v>
      </c>
      <c r="AG59" s="161" t="str">
        <f t="shared" si="13"/>
        <v>=BC|Cot!DI1X17.HOR</v>
      </c>
      <c r="AH59" s="219" t="str">
        <f t="shared" si="14"/>
        <v>DI1X17</v>
      </c>
      <c r="BA59" s="219" t="s">
        <v>171</v>
      </c>
      <c r="BB59" s="219">
        <f>_xll.BDP($BA$59,BB58)</f>
        <v>15.68</v>
      </c>
      <c r="BC59" s="219">
        <f>_xll.BDP($BA$59,BC58)</f>
        <v>15.68</v>
      </c>
      <c r="BD59" s="219">
        <f>_xll.BDP($BA$59,BD58)</f>
        <v>15.69</v>
      </c>
      <c r="BF59" s="219">
        <f>_xll.BDP($BA$59,BF58)</f>
        <v>15.67</v>
      </c>
      <c r="BH59" s="219" t="str">
        <f>_xll.BDP($BA$59,BH58)</f>
        <v>14:13:46</v>
      </c>
      <c r="BI59" s="219">
        <f>_xll.BDP($BA$59,BI58)</f>
        <v>15.68</v>
      </c>
      <c r="BK59" s="219">
        <f>_xll.BDP($BA$59,BK58)</f>
        <v>15.66</v>
      </c>
      <c r="BL59" s="219">
        <f>_xll.BDP($BA$59,BL58)</f>
        <v>15.67</v>
      </c>
      <c r="BN59" s="219" t="e">
        <f>_xll.BDP($BA$59,BN58)</f>
        <v>#N/A</v>
      </c>
      <c r="BP59" s="219">
        <f>_xll.BDP($BA$59,BP58)</f>
        <v>15.685</v>
      </c>
      <c r="BQ59" s="219">
        <f>_xll.BDP($BA$59,BQ58)</f>
        <v>-1</v>
      </c>
    </row>
    <row r="60" spans="1:69" ht="22.5" thickBot="1" x14ac:dyDescent="0.25">
      <c r="A60" s="222" t="str">
        <f t="shared" si="4"/>
        <v/>
      </c>
      <c r="B60" s="222" t="str">
        <f>IF(dadosexternosBMF_1!A60="DI1 - DI de 1 dia","DI1 - DI de 1 dia","")</f>
        <v/>
      </c>
      <c r="C60" s="222" t="str">
        <f>IF(dadosexternosBMF_1!A60="DOL - Dólar comercial","",IF(C59&lt;&gt;"",dadosexternosBMF_1!B60,IF(dadosexternosBMF_1!A60="DI1 - DI de 1 dia",dadosexternosBMF_1!B60,"")))</f>
        <v/>
      </c>
      <c r="D60" s="222" t="str">
        <f>IF(C60&lt;&gt;"",dadosexternosBMF_1!C60,"")</f>
        <v/>
      </c>
      <c r="E60" s="222" t="str">
        <f>IF(C60&lt;&gt;"",dadosexternosBMF_1!D60,"")</f>
        <v/>
      </c>
      <c r="G60" s="219" t="str">
        <f t="shared" si="5"/>
        <v/>
      </c>
      <c r="H60" s="219" t="str">
        <f t="shared" si="0"/>
        <v/>
      </c>
      <c r="I60" s="219" t="str">
        <f t="shared" si="1"/>
        <v/>
      </c>
      <c r="J60" s="219" t="str">
        <f>IF(I60="","",VLOOKUP(LEFT(C60,1),dadosexternosBMF_1!$L$2:$M$13,2,FALSE))</f>
        <v/>
      </c>
      <c r="K60" s="219" t="str">
        <f t="shared" si="2"/>
        <v/>
      </c>
      <c r="L60" s="422" t="str">
        <f t="shared" si="3"/>
        <v/>
      </c>
      <c r="M60" s="422" t="str">
        <f>IF(I60="","",WORKDAY(L60-1,1,FERIADOS!$A$2:$A$831))</f>
        <v/>
      </c>
      <c r="N60" s="219" t="str">
        <f>IF(I60="","",NETWORKDAYS(Curva!$M$2,M60,FERIADOS!$A$2:$A$831)-1)</f>
        <v/>
      </c>
      <c r="O60" s="423" t="str">
        <f>IF(C60&lt;&gt;"",IF(ISERROR((100000/E60)^(252/N60)-1),Curva!$B$2,((100000/E60)^(252/N60)-1)),"")</f>
        <v/>
      </c>
      <c r="P60" s="219" t="str">
        <f>IF(OR(G60=1,G60=2),dadosexternosBMF_1!B60,"")</f>
        <v/>
      </c>
      <c r="Q60" s="219" t="str">
        <f>IF(OR(G60=1,G60=2),dadosexternosBMF_1!D60,"")</f>
        <v/>
      </c>
      <c r="R60" s="222">
        <v>3</v>
      </c>
      <c r="S60" s="222" t="s">
        <v>438</v>
      </c>
      <c r="T60" s="219">
        <f ca="1">IF(S60="","",NETWORKDAYS(Curva!$M$2,Y60,FERIADOS!$A$2:$A$831)-1)</f>
        <v>48</v>
      </c>
      <c r="U60" s="425">
        <f ca="1">IF(ISERROR(_xll.Spline($N$70:$N$108,$O$70:$O$108,T60)),VLOOKUP(S60,$I$1:$O$1100,7,FALSE),_xll.Spline($N$70:$N$108,$O$70:$O$108,T60))</f>
        <v>7.7700148642769529E-2</v>
      </c>
      <c r="V60" s="426">
        <f>IF(S60="","",VLOOKUP(LEFT(RIGHT(S60,3),1),dadosexternosBMF_1!$L$2:$M$13,2,FALSE))</f>
        <v>12</v>
      </c>
      <c r="W60" s="426">
        <f t="shared" si="6"/>
        <v>2017</v>
      </c>
      <c r="X60" s="422">
        <f t="shared" si="7"/>
        <v>43070</v>
      </c>
      <c r="Y60" s="422">
        <f>IF(S60="","",WORKDAY(X60-1,1,FERIADOS!$A$2:$A$8310))</f>
        <v>43070</v>
      </c>
      <c r="Z60" s="427">
        <f t="shared" ca="1" si="15"/>
        <v>48</v>
      </c>
      <c r="AA60" s="707">
        <f t="shared" ca="1" si="16"/>
        <v>7.7700148642769529E-2</v>
      </c>
      <c r="AB60" s="160" t="str">
        <f t="shared" si="8"/>
        <v>=BC|Cot!DI1Z17.ULT</v>
      </c>
      <c r="AC60" s="160" t="str">
        <f t="shared" si="9"/>
        <v>=BC|Cot!DI1Z17.OCP</v>
      </c>
      <c r="AD60" s="160" t="str">
        <f t="shared" si="10"/>
        <v>=BC|Cot!DI1Z17.OVD</v>
      </c>
      <c r="AE60" s="161" t="str">
        <f t="shared" si="11"/>
        <v>=BC|Cot!DI1Z17.FEC</v>
      </c>
      <c r="AF60" s="161" t="str">
        <f t="shared" si="12"/>
        <v>=BC|Cot!DI1Z17.AJU</v>
      </c>
      <c r="AG60" s="161" t="str">
        <f t="shared" si="13"/>
        <v>=BC|Cot!DI1Z17.HOR</v>
      </c>
      <c r="AH60" s="219" t="str">
        <f t="shared" si="14"/>
        <v>DI1Z17</v>
      </c>
    </row>
    <row r="61" spans="1:69" ht="22.5" thickBot="1" x14ac:dyDescent="0.25">
      <c r="A61" s="222" t="str">
        <f t="shared" si="4"/>
        <v/>
      </c>
      <c r="B61" s="222" t="str">
        <f>IF(dadosexternosBMF_1!A61="DI1 - DI de 1 dia","DI1 - DI de 1 dia","")</f>
        <v/>
      </c>
      <c r="C61" s="222" t="str">
        <f>IF(dadosexternosBMF_1!A61="DOL - Dólar comercial","",IF(C60&lt;&gt;"",dadosexternosBMF_1!B61,IF(dadosexternosBMF_1!A61="DI1 - DI de 1 dia",dadosexternosBMF_1!B61,"")))</f>
        <v/>
      </c>
      <c r="D61" s="222" t="str">
        <f>IF(C61&lt;&gt;"",dadosexternosBMF_1!C61,"")</f>
        <v/>
      </c>
      <c r="E61" s="222" t="str">
        <f>IF(C61&lt;&gt;"",dadosexternosBMF_1!D61,"")</f>
        <v/>
      </c>
      <c r="G61" s="219" t="str">
        <f t="shared" si="5"/>
        <v/>
      </c>
      <c r="H61" s="219" t="str">
        <f t="shared" si="0"/>
        <v/>
      </c>
      <c r="I61" s="219" t="str">
        <f t="shared" si="1"/>
        <v/>
      </c>
      <c r="J61" s="219" t="str">
        <f>IF(I61="","",VLOOKUP(LEFT(C61,1),dadosexternosBMF_1!$L$2:$M$13,2,FALSE))</f>
        <v/>
      </c>
      <c r="K61" s="219" t="str">
        <f t="shared" si="2"/>
        <v/>
      </c>
      <c r="L61" s="422" t="str">
        <f t="shared" si="3"/>
        <v/>
      </c>
      <c r="M61" s="422" t="str">
        <f>IF(I61="","",WORKDAY(L61-1,1,FERIADOS!$A$2:$A$831))</f>
        <v/>
      </c>
      <c r="N61" s="219" t="str">
        <f>IF(I61="","",NETWORKDAYS(Curva!$M$2,M61,FERIADOS!$A$2:$A$831)-1)</f>
        <v/>
      </c>
      <c r="O61" s="423" t="str">
        <f>IF(C61&lt;&gt;"",IF(ISERROR((100000/E61)^(252/N61)-1),Curva!$B$2,((100000/E61)^(252/N61)-1)),"")</f>
        <v/>
      </c>
      <c r="P61" s="219" t="str">
        <f>IF(OR(G61=1,G61=2),dadosexternosBMF_1!B61,"")</f>
        <v/>
      </c>
      <c r="Q61" s="219" t="str">
        <f>IF(OR(G61=1,G61=2),dadosexternosBMF_1!D61,"")</f>
        <v/>
      </c>
      <c r="R61" s="222">
        <v>4</v>
      </c>
      <c r="S61" s="222" t="s">
        <v>172</v>
      </c>
      <c r="T61" s="219">
        <f ca="1">IF(S61="","",NETWORKDAYS(Curva!$M$2,Y61,FERIADOS!$A$2:$A$831)-1)</f>
        <v>68</v>
      </c>
      <c r="U61" s="425">
        <f ca="1">IF(ISERROR(_xll.Spline($N$70:$N$108,$O$70:$O$108,T61)),VLOOKUP(S61,$I$1:$O$1100,7,FALSE),_xll.Spline($N$70:$N$108,$O$70:$O$108,T61))</f>
        <v>7.5650172781308589E-2</v>
      </c>
      <c r="V61" s="426">
        <f>IF(S61="","",VLOOKUP(LEFT(RIGHT(S61,3),1),dadosexternosBMF_1!$L$2:$M$13,2,FALSE))</f>
        <v>1</v>
      </c>
      <c r="W61" s="426">
        <f t="shared" si="6"/>
        <v>2018</v>
      </c>
      <c r="X61" s="422">
        <f t="shared" si="7"/>
        <v>43101</v>
      </c>
      <c r="Y61" s="422">
        <f>IF(S61="","",WORKDAY(X61-1,1,FERIADOS!$A$2:$A$8310))</f>
        <v>43102</v>
      </c>
      <c r="Z61" s="427">
        <f t="shared" ca="1" si="15"/>
        <v>68</v>
      </c>
      <c r="AA61" s="707">
        <f t="shared" ca="1" si="16"/>
        <v>7.5650172781308589E-2</v>
      </c>
      <c r="AB61" s="160" t="str">
        <f t="shared" si="8"/>
        <v>=BC|Cot!DI1F18.ULT</v>
      </c>
      <c r="AC61" s="160" t="str">
        <f t="shared" si="9"/>
        <v>=BC|Cot!DI1F18.OCP</v>
      </c>
      <c r="AD61" s="160" t="str">
        <f t="shared" si="10"/>
        <v>=BC|Cot!DI1F18.OVD</v>
      </c>
      <c r="AE61" s="161" t="str">
        <f t="shared" si="11"/>
        <v>=BC|Cot!DI1F18.FEC</v>
      </c>
      <c r="AF61" s="161" t="str">
        <f t="shared" si="12"/>
        <v>=BC|Cot!DI1F18.AJU</v>
      </c>
      <c r="AG61" s="161" t="str">
        <f t="shared" si="13"/>
        <v>=BC|Cot!DI1F18.HOR</v>
      </c>
      <c r="AH61" s="219" t="str">
        <f t="shared" si="14"/>
        <v>DI1F18</v>
      </c>
    </row>
    <row r="62" spans="1:69" ht="22.5" thickBot="1" x14ac:dyDescent="0.25">
      <c r="A62" s="222" t="str">
        <f t="shared" si="4"/>
        <v/>
      </c>
      <c r="B62" s="222" t="str">
        <f>IF(dadosexternosBMF_1!A62="DI1 - DI de 1 dia","DI1 - DI de 1 dia","")</f>
        <v/>
      </c>
      <c r="C62" s="222" t="str">
        <f>IF(dadosexternosBMF_1!A62="DOL - Dólar comercial","",IF(C61&lt;&gt;"",dadosexternosBMF_1!B62,IF(dadosexternosBMF_1!A62="DI1 - DI de 1 dia",dadosexternosBMF_1!B62,"")))</f>
        <v/>
      </c>
      <c r="D62" s="222" t="str">
        <f>IF(C62&lt;&gt;"",dadosexternosBMF_1!C62,"")</f>
        <v/>
      </c>
      <c r="E62" s="222" t="str">
        <f>IF(C62&lt;&gt;"",dadosexternosBMF_1!D62,"")</f>
        <v/>
      </c>
      <c r="G62" s="219" t="str">
        <f t="shared" si="5"/>
        <v/>
      </c>
      <c r="H62" s="219" t="str">
        <f t="shared" si="0"/>
        <v/>
      </c>
      <c r="I62" s="219" t="str">
        <f t="shared" si="1"/>
        <v/>
      </c>
      <c r="J62" s="219" t="str">
        <f>IF(I62="","",VLOOKUP(LEFT(C62,1),dadosexternosBMF_1!$L$2:$M$13,2,FALSE))</f>
        <v/>
      </c>
      <c r="K62" s="219" t="str">
        <f t="shared" si="2"/>
        <v/>
      </c>
      <c r="L62" s="422" t="str">
        <f t="shared" si="3"/>
        <v/>
      </c>
      <c r="M62" s="422" t="str">
        <f>IF(I62="","",WORKDAY(L62-1,1,FERIADOS!$A$2:$A$831))</f>
        <v/>
      </c>
      <c r="N62" s="219" t="str">
        <f>IF(I62="","",NETWORKDAYS(Curva!$M$2,M62,FERIADOS!$A$2:$A$831)-1)</f>
        <v/>
      </c>
      <c r="O62" s="423" t="str">
        <f>IF(C62&lt;&gt;"",IF(ISERROR((100000/E62)^(252/N62)-1),Curva!$B$2,((100000/E62)^(252/N62)-1)),"")</f>
        <v/>
      </c>
      <c r="P62" s="219" t="str">
        <f>IF(OR(G62=1,G62=2),dadosexternosBMF_1!B62,"")</f>
        <v/>
      </c>
      <c r="Q62" s="219" t="str">
        <f>IF(OR(G62=1,G62=2),dadosexternosBMF_1!D62,"")</f>
        <v/>
      </c>
      <c r="R62" s="222">
        <v>5</v>
      </c>
      <c r="S62" s="222" t="s">
        <v>439</v>
      </c>
      <c r="T62" s="219">
        <f ca="1">IF(S62="","",NETWORKDAYS(Curva!$M$2,Y62,FERIADOS!$A$2:$A$831)-1)</f>
        <v>90</v>
      </c>
      <c r="U62" s="425">
        <f ca="1">IF(ISERROR(_xll.Spline($N$70:$N$108,$O$70:$O$108,T62)),VLOOKUP(S62,$I$1:$O$1100,7,FALSE),_xll.Spline($N$70:$N$108,$O$70:$O$108,T62))</f>
        <v>7.4200114915634163E-2</v>
      </c>
      <c r="V62" s="426">
        <f>IF(S62="","",VLOOKUP(LEFT(RIGHT(S62,3),1),dadosexternosBMF_1!$L$2:$M$13,2,FALSE))</f>
        <v>2</v>
      </c>
      <c r="W62" s="426">
        <f t="shared" si="6"/>
        <v>2018</v>
      </c>
      <c r="X62" s="422">
        <f t="shared" si="7"/>
        <v>43132</v>
      </c>
      <c r="Y62" s="422">
        <f>IF(S62="","",WORKDAY(X62-1,1,FERIADOS!$A$2:$A$8310))</f>
        <v>43132</v>
      </c>
      <c r="Z62" s="427">
        <f t="shared" ca="1" si="15"/>
        <v>90</v>
      </c>
      <c r="AA62" s="707">
        <f t="shared" ca="1" si="16"/>
        <v>7.4200114915634163E-2</v>
      </c>
      <c r="AB62" s="160" t="str">
        <f t="shared" si="8"/>
        <v>=BC|Cot!DI1G18.ULT</v>
      </c>
      <c r="AC62" s="160" t="str">
        <f t="shared" si="9"/>
        <v>=BC|Cot!DI1G18.OCP</v>
      </c>
      <c r="AD62" s="160" t="str">
        <f t="shared" si="10"/>
        <v>=BC|Cot!DI1G18.OVD</v>
      </c>
      <c r="AE62" s="161" t="str">
        <f t="shared" si="11"/>
        <v>=BC|Cot!DI1G18.FEC</v>
      </c>
      <c r="AF62" s="161" t="str">
        <f t="shared" si="12"/>
        <v>=BC|Cot!DI1G18.AJU</v>
      </c>
      <c r="AG62" s="161" t="str">
        <f t="shared" si="13"/>
        <v>=BC|Cot!DI1G18.HOR</v>
      </c>
      <c r="AH62" s="219" t="str">
        <f t="shared" si="14"/>
        <v>DI1G18</v>
      </c>
    </row>
    <row r="63" spans="1:69" ht="22.5" thickBot="1" x14ac:dyDescent="0.25">
      <c r="A63" s="222" t="str">
        <f t="shared" si="4"/>
        <v/>
      </c>
      <c r="B63" s="222" t="str">
        <f>IF(dadosexternosBMF_1!A63="DI1 - DI de 1 dia","DI1 - DI de 1 dia","")</f>
        <v/>
      </c>
      <c r="C63" s="222" t="str">
        <f>IF(dadosexternosBMF_1!A63="DOL - Dólar comercial","",IF(C62&lt;&gt;"",dadosexternosBMF_1!B63,IF(dadosexternosBMF_1!A63="DI1 - DI de 1 dia",dadosexternosBMF_1!B63,"")))</f>
        <v/>
      </c>
      <c r="D63" s="222" t="str">
        <f>IF(C63&lt;&gt;"",dadosexternosBMF_1!C63,"")</f>
        <v/>
      </c>
      <c r="E63" s="222" t="str">
        <f>IF(C63&lt;&gt;"",dadosexternosBMF_1!D63,"")</f>
        <v/>
      </c>
      <c r="G63" s="219" t="str">
        <f t="shared" si="5"/>
        <v/>
      </c>
      <c r="H63" s="219" t="str">
        <f t="shared" si="0"/>
        <v/>
      </c>
      <c r="I63" s="219" t="str">
        <f t="shared" si="1"/>
        <v/>
      </c>
      <c r="J63" s="219" t="str">
        <f>IF(I63="","",VLOOKUP(LEFT(C63,1),dadosexternosBMF_1!$L$2:$M$13,2,FALSE))</f>
        <v/>
      </c>
      <c r="K63" s="219" t="str">
        <f t="shared" si="2"/>
        <v/>
      </c>
      <c r="L63" s="422" t="str">
        <f t="shared" si="3"/>
        <v/>
      </c>
      <c r="M63" s="422" t="str">
        <f>IF(I63="","",WORKDAY(L63-1,1,FERIADOS!$A$2:$A$831))</f>
        <v/>
      </c>
      <c r="N63" s="219" t="str">
        <f>IF(I63="","",NETWORKDAYS(Curva!$M$2,M63,FERIADOS!$A$2:$A$831)-1)</f>
        <v/>
      </c>
      <c r="O63" s="423" t="str">
        <f>IF(C63&lt;&gt;"",IF(ISERROR((100000/E63)^(252/N63)-1),Curva!$B$2,((100000/E63)^(252/N63)-1)),"")</f>
        <v/>
      </c>
      <c r="P63" s="219" t="str">
        <f>IF(OR(G63=1,G63=2),dadosexternosBMF_1!B63,"")</f>
        <v/>
      </c>
      <c r="Q63" s="219" t="str">
        <f>IF(OR(G63=1,G63=2),dadosexternosBMF_1!D63,"")</f>
        <v/>
      </c>
      <c r="R63" s="222">
        <v>6</v>
      </c>
      <c r="S63" s="222" t="s">
        <v>457</v>
      </c>
      <c r="T63" s="219">
        <f ca="1">IF(S63="","",NETWORKDAYS(Curva!$M$2,Y63,FERIADOS!$A$2:$A$831)-1)</f>
        <v>108</v>
      </c>
      <c r="U63" s="425">
        <f ca="1">IF(ISERROR(_xll.Spline($N$70:$N$108,$O$70:$O$108,T63)),VLOOKUP(S63,$I$1:$O$1100,7,FALSE),_xll.Spline($N$70:$N$108,$O$70:$O$108,T63))</f>
        <v>7.338012737446542E-2</v>
      </c>
      <c r="V63" s="426">
        <f>IF(S63="","",VLOOKUP(LEFT(RIGHT(S63,3),1),dadosexternosBMF_1!$L$2:$M$13,2,FALSE))</f>
        <v>3</v>
      </c>
      <c r="W63" s="426">
        <f t="shared" si="6"/>
        <v>2018</v>
      </c>
      <c r="X63" s="422">
        <f t="shared" si="7"/>
        <v>43160</v>
      </c>
      <c r="Y63" s="422">
        <f>IF(S63="","",WORKDAY(X63-1,1,FERIADOS!$A$2:$A$8310))</f>
        <v>43160</v>
      </c>
      <c r="Z63" s="427">
        <f t="shared" ca="1" si="15"/>
        <v>108</v>
      </c>
      <c r="AA63" s="707">
        <f t="shared" ca="1" si="16"/>
        <v>7.338012737446542E-2</v>
      </c>
      <c r="AB63" s="160" t="str">
        <f t="shared" si="8"/>
        <v>=BC|Cot!DI1H18.ULT</v>
      </c>
      <c r="AC63" s="160" t="str">
        <f t="shared" si="9"/>
        <v>=BC|Cot!DI1H18.OCP</v>
      </c>
      <c r="AD63" s="160" t="str">
        <f t="shared" si="10"/>
        <v>=BC|Cot!DI1H18.OVD</v>
      </c>
      <c r="AE63" s="161" t="str">
        <f t="shared" si="11"/>
        <v>=BC|Cot!DI1H18.FEC</v>
      </c>
      <c r="AF63" s="161" t="str">
        <f t="shared" si="12"/>
        <v>=BC|Cot!DI1H18.AJU</v>
      </c>
      <c r="AG63" s="161" t="str">
        <f t="shared" si="13"/>
        <v>=BC|Cot!DI1H18.HOR</v>
      </c>
      <c r="AH63" s="219" t="str">
        <f t="shared" si="14"/>
        <v>DI1H18</v>
      </c>
    </row>
    <row r="64" spans="1:69" ht="22.5" thickBot="1" x14ac:dyDescent="0.25">
      <c r="A64" s="222" t="str">
        <f t="shared" si="4"/>
        <v/>
      </c>
      <c r="B64" s="222" t="str">
        <f>IF(dadosexternosBMF_1!A64="DI1 - DI de 1 dia","DI1 - DI de 1 dia","")</f>
        <v/>
      </c>
      <c r="C64" s="222" t="str">
        <f>IF(dadosexternosBMF_1!A64="DOL - Dólar comercial","",IF(C63&lt;&gt;"",dadosexternosBMF_1!B64,IF(dadosexternosBMF_1!A64="DI1 - DI de 1 dia",dadosexternosBMF_1!B64,"")))</f>
        <v/>
      </c>
      <c r="D64" s="222" t="str">
        <f>IF(C64&lt;&gt;"",dadosexternosBMF_1!C64,"")</f>
        <v/>
      </c>
      <c r="E64" s="222" t="str">
        <f>IF(C64&lt;&gt;"",dadosexternosBMF_1!D64,"")</f>
        <v/>
      </c>
      <c r="G64" s="219" t="str">
        <f t="shared" si="5"/>
        <v/>
      </c>
      <c r="H64" s="219" t="str">
        <f t="shared" si="0"/>
        <v/>
      </c>
      <c r="I64" s="219" t="str">
        <f t="shared" si="1"/>
        <v/>
      </c>
      <c r="J64" s="219" t="str">
        <f>IF(I64="","",VLOOKUP(LEFT(C64,1),dadosexternosBMF_1!$L$2:$M$13,2,FALSE))</f>
        <v/>
      </c>
      <c r="K64" s="219" t="str">
        <f t="shared" si="2"/>
        <v/>
      </c>
      <c r="L64" s="422" t="str">
        <f t="shared" si="3"/>
        <v/>
      </c>
      <c r="M64" s="422" t="str">
        <f>IF(I64="","",WORKDAY(L64-1,1,FERIADOS!$A$2:$A$831))</f>
        <v/>
      </c>
      <c r="N64" s="219" t="str">
        <f>IF(I64="","",NETWORKDAYS(Curva!$M$2,M64,FERIADOS!$A$2:$A$831)-1)</f>
        <v/>
      </c>
      <c r="O64" s="423" t="str">
        <f>IF(C64&lt;&gt;"",IF(ISERROR((100000/E64)^(252/N64)-1),Curva!$B$2,((100000/E64)^(252/N64)-1)),"")</f>
        <v/>
      </c>
      <c r="P64" s="219" t="str">
        <f>IF(OR(G64=1,G64=2),dadosexternosBMF_1!B64,"")</f>
        <v/>
      </c>
      <c r="Q64" s="219" t="str">
        <f>IF(OR(G64=1,G64=2),dadosexternosBMF_1!D64,"")</f>
        <v/>
      </c>
      <c r="R64" s="222">
        <v>7</v>
      </c>
      <c r="S64" s="222" t="s">
        <v>233</v>
      </c>
      <c r="T64" s="219">
        <f ca="1">IF(S64="","",NETWORKDAYS(Curva!$M$2,Y64,FERIADOS!$A$2:$A$831)-1)</f>
        <v>129</v>
      </c>
      <c r="U64" s="425">
        <f ca="1">IF(ISERROR(_xll.Spline($N$70:$N$108,$O$70:$O$108,T64)),VLOOKUP(S64,$I$1:$O$1100,7,FALSE),_xll.Spline($N$70:$N$108,$O$70:$O$108,T64))</f>
        <v>7.244994273345351E-2</v>
      </c>
      <c r="V64" s="426">
        <f>IF(S64="","",VLOOKUP(LEFT(RIGHT(S64,3),1),dadosexternosBMF_1!$L$2:$M$13,2,FALSE))</f>
        <v>4</v>
      </c>
      <c r="W64" s="426">
        <f t="shared" si="6"/>
        <v>2018</v>
      </c>
      <c r="X64" s="422">
        <f t="shared" si="7"/>
        <v>43191</v>
      </c>
      <c r="Y64" s="422">
        <f>IF(S64="","",WORKDAY(X64-1,1,FERIADOS!$A$2:$A$8310))</f>
        <v>43192</v>
      </c>
      <c r="Z64" s="427">
        <f t="shared" ca="1" si="15"/>
        <v>129</v>
      </c>
      <c r="AA64" s="707">
        <f t="shared" ca="1" si="16"/>
        <v>7.244994273345351E-2</v>
      </c>
      <c r="AB64" s="160" t="str">
        <f t="shared" si="8"/>
        <v>=BC|Cot!DI1J18.ULT</v>
      </c>
      <c r="AC64" s="160" t="str">
        <f t="shared" si="9"/>
        <v>=BC|Cot!DI1J18.OCP</v>
      </c>
      <c r="AD64" s="160" t="str">
        <f t="shared" si="10"/>
        <v>=BC|Cot!DI1J18.OVD</v>
      </c>
      <c r="AE64" s="161" t="str">
        <f t="shared" si="11"/>
        <v>=BC|Cot!DI1J18.FEC</v>
      </c>
      <c r="AF64" s="161" t="str">
        <f t="shared" si="12"/>
        <v>=BC|Cot!DI1J18.AJU</v>
      </c>
      <c r="AG64" s="161" t="str">
        <f t="shared" si="13"/>
        <v>=BC|Cot!DI1J18.HOR</v>
      </c>
      <c r="AH64" s="219" t="str">
        <f t="shared" si="14"/>
        <v>DI1J18</v>
      </c>
    </row>
    <row r="65" spans="1:34" ht="22.5" thickBot="1" x14ac:dyDescent="0.25">
      <c r="A65" s="222" t="str">
        <f t="shared" si="4"/>
        <v/>
      </c>
      <c r="B65" s="222" t="str">
        <f>IF(dadosexternosBMF_1!A65="DI1 - DI de 1 dia","DI1 - DI de 1 dia","")</f>
        <v/>
      </c>
      <c r="C65" s="222" t="str">
        <f>IF(dadosexternosBMF_1!A65="DOL - Dólar comercial","",IF(C64&lt;&gt;"",dadosexternosBMF_1!B65,IF(dadosexternosBMF_1!A65="DI1 - DI de 1 dia",dadosexternosBMF_1!B65,"")))</f>
        <v/>
      </c>
      <c r="D65" s="222" t="str">
        <f>IF(C65&lt;&gt;"",dadosexternosBMF_1!C65,"")</f>
        <v/>
      </c>
      <c r="E65" s="222" t="str">
        <f>IF(C65&lt;&gt;"",dadosexternosBMF_1!D65,"")</f>
        <v/>
      </c>
      <c r="G65" s="219" t="str">
        <f t="shared" si="5"/>
        <v/>
      </c>
      <c r="H65" s="219" t="str">
        <f t="shared" ref="H65:H128" si="17">IF(A65&lt;&gt;"",A65,"")</f>
        <v/>
      </c>
      <c r="I65" s="219" t="str">
        <f t="shared" ref="I65:I128" si="18">IF(A65&lt;&gt;"",(CONCATENATE("DI1",C65)),"")</f>
        <v/>
      </c>
      <c r="J65" s="219" t="str">
        <f>IF(I65="","",VLOOKUP(LEFT(C65,1),dadosexternosBMF_1!$L$2:$M$13,2,FALSE))</f>
        <v/>
      </c>
      <c r="K65" s="219" t="str">
        <f t="shared" ref="K65:K128" si="19">IF(I65="","",1+CONCATENATE(20,RIGHT(C65,2))-1)</f>
        <v/>
      </c>
      <c r="L65" s="422" t="str">
        <f t="shared" ref="L65:L128" si="20">IF(I65="","",CONCATENATE(1,"/",J65,"/",K65)+1-1)</f>
        <v/>
      </c>
      <c r="M65" s="422" t="str">
        <f>IF(I65="","",WORKDAY(L65-1,1,FERIADOS!$A$2:$A$831))</f>
        <v/>
      </c>
      <c r="N65" s="219" t="str">
        <f>IF(I65="","",NETWORKDAYS(Curva!$M$2,M65,FERIADOS!$A$2:$A$831)-1)</f>
        <v/>
      </c>
      <c r="O65" s="423" t="str">
        <f>IF(C65&lt;&gt;"",IF(ISERROR((100000/E65)^(252/N65)-1),Curva!$B$2,((100000/E65)^(252/N65)-1)),"")</f>
        <v/>
      </c>
      <c r="P65" s="219" t="str">
        <f>IF(OR(G65=1,G65=2),dadosexternosBMF_1!B65,"")</f>
        <v/>
      </c>
      <c r="Q65" s="219" t="str">
        <f>IF(OR(G65=1,G65=2),dadosexternosBMF_1!D65,"")</f>
        <v/>
      </c>
      <c r="R65" s="222">
        <v>8</v>
      </c>
      <c r="S65" s="222" t="s">
        <v>459</v>
      </c>
      <c r="T65" s="219">
        <f ca="1">IF(S65="","",NETWORKDAYS(Curva!$M$2,Y65,FERIADOS!$A$2:$A$831)-1)</f>
        <v>150</v>
      </c>
      <c r="U65" s="425">
        <f ca="1">IF(ISERROR(_xll.Spline($N$70:$N$108,$O$70:$O$108,T65)),VLOOKUP(S65,$I$1:$O$1100,7,FALSE),_xll.Spline($N$70:$N$108,$O$70:$O$108,T65))</f>
        <v>7.198008091580177E-2</v>
      </c>
      <c r="V65" s="426">
        <f>IF(S65="","",VLOOKUP(LEFT(RIGHT(S65,3),1),dadosexternosBMF_1!$L$2:$M$13,2,FALSE))</f>
        <v>5</v>
      </c>
      <c r="W65" s="426">
        <f t="shared" si="6"/>
        <v>2018</v>
      </c>
      <c r="X65" s="422">
        <f t="shared" si="7"/>
        <v>43221</v>
      </c>
      <c r="Y65" s="422">
        <f>IF(S65="","",WORKDAY(X65-1,1,FERIADOS!$A$2:$A$8310))</f>
        <v>43222</v>
      </c>
      <c r="Z65" s="427">
        <f t="shared" ca="1" si="15"/>
        <v>150</v>
      </c>
      <c r="AA65" s="707">
        <f t="shared" ca="1" si="16"/>
        <v>7.198008091580177E-2</v>
      </c>
      <c r="AB65" s="160" t="str">
        <f t="shared" si="8"/>
        <v>=BC|Cot!DI1K18.ULT</v>
      </c>
      <c r="AC65" s="160" t="str">
        <f t="shared" si="9"/>
        <v>=BC|Cot!DI1K18.OCP</v>
      </c>
      <c r="AD65" s="160" t="str">
        <f t="shared" si="10"/>
        <v>=BC|Cot!DI1K18.OVD</v>
      </c>
      <c r="AE65" s="161" t="str">
        <f t="shared" si="11"/>
        <v>=BC|Cot!DI1K18.FEC</v>
      </c>
      <c r="AF65" s="161" t="str">
        <f t="shared" si="12"/>
        <v>=BC|Cot!DI1K18.AJU</v>
      </c>
      <c r="AG65" s="161" t="str">
        <f t="shared" si="13"/>
        <v>=BC|Cot!DI1K18.HOR</v>
      </c>
      <c r="AH65" s="219" t="str">
        <f t="shared" si="14"/>
        <v>DI1K18</v>
      </c>
    </row>
    <row r="66" spans="1:34" ht="22.5" thickBot="1" x14ac:dyDescent="0.25">
      <c r="A66" s="222" t="str">
        <f t="shared" ref="A66:A129" si="21">IF(AND(A65&lt;&gt;"",C66&lt;&gt;""),A65+1,IF(B66="DI1 - DI de 1 dia",1,""))</f>
        <v/>
      </c>
      <c r="B66" s="222" t="str">
        <f>IF(dadosexternosBMF_1!A66="DI1 - DI de 1 dia","DI1 - DI de 1 dia","")</f>
        <v/>
      </c>
      <c r="C66" s="222" t="str">
        <f>IF(dadosexternosBMF_1!A66="DOL - Dólar comercial","",IF(C65&lt;&gt;"",dadosexternosBMF_1!B66,IF(dadosexternosBMF_1!A66="DI1 - DI de 1 dia",dadosexternosBMF_1!B66,"")))</f>
        <v/>
      </c>
      <c r="D66" s="222" t="str">
        <f>IF(C66&lt;&gt;"",dadosexternosBMF_1!C66,"")</f>
        <v/>
      </c>
      <c r="E66" s="222" t="str">
        <f>IF(C66&lt;&gt;"",dadosexternosBMF_1!D66,"")</f>
        <v/>
      </c>
      <c r="G66" s="219" t="str">
        <f t="shared" ref="G66:G129" si="22">IF(G65=1,2,IF(AND(H66="",H65&lt;&gt;""),1,""))</f>
        <v/>
      </c>
      <c r="H66" s="219" t="str">
        <f t="shared" si="17"/>
        <v/>
      </c>
      <c r="I66" s="219" t="str">
        <f t="shared" si="18"/>
        <v/>
      </c>
      <c r="J66" s="219" t="str">
        <f>IF(I66="","",VLOOKUP(LEFT(C66,1),dadosexternosBMF_1!$L$2:$M$13,2,FALSE))</f>
        <v/>
      </c>
      <c r="K66" s="219" t="str">
        <f t="shared" si="19"/>
        <v/>
      </c>
      <c r="L66" s="422" t="str">
        <f t="shared" si="20"/>
        <v/>
      </c>
      <c r="M66" s="422" t="str">
        <f>IF(I66="","",WORKDAY(L66-1,1,FERIADOS!$A$2:$A$831))</f>
        <v/>
      </c>
      <c r="N66" s="219" t="str">
        <f>IF(I66="","",NETWORKDAYS(Curva!$M$2,M66,FERIADOS!$A$2:$A$831)-1)</f>
        <v/>
      </c>
      <c r="O66" s="423" t="str">
        <f>IF(C66&lt;&gt;"",IF(ISERROR((100000/E66)^(252/N66)-1),Curva!$B$2,((100000/E66)^(252/N66)-1)),"")</f>
        <v/>
      </c>
      <c r="P66" s="219" t="str">
        <f>IF(OR(G66=1,G66=2),dadosexternosBMF_1!B66,"")</f>
        <v/>
      </c>
      <c r="Q66" s="219" t="str">
        <f>IF(OR(G66=1,G66=2),dadosexternosBMF_1!D66,"")</f>
        <v/>
      </c>
      <c r="R66" s="222">
        <v>9</v>
      </c>
      <c r="S66" s="222" t="s">
        <v>462</v>
      </c>
      <c r="T66" s="219">
        <f ca="1">IF(S66="","",NETWORKDAYS(Curva!$M$2,Y66,FERIADOS!$A$2:$A$831)-1)</f>
        <v>171</v>
      </c>
      <c r="U66" s="425">
        <f ca="1">IF(ISERROR(_xll.Spline($N$70:$N$108,$O$70:$O$108,T66)),VLOOKUP(S66,$I$1:$O$1100,7,FALSE),_xll.Spline($N$70:$N$108,$O$70:$O$108,T66))</f>
        <v>7.1770014557143602E-2</v>
      </c>
      <c r="V66" s="426">
        <f>IF(S66="","",VLOOKUP(LEFT(RIGHT(S66,3),1),dadosexternosBMF_1!$L$2:$M$13,2,FALSE))</f>
        <v>6</v>
      </c>
      <c r="W66" s="426">
        <f t="shared" si="6"/>
        <v>2018</v>
      </c>
      <c r="X66" s="422">
        <f t="shared" si="7"/>
        <v>43252</v>
      </c>
      <c r="Y66" s="422">
        <f>IF(S66="","",WORKDAY(X66-1,1,FERIADOS!$A$2:$A$8310))</f>
        <v>43252</v>
      </c>
      <c r="Z66" s="427">
        <f t="shared" ca="1" si="15"/>
        <v>171</v>
      </c>
      <c r="AA66" s="707">
        <f t="shared" ca="1" si="16"/>
        <v>7.1770014557143602E-2</v>
      </c>
      <c r="AB66" s="160" t="str">
        <f t="shared" si="8"/>
        <v>=BC|Cot!DI1M18.ULT</v>
      </c>
      <c r="AC66" s="160" t="str">
        <f t="shared" si="9"/>
        <v>=BC|Cot!DI1M18.OCP</v>
      </c>
      <c r="AD66" s="160" t="str">
        <f t="shared" si="10"/>
        <v>=BC|Cot!DI1M18.OVD</v>
      </c>
      <c r="AE66" s="161" t="str">
        <f t="shared" si="11"/>
        <v>=BC|Cot!DI1M18.FEC</v>
      </c>
      <c r="AF66" s="161" t="str">
        <f t="shared" si="12"/>
        <v>=BC|Cot!DI1M18.AJU</v>
      </c>
      <c r="AG66" s="161" t="str">
        <f t="shared" si="13"/>
        <v>=BC|Cot!DI1M18.HOR</v>
      </c>
      <c r="AH66" s="219" t="str">
        <f t="shared" si="14"/>
        <v>DI1M18</v>
      </c>
    </row>
    <row r="67" spans="1:34" ht="22.5" thickBot="1" x14ac:dyDescent="0.25">
      <c r="A67" s="222" t="str">
        <f t="shared" si="21"/>
        <v/>
      </c>
      <c r="B67" s="222" t="str">
        <f>IF(dadosexternosBMF_1!A67="DI1 - DI de 1 dia","DI1 - DI de 1 dia","")</f>
        <v/>
      </c>
      <c r="C67" s="222" t="str">
        <f>IF(dadosexternosBMF_1!A67="DOL - Dólar comercial","",IF(C66&lt;&gt;"",dadosexternosBMF_1!B67,IF(dadosexternosBMF_1!A67="DI1 - DI de 1 dia",dadosexternosBMF_1!B67,"")))</f>
        <v/>
      </c>
      <c r="D67" s="222" t="str">
        <f>IF(C67&lt;&gt;"",dadosexternosBMF_1!C67,"")</f>
        <v/>
      </c>
      <c r="E67" s="222" t="str">
        <f>IF(C67&lt;&gt;"",dadosexternosBMF_1!D67,"")</f>
        <v/>
      </c>
      <c r="G67" s="219" t="str">
        <f t="shared" si="22"/>
        <v/>
      </c>
      <c r="H67" s="219" t="str">
        <f t="shared" si="17"/>
        <v/>
      </c>
      <c r="I67" s="219" t="str">
        <f t="shared" si="18"/>
        <v/>
      </c>
      <c r="J67" s="219" t="str">
        <f>IF(I67="","",VLOOKUP(LEFT(C67,1),dadosexternosBMF_1!$L$2:$M$13,2,FALSE))</f>
        <v/>
      </c>
      <c r="K67" s="219" t="str">
        <f t="shared" si="19"/>
        <v/>
      </c>
      <c r="L67" s="422" t="str">
        <f t="shared" si="20"/>
        <v/>
      </c>
      <c r="M67" s="422" t="str">
        <f>IF(I67="","",WORKDAY(L67-1,1,FERIADOS!$A$2:$A$831))</f>
        <v/>
      </c>
      <c r="N67" s="219" t="str">
        <f>IF(I67="","",NETWORKDAYS(Curva!$M$2,M67,FERIADOS!$A$2:$A$831)-1)</f>
        <v/>
      </c>
      <c r="O67" s="423" t="str">
        <f>IF(C67&lt;&gt;"",IF(ISERROR((100000/E67)^(252/N67)-1),Curva!$B$2,((100000/E67)^(252/N67)-1)),"")</f>
        <v/>
      </c>
      <c r="P67" s="219" t="str">
        <f>IF(OR(G67=1,G67=2),dadosexternosBMF_1!B67,"")</f>
        <v/>
      </c>
      <c r="Q67" s="219" t="str">
        <f>IF(OR(G67=1,G67=2),dadosexternosBMF_1!D67,"")</f>
        <v/>
      </c>
      <c r="R67" s="222">
        <v>10</v>
      </c>
      <c r="S67" s="222" t="s">
        <v>220</v>
      </c>
      <c r="T67" s="219">
        <f ca="1">IF(S67="","",NETWORKDAYS(Curva!$M$2,Y67,FERIADOS!$A$2:$A$831)-1)</f>
        <v>192</v>
      </c>
      <c r="U67" s="425">
        <f ca="1">IF(ISERROR(_xll.Spline($N$70:$N$108,$O$70:$O$108,T67)),VLOOKUP(S67,$I$1:$O$1100,7,FALSE),_xll.Spline($N$70:$N$108,$O$70:$O$108,T67))</f>
        <v>7.1450064850925976E-2</v>
      </c>
      <c r="V67" s="426">
        <f>IF(S67="","",VLOOKUP(LEFT(RIGHT(S67,3),1),dadosexternosBMF_1!$L$2:$M$13,2,FALSE))</f>
        <v>7</v>
      </c>
      <c r="W67" s="426">
        <f t="shared" si="6"/>
        <v>2018</v>
      </c>
      <c r="X67" s="422">
        <f t="shared" si="7"/>
        <v>43282</v>
      </c>
      <c r="Y67" s="422">
        <f>IF(S67="","",WORKDAY(X67-1,1,FERIADOS!$A$2:$A$8310))</f>
        <v>43283</v>
      </c>
      <c r="Z67" s="427">
        <f t="shared" ca="1" si="15"/>
        <v>192</v>
      </c>
      <c r="AA67" s="707">
        <f t="shared" ca="1" si="16"/>
        <v>7.1450064850925976E-2</v>
      </c>
      <c r="AB67" s="160" t="str">
        <f t="shared" si="8"/>
        <v>=BC|Cot!DI1N18.ULT</v>
      </c>
      <c r="AC67" s="160" t="str">
        <f t="shared" si="9"/>
        <v>=BC|Cot!DI1N18.OCP</v>
      </c>
      <c r="AD67" s="160" t="str">
        <f t="shared" si="10"/>
        <v>=BC|Cot!DI1N18.OVD</v>
      </c>
      <c r="AE67" s="161" t="str">
        <f t="shared" si="11"/>
        <v>=BC|Cot!DI1N18.FEC</v>
      </c>
      <c r="AF67" s="161" t="str">
        <f t="shared" si="12"/>
        <v>=BC|Cot!DI1N18.AJU</v>
      </c>
      <c r="AG67" s="161" t="str">
        <f t="shared" si="13"/>
        <v>=BC|Cot!DI1N18.HOR</v>
      </c>
      <c r="AH67" s="219" t="str">
        <f t="shared" si="14"/>
        <v>DI1N18</v>
      </c>
    </row>
    <row r="68" spans="1:34" ht="22.5" thickBot="1" x14ac:dyDescent="0.25">
      <c r="A68" s="222" t="str">
        <f t="shared" si="21"/>
        <v/>
      </c>
      <c r="B68" s="222" t="str">
        <f>IF(dadosexternosBMF_1!A68="DI1 - DI de 1 dia","DI1 - DI de 1 dia","")</f>
        <v/>
      </c>
      <c r="C68" s="222" t="str">
        <f>IF(dadosexternosBMF_1!A68="DOL - Dólar comercial","",IF(C67&lt;&gt;"",dadosexternosBMF_1!B68,IF(dadosexternosBMF_1!A68="DI1 - DI de 1 dia",dadosexternosBMF_1!B68,"")))</f>
        <v/>
      </c>
      <c r="D68" s="222" t="str">
        <f>IF(C68&lt;&gt;"",dadosexternosBMF_1!C68,"")</f>
        <v/>
      </c>
      <c r="E68" s="222" t="str">
        <f>IF(C68&lt;&gt;"",dadosexternosBMF_1!D68,"")</f>
        <v/>
      </c>
      <c r="G68" s="219" t="str">
        <f t="shared" si="22"/>
        <v/>
      </c>
      <c r="H68" s="219" t="str">
        <f t="shared" si="17"/>
        <v/>
      </c>
      <c r="I68" s="219" t="str">
        <f t="shared" si="18"/>
        <v/>
      </c>
      <c r="J68" s="219" t="str">
        <f>IF(I68="","",VLOOKUP(LEFT(C68,1),dadosexternosBMF_1!$L$2:$M$13,2,FALSE))</f>
        <v/>
      </c>
      <c r="K68" s="219" t="str">
        <f t="shared" si="19"/>
        <v/>
      </c>
      <c r="L68" s="422" t="str">
        <f t="shared" si="20"/>
        <v/>
      </c>
      <c r="M68" s="422" t="str">
        <f>IF(I68="","",WORKDAY(L68-1,1,FERIADOS!$A$2:$A$831))</f>
        <v/>
      </c>
      <c r="N68" s="219" t="str">
        <f>IF(I68="","",NETWORKDAYS(Curva!$M$2,M68,FERIADOS!$A$2:$A$831)-1)</f>
        <v/>
      </c>
      <c r="O68" s="423" t="str">
        <f>IF(C68&lt;&gt;"",IF(ISERROR((100000/E68)^(252/N68)-1),Curva!$B$2,((100000/E68)^(252/N68)-1)),"")</f>
        <v/>
      </c>
      <c r="P68" s="219" t="str">
        <f>IF(OR(G68=1,G68=2),dadosexternosBMF_1!B68,"")</f>
        <v/>
      </c>
      <c r="Q68" s="219" t="str">
        <f>IF(OR(G68=1,G68=2),dadosexternosBMF_1!D68,"")</f>
        <v/>
      </c>
      <c r="R68" s="222">
        <v>11</v>
      </c>
      <c r="S68" s="222" t="s">
        <v>476</v>
      </c>
      <c r="T68" s="219">
        <f ca="1">IF(S68="","",NETWORKDAYS(Curva!$M$2,Y68,FERIADOS!$A$2:$A$831)-1)</f>
        <v>214</v>
      </c>
      <c r="U68" s="425">
        <f ca="1">IF(ISERROR(_xll.Spline($N$70:$N$108,$O$70:$O$108,T68)),VLOOKUP(S68,$I$1:$O$1100,7,FALSE),_xll.Spline($N$70:$N$108,$O$70:$O$108,T68))</f>
        <v>7.1549960115349087E-2</v>
      </c>
      <c r="V68" s="426">
        <f>IF(S68="","",VLOOKUP(LEFT(RIGHT(S68,3),1),dadosexternosBMF_1!$L$2:$M$13,2,FALSE))</f>
        <v>8</v>
      </c>
      <c r="W68" s="426">
        <f t="shared" si="6"/>
        <v>2018</v>
      </c>
      <c r="X68" s="422">
        <f t="shared" si="7"/>
        <v>43313</v>
      </c>
      <c r="Y68" s="422">
        <f>IF(S68="","",WORKDAY(X68-1,1,FERIADOS!$A$2:$A$8310))</f>
        <v>43313</v>
      </c>
      <c r="Z68" s="427">
        <f t="shared" ca="1" si="15"/>
        <v>214</v>
      </c>
      <c r="AA68" s="707">
        <f t="shared" ca="1" si="16"/>
        <v>7.1549960115349087E-2</v>
      </c>
      <c r="AB68" s="160" t="str">
        <f t="shared" si="8"/>
        <v>=BC|Cot!DI1Q18.ULT</v>
      </c>
      <c r="AC68" s="160" t="str">
        <f t="shared" si="9"/>
        <v>=BC|Cot!DI1Q18.OCP</v>
      </c>
      <c r="AD68" s="160" t="str">
        <f t="shared" si="10"/>
        <v>=BC|Cot!DI1Q18.OVD</v>
      </c>
      <c r="AE68" s="161" t="str">
        <f t="shared" si="11"/>
        <v>=BC|Cot!DI1Q18.FEC</v>
      </c>
      <c r="AF68" s="161" t="str">
        <f t="shared" si="12"/>
        <v>=BC|Cot!DI1Q18.AJU</v>
      </c>
      <c r="AG68" s="161" t="str">
        <f t="shared" si="13"/>
        <v>=BC|Cot!DI1Q18.HOR</v>
      </c>
      <c r="AH68" s="219" t="str">
        <f t="shared" si="14"/>
        <v>DI1Q18</v>
      </c>
    </row>
    <row r="69" spans="1:34" ht="22.5" thickBot="1" x14ac:dyDescent="0.25">
      <c r="A69" s="222" t="str">
        <f t="shared" si="21"/>
        <v/>
      </c>
      <c r="B69" s="222" t="str">
        <f>IF(dadosexternosBMF_1!A69="DI1 - DI de 1 dia","DI1 - DI de 1 dia","")</f>
        <v/>
      </c>
      <c r="C69" s="222" t="str">
        <f>IF(dadosexternosBMF_1!A69="DOL - Dólar comercial","",IF(C68&lt;&gt;"",dadosexternosBMF_1!B69,IF(dadosexternosBMF_1!A69="DI1 - DI de 1 dia",dadosexternosBMF_1!B69,"")))</f>
        <v/>
      </c>
      <c r="D69" s="222" t="str">
        <f>IF(C69&lt;&gt;"",dadosexternosBMF_1!C69,"")</f>
        <v/>
      </c>
      <c r="E69" s="222" t="str">
        <f>IF(C69&lt;&gt;"",dadosexternosBMF_1!D69,"")</f>
        <v/>
      </c>
      <c r="G69" s="219" t="str">
        <f t="shared" si="22"/>
        <v/>
      </c>
      <c r="H69" s="219" t="str">
        <f t="shared" si="17"/>
        <v/>
      </c>
      <c r="I69" s="219" t="str">
        <f t="shared" si="18"/>
        <v/>
      </c>
      <c r="J69" s="219" t="str">
        <f>IF(I69="","",VLOOKUP(LEFT(C69,1),dadosexternosBMF_1!$L$2:$M$13,2,FALSE))</f>
        <v/>
      </c>
      <c r="K69" s="219" t="str">
        <f t="shared" si="19"/>
        <v/>
      </c>
      <c r="L69" s="422" t="str">
        <f t="shared" si="20"/>
        <v/>
      </c>
      <c r="M69" s="422" t="str">
        <f>IF(I69="","",WORKDAY(L69-1,1,FERIADOS!$A$2:$A$831))</f>
        <v/>
      </c>
      <c r="N69" s="219" t="str">
        <f>IF(I69="","",NETWORKDAYS(Curva!$M$2,M69,FERIADOS!$A$2:$A$831)-1)</f>
        <v/>
      </c>
      <c r="O69" s="423" t="str">
        <f>IF(C69&lt;&gt;"",IF(ISERROR((100000/E69)^(252/N69)-1),Curva!$B$2,((100000/E69)^(252/N69)-1)),"")</f>
        <v/>
      </c>
      <c r="P69" s="219" t="str">
        <f>IF(OR(G69=1,G69=2),dadosexternosBMF_1!B69,"")</f>
        <v/>
      </c>
      <c r="Q69" s="219" t="str">
        <f>IF(OR(G69=1,G69=2),dadosexternosBMF_1!D69,"")</f>
        <v/>
      </c>
      <c r="R69" s="222">
        <v>12</v>
      </c>
      <c r="S69" s="222" t="s">
        <v>234</v>
      </c>
      <c r="T69" s="219">
        <f ca="1">IF(S69="","",NETWORKDAYS(Curva!$M$2,Y69,FERIADOS!$A$2:$A$831)-1)</f>
        <v>256</v>
      </c>
      <c r="U69" s="425">
        <f ca="1">IF(ISERROR(_xll.Spline($N$70:$N$108,$O$70:$O$108,T69)),VLOOKUP(S69,$I$1:$O$1100,7,FALSE),_xll.Spline($N$70:$N$108,$O$70:$O$108,T69))</f>
        <v>7.1700003179191674E-2</v>
      </c>
      <c r="V69" s="426">
        <f>IF(S69="","",VLOOKUP(LEFT(RIGHT(S69,3),1),dadosexternosBMF_1!$L$2:$M$13,2,FALSE))</f>
        <v>10</v>
      </c>
      <c r="W69" s="426">
        <f t="shared" si="6"/>
        <v>2018</v>
      </c>
      <c r="X69" s="422">
        <f t="shared" si="7"/>
        <v>43374</v>
      </c>
      <c r="Y69" s="422">
        <f>IF(S69="","",WORKDAY(X69-1,1,FERIADOS!$A$2:$A$8310))</f>
        <v>43374</v>
      </c>
      <c r="Z69" s="427">
        <f t="shared" ca="1" si="15"/>
        <v>256</v>
      </c>
      <c r="AA69" s="707">
        <f t="shared" ca="1" si="16"/>
        <v>7.1700003179191674E-2</v>
      </c>
      <c r="AB69" s="160" t="str">
        <f t="shared" si="8"/>
        <v>=BC|Cot!DI1V18.ULT</v>
      </c>
      <c r="AC69" s="160" t="str">
        <f t="shared" si="9"/>
        <v>=BC|Cot!DI1V18.OCP</v>
      </c>
      <c r="AD69" s="160" t="str">
        <f t="shared" si="10"/>
        <v>=BC|Cot!DI1V18.OVD</v>
      </c>
      <c r="AE69" s="161" t="str">
        <f t="shared" si="11"/>
        <v>=BC|Cot!DI1V18.FEC</v>
      </c>
      <c r="AF69" s="161" t="str">
        <f t="shared" si="12"/>
        <v>=BC|Cot!DI1V18.AJU</v>
      </c>
      <c r="AG69" s="161" t="str">
        <f t="shared" si="13"/>
        <v>=BC|Cot!DI1V18.HOR</v>
      </c>
      <c r="AH69" s="219" t="str">
        <f t="shared" si="14"/>
        <v>DI1V18</v>
      </c>
    </row>
    <row r="70" spans="1:34" ht="22.5" thickBot="1" x14ac:dyDescent="0.25">
      <c r="A70" s="222" t="str">
        <f t="shared" si="21"/>
        <v/>
      </c>
      <c r="B70" s="222" t="str">
        <f>IF(dadosexternosBMF_1!A70="DI1 - DI de 1 dia","DI1 - DI de 1 dia","")</f>
        <v/>
      </c>
      <c r="C70" s="222" t="str">
        <f>IF(dadosexternosBMF_1!A70="DOL - Dólar comercial","",IF(C69&lt;&gt;"",dadosexternosBMF_1!B70,IF(dadosexternosBMF_1!A70="DI1 - DI de 1 dia",dadosexternosBMF_1!B70,"")))</f>
        <v/>
      </c>
      <c r="D70" s="222" t="str">
        <f>IF(C70&lt;&gt;"",dadosexternosBMF_1!C70,"")</f>
        <v/>
      </c>
      <c r="E70" s="222" t="str">
        <f>IF(C70&lt;&gt;"",dadosexternosBMF_1!D70,"")</f>
        <v/>
      </c>
      <c r="G70" s="219" t="str">
        <f t="shared" si="22"/>
        <v/>
      </c>
      <c r="H70" s="219" t="str">
        <f t="shared" si="17"/>
        <v/>
      </c>
      <c r="I70" s="219" t="str">
        <f t="shared" si="18"/>
        <v/>
      </c>
      <c r="J70" s="219" t="str">
        <f>IF(I70="","",VLOOKUP(LEFT(C70,1),dadosexternosBMF_1!$L$2:$M$13,2,FALSE))</f>
        <v/>
      </c>
      <c r="K70" s="219" t="str">
        <f t="shared" si="19"/>
        <v/>
      </c>
      <c r="L70" s="422" t="str">
        <f t="shared" si="20"/>
        <v/>
      </c>
      <c r="M70" s="422" t="str">
        <f>IF(I70="","",WORKDAY(L70-1,1,FERIADOS!$A$2:$A$831))</f>
        <v/>
      </c>
      <c r="N70" s="219" t="str">
        <f>IF(I70="","",NETWORKDAYS(Curva!$M$2,M70,FERIADOS!$A$2:$A$831)-1)</f>
        <v/>
      </c>
      <c r="O70" s="423" t="str">
        <f>IF(C70&lt;&gt;"",IF(ISERROR((100000/E70)^(252/N70)-1),Curva!$B$2,((100000/E70)^(252/N70)-1)),"")</f>
        <v/>
      </c>
      <c r="P70" s="219" t="str">
        <f>IF(OR(G70=1,G70=2),dadosexternosBMF_1!B70,"")</f>
        <v/>
      </c>
      <c r="Q70" s="219" t="str">
        <f>IF(OR(G70=1,G70=2),dadosexternosBMF_1!D70,"")</f>
        <v/>
      </c>
      <c r="R70" s="222">
        <v>13</v>
      </c>
      <c r="S70" s="222" t="s">
        <v>473</v>
      </c>
      <c r="T70" s="219">
        <f ca="1">IF(S70="","",NETWORKDAYS(Curva!$M$2,Y70,FERIADOS!$A$2:$A$831)-1)</f>
        <v>278</v>
      </c>
      <c r="U70" s="632">
        <f ca="1">(U71-U69)/2+U69</f>
        <v>7.2350002398469448E-2</v>
      </c>
      <c r="V70" s="426">
        <f>IF(S70="","",VLOOKUP(LEFT(RIGHT(S70,3),1),dadosexternosBMF_1!$L$2:$M$13,2,FALSE))</f>
        <v>11</v>
      </c>
      <c r="W70" s="426">
        <f t="shared" si="6"/>
        <v>2018</v>
      </c>
      <c r="X70" s="422">
        <f t="shared" si="7"/>
        <v>43405</v>
      </c>
      <c r="Y70" s="422">
        <f>IF(S70="","",WORKDAY(X70-1,1,FERIADOS!$A$2:$A$8310))</f>
        <v>43405</v>
      </c>
      <c r="Z70" s="427">
        <f t="shared" ca="1" si="15"/>
        <v>278</v>
      </c>
      <c r="AA70" s="707">
        <f t="shared" ca="1" si="16"/>
        <v>7.2350002398469448E-2</v>
      </c>
      <c r="AB70" s="160" t="str">
        <f t="shared" si="8"/>
        <v>=BC|Cot!DI1X18.ULT</v>
      </c>
      <c r="AC70" s="160" t="str">
        <f t="shared" si="9"/>
        <v>=BC|Cot!DI1X18.OCP</v>
      </c>
      <c r="AD70" s="160" t="str">
        <f t="shared" si="10"/>
        <v>=BC|Cot!DI1X18.OVD</v>
      </c>
      <c r="AE70" s="161" t="str">
        <f t="shared" si="11"/>
        <v>=BC|Cot!DI1X18.FEC</v>
      </c>
      <c r="AF70" s="161" t="str">
        <f t="shared" si="12"/>
        <v>=BC|Cot!DI1X18.AJU</v>
      </c>
      <c r="AG70" s="161" t="str">
        <f t="shared" si="13"/>
        <v>=BC|Cot!DI1X18.HOR</v>
      </c>
      <c r="AH70" s="219" t="str">
        <f t="shared" si="14"/>
        <v>DI1X18</v>
      </c>
    </row>
    <row r="71" spans="1:34" ht="22.5" thickBot="1" x14ac:dyDescent="0.25">
      <c r="A71" s="222" t="str">
        <f t="shared" si="21"/>
        <v/>
      </c>
      <c r="B71" s="222" t="str">
        <f>IF(dadosexternosBMF_1!A71="DI1 - DI de 1 dia","DI1 - DI de 1 dia","")</f>
        <v/>
      </c>
      <c r="C71" s="222" t="str">
        <f>IF(dadosexternosBMF_1!A71="DOL - Dólar comercial","",IF(C70&lt;&gt;"",dadosexternosBMF_1!B71,IF(dadosexternosBMF_1!A71="DI1 - DI de 1 dia",dadosexternosBMF_1!B71,"")))</f>
        <v/>
      </c>
      <c r="D71" s="222" t="str">
        <f>IF(C71&lt;&gt;"",dadosexternosBMF_1!C71,"")</f>
        <v/>
      </c>
      <c r="E71" s="222" t="str">
        <f>IF(C71&lt;&gt;"",dadosexternosBMF_1!D71,"")</f>
        <v/>
      </c>
      <c r="G71" s="219" t="str">
        <f t="shared" si="22"/>
        <v/>
      </c>
      <c r="H71" s="219" t="str">
        <f t="shared" si="17"/>
        <v/>
      </c>
      <c r="I71" s="219" t="str">
        <f t="shared" si="18"/>
        <v/>
      </c>
      <c r="J71" s="219" t="str">
        <f>IF(I71="","",VLOOKUP(LEFT(C71,1),dadosexternosBMF_1!$L$2:$M$13,2,FALSE))</f>
        <v/>
      </c>
      <c r="K71" s="219" t="str">
        <f t="shared" si="19"/>
        <v/>
      </c>
      <c r="L71" s="422" t="str">
        <f t="shared" si="20"/>
        <v/>
      </c>
      <c r="M71" s="422" t="str">
        <f>IF(I71="","",WORKDAY(L71-1,1,FERIADOS!$A$2:$A$831))</f>
        <v/>
      </c>
      <c r="N71" s="219" t="str">
        <f>IF(I71="","",NETWORKDAYS(Curva!$M$2,M71,FERIADOS!$A$2:$A$831)-1)</f>
        <v/>
      </c>
      <c r="O71" s="423" t="str">
        <f>IF(C71&lt;&gt;"",IF(ISERROR((100000/E71)^(252/N71)-1),Curva!$B$2,((100000/E71)^(252/N71)-1)),"")</f>
        <v/>
      </c>
      <c r="P71" s="219" t="str">
        <f>IF(OR(G71=1,G71=2),dadosexternosBMF_1!B71,"")</f>
        <v/>
      </c>
      <c r="Q71" s="219" t="str">
        <f>IF(OR(G71=1,G71=2),dadosexternosBMF_1!D71,"")</f>
        <v/>
      </c>
      <c r="R71" s="222">
        <v>14</v>
      </c>
      <c r="S71" s="222" t="s">
        <v>208</v>
      </c>
      <c r="T71" s="219">
        <f ca="1">IF(S71="","",NETWORKDAYS(Curva!$M$2,Y71,FERIADOS!$A$2:$A$831)-1)</f>
        <v>318</v>
      </c>
      <c r="U71" s="425">
        <f ca="1">IF(ISERROR(_xll.Spline($N$70:$N$108,$O$70:$O$108,T71)),VLOOKUP(S71,$I$1:$O$1100,7,FALSE),_xll.Spline($N$70:$N$108,$O$70:$O$108,T71))</f>
        <v>7.3000001617747223E-2</v>
      </c>
      <c r="V71" s="426">
        <f>IF(S71="","",VLOOKUP(LEFT(RIGHT(S71,3),1),dadosexternosBMF_1!$L$2:$M$13,2,FALSE))</f>
        <v>1</v>
      </c>
      <c r="W71" s="426">
        <f t="shared" si="6"/>
        <v>2019</v>
      </c>
      <c r="X71" s="422">
        <f t="shared" si="7"/>
        <v>43466</v>
      </c>
      <c r="Y71" s="422">
        <f>IF(S71="","",WORKDAY(X71-1,1,FERIADOS!$A$2:$A$8310))</f>
        <v>43467</v>
      </c>
      <c r="Z71" s="427">
        <f t="shared" ca="1" si="15"/>
        <v>318</v>
      </c>
      <c r="AA71" s="707">
        <f t="shared" ca="1" si="16"/>
        <v>7.3000001617747223E-2</v>
      </c>
      <c r="AB71" s="160" t="str">
        <f t="shared" si="8"/>
        <v>=BC|Cot!DI1F19.ULT</v>
      </c>
      <c r="AC71" s="160" t="str">
        <f t="shared" si="9"/>
        <v>=BC|Cot!DI1F19.OCP</v>
      </c>
      <c r="AD71" s="160" t="str">
        <f t="shared" si="10"/>
        <v>=BC|Cot!DI1F19.OVD</v>
      </c>
      <c r="AE71" s="161" t="str">
        <f t="shared" si="11"/>
        <v>=BC|Cot!DI1F19.FEC</v>
      </c>
      <c r="AF71" s="161" t="str">
        <f t="shared" si="12"/>
        <v>=BC|Cot!DI1F19.AJU</v>
      </c>
      <c r="AG71" s="161" t="str">
        <f t="shared" si="13"/>
        <v>=BC|Cot!DI1F19.HOR</v>
      </c>
      <c r="AH71" s="219" t="str">
        <f t="shared" si="14"/>
        <v>DI1F19</v>
      </c>
    </row>
    <row r="72" spans="1:34" ht="22.5" thickBot="1" x14ac:dyDescent="0.25">
      <c r="A72" s="222">
        <f t="shared" si="21"/>
        <v>1</v>
      </c>
      <c r="B72" s="222" t="str">
        <f>IF(dadosexternosBMF_1!A72="DI1 - DI de 1 dia","DI1 - DI de 1 dia","")</f>
        <v>DI1 - DI de 1 dia</v>
      </c>
      <c r="C72" s="222" t="str">
        <f>IF(dadosexternosBMF_1!A72="DOL - Dólar comercial","",IF(C71&lt;&gt;"",dadosexternosBMF_1!B72,IF(dadosexternosBMF_1!A72="DI1 - DI de 1 dia",dadosexternosBMF_1!B72,"")))</f>
        <v>V17</v>
      </c>
      <c r="D72" s="222">
        <f>IF(C72&lt;&gt;"",dadosexternosBMF_1!C72,"")</f>
        <v>99782.82</v>
      </c>
      <c r="E72" s="222">
        <f>IF(C72&lt;&gt;"",dadosexternosBMF_1!D72,"")</f>
        <v>99782.81</v>
      </c>
      <c r="G72" s="219" t="str">
        <f t="shared" si="22"/>
        <v/>
      </c>
      <c r="H72" s="219">
        <f t="shared" si="17"/>
        <v>1</v>
      </c>
      <c r="I72" s="219" t="str">
        <f t="shared" si="18"/>
        <v>DI1V17</v>
      </c>
      <c r="J72" s="219">
        <f>IF(I72="","",VLOOKUP(LEFT(C72,1),dadosexternosBMF_1!$L$2:$M$13,2,FALSE))</f>
        <v>10</v>
      </c>
      <c r="K72" s="219">
        <f t="shared" si="19"/>
        <v>2017</v>
      </c>
      <c r="L72" s="422">
        <f t="shared" si="20"/>
        <v>43009</v>
      </c>
      <c r="M72" s="422">
        <f>IF(I72="","",WORKDAY(L72-1,1,FERIADOS!$A$2:$A$831))</f>
        <v>43010</v>
      </c>
      <c r="N72" s="219">
        <f ca="1">IF(I72="","",NETWORKDAYS(Curva!$M$2,M72,FERIADOS!$A$2:$A$831)-1)</f>
        <v>7</v>
      </c>
      <c r="O72" s="423">
        <f ca="1">IF(C72&lt;&gt;"",IF(ISERROR((100000/E72)^(252/N72)-1),Curva!$B$2,((100000/E72)^(252/N72)-1)),"")</f>
        <v>8.1418312442013141E-2</v>
      </c>
      <c r="P72" s="219" t="str">
        <f>IF(OR(G72=1,G72=2),dadosexternosBMF_1!B72,"")</f>
        <v/>
      </c>
      <c r="Q72" s="219" t="str">
        <f>IF(OR(G72=1,G72=2),dadosexternosBMF_1!D72,"")</f>
        <v/>
      </c>
      <c r="R72" s="222">
        <v>15</v>
      </c>
      <c r="S72" s="222" t="s">
        <v>246</v>
      </c>
      <c r="T72" s="219">
        <f ca="1">IF(S72="","",NETWORKDAYS(Curva!$M$2,Y72,FERIADOS!$A$2:$A$831)-1)</f>
        <v>379</v>
      </c>
      <c r="U72" s="425">
        <f ca="1">IF(ISERROR(_xll.Spline($N$70:$N$108,$O$70:$O$108,T72)),VLOOKUP(S72,$I$1:$O$1100,7,FALSE),_xll.Spline($N$70:$N$108,$O$70:$O$108,T72))</f>
        <v>7.4699991483438533E-2</v>
      </c>
      <c r="V72" s="426">
        <f>IF(S72="","",VLOOKUP(LEFT(RIGHT(S72,3),1),dadosexternosBMF_1!$L$2:$M$13,2,FALSE))</f>
        <v>4</v>
      </c>
      <c r="W72" s="426">
        <f t="shared" si="6"/>
        <v>2019</v>
      </c>
      <c r="X72" s="422">
        <f t="shared" si="7"/>
        <v>43556</v>
      </c>
      <c r="Y72" s="422">
        <f>IF(S72="","",WORKDAY(X72-1,1,FERIADOS!$A$2:$A$8310))</f>
        <v>43556</v>
      </c>
      <c r="Z72" s="427">
        <f t="shared" ca="1" si="15"/>
        <v>379</v>
      </c>
      <c r="AA72" s="707">
        <f t="shared" ca="1" si="16"/>
        <v>7.4699991483438533E-2</v>
      </c>
      <c r="AB72" s="160" t="str">
        <f t="shared" si="8"/>
        <v>=BC|Cot!DI1J19.ULT</v>
      </c>
      <c r="AC72" s="160" t="str">
        <f t="shared" si="9"/>
        <v>=BC|Cot!DI1J19.OCP</v>
      </c>
      <c r="AD72" s="160" t="str">
        <f t="shared" si="10"/>
        <v>=BC|Cot!DI1J19.OVD</v>
      </c>
      <c r="AE72" s="161" t="str">
        <f t="shared" si="11"/>
        <v>=BC|Cot!DI1J19.FEC</v>
      </c>
      <c r="AF72" s="161" t="str">
        <f t="shared" si="12"/>
        <v>=BC|Cot!DI1J19.AJU</v>
      </c>
      <c r="AG72" s="161" t="str">
        <f t="shared" si="13"/>
        <v>=BC|Cot!DI1J19.HOR</v>
      </c>
      <c r="AH72" s="219" t="str">
        <f t="shared" si="14"/>
        <v>DI1J19</v>
      </c>
    </row>
    <row r="73" spans="1:34" ht="22.5" thickBot="1" x14ac:dyDescent="0.25">
      <c r="A73" s="222">
        <f t="shared" si="21"/>
        <v>2</v>
      </c>
      <c r="B73" s="222" t="str">
        <f>IF(dadosexternosBMF_1!A73="DI1 - DI de 1 dia","DI1 - DI de 1 dia","")</f>
        <v/>
      </c>
      <c r="C73" s="222" t="str">
        <f>IF(dadosexternosBMF_1!A73="DOL - Dólar comercial","",IF(C72&lt;&gt;"",dadosexternosBMF_1!B73,IF(dadosexternosBMF_1!A73="DI1 - DI de 1 dia",dadosexternosBMF_1!B73,"")))</f>
        <v>X17</v>
      </c>
      <c r="D73" s="222">
        <f>IF(C73&lt;&gt;"",dadosexternosBMF_1!C73,"")</f>
        <v>99145.33</v>
      </c>
      <c r="E73" s="222">
        <f>IF(C73&lt;&gt;"",dadosexternosBMF_1!D73,"")</f>
        <v>99144.95</v>
      </c>
      <c r="G73" s="219" t="str">
        <f t="shared" si="22"/>
        <v/>
      </c>
      <c r="H73" s="219">
        <f t="shared" si="17"/>
        <v>2</v>
      </c>
      <c r="I73" s="219" t="str">
        <f t="shared" si="18"/>
        <v>DI1X17</v>
      </c>
      <c r="J73" s="219">
        <f>IF(I73="","",VLOOKUP(LEFT(C73,1),dadosexternosBMF_1!$L$2:$M$13,2,FALSE))</f>
        <v>11</v>
      </c>
      <c r="K73" s="219">
        <f t="shared" si="19"/>
        <v>2017</v>
      </c>
      <c r="L73" s="422">
        <f t="shared" si="20"/>
        <v>43040</v>
      </c>
      <c r="M73" s="422">
        <f>IF(I73="","",WORKDAY(L73-1,1,FERIADOS!$A$2:$A$831))</f>
        <v>43040</v>
      </c>
      <c r="N73" s="219">
        <f ca="1">IF(I73="","",NETWORKDAYS(Curva!$M$2,M73,FERIADOS!$A$2:$A$831)-1)</f>
        <v>28</v>
      </c>
      <c r="O73" s="423">
        <f ca="1">IF(C73&lt;&gt;"",IF(ISERROR((100000/E73)^(252/N73)-1),Curva!$B$2,((100000/E73)^(252/N73)-1)),"")</f>
        <v>8.0350350610693289E-2</v>
      </c>
      <c r="P73" s="219" t="str">
        <f>IF(OR(G73=1,G73=2),dadosexternosBMF_1!B73,"")</f>
        <v/>
      </c>
      <c r="Q73" s="219" t="str">
        <f>IF(OR(G73=1,G73=2),dadosexternosBMF_1!D73,"")</f>
        <v/>
      </c>
      <c r="R73" s="222">
        <v>16</v>
      </c>
      <c r="S73" s="222" t="s">
        <v>247</v>
      </c>
      <c r="T73" s="219">
        <f ca="1">IF(S73="","",NETWORKDAYS(Curva!$M$2,Y73,FERIADOS!$A$2:$A$831)-1)</f>
        <v>441</v>
      </c>
      <c r="U73" s="425">
        <f ca="1">IF(ISERROR(_xll.Spline($N$70:$N$108,$O$70:$O$108,T73)),VLOOKUP(S73,$I$1:$O$1100,7,FALSE),_xll.Spline($N$70:$N$108,$O$70:$O$108,T73))</f>
        <v>7.6700002244052712E-2</v>
      </c>
      <c r="V73" s="426">
        <f>IF(S73="","",VLOOKUP(LEFT(RIGHT(S73,3),1),dadosexternosBMF_1!$L$2:$M$13,2,FALSE))</f>
        <v>7</v>
      </c>
      <c r="W73" s="426">
        <f t="shared" si="6"/>
        <v>2019</v>
      </c>
      <c r="X73" s="422">
        <f t="shared" si="7"/>
        <v>43647</v>
      </c>
      <c r="Y73" s="422">
        <f>IF(S73="","",WORKDAY(X73-1,1,FERIADOS!$A$2:$A$8310))</f>
        <v>43647</v>
      </c>
      <c r="Z73" s="427">
        <f t="shared" ca="1" si="15"/>
        <v>441</v>
      </c>
      <c r="AA73" s="707">
        <f t="shared" ca="1" si="16"/>
        <v>7.6700002244052712E-2</v>
      </c>
      <c r="AB73" s="160" t="str">
        <f t="shared" si="8"/>
        <v>=BC|Cot!DI1N19.ULT</v>
      </c>
      <c r="AC73" s="160" t="str">
        <f t="shared" si="9"/>
        <v>=BC|Cot!DI1N19.OCP</v>
      </c>
      <c r="AD73" s="160" t="str">
        <f t="shared" si="10"/>
        <v>=BC|Cot!DI1N19.OVD</v>
      </c>
      <c r="AE73" s="161" t="str">
        <f t="shared" si="11"/>
        <v>=BC|Cot!DI1N19.FEC</v>
      </c>
      <c r="AF73" s="161" t="str">
        <f t="shared" si="12"/>
        <v>=BC|Cot!DI1N19.AJU</v>
      </c>
      <c r="AG73" s="161" t="str">
        <f t="shared" si="13"/>
        <v>=BC|Cot!DI1N19.HOR</v>
      </c>
      <c r="AH73" s="219" t="str">
        <f t="shared" si="14"/>
        <v>DI1N19</v>
      </c>
    </row>
    <row r="74" spans="1:34" ht="22.5" thickBot="1" x14ac:dyDescent="0.25">
      <c r="A74" s="222">
        <f t="shared" si="21"/>
        <v>3</v>
      </c>
      <c r="B74" s="222" t="str">
        <f>IF(dadosexternosBMF_1!A74="DI1 - DI de 1 dia","DI1 - DI de 1 dia","")</f>
        <v/>
      </c>
      <c r="C74" s="222" t="str">
        <f>IF(dadosexternosBMF_1!A74="DOL - Dólar comercial","",IF(C73&lt;&gt;"",dadosexternosBMF_1!B74,IF(dadosexternosBMF_1!A74="DI1 - DI de 1 dia",dadosexternosBMF_1!B74,"")))</f>
        <v>Z17</v>
      </c>
      <c r="D74" s="222">
        <f>IF(C74&lt;&gt;"",dadosexternosBMF_1!C74,"")</f>
        <v>98583.46</v>
      </c>
      <c r="E74" s="222">
        <f>IF(C74&lt;&gt;"",dadosexternosBMF_1!D74,"")</f>
        <v>98584.79</v>
      </c>
      <c r="G74" s="219" t="str">
        <f t="shared" si="22"/>
        <v/>
      </c>
      <c r="H74" s="219">
        <f t="shared" si="17"/>
        <v>3</v>
      </c>
      <c r="I74" s="219" t="str">
        <f t="shared" si="18"/>
        <v>DI1Z17</v>
      </c>
      <c r="J74" s="219">
        <f>IF(I74="","",VLOOKUP(LEFT(C74,1),dadosexternosBMF_1!$L$2:$M$13,2,FALSE))</f>
        <v>12</v>
      </c>
      <c r="K74" s="219">
        <f t="shared" si="19"/>
        <v>2017</v>
      </c>
      <c r="L74" s="422">
        <f t="shared" si="20"/>
        <v>43070</v>
      </c>
      <c r="M74" s="422">
        <f>IF(I74="","",WORKDAY(L74-1,1,FERIADOS!$A$2:$A$831))</f>
        <v>43070</v>
      </c>
      <c r="N74" s="219">
        <f ca="1">IF(I74="","",NETWORKDAYS(Curva!$M$2,M74,FERIADOS!$A$2:$A$831)-1)</f>
        <v>48</v>
      </c>
      <c r="O74" s="423">
        <f ca="1">IF(C74&lt;&gt;"",IF(ISERROR((100000/E74)^(252/N74)-1),Curva!$B$2,((100000/E74)^(252/N74)-1)),"")</f>
        <v>7.7700148642769529E-2</v>
      </c>
      <c r="P74" s="219" t="str">
        <f>IF(OR(G74=1,G74=2),dadosexternosBMF_1!B74,"")</f>
        <v/>
      </c>
      <c r="Q74" s="219" t="str">
        <f>IF(OR(G74=1,G74=2),dadosexternosBMF_1!D74,"")</f>
        <v/>
      </c>
      <c r="R74" s="222">
        <v>17</v>
      </c>
      <c r="S74" s="222" t="s">
        <v>248</v>
      </c>
      <c r="T74" s="219">
        <f ca="1">IF(S74="","",NETWORKDAYS(Curva!$M$2,Y74,FERIADOS!$A$2:$A$831)-1)</f>
        <v>507</v>
      </c>
      <c r="U74" s="425">
        <f ca="1">IF(ISERROR(_xll.Spline($N$70:$N$108,$O$70:$O$108,T74)),VLOOKUP(S74,$I$1:$O$1100,7,FALSE),_xll.Spline($N$70:$N$108,$O$70:$O$108,T74))</f>
        <v>7.8999977333870541E-2</v>
      </c>
      <c r="V74" s="426">
        <f>IF(S74="","",VLOOKUP(LEFT(RIGHT(S74,3),1),dadosexternosBMF_1!$L$2:$M$13,2,FALSE))</f>
        <v>10</v>
      </c>
      <c r="W74" s="426">
        <f t="shared" si="6"/>
        <v>2019</v>
      </c>
      <c r="X74" s="422">
        <f t="shared" si="7"/>
        <v>43739</v>
      </c>
      <c r="Y74" s="422">
        <f>IF(S74="","",WORKDAY(X74-1,1,FERIADOS!$A$2:$A$8310))</f>
        <v>43739</v>
      </c>
      <c r="Z74" s="427">
        <f t="shared" ca="1" si="15"/>
        <v>507</v>
      </c>
      <c r="AA74" s="707">
        <f t="shared" ca="1" si="16"/>
        <v>7.8999977333870541E-2</v>
      </c>
      <c r="AB74" s="160" t="str">
        <f t="shared" si="8"/>
        <v>=BC|Cot!DI1V19.ULT</v>
      </c>
      <c r="AC74" s="160" t="str">
        <f t="shared" si="9"/>
        <v>=BC|Cot!DI1V19.OCP</v>
      </c>
      <c r="AD74" s="160" t="str">
        <f t="shared" si="10"/>
        <v>=BC|Cot!DI1V19.OVD</v>
      </c>
      <c r="AE74" s="161" t="str">
        <f t="shared" si="11"/>
        <v>=BC|Cot!DI1V19.FEC</v>
      </c>
      <c r="AF74" s="161" t="str">
        <f t="shared" si="12"/>
        <v>=BC|Cot!DI1V19.AJU</v>
      </c>
      <c r="AG74" s="161" t="str">
        <f t="shared" si="13"/>
        <v>=BC|Cot!DI1V19.HOR</v>
      </c>
      <c r="AH74" s="219" t="str">
        <f t="shared" si="14"/>
        <v>DI1V19</v>
      </c>
    </row>
    <row r="75" spans="1:34" ht="22.5" thickBot="1" x14ac:dyDescent="0.25">
      <c r="A75" s="222">
        <f t="shared" si="21"/>
        <v>4</v>
      </c>
      <c r="B75" s="222" t="str">
        <f>IF(dadosexternosBMF_1!A75="DI1 - DI de 1 dia","DI1 - DI de 1 dia","")</f>
        <v/>
      </c>
      <c r="C75" s="222" t="str">
        <f>IF(dadosexternosBMF_1!A75="DOL - Dólar comercial","",IF(C74&lt;&gt;"",dadosexternosBMF_1!B75,IF(dadosexternosBMF_1!A75="DI1 - DI de 1 dia",dadosexternosBMF_1!B75,"")))</f>
        <v>F18</v>
      </c>
      <c r="D75" s="222">
        <f>IF(C75&lt;&gt;"",dadosexternosBMF_1!C75,"")</f>
        <v>98049.73</v>
      </c>
      <c r="E75" s="222">
        <f>IF(C75&lt;&gt;"",dadosexternosBMF_1!D75,"")</f>
        <v>98051.41</v>
      </c>
      <c r="G75" s="219" t="str">
        <f t="shared" si="22"/>
        <v/>
      </c>
      <c r="H75" s="219">
        <f t="shared" si="17"/>
        <v>4</v>
      </c>
      <c r="I75" s="219" t="str">
        <f t="shared" si="18"/>
        <v>DI1F18</v>
      </c>
      <c r="J75" s="219">
        <f>IF(I75="","",VLOOKUP(LEFT(C75,1),dadosexternosBMF_1!$L$2:$M$13,2,FALSE))</f>
        <v>1</v>
      </c>
      <c r="K75" s="219">
        <f t="shared" si="19"/>
        <v>2018</v>
      </c>
      <c r="L75" s="422">
        <f t="shared" si="20"/>
        <v>43101</v>
      </c>
      <c r="M75" s="422">
        <f>IF(I75="","",WORKDAY(L75-1,1,FERIADOS!$A$2:$A$831))</f>
        <v>43102</v>
      </c>
      <c r="N75" s="219">
        <f ca="1">IF(I75="","",NETWORKDAYS(Curva!$M$2,M75,FERIADOS!$A$2:$A$831)-1)</f>
        <v>68</v>
      </c>
      <c r="O75" s="423">
        <f ca="1">IF(C75&lt;&gt;"",IF(ISERROR((100000/E75)^(252/N75)-1),Curva!$B$2,((100000/E75)^(252/N75)-1)),"")</f>
        <v>7.5650172781308589E-2</v>
      </c>
      <c r="P75" s="219" t="str">
        <f>IF(OR(G75=1,G75=2),dadosexternosBMF_1!B75,"")</f>
        <v/>
      </c>
      <c r="Q75" s="219" t="str">
        <f>IF(OR(G75=1,G75=2),dadosexternosBMF_1!D75,"")</f>
        <v/>
      </c>
      <c r="R75" s="222">
        <v>18</v>
      </c>
      <c r="S75" s="222" t="s">
        <v>173</v>
      </c>
      <c r="T75" s="219">
        <f ca="1">IF(S75="","",NETWORKDAYS(Curva!$M$2,Y75,FERIADOS!$A$2:$A$831)-1)</f>
        <v>571</v>
      </c>
      <c r="U75" s="425">
        <f ca="1">IF(ISERROR(_xll.Spline($N$70:$N$108,$O$70:$O$108,T75)),VLOOKUP(S75,$I$1:$O$1100,7,FALSE),_xll.Spline($N$70:$N$108,$O$70:$O$108,T75))</f>
        <v>8.0499971822441285E-2</v>
      </c>
      <c r="V75" s="426">
        <f>IF(S75="","",VLOOKUP(LEFT(RIGHT(S75,3),1),dadosexternosBMF_1!$L$2:$M$13,2,FALSE))</f>
        <v>1</v>
      </c>
      <c r="W75" s="426">
        <f t="shared" si="6"/>
        <v>2020</v>
      </c>
      <c r="X75" s="422">
        <f t="shared" si="7"/>
        <v>43831</v>
      </c>
      <c r="Y75" s="422">
        <f>IF(S75="","",WORKDAY(X75-1,1,FERIADOS!$A$2:$A$8310))</f>
        <v>43832</v>
      </c>
      <c r="Z75" s="427">
        <f t="shared" ca="1" si="15"/>
        <v>571</v>
      </c>
      <c r="AA75" s="707">
        <f t="shared" ca="1" si="16"/>
        <v>8.0499971822441285E-2</v>
      </c>
      <c r="AB75" s="160" t="str">
        <f t="shared" si="8"/>
        <v>=BC|Cot!DI1F20.ULT</v>
      </c>
      <c r="AC75" s="160" t="str">
        <f t="shared" si="9"/>
        <v>=BC|Cot!DI1F20.OCP</v>
      </c>
      <c r="AD75" s="160" t="str">
        <f t="shared" si="10"/>
        <v>=BC|Cot!DI1F20.OVD</v>
      </c>
      <c r="AE75" s="161" t="str">
        <f t="shared" si="11"/>
        <v>=BC|Cot!DI1F20.FEC</v>
      </c>
      <c r="AF75" s="161" t="str">
        <f t="shared" si="12"/>
        <v>=BC|Cot!DI1F20.AJU</v>
      </c>
      <c r="AG75" s="161" t="str">
        <f t="shared" si="13"/>
        <v>=BC|Cot!DI1F20.HOR</v>
      </c>
      <c r="AH75" s="219" t="str">
        <f t="shared" si="14"/>
        <v>DI1F20</v>
      </c>
    </row>
    <row r="76" spans="1:34" ht="22.5" thickBot="1" x14ac:dyDescent="0.25">
      <c r="A76" s="222">
        <f t="shared" si="21"/>
        <v>5</v>
      </c>
      <c r="B76" s="222" t="str">
        <f>IF(dadosexternosBMF_1!A76="DI1 - DI de 1 dia","DI1 - DI de 1 dia","")</f>
        <v/>
      </c>
      <c r="C76" s="222" t="str">
        <f>IF(dadosexternosBMF_1!A76="DOL - Dólar comercial","",IF(C75&lt;&gt;"",dadosexternosBMF_1!B76,IF(dadosexternosBMF_1!A76="DI1 - DI de 1 dia",dadosexternosBMF_1!B76,"")))</f>
        <v>G18</v>
      </c>
      <c r="D76" s="222">
        <f>IF(C76&lt;&gt;"",dadosexternosBMF_1!C76,"")</f>
        <v>97473.11</v>
      </c>
      <c r="E76" s="222">
        <f>IF(C76&lt;&gt;"",dadosexternosBMF_1!D76,"")</f>
        <v>97476.1</v>
      </c>
      <c r="G76" s="219" t="str">
        <f t="shared" si="22"/>
        <v/>
      </c>
      <c r="H76" s="219">
        <f t="shared" si="17"/>
        <v>5</v>
      </c>
      <c r="I76" s="219" t="str">
        <f t="shared" si="18"/>
        <v>DI1G18</v>
      </c>
      <c r="J76" s="219">
        <f>IF(I76="","",VLOOKUP(LEFT(C76,1),dadosexternosBMF_1!$L$2:$M$13,2,FALSE))</f>
        <v>2</v>
      </c>
      <c r="K76" s="219">
        <f t="shared" si="19"/>
        <v>2018</v>
      </c>
      <c r="L76" s="422">
        <f t="shared" si="20"/>
        <v>43132</v>
      </c>
      <c r="M76" s="422">
        <f>IF(I76="","",WORKDAY(L76-1,1,FERIADOS!$A$2:$A$831))</f>
        <v>43132</v>
      </c>
      <c r="N76" s="219">
        <f ca="1">IF(I76="","",NETWORKDAYS(Curva!$M$2,M76,FERIADOS!$A$2:$A$831)-1)</f>
        <v>90</v>
      </c>
      <c r="O76" s="423">
        <f ca="1">IF(C76&lt;&gt;"",IF(ISERROR((100000/E76)^(252/N76)-1),Curva!$B$2,((100000/E76)^(252/N76)-1)),"")</f>
        <v>7.4200114915634163E-2</v>
      </c>
      <c r="P76" s="219" t="str">
        <f>IF(OR(G76=1,G76=2),dadosexternosBMF_1!B76,"")</f>
        <v/>
      </c>
      <c r="Q76" s="219" t="str">
        <f>IF(OR(G76=1,G76=2),dadosexternosBMF_1!D76,"")</f>
        <v/>
      </c>
      <c r="R76" s="222">
        <v>19</v>
      </c>
      <c r="S76" s="222" t="s">
        <v>261</v>
      </c>
      <c r="T76" s="219">
        <f ca="1">IF(S76="","",NETWORKDAYS(Curva!$M$2,Y76,FERIADOS!$A$2:$A$831)-1)</f>
        <v>633</v>
      </c>
      <c r="U76" s="425">
        <f ca="1">IF(ISERROR(_xll.Spline($N$70:$N$108,$O$70:$O$108,T76)),VLOOKUP(S76,$I$1:$O$1100,7,FALSE),_xll.Spline($N$70:$N$108,$O$70:$O$108,T76))</f>
        <v>8.2300000875942247E-2</v>
      </c>
      <c r="V76" s="426">
        <f>IF(S76="","",VLOOKUP(LEFT(RIGHT(S76,3),1),dadosexternosBMF_1!$L$2:$M$13,2,FALSE))</f>
        <v>4</v>
      </c>
      <c r="W76" s="426">
        <f t="shared" si="6"/>
        <v>2020</v>
      </c>
      <c r="X76" s="422">
        <f t="shared" si="7"/>
        <v>43922</v>
      </c>
      <c r="Y76" s="422">
        <f>IF(S76="","",WORKDAY(X76-1,1,FERIADOS!$A$2:$A$8310))</f>
        <v>43922</v>
      </c>
      <c r="Z76" s="427">
        <f t="shared" ca="1" si="15"/>
        <v>633</v>
      </c>
      <c r="AA76" s="707">
        <f t="shared" ca="1" si="16"/>
        <v>8.2300000875942247E-2</v>
      </c>
      <c r="AB76" s="160" t="str">
        <f t="shared" si="8"/>
        <v>=BC|Cot!DI1J20.ULT</v>
      </c>
      <c r="AC76" s="160" t="str">
        <f t="shared" si="9"/>
        <v>=BC|Cot!DI1J20.OCP</v>
      </c>
      <c r="AD76" s="160" t="str">
        <f t="shared" si="10"/>
        <v>=BC|Cot!DI1J20.OVD</v>
      </c>
      <c r="AE76" s="161" t="str">
        <f t="shared" si="11"/>
        <v>=BC|Cot!DI1J20.FEC</v>
      </c>
      <c r="AF76" s="161" t="str">
        <f t="shared" si="12"/>
        <v>=BC|Cot!DI1J20.AJU</v>
      </c>
      <c r="AG76" s="161" t="str">
        <f t="shared" si="13"/>
        <v>=BC|Cot!DI1J20.HOR</v>
      </c>
      <c r="AH76" s="219" t="str">
        <f t="shared" si="14"/>
        <v>DI1J20</v>
      </c>
    </row>
    <row r="77" spans="1:34" ht="22.5" thickBot="1" x14ac:dyDescent="0.25">
      <c r="A77" s="222">
        <f t="shared" si="21"/>
        <v>6</v>
      </c>
      <c r="B77" s="222" t="str">
        <f>IF(dadosexternosBMF_1!A77="DI1 - DI de 1 dia","DI1 - DI de 1 dia","")</f>
        <v/>
      </c>
      <c r="C77" s="222" t="str">
        <f>IF(dadosexternosBMF_1!A77="DOL - Dólar comercial","",IF(C76&lt;&gt;"",dadosexternosBMF_1!B77,IF(dadosexternosBMF_1!A77="DI1 - DI de 1 dia",dadosexternosBMF_1!B77,"")))</f>
        <v>H18</v>
      </c>
      <c r="D77" s="222">
        <f>IF(C77&lt;&gt;"",dadosexternosBMF_1!C77,"")</f>
        <v>97003.85</v>
      </c>
      <c r="E77" s="222">
        <f>IF(C77&lt;&gt;"",dadosexternosBMF_1!D77,"")</f>
        <v>97010.76</v>
      </c>
      <c r="G77" s="219" t="str">
        <f t="shared" si="22"/>
        <v/>
      </c>
      <c r="H77" s="219">
        <f t="shared" si="17"/>
        <v>6</v>
      </c>
      <c r="I77" s="219" t="str">
        <f t="shared" si="18"/>
        <v>DI1H18</v>
      </c>
      <c r="J77" s="219">
        <f>IF(I77="","",VLOOKUP(LEFT(C77,1),dadosexternosBMF_1!$L$2:$M$13,2,FALSE))</f>
        <v>3</v>
      </c>
      <c r="K77" s="219">
        <f t="shared" si="19"/>
        <v>2018</v>
      </c>
      <c r="L77" s="422">
        <f t="shared" si="20"/>
        <v>43160</v>
      </c>
      <c r="M77" s="422">
        <f>IF(I77="","",WORKDAY(L77-1,1,FERIADOS!$A$2:$A$831))</f>
        <v>43160</v>
      </c>
      <c r="N77" s="219">
        <f ca="1">IF(I77="","",NETWORKDAYS(Curva!$M$2,M77,FERIADOS!$A$2:$A$831)-1)</f>
        <v>108</v>
      </c>
      <c r="O77" s="423">
        <f ca="1">IF(C77&lt;&gt;"",IF(ISERROR((100000/E77)^(252/N77)-1),Curva!$B$2,((100000/E77)^(252/N77)-1)),"")</f>
        <v>7.338012737446542E-2</v>
      </c>
      <c r="P77" s="219" t="str">
        <f>IF(OR(G77=1,G77=2),dadosexternosBMF_1!B77,"")</f>
        <v/>
      </c>
      <c r="Q77" s="219" t="str">
        <f>IF(OR(G77=1,G77=2),dadosexternosBMF_1!D77,"")</f>
        <v/>
      </c>
      <c r="R77" s="222">
        <v>20</v>
      </c>
      <c r="S77" s="222" t="s">
        <v>230</v>
      </c>
      <c r="T77" s="219">
        <f ca="1">IF(S77="","",NETWORKDAYS(Curva!$M$2,Y77,FERIADOS!$A$2:$A$831)-1)</f>
        <v>694</v>
      </c>
      <c r="U77" s="425">
        <f ca="1">IF(ISERROR(_xll.Spline($N$70:$N$108,$O$70:$O$108,T77)),VLOOKUP(S77,$I$1:$O$1100,7,FALSE),_xll.Spline($N$70:$N$108,$O$70:$O$108,T77))</f>
        <v>8.4200023510115241E-2</v>
      </c>
      <c r="V77" s="426">
        <f>IF(S77="","",VLOOKUP(LEFT(RIGHT(S77,3),1),dadosexternosBMF_1!$L$2:$M$13,2,FALSE))</f>
        <v>7</v>
      </c>
      <c r="W77" s="426">
        <f t="shared" si="6"/>
        <v>2020</v>
      </c>
      <c r="X77" s="422">
        <f t="shared" si="7"/>
        <v>44013</v>
      </c>
      <c r="Y77" s="422">
        <f>IF(S77="","",WORKDAY(X77-1,1,FERIADOS!$A$2:$A$8310))</f>
        <v>44013</v>
      </c>
      <c r="Z77" s="427">
        <f t="shared" ca="1" si="15"/>
        <v>694</v>
      </c>
      <c r="AA77" s="707">
        <f t="shared" ca="1" si="16"/>
        <v>8.4200023510115241E-2</v>
      </c>
      <c r="AB77" s="160" t="str">
        <f t="shared" si="8"/>
        <v>=BC|Cot!DI1N20.ULT</v>
      </c>
      <c r="AC77" s="160" t="str">
        <f t="shared" si="9"/>
        <v>=BC|Cot!DI1N20.OCP</v>
      </c>
      <c r="AD77" s="160" t="str">
        <f t="shared" si="10"/>
        <v>=BC|Cot!DI1N20.OVD</v>
      </c>
      <c r="AE77" s="161" t="str">
        <f t="shared" si="11"/>
        <v>=BC|Cot!DI1N20.FEC</v>
      </c>
      <c r="AF77" s="161" t="str">
        <f t="shared" si="12"/>
        <v>=BC|Cot!DI1N20.AJU</v>
      </c>
      <c r="AG77" s="161" t="str">
        <f t="shared" si="13"/>
        <v>=BC|Cot!DI1N20.HOR</v>
      </c>
      <c r="AH77" s="219" t="str">
        <f t="shared" si="14"/>
        <v>DI1N20</v>
      </c>
    </row>
    <row r="78" spans="1:34" ht="22.5" thickBot="1" x14ac:dyDescent="0.25">
      <c r="A78" s="222">
        <f t="shared" si="21"/>
        <v>7</v>
      </c>
      <c r="B78" s="222" t="str">
        <f>IF(dadosexternosBMF_1!A78="DI1 - DI de 1 dia","DI1 - DI de 1 dia","")</f>
        <v/>
      </c>
      <c r="C78" s="222" t="str">
        <f>IF(dadosexternosBMF_1!A78="DOL - Dólar comercial","",IF(C77&lt;&gt;"",dadosexternosBMF_1!B78,IF(dadosexternosBMF_1!A78="DI1 - DI de 1 dia",dadosexternosBMF_1!B78,"")))</f>
        <v>J18</v>
      </c>
      <c r="D78" s="222">
        <f>IF(C78&lt;&gt;"",dadosexternosBMF_1!C78,"")</f>
        <v>96467.4</v>
      </c>
      <c r="E78" s="222">
        <f>IF(C78&lt;&gt;"",dadosexternosBMF_1!D78,"")</f>
        <v>96482.79</v>
      </c>
      <c r="G78" s="219" t="str">
        <f t="shared" si="22"/>
        <v/>
      </c>
      <c r="H78" s="219">
        <f t="shared" si="17"/>
        <v>7</v>
      </c>
      <c r="I78" s="219" t="str">
        <f t="shared" si="18"/>
        <v>DI1J18</v>
      </c>
      <c r="J78" s="219">
        <f>IF(I78="","",VLOOKUP(LEFT(C78,1),dadosexternosBMF_1!$L$2:$M$13,2,FALSE))</f>
        <v>4</v>
      </c>
      <c r="K78" s="219">
        <f t="shared" si="19"/>
        <v>2018</v>
      </c>
      <c r="L78" s="422">
        <f t="shared" si="20"/>
        <v>43191</v>
      </c>
      <c r="M78" s="422">
        <f>IF(I78="","",WORKDAY(L78-1,1,FERIADOS!$A$2:$A$831))</f>
        <v>43192</v>
      </c>
      <c r="N78" s="219">
        <f ca="1">IF(I78="","",NETWORKDAYS(Curva!$M$2,M78,FERIADOS!$A$2:$A$831)-1)</f>
        <v>129</v>
      </c>
      <c r="O78" s="423">
        <f ca="1">IF(C78&lt;&gt;"",IF(ISERROR((100000/E78)^(252/N78)-1),Curva!$B$2,((100000/E78)^(252/N78)-1)),"")</f>
        <v>7.244994273345351E-2</v>
      </c>
      <c r="P78" s="219" t="str">
        <f>IF(OR(G78=1,G78=2),dadosexternosBMF_1!B78,"")</f>
        <v/>
      </c>
      <c r="Q78" s="219" t="str">
        <f>IF(OR(G78=1,G78=2),dadosexternosBMF_1!D78,"")</f>
        <v/>
      </c>
      <c r="R78" s="222">
        <v>21</v>
      </c>
      <c r="S78" s="222" t="s">
        <v>223</v>
      </c>
      <c r="T78" s="219">
        <f ca="1">IF(S78="","",NETWORKDAYS(Curva!$M$2,Y78,FERIADOS!$A$2:$A$831)-1)</f>
        <v>759</v>
      </c>
      <c r="U78" s="425">
        <f ca="1">IF(ISERROR(_xll.Spline($N$70:$N$108,$O$70:$O$108,T78)),VLOOKUP(S78,$I$1:$O$1100,7,FALSE),_xll.Spline($N$70:$N$108,$O$70:$O$108,T78))</f>
        <v>8.5899990156938388E-2</v>
      </c>
      <c r="V78" s="426">
        <f>IF(S78="","",VLOOKUP(LEFT(RIGHT(S78,3),1),dadosexternosBMF_1!$L$2:$M$13,2,FALSE))</f>
        <v>10</v>
      </c>
      <c r="W78" s="426">
        <f t="shared" si="6"/>
        <v>2020</v>
      </c>
      <c r="X78" s="422">
        <f t="shared" si="7"/>
        <v>44105</v>
      </c>
      <c r="Y78" s="422">
        <f>IF(S78="","",WORKDAY(X78-1,1,FERIADOS!$A$2:$A$8310))</f>
        <v>44105</v>
      </c>
      <c r="Z78" s="427">
        <f t="shared" ca="1" si="15"/>
        <v>759</v>
      </c>
      <c r="AA78" s="707">
        <f t="shared" ca="1" si="16"/>
        <v>8.5899990156938388E-2</v>
      </c>
      <c r="AB78" s="160" t="str">
        <f t="shared" si="8"/>
        <v>=BC|Cot!DI1V20.ULT</v>
      </c>
      <c r="AC78" s="160" t="str">
        <f t="shared" si="9"/>
        <v>=BC|Cot!DI1V20.OCP</v>
      </c>
      <c r="AD78" s="160" t="str">
        <f t="shared" si="10"/>
        <v>=BC|Cot!DI1V20.OVD</v>
      </c>
      <c r="AE78" s="161" t="str">
        <f t="shared" si="11"/>
        <v>=BC|Cot!DI1V20.FEC</v>
      </c>
      <c r="AF78" s="161" t="str">
        <f t="shared" si="12"/>
        <v>=BC|Cot!DI1V20.AJU</v>
      </c>
      <c r="AG78" s="161" t="str">
        <f t="shared" si="13"/>
        <v>=BC|Cot!DI1V20.HOR</v>
      </c>
      <c r="AH78" s="219" t="str">
        <f t="shared" si="14"/>
        <v>DI1V20</v>
      </c>
    </row>
    <row r="79" spans="1:34" ht="22.5" thickBot="1" x14ac:dyDescent="0.25">
      <c r="A79" s="222">
        <f t="shared" si="21"/>
        <v>8</v>
      </c>
      <c r="B79" s="222" t="str">
        <f>IF(dadosexternosBMF_1!A79="DI1 - DI de 1 dia","DI1 - DI de 1 dia","")</f>
        <v/>
      </c>
      <c r="C79" s="222" t="str">
        <f>IF(dadosexternosBMF_1!A79="DOL - Dólar comercial","",IF(C78&lt;&gt;"",dadosexternosBMF_1!B79,IF(dadosexternosBMF_1!A79="DI1 - DI de 1 dia",dadosexternosBMF_1!B79,"")))</f>
        <v>K18</v>
      </c>
      <c r="D79" s="222">
        <f>IF(C79&lt;&gt;"",dadosexternosBMF_1!C79,"")</f>
        <v>95927.88</v>
      </c>
      <c r="E79" s="222">
        <f>IF(C79&lt;&gt;"",dadosexternosBMF_1!D79,"")</f>
        <v>95947.07</v>
      </c>
      <c r="G79" s="219" t="str">
        <f t="shared" si="22"/>
        <v/>
      </c>
      <c r="H79" s="219">
        <f t="shared" si="17"/>
        <v>8</v>
      </c>
      <c r="I79" s="219" t="str">
        <f t="shared" si="18"/>
        <v>DI1K18</v>
      </c>
      <c r="J79" s="219">
        <f>IF(I79="","",VLOOKUP(LEFT(C79,1),dadosexternosBMF_1!$L$2:$M$13,2,FALSE))</f>
        <v>5</v>
      </c>
      <c r="K79" s="219">
        <f t="shared" si="19"/>
        <v>2018</v>
      </c>
      <c r="L79" s="422">
        <f t="shared" si="20"/>
        <v>43221</v>
      </c>
      <c r="M79" s="422">
        <f>IF(I79="","",WORKDAY(L79-1,1,FERIADOS!$A$2:$A$831))</f>
        <v>43222</v>
      </c>
      <c r="N79" s="219">
        <f ca="1">IF(I79="","",NETWORKDAYS(Curva!$M$2,M79,FERIADOS!$A$2:$A$831)-1)</f>
        <v>150</v>
      </c>
      <c r="O79" s="423">
        <f ca="1">IF(C79&lt;&gt;"",IF(ISERROR((100000/E79)^(252/N79)-1),Curva!$B$2,((100000/E79)^(252/N79)-1)),"")</f>
        <v>7.198008091580177E-2</v>
      </c>
      <c r="P79" s="219" t="str">
        <f>IF(OR(G79=1,G79=2),dadosexternosBMF_1!B79,"")</f>
        <v/>
      </c>
      <c r="Q79" s="219" t="str">
        <f>IF(OR(G79=1,G79=2),dadosexternosBMF_1!D79,"")</f>
        <v/>
      </c>
      <c r="R79" s="222">
        <v>22</v>
      </c>
      <c r="S79" s="222" t="s">
        <v>174</v>
      </c>
      <c r="T79" s="219">
        <f ca="1">IF(S79="","",NETWORKDAYS(Curva!$M$2,Y79,FERIADOS!$A$2:$A$831)-1)</f>
        <v>822</v>
      </c>
      <c r="U79" s="425">
        <f ca="1">IF(ISERROR(_xll.Spline($N$70:$N$108,$O$70:$O$108,T79)),VLOOKUP(S79,$I$1:$O$1100,7,FALSE),_xll.Spline($N$70:$N$108,$O$70:$O$108,T79))</f>
        <v>8.7200003686345395E-2</v>
      </c>
      <c r="V79" s="426">
        <f>IF(S79="","",VLOOKUP(LEFT(RIGHT(S79,3),1),dadosexternosBMF_1!$L$2:$M$13,2,FALSE))</f>
        <v>1</v>
      </c>
      <c r="W79" s="426">
        <f t="shared" si="6"/>
        <v>2021</v>
      </c>
      <c r="X79" s="422">
        <f t="shared" si="7"/>
        <v>44197</v>
      </c>
      <c r="Y79" s="422">
        <f>IF(S79="","",WORKDAY(X79-1,1,FERIADOS!$A$2:$A$8310))</f>
        <v>44200</v>
      </c>
      <c r="Z79" s="427">
        <f t="shared" ca="1" si="15"/>
        <v>822</v>
      </c>
      <c r="AA79" s="707">
        <f t="shared" ca="1" si="16"/>
        <v>8.7200003686345395E-2</v>
      </c>
      <c r="AB79" s="160" t="str">
        <f t="shared" si="8"/>
        <v>=BC|Cot!DI1F21.ULT</v>
      </c>
      <c r="AC79" s="160" t="str">
        <f t="shared" si="9"/>
        <v>=BC|Cot!DI1F21.OCP</v>
      </c>
      <c r="AD79" s="160" t="str">
        <f t="shared" si="10"/>
        <v>=BC|Cot!DI1F21.OVD</v>
      </c>
      <c r="AE79" s="161" t="str">
        <f t="shared" si="11"/>
        <v>=BC|Cot!DI1F21.FEC</v>
      </c>
      <c r="AF79" s="161" t="str">
        <f t="shared" si="12"/>
        <v>=BC|Cot!DI1F21.AJU</v>
      </c>
      <c r="AG79" s="161" t="str">
        <f t="shared" si="13"/>
        <v>=BC|Cot!DI1F21.HOR</v>
      </c>
      <c r="AH79" s="219" t="str">
        <f t="shared" si="14"/>
        <v>DI1F21</v>
      </c>
    </row>
    <row r="80" spans="1:34" ht="22.5" thickBot="1" x14ac:dyDescent="0.25">
      <c r="A80" s="222">
        <f t="shared" si="21"/>
        <v>9</v>
      </c>
      <c r="B80" s="222" t="str">
        <f>IF(dadosexternosBMF_1!A80="DI1 - DI de 1 dia","DI1 - DI de 1 dia","")</f>
        <v/>
      </c>
      <c r="C80" s="222" t="str">
        <f>IF(dadosexternosBMF_1!A80="DOL - Dólar comercial","",IF(C79&lt;&gt;"",dadosexternosBMF_1!B80,IF(dadosexternosBMF_1!A80="DI1 - DI de 1 dia",dadosexternosBMF_1!B80,"")))</f>
        <v>M18</v>
      </c>
      <c r="D80" s="222">
        <f>IF(C80&lt;&gt;"",dadosexternosBMF_1!C80,"")</f>
        <v>95382.87</v>
      </c>
      <c r="E80" s="222">
        <f>IF(C80&lt;&gt;"",dadosexternosBMF_1!D80,"")</f>
        <v>95405.61</v>
      </c>
      <c r="G80" s="219" t="str">
        <f t="shared" si="22"/>
        <v/>
      </c>
      <c r="H80" s="219">
        <f t="shared" si="17"/>
        <v>9</v>
      </c>
      <c r="I80" s="219" t="str">
        <f t="shared" si="18"/>
        <v>DI1M18</v>
      </c>
      <c r="J80" s="219">
        <f>IF(I80="","",VLOOKUP(LEFT(C80,1),dadosexternosBMF_1!$L$2:$M$13,2,FALSE))</f>
        <v>6</v>
      </c>
      <c r="K80" s="219">
        <f t="shared" si="19"/>
        <v>2018</v>
      </c>
      <c r="L80" s="422">
        <f t="shared" si="20"/>
        <v>43252</v>
      </c>
      <c r="M80" s="422">
        <f>IF(I80="","",WORKDAY(L80-1,1,FERIADOS!$A$2:$A$831))</f>
        <v>43252</v>
      </c>
      <c r="N80" s="219">
        <f ca="1">IF(I80="","",NETWORKDAYS(Curva!$M$2,M80,FERIADOS!$A$2:$A$831)-1)</f>
        <v>171</v>
      </c>
      <c r="O80" s="423">
        <f ca="1">IF(C80&lt;&gt;"",IF(ISERROR((100000/E80)^(252/N80)-1),Curva!$B$2,((100000/E80)^(252/N80)-1)),"")</f>
        <v>7.1770014557143602E-2</v>
      </c>
      <c r="P80" s="219" t="str">
        <f>IF(OR(G80=1,G80=2),dadosexternosBMF_1!B80,"")</f>
        <v/>
      </c>
      <c r="Q80" s="219" t="str">
        <f>IF(OR(G80=1,G80=2),dadosexternosBMF_1!D80,"")</f>
        <v/>
      </c>
      <c r="R80" s="222">
        <v>23</v>
      </c>
      <c r="S80" s="222" t="s">
        <v>262</v>
      </c>
      <c r="T80" s="219">
        <f ca="1">IF(S80="","",NETWORKDAYS(Curva!$M$2,Y80,FERIADOS!$A$2:$A$831)-1)</f>
        <v>883</v>
      </c>
      <c r="U80" s="425">
        <f ca="1">IF(ISERROR(_xll.Spline($N$70:$N$108,$O$70:$O$108,T80)),VLOOKUP(S80,$I$1:$O$1100,7,FALSE),_xll.Spline($N$70:$N$108,$O$70:$O$108,T80))</f>
        <v>8.8349987813921338E-2</v>
      </c>
      <c r="V80" s="426">
        <f>IF(S80="","",VLOOKUP(LEFT(RIGHT(S80,3),1),dadosexternosBMF_1!$L$2:$M$13,2,FALSE))</f>
        <v>4</v>
      </c>
      <c r="W80" s="426">
        <f t="shared" si="6"/>
        <v>2021</v>
      </c>
      <c r="X80" s="422">
        <f t="shared" si="7"/>
        <v>44287</v>
      </c>
      <c r="Y80" s="422">
        <f>IF(S80="","",WORKDAY(X80-1,1,FERIADOS!$A$2:$A$8310))</f>
        <v>44287</v>
      </c>
      <c r="Z80" s="427">
        <f t="shared" ca="1" si="15"/>
        <v>883</v>
      </c>
      <c r="AA80" s="707">
        <f t="shared" ca="1" si="16"/>
        <v>8.8349987813921338E-2</v>
      </c>
      <c r="AB80" s="160" t="str">
        <f t="shared" si="8"/>
        <v>=BC|Cot!DI1J21.ULT</v>
      </c>
      <c r="AC80" s="160" t="str">
        <f t="shared" si="9"/>
        <v>=BC|Cot!DI1J21.OCP</v>
      </c>
      <c r="AD80" s="160" t="str">
        <f t="shared" si="10"/>
        <v>=BC|Cot!DI1J21.OVD</v>
      </c>
      <c r="AE80" s="161" t="str">
        <f t="shared" si="11"/>
        <v>=BC|Cot!DI1J21.FEC</v>
      </c>
      <c r="AF80" s="161" t="str">
        <f t="shared" si="12"/>
        <v>=BC|Cot!DI1J21.AJU</v>
      </c>
      <c r="AG80" s="161" t="str">
        <f t="shared" si="13"/>
        <v>=BC|Cot!DI1J21.HOR</v>
      </c>
      <c r="AH80" s="219" t="str">
        <f t="shared" si="14"/>
        <v>DI1J21</v>
      </c>
    </row>
    <row r="81" spans="1:34" ht="22.5" thickBot="1" x14ac:dyDescent="0.25">
      <c r="A81" s="222">
        <f t="shared" si="21"/>
        <v>10</v>
      </c>
      <c r="B81" s="222" t="str">
        <f>IF(dadosexternosBMF_1!A81="DI1 - DI de 1 dia","DI1 - DI de 1 dia","")</f>
        <v/>
      </c>
      <c r="C81" s="222" t="str">
        <f>IF(dadosexternosBMF_1!A81="DOL - Dólar comercial","",IF(C80&lt;&gt;"",dadosexternosBMF_1!B81,IF(dadosexternosBMF_1!A81="DI1 - DI de 1 dia",dadosexternosBMF_1!B81,"")))</f>
        <v>N18</v>
      </c>
      <c r="D81" s="222">
        <f>IF(C81&lt;&gt;"",dadosexternosBMF_1!C81,"")</f>
        <v>94850.69</v>
      </c>
      <c r="E81" s="222">
        <f>IF(C81&lt;&gt;"",dadosexternosBMF_1!D81,"")</f>
        <v>94877.72</v>
      </c>
      <c r="G81" s="219" t="str">
        <f t="shared" si="22"/>
        <v/>
      </c>
      <c r="H81" s="219">
        <f t="shared" si="17"/>
        <v>10</v>
      </c>
      <c r="I81" s="219" t="str">
        <f t="shared" si="18"/>
        <v>DI1N18</v>
      </c>
      <c r="J81" s="219">
        <f>IF(I81="","",VLOOKUP(LEFT(C81,1),dadosexternosBMF_1!$L$2:$M$13,2,FALSE))</f>
        <v>7</v>
      </c>
      <c r="K81" s="219">
        <f t="shared" si="19"/>
        <v>2018</v>
      </c>
      <c r="L81" s="422">
        <f t="shared" si="20"/>
        <v>43282</v>
      </c>
      <c r="M81" s="422">
        <f>IF(I81="","",WORKDAY(L81-1,1,FERIADOS!$A$2:$A$831))</f>
        <v>43283</v>
      </c>
      <c r="N81" s="219">
        <f ca="1">IF(I81="","",NETWORKDAYS(Curva!$M$2,M81,FERIADOS!$A$2:$A$831)-1)</f>
        <v>192</v>
      </c>
      <c r="O81" s="423">
        <f ca="1">IF(C81&lt;&gt;"",IF(ISERROR((100000/E81)^(252/N81)-1),Curva!$B$2,((100000/E81)^(252/N81)-1)),"")</f>
        <v>7.1450064850925976E-2</v>
      </c>
      <c r="P81" s="219" t="str">
        <f>IF(OR(G81=1,G81=2),dadosexternosBMF_1!B81,"")</f>
        <v/>
      </c>
      <c r="Q81" s="219" t="str">
        <f>IF(OR(G81=1,G81=2),dadosexternosBMF_1!D81,"")</f>
        <v/>
      </c>
      <c r="R81" s="222">
        <v>24</v>
      </c>
      <c r="S81" s="222" t="s">
        <v>249</v>
      </c>
      <c r="T81" s="219">
        <f ca="1">IF(S81="","",NETWORKDAYS(Curva!$M$2,Y81,FERIADOS!$A$2:$A$831)-1)</f>
        <v>945</v>
      </c>
      <c r="U81" s="425">
        <f ca="1">IF(ISERROR(_xll.Spline($N$70:$N$108,$O$70:$O$108,T81)),VLOOKUP(S81,$I$1:$O$1100,7,FALSE),_xll.Spline($N$70:$N$108,$O$70:$O$108,T81))</f>
        <v>8.9700003399198813E-2</v>
      </c>
      <c r="V81" s="426">
        <f>IF(S81="","",VLOOKUP(LEFT(RIGHT(S81,3),1),dadosexternosBMF_1!$L$2:$M$13,2,FALSE))</f>
        <v>7</v>
      </c>
      <c r="W81" s="426">
        <f t="shared" si="6"/>
        <v>2021</v>
      </c>
      <c r="X81" s="422">
        <f t="shared" si="7"/>
        <v>44378</v>
      </c>
      <c r="Y81" s="422">
        <f>IF(S81="","",WORKDAY(X81-1,1,FERIADOS!$A$2:$A$8310))</f>
        <v>44378</v>
      </c>
      <c r="Z81" s="427">
        <f t="shared" ca="1" si="15"/>
        <v>945</v>
      </c>
      <c r="AA81" s="707">
        <f t="shared" ca="1" si="16"/>
        <v>8.9700003399198813E-2</v>
      </c>
      <c r="AB81" s="160" t="str">
        <f t="shared" si="8"/>
        <v>=BC|Cot!DI1N21.ULT</v>
      </c>
      <c r="AC81" s="160" t="str">
        <f t="shared" si="9"/>
        <v>=BC|Cot!DI1N21.OCP</v>
      </c>
      <c r="AD81" s="160" t="str">
        <f t="shared" si="10"/>
        <v>=BC|Cot!DI1N21.OVD</v>
      </c>
      <c r="AE81" s="161" t="str">
        <f t="shared" si="11"/>
        <v>=BC|Cot!DI1N21.FEC</v>
      </c>
      <c r="AF81" s="161" t="str">
        <f t="shared" si="12"/>
        <v>=BC|Cot!DI1N21.AJU</v>
      </c>
      <c r="AG81" s="161" t="str">
        <f t="shared" si="13"/>
        <v>=BC|Cot!DI1N21.HOR</v>
      </c>
      <c r="AH81" s="219" t="str">
        <f t="shared" si="14"/>
        <v>DI1N21</v>
      </c>
    </row>
    <row r="82" spans="1:34" ht="22.5" thickBot="1" x14ac:dyDescent="0.25">
      <c r="A82" s="222">
        <f t="shared" si="21"/>
        <v>11</v>
      </c>
      <c r="B82" s="222" t="str">
        <f>IF(dadosexternosBMF_1!A82="DI1 - DI de 1 dia","DI1 - DI de 1 dia","")</f>
        <v/>
      </c>
      <c r="C82" s="222" t="str">
        <f>IF(dadosexternosBMF_1!A82="DOL - Dólar comercial","",IF(C81&lt;&gt;"",dadosexternosBMF_1!B82,IF(dadosexternosBMF_1!A82="DI1 - DI de 1 dia",dadosexternosBMF_1!B82,"")))</f>
        <v>Q18</v>
      </c>
      <c r="D82" s="222">
        <f>IF(C82&lt;&gt;"",dadosexternosBMF_1!C82,"")</f>
        <v>94263.98</v>
      </c>
      <c r="E82" s="222">
        <f>IF(C82&lt;&gt;"",dadosexternosBMF_1!D82,"")</f>
        <v>94300.34</v>
      </c>
      <c r="G82" s="219" t="str">
        <f t="shared" si="22"/>
        <v/>
      </c>
      <c r="H82" s="219">
        <f t="shared" si="17"/>
        <v>11</v>
      </c>
      <c r="I82" s="219" t="str">
        <f t="shared" si="18"/>
        <v>DI1Q18</v>
      </c>
      <c r="J82" s="219">
        <f>IF(I82="","",VLOOKUP(LEFT(C82,1),dadosexternosBMF_1!$L$2:$M$13,2,FALSE))</f>
        <v>8</v>
      </c>
      <c r="K82" s="219">
        <f t="shared" si="19"/>
        <v>2018</v>
      </c>
      <c r="L82" s="422">
        <f t="shared" si="20"/>
        <v>43313</v>
      </c>
      <c r="M82" s="422">
        <f>IF(I82="","",WORKDAY(L82-1,1,FERIADOS!$A$2:$A$831))</f>
        <v>43313</v>
      </c>
      <c r="N82" s="219">
        <f ca="1">IF(I82="","",NETWORKDAYS(Curva!$M$2,M82,FERIADOS!$A$2:$A$831)-1)</f>
        <v>214</v>
      </c>
      <c r="O82" s="423">
        <f ca="1">IF(C82&lt;&gt;"",IF(ISERROR((100000/E82)^(252/N82)-1),Curva!$B$2,((100000/E82)^(252/N82)-1)),"")</f>
        <v>7.1549960115349087E-2</v>
      </c>
      <c r="P82" s="219" t="str">
        <f>IF(OR(G82=1,G82=2),dadosexternosBMF_1!B82,"")</f>
        <v/>
      </c>
      <c r="Q82" s="219" t="str">
        <f>IF(OR(G82=1,G82=2),dadosexternosBMF_1!D82,"")</f>
        <v/>
      </c>
      <c r="R82" s="222">
        <v>25</v>
      </c>
      <c r="S82" s="222" t="s">
        <v>263</v>
      </c>
      <c r="T82" s="219">
        <f ca="1">IF(S82="","",NETWORKDAYS(Curva!$M$2,Y82,FERIADOS!$A$2:$A$831)-1)</f>
        <v>1010</v>
      </c>
      <c r="U82" s="425">
        <f ca="1">IF(ISERROR(_xll.Spline($N$70:$N$108,$O$70:$O$108,T82)),VLOOKUP(S82,$I$1:$O$1100,7,FALSE),_xll.Spline($N$70:$N$108,$O$70:$O$108,T82))</f>
        <v>9.0499996749705547E-2</v>
      </c>
      <c r="V82" s="426">
        <f>IF(S82="","",VLOOKUP(LEFT(RIGHT(S82,3),1),dadosexternosBMF_1!$L$2:$M$13,2,FALSE))</f>
        <v>10</v>
      </c>
      <c r="W82" s="426">
        <f t="shared" si="6"/>
        <v>2021</v>
      </c>
      <c r="X82" s="422">
        <f t="shared" si="7"/>
        <v>44470</v>
      </c>
      <c r="Y82" s="422">
        <f>IF(S82="","",WORKDAY(X82-1,1,FERIADOS!$A$2:$A$8310))</f>
        <v>44470</v>
      </c>
      <c r="Z82" s="427">
        <f t="shared" ca="1" si="15"/>
        <v>1010</v>
      </c>
      <c r="AA82" s="707">
        <f t="shared" ca="1" si="16"/>
        <v>9.0499996749705547E-2</v>
      </c>
      <c r="AB82" s="160" t="str">
        <f t="shared" si="8"/>
        <v>=BC|Cot!DI1V21.ULT</v>
      </c>
      <c r="AC82" s="160" t="str">
        <f t="shared" si="9"/>
        <v>=BC|Cot!DI1V21.OCP</v>
      </c>
      <c r="AD82" s="160" t="str">
        <f t="shared" si="10"/>
        <v>=BC|Cot!DI1V21.OVD</v>
      </c>
      <c r="AE82" s="161" t="str">
        <f t="shared" si="11"/>
        <v>=BC|Cot!DI1V21.FEC</v>
      </c>
      <c r="AF82" s="161" t="str">
        <f t="shared" si="12"/>
        <v>=BC|Cot!DI1V21.AJU</v>
      </c>
      <c r="AG82" s="161" t="str">
        <f t="shared" si="13"/>
        <v>=BC|Cot!DI1V21.HOR</v>
      </c>
      <c r="AH82" s="219" t="str">
        <f t="shared" si="14"/>
        <v>DI1V21</v>
      </c>
    </row>
    <row r="83" spans="1:34" ht="22.5" thickBot="1" x14ac:dyDescent="0.25">
      <c r="A83" s="222">
        <f t="shared" si="21"/>
        <v>12</v>
      </c>
      <c r="B83" s="222" t="str">
        <f>IF(dadosexternosBMF_1!A83="DI1 - DI de 1 dia","DI1 - DI de 1 dia","")</f>
        <v/>
      </c>
      <c r="C83" s="222" t="str">
        <f>IF(dadosexternosBMF_1!A83="DOL - Dólar comercial","",IF(C82&lt;&gt;"",dadosexternosBMF_1!B83,IF(dadosexternosBMF_1!A83="DI1 - DI de 1 dia",dadosexternosBMF_1!B83,"")))</f>
        <v>U18</v>
      </c>
      <c r="D83" s="222">
        <f>IF(C83&lt;&gt;"",dadosexternosBMF_1!C83,"")</f>
        <v>93640.67</v>
      </c>
      <c r="E83" s="222">
        <f>IF(C83&lt;&gt;"",dadosexternosBMF_1!D83,"")</f>
        <v>93688.51</v>
      </c>
      <c r="G83" s="219" t="str">
        <f t="shared" si="22"/>
        <v/>
      </c>
      <c r="H83" s="219">
        <f t="shared" si="17"/>
        <v>12</v>
      </c>
      <c r="I83" s="219" t="str">
        <f t="shared" si="18"/>
        <v>DI1U18</v>
      </c>
      <c r="J83" s="219">
        <f>IF(I83="","",VLOOKUP(LEFT(C83,1),dadosexternosBMF_1!$L$2:$M$13,2,FALSE))</f>
        <v>9</v>
      </c>
      <c r="K83" s="219">
        <f t="shared" si="19"/>
        <v>2018</v>
      </c>
      <c r="L83" s="422">
        <f t="shared" si="20"/>
        <v>43344</v>
      </c>
      <c r="M83" s="422">
        <f>IF(I83="","",WORKDAY(L83-1,1,FERIADOS!$A$2:$A$831))</f>
        <v>43346</v>
      </c>
      <c r="N83" s="219">
        <f ca="1">IF(I83="","",NETWORKDAYS(Curva!$M$2,M83,FERIADOS!$A$2:$A$831)-1)</f>
        <v>237</v>
      </c>
      <c r="O83" s="423">
        <f ca="1">IF(C83&lt;&gt;"",IF(ISERROR((100000/E83)^(252/N83)-1),Curva!$B$2,((100000/E83)^(252/N83)-1)),"")</f>
        <v>7.1780058240594302E-2</v>
      </c>
      <c r="P83" s="219" t="str">
        <f>IF(OR(G83=1,G83=2),dadosexternosBMF_1!B83,"")</f>
        <v/>
      </c>
      <c r="Q83" s="219" t="str">
        <f>IF(OR(G83=1,G83=2),dadosexternosBMF_1!D83,"")</f>
        <v/>
      </c>
      <c r="R83" s="222">
        <v>26</v>
      </c>
      <c r="S83" s="222" t="s">
        <v>52</v>
      </c>
      <c r="T83" s="219">
        <f ca="1">IF(S83="","",NETWORKDAYS(Curva!$M$2,Y83,FERIADOS!$A$2:$A$831)-1)</f>
        <v>1073</v>
      </c>
      <c r="U83" s="425">
        <f ca="1">IF(ISERROR(_xll.Spline($N$70:$N$108,$O$70:$O$108,T83)),VLOOKUP(S83,$I$1:$O$1100,7,FALSE),_xll.Spline($N$70:$N$108,$O$70:$O$108,T83))</f>
        <v>9.1400005347353153E-2</v>
      </c>
      <c r="V83" s="426">
        <f>IF(S83="","",VLOOKUP(LEFT(RIGHT(S83,3),1),dadosexternosBMF_1!$L$2:$M$13,2,FALSE))</f>
        <v>1</v>
      </c>
      <c r="W83" s="426">
        <f t="shared" si="6"/>
        <v>2022</v>
      </c>
      <c r="X83" s="422">
        <f t="shared" si="7"/>
        <v>44562</v>
      </c>
      <c r="Y83" s="422">
        <f>IF(S83="","",WORKDAY(X83-1,1,FERIADOS!$A$2:$A$8310))</f>
        <v>44564</v>
      </c>
      <c r="Z83" s="427">
        <f t="shared" ca="1" si="15"/>
        <v>1073</v>
      </c>
      <c r="AA83" s="707">
        <f t="shared" ca="1" si="16"/>
        <v>9.1400005347353153E-2</v>
      </c>
      <c r="AB83" s="160" t="str">
        <f t="shared" si="8"/>
        <v>=BC|Cot!DI1F22.ULT</v>
      </c>
      <c r="AC83" s="160" t="str">
        <f t="shared" si="9"/>
        <v>=BC|Cot!DI1F22.OCP</v>
      </c>
      <c r="AD83" s="160" t="str">
        <f t="shared" si="10"/>
        <v>=BC|Cot!DI1F22.OVD</v>
      </c>
      <c r="AE83" s="161" t="str">
        <f t="shared" si="11"/>
        <v>=BC|Cot!DI1F22.FEC</v>
      </c>
      <c r="AF83" s="161" t="str">
        <f t="shared" si="12"/>
        <v>=BC|Cot!DI1F22.AJU</v>
      </c>
      <c r="AG83" s="161" t="str">
        <f t="shared" si="13"/>
        <v>=BC|Cot!DI1F22.HOR</v>
      </c>
      <c r="AH83" s="219" t="str">
        <f t="shared" si="14"/>
        <v>DI1F22</v>
      </c>
    </row>
    <row r="84" spans="1:34" ht="22.5" thickBot="1" x14ac:dyDescent="0.25">
      <c r="A84" s="222">
        <f t="shared" si="21"/>
        <v>13</v>
      </c>
      <c r="B84" s="222" t="str">
        <f>IF(dadosexternosBMF_1!A84="DI1 - DI de 1 dia","DI1 - DI de 1 dia","")</f>
        <v/>
      </c>
      <c r="C84" s="222" t="str">
        <f>IF(dadosexternosBMF_1!A84="DOL - Dólar comercial","",IF(C83&lt;&gt;"",dadosexternosBMF_1!B84,IF(dadosexternosBMF_1!A84="DI1 - DI de 1 dia",dadosexternosBMF_1!B84,"")))</f>
        <v>V18</v>
      </c>
      <c r="D84" s="222">
        <f>IF(C84&lt;&gt;"",dadosexternosBMF_1!C84,"")</f>
        <v>93148.46</v>
      </c>
      <c r="E84" s="222">
        <f>IF(C84&lt;&gt;"",dadosexternosBMF_1!D84,"")</f>
        <v>93207.19</v>
      </c>
      <c r="G84" s="219" t="str">
        <f t="shared" si="22"/>
        <v/>
      </c>
      <c r="H84" s="219">
        <f t="shared" si="17"/>
        <v>13</v>
      </c>
      <c r="I84" s="219" t="str">
        <f t="shared" si="18"/>
        <v>DI1V18</v>
      </c>
      <c r="J84" s="219">
        <f>IF(I84="","",VLOOKUP(LEFT(C84,1),dadosexternosBMF_1!$L$2:$M$13,2,FALSE))</f>
        <v>10</v>
      </c>
      <c r="K84" s="219">
        <f t="shared" si="19"/>
        <v>2018</v>
      </c>
      <c r="L84" s="422">
        <f t="shared" si="20"/>
        <v>43374</v>
      </c>
      <c r="M84" s="422">
        <f>IF(I84="","",WORKDAY(L84-1,1,FERIADOS!$A$2:$A$831))</f>
        <v>43374</v>
      </c>
      <c r="N84" s="219">
        <f ca="1">IF(I84="","",NETWORKDAYS(Curva!$M$2,M84,FERIADOS!$A$2:$A$831)-1)</f>
        <v>256</v>
      </c>
      <c r="O84" s="423">
        <f ca="1">IF(C84&lt;&gt;"",IF(ISERROR((100000/E84)^(252/N84)-1),Curva!$B$2,((100000/E84)^(252/N84)-1)),"")</f>
        <v>7.1700003179191674E-2</v>
      </c>
      <c r="P84" s="219" t="str">
        <f>IF(OR(G84=1,G84=2),dadosexternosBMF_1!B84,"")</f>
        <v/>
      </c>
      <c r="Q84" s="219" t="str">
        <f>IF(OR(G84=1,G84=2),dadosexternosBMF_1!D84,"")</f>
        <v/>
      </c>
      <c r="R84" s="222">
        <v>27</v>
      </c>
      <c r="S84" s="222" t="s">
        <v>471</v>
      </c>
      <c r="T84" s="219">
        <f ca="1">IF(S84="","",NETWORKDAYS(Curva!$M$2,Y84,FERIADOS!$A$2:$A$831)-1)</f>
        <v>1135</v>
      </c>
      <c r="U84" s="425">
        <f ca="1">IF(ISERROR(_xll.Spline($N$70:$N$108,$O$70:$O$108,T84)),VLOOKUP(S84,$I$1:$O$1100,7,FALSE),_xll.Spline($N$70:$N$108,$O$70:$O$108,T84))</f>
        <v>9.2010004767375531E-2</v>
      </c>
      <c r="V84" s="426">
        <f>IF(S84="","",VLOOKUP(LEFT(RIGHT(S84,3),1),dadosexternosBMF_1!$L$2:$M$13,2,FALSE))</f>
        <v>4</v>
      </c>
      <c r="W84" s="426">
        <f t="shared" si="6"/>
        <v>2022</v>
      </c>
      <c r="X84" s="422">
        <f t="shared" si="7"/>
        <v>44652</v>
      </c>
      <c r="Y84" s="422">
        <f>IF(S84="","",WORKDAY(X84-1,1,FERIADOS!$A$2:$A$8310))</f>
        <v>44652</v>
      </c>
      <c r="Z84" s="427">
        <f t="shared" ca="1" si="15"/>
        <v>1135</v>
      </c>
      <c r="AA84" s="707">
        <f t="shared" ca="1" si="16"/>
        <v>9.2010004767375531E-2</v>
      </c>
      <c r="AB84" s="160" t="str">
        <f t="shared" si="8"/>
        <v>=BC|Cot!DI1J22.ULT</v>
      </c>
      <c r="AC84" s="160" t="str">
        <f t="shared" si="9"/>
        <v>=BC|Cot!DI1J22.OCP</v>
      </c>
      <c r="AD84" s="160" t="str">
        <f t="shared" si="10"/>
        <v>=BC|Cot!DI1J22.OVD</v>
      </c>
      <c r="AE84" s="161" t="str">
        <f t="shared" si="11"/>
        <v>=BC|Cot!DI1J22.FEC</v>
      </c>
      <c r="AF84" s="161" t="str">
        <f t="shared" si="12"/>
        <v>=BC|Cot!DI1J22.AJU</v>
      </c>
      <c r="AG84" s="161" t="str">
        <f t="shared" si="13"/>
        <v>=BC|Cot!DI1J22.HOR</v>
      </c>
      <c r="AH84" s="219" t="str">
        <f t="shared" si="14"/>
        <v>DI1J22</v>
      </c>
    </row>
    <row r="85" spans="1:34" ht="22.5" thickBot="1" x14ac:dyDescent="0.25">
      <c r="A85" s="222">
        <f t="shared" si="21"/>
        <v>14</v>
      </c>
      <c r="B85" s="222" t="str">
        <f>IF(dadosexternosBMF_1!A85="DI1 - DI de 1 dia","DI1 - DI de 1 dia","")</f>
        <v/>
      </c>
      <c r="C85" s="222" t="str">
        <f>IF(dadosexternosBMF_1!A85="DOL - Dólar comercial","",IF(C84&lt;&gt;"",dadosexternosBMF_1!B85,IF(dadosexternosBMF_1!A85="DI1 - DI de 1 dia",dadosexternosBMF_1!B85,"")))</f>
        <v>F19</v>
      </c>
      <c r="D85" s="222">
        <f>IF(C85&lt;&gt;"",dadosexternosBMF_1!C85,"")</f>
        <v>91419.94</v>
      </c>
      <c r="E85" s="222">
        <f>IF(C85&lt;&gt;"",dadosexternosBMF_1!D85,"")</f>
        <v>91492.62</v>
      </c>
      <c r="G85" s="219" t="str">
        <f t="shared" si="22"/>
        <v/>
      </c>
      <c r="H85" s="219">
        <f t="shared" si="17"/>
        <v>14</v>
      </c>
      <c r="I85" s="219" t="str">
        <f t="shared" si="18"/>
        <v>DI1F19</v>
      </c>
      <c r="J85" s="219">
        <f>IF(I85="","",VLOOKUP(LEFT(C85,1),dadosexternosBMF_1!$L$2:$M$13,2,FALSE))</f>
        <v>1</v>
      </c>
      <c r="K85" s="219">
        <f t="shared" si="19"/>
        <v>2019</v>
      </c>
      <c r="L85" s="422">
        <f t="shared" si="20"/>
        <v>43466</v>
      </c>
      <c r="M85" s="422">
        <f>IF(I85="","",WORKDAY(L85-1,1,FERIADOS!$A$2:$A$831))</f>
        <v>43467</v>
      </c>
      <c r="N85" s="219">
        <f ca="1">IF(I85="","",NETWORKDAYS(Curva!$M$2,M85,FERIADOS!$A$2:$A$831)-1)</f>
        <v>318</v>
      </c>
      <c r="O85" s="423">
        <f ca="1">IF(C85&lt;&gt;"",IF(ISERROR((100000/E85)^(252/N85)-1),Curva!$B$2,((100000/E85)^(252/N85)-1)),"")</f>
        <v>7.3000001617747223E-2</v>
      </c>
      <c r="P85" s="219" t="str">
        <f>IF(OR(G85=1,G85=2),dadosexternosBMF_1!B85,"")</f>
        <v/>
      </c>
      <c r="Q85" s="219" t="str">
        <f>IF(OR(G85=1,G85=2),dadosexternosBMF_1!D85,"")</f>
        <v/>
      </c>
      <c r="R85" s="222">
        <v>28</v>
      </c>
      <c r="S85" s="222" t="s">
        <v>264</v>
      </c>
      <c r="T85" s="219">
        <f ca="1">IF(S85="","",NETWORKDAYS(Curva!$M$2,Y85,FERIADOS!$A$2:$A$831)-1)</f>
        <v>1197</v>
      </c>
      <c r="U85" s="425">
        <f ca="1">IF(ISERROR(_xll.Spline($N$70:$N$108,$O$70:$O$108,T85)),VLOOKUP(S85,$I$1:$O$1100,7,FALSE),_xll.Spline($N$70:$N$108,$O$70:$O$108,T85))</f>
        <v>9.2650017499465109E-2</v>
      </c>
      <c r="V85" s="426">
        <f>IF(S85="","",VLOOKUP(LEFT(RIGHT(S85,3),1),dadosexternosBMF_1!$L$2:$M$13,2,FALSE))</f>
        <v>7</v>
      </c>
      <c r="W85" s="426">
        <f t="shared" si="6"/>
        <v>2022</v>
      </c>
      <c r="X85" s="422">
        <f t="shared" si="7"/>
        <v>44743</v>
      </c>
      <c r="Y85" s="422">
        <f>IF(S85="","",WORKDAY(X85-1,1,FERIADOS!$A$2:$A$8310))</f>
        <v>44743</v>
      </c>
      <c r="Z85" s="427">
        <f t="shared" ca="1" si="15"/>
        <v>1197</v>
      </c>
      <c r="AA85" s="707">
        <f t="shared" ca="1" si="16"/>
        <v>9.2650017499465109E-2</v>
      </c>
      <c r="AB85" s="160" t="str">
        <f t="shared" si="8"/>
        <v>=BC|Cot!DI1N22.ULT</v>
      </c>
      <c r="AC85" s="160" t="str">
        <f t="shared" si="9"/>
        <v>=BC|Cot!DI1N22.OCP</v>
      </c>
      <c r="AD85" s="160" t="str">
        <f t="shared" si="10"/>
        <v>=BC|Cot!DI1N22.OVD</v>
      </c>
      <c r="AE85" s="161" t="str">
        <f t="shared" si="11"/>
        <v>=BC|Cot!DI1N22.FEC</v>
      </c>
      <c r="AF85" s="161" t="str">
        <f t="shared" si="12"/>
        <v>=BC|Cot!DI1N22.AJU</v>
      </c>
      <c r="AG85" s="161" t="str">
        <f t="shared" si="13"/>
        <v>=BC|Cot!DI1N22.HOR</v>
      </c>
      <c r="AH85" s="219" t="str">
        <f t="shared" si="14"/>
        <v>DI1N22</v>
      </c>
    </row>
    <row r="86" spans="1:34" ht="22.5" thickBot="1" x14ac:dyDescent="0.25">
      <c r="A86" s="222">
        <f t="shared" si="21"/>
        <v>15</v>
      </c>
      <c r="B86" s="222" t="str">
        <f>IF(dadosexternosBMF_1!A86="DI1 - DI de 1 dia","DI1 - DI de 1 dia","")</f>
        <v/>
      </c>
      <c r="C86" s="222" t="str">
        <f>IF(dadosexternosBMF_1!A86="DOL - Dólar comercial","",IF(C85&lt;&gt;"",dadosexternosBMF_1!B86,IF(dadosexternosBMF_1!A86="DI1 - DI de 1 dia",dadosexternosBMF_1!B86,"")))</f>
        <v>J19</v>
      </c>
      <c r="D86" s="222">
        <f>IF(C86&lt;&gt;"",dadosexternosBMF_1!C86,"")</f>
        <v>89633.08</v>
      </c>
      <c r="E86" s="222">
        <f>IF(C86&lt;&gt;"",dadosexternosBMF_1!D86,"")</f>
        <v>89731.51</v>
      </c>
      <c r="G86" s="219" t="str">
        <f t="shared" si="22"/>
        <v/>
      </c>
      <c r="H86" s="219">
        <f t="shared" si="17"/>
        <v>15</v>
      </c>
      <c r="I86" s="219" t="str">
        <f t="shared" si="18"/>
        <v>DI1J19</v>
      </c>
      <c r="J86" s="219">
        <f>IF(I86="","",VLOOKUP(LEFT(C86,1),dadosexternosBMF_1!$L$2:$M$13,2,FALSE))</f>
        <v>4</v>
      </c>
      <c r="K86" s="219">
        <f t="shared" si="19"/>
        <v>2019</v>
      </c>
      <c r="L86" s="422">
        <f t="shared" si="20"/>
        <v>43556</v>
      </c>
      <c r="M86" s="422">
        <f>IF(I86="","",WORKDAY(L86-1,1,FERIADOS!$A$2:$A$831))</f>
        <v>43556</v>
      </c>
      <c r="N86" s="219">
        <f ca="1">IF(I86="","",NETWORKDAYS(Curva!$M$2,M86,FERIADOS!$A$2:$A$831)-1)</f>
        <v>379</v>
      </c>
      <c r="O86" s="423">
        <f ca="1">IF(C86&lt;&gt;"",IF(ISERROR((100000/E86)^(252/N86)-1),Curva!$B$2,((100000/E86)^(252/N86)-1)),"")</f>
        <v>7.4699991483438533E-2</v>
      </c>
      <c r="P86" s="219" t="str">
        <f>IF(OR(G86=1,G86=2),dadosexternosBMF_1!B86,"")</f>
        <v/>
      </c>
      <c r="Q86" s="219" t="str">
        <f>IF(OR(G86=1,G86=2),dadosexternosBMF_1!D86,"")</f>
        <v/>
      </c>
      <c r="R86" s="222">
        <v>29</v>
      </c>
      <c r="S86" s="222" t="s">
        <v>214</v>
      </c>
      <c r="T86" s="219">
        <f ca="1">IF(S86="","",NETWORKDAYS(Curva!$M$2,Y86,FERIADOS!$A$2:$A$831)-1)</f>
        <v>1324</v>
      </c>
      <c r="U86" s="425">
        <f ca="1">IF(ISERROR(_xll.Spline($N$70:$N$108,$O$70:$O$108,T86)),VLOOKUP(S86,$I$1:$O$1100,7,FALSE),_xll.Spline($N$70:$N$108,$O$70:$O$108,T86))</f>
        <v>9.3700013508272173E-2</v>
      </c>
      <c r="V86" s="426">
        <f>IF(S86="","",VLOOKUP(LEFT(RIGHT(S86,3),1),dadosexternosBMF_1!$L$2:$M$13,2,FALSE))</f>
        <v>1</v>
      </c>
      <c r="W86" s="426">
        <f t="shared" si="6"/>
        <v>2023</v>
      </c>
      <c r="X86" s="422">
        <f t="shared" si="7"/>
        <v>44927</v>
      </c>
      <c r="Y86" s="422">
        <f>IF(S86="","",WORKDAY(X86-1,1,FERIADOS!$A$2:$A$8310))</f>
        <v>44928</v>
      </c>
      <c r="Z86" s="427">
        <f t="shared" ca="1" si="15"/>
        <v>1324</v>
      </c>
      <c r="AA86" s="707">
        <f t="shared" ca="1" si="16"/>
        <v>9.3700013508272173E-2</v>
      </c>
      <c r="AB86" s="160" t="str">
        <f t="shared" si="8"/>
        <v>=BC|Cot!DI1F23.ULT</v>
      </c>
      <c r="AC86" s="160" t="str">
        <f t="shared" si="9"/>
        <v>=BC|Cot!DI1F23.OCP</v>
      </c>
      <c r="AD86" s="160" t="str">
        <f t="shared" si="10"/>
        <v>=BC|Cot!DI1F23.OVD</v>
      </c>
      <c r="AE86" s="161" t="str">
        <f t="shared" si="11"/>
        <v>=BC|Cot!DI1F23.FEC</v>
      </c>
      <c r="AF86" s="161" t="str">
        <f t="shared" si="12"/>
        <v>=BC|Cot!DI1F23.AJU</v>
      </c>
      <c r="AG86" s="161" t="str">
        <f t="shared" si="13"/>
        <v>=BC|Cot!DI1F23.HOR</v>
      </c>
      <c r="AH86" s="219" t="str">
        <f t="shared" si="14"/>
        <v>DI1F23</v>
      </c>
    </row>
    <row r="87" spans="1:34" ht="22.5" thickBot="1" x14ac:dyDescent="0.25">
      <c r="A87" s="222">
        <f t="shared" si="21"/>
        <v>16</v>
      </c>
      <c r="B87" s="222" t="str">
        <f>IF(dadosexternosBMF_1!A87="DI1 - DI de 1 dia","DI1 - DI de 1 dia","")</f>
        <v/>
      </c>
      <c r="C87" s="222" t="str">
        <f>IF(dadosexternosBMF_1!A87="DOL - Dólar comercial","",IF(C86&lt;&gt;"",dadosexternosBMF_1!B87,IF(dadosexternosBMF_1!A87="DI1 - DI de 1 dia",dadosexternosBMF_1!B87,"")))</f>
        <v>N19</v>
      </c>
      <c r="D87" s="222">
        <f>IF(C87&lt;&gt;"",dadosexternosBMF_1!C87,"")</f>
        <v>87741.55</v>
      </c>
      <c r="E87" s="222">
        <f>IF(C87&lt;&gt;"",dadosexternosBMF_1!D87,"")</f>
        <v>87868.71</v>
      </c>
      <c r="G87" s="219" t="str">
        <f t="shared" si="22"/>
        <v/>
      </c>
      <c r="H87" s="219">
        <f t="shared" si="17"/>
        <v>16</v>
      </c>
      <c r="I87" s="219" t="str">
        <f t="shared" si="18"/>
        <v>DI1N19</v>
      </c>
      <c r="J87" s="219">
        <f>IF(I87="","",VLOOKUP(LEFT(C87,1),dadosexternosBMF_1!$L$2:$M$13,2,FALSE))</f>
        <v>7</v>
      </c>
      <c r="K87" s="219">
        <f t="shared" si="19"/>
        <v>2019</v>
      </c>
      <c r="L87" s="422">
        <f t="shared" si="20"/>
        <v>43647</v>
      </c>
      <c r="M87" s="422">
        <f>IF(I87="","",WORKDAY(L87-1,1,FERIADOS!$A$2:$A$831))</f>
        <v>43647</v>
      </c>
      <c r="N87" s="219">
        <f ca="1">IF(I87="","",NETWORKDAYS(Curva!$M$2,M87,FERIADOS!$A$2:$A$831)-1)</f>
        <v>441</v>
      </c>
      <c r="O87" s="423">
        <f ca="1">IF(C87&lt;&gt;"",IF(ISERROR((100000/E87)^(252/N87)-1),Curva!$B$2,((100000/E87)^(252/N87)-1)),"")</f>
        <v>7.6700002244052712E-2</v>
      </c>
      <c r="P87" s="219" t="str">
        <f>IF(OR(G87=1,G87=2),dadosexternosBMF_1!B87,"")</f>
        <v/>
      </c>
      <c r="Q87" s="219" t="str">
        <f>IF(OR(G87=1,G87=2),dadosexternosBMF_1!D87,"")</f>
        <v/>
      </c>
      <c r="R87" s="222">
        <v>30</v>
      </c>
      <c r="S87" s="222" t="s">
        <v>418</v>
      </c>
      <c r="T87" s="219">
        <f ca="1">IF(S87="","",NETWORKDAYS(Curva!$M$2,Y87,FERIADOS!$A$2:$A$831)-1)</f>
        <v>1448</v>
      </c>
      <c r="U87" s="425">
        <f ca="1">IF(ISERROR(_xll.Spline($N$70:$N$108,$O$70:$O$108,T87)),VLOOKUP(S87,$I$1:$O$1100,7,FALSE),_xll.Spline($N$70:$N$108,$O$70:$O$108,T87))</f>
        <v>9.4520002123377855E-2</v>
      </c>
      <c r="V87" s="426">
        <f>IF(S87="","",VLOOKUP(LEFT(RIGHT(S87,3),1),dadosexternosBMF_1!$L$2:$M$13,2,FALSE))</f>
        <v>7</v>
      </c>
      <c r="W87" s="426">
        <f t="shared" si="6"/>
        <v>2023</v>
      </c>
      <c r="X87" s="422">
        <f t="shared" si="7"/>
        <v>45108</v>
      </c>
      <c r="Y87" s="422">
        <f>IF(S87="","",WORKDAY(X87-1,1,FERIADOS!$A$2:$A$8310))</f>
        <v>45110</v>
      </c>
      <c r="Z87" s="427">
        <f t="shared" ca="1" si="15"/>
        <v>1448</v>
      </c>
      <c r="AA87" s="707">
        <f t="shared" ca="1" si="16"/>
        <v>9.4520002123377855E-2</v>
      </c>
      <c r="AB87" s="160" t="str">
        <f t="shared" si="8"/>
        <v>=BC|Cot!DI1N23.ULT</v>
      </c>
      <c r="AC87" s="160" t="str">
        <f t="shared" si="9"/>
        <v>=BC|Cot!DI1N23.OCP</v>
      </c>
      <c r="AD87" s="160" t="str">
        <f t="shared" si="10"/>
        <v>=BC|Cot!DI1N23.OVD</v>
      </c>
      <c r="AE87" s="161" t="str">
        <f t="shared" si="11"/>
        <v>=BC|Cot!DI1N23.FEC</v>
      </c>
      <c r="AF87" s="161" t="str">
        <f t="shared" si="12"/>
        <v>=BC|Cot!DI1N23.AJU</v>
      </c>
      <c r="AG87" s="161" t="str">
        <f t="shared" si="13"/>
        <v>=BC|Cot!DI1N23.HOR</v>
      </c>
      <c r="AH87" s="219" t="str">
        <f t="shared" si="14"/>
        <v>DI1N23</v>
      </c>
    </row>
    <row r="88" spans="1:34" ht="22.5" thickBot="1" x14ac:dyDescent="0.25">
      <c r="A88" s="222">
        <f t="shared" si="21"/>
        <v>17</v>
      </c>
      <c r="B88" s="222" t="str">
        <f>IF(dadosexternosBMF_1!A88="DI1 - DI de 1 dia","DI1 - DI de 1 dia","")</f>
        <v/>
      </c>
      <c r="C88" s="222" t="str">
        <f>IF(dadosexternosBMF_1!A88="DOL - Dólar comercial","",IF(C87&lt;&gt;"",dadosexternosBMF_1!B88,IF(dadosexternosBMF_1!A88="DI1 - DI de 1 dia",dadosexternosBMF_1!B88,"")))</f>
        <v>V19</v>
      </c>
      <c r="D88" s="222">
        <f>IF(C88&lt;&gt;"",dadosexternosBMF_1!C88,"")</f>
        <v>85655.8</v>
      </c>
      <c r="E88" s="222">
        <f>IF(C88&lt;&gt;"",dadosexternosBMF_1!D88,"")</f>
        <v>85815.16</v>
      </c>
      <c r="G88" s="219" t="str">
        <f t="shared" si="22"/>
        <v/>
      </c>
      <c r="H88" s="219">
        <f t="shared" si="17"/>
        <v>17</v>
      </c>
      <c r="I88" s="219" t="str">
        <f t="shared" si="18"/>
        <v>DI1V19</v>
      </c>
      <c r="J88" s="219">
        <f>IF(I88="","",VLOOKUP(LEFT(C88,1),dadosexternosBMF_1!$L$2:$M$13,2,FALSE))</f>
        <v>10</v>
      </c>
      <c r="K88" s="219">
        <f t="shared" si="19"/>
        <v>2019</v>
      </c>
      <c r="L88" s="422">
        <f t="shared" si="20"/>
        <v>43739</v>
      </c>
      <c r="M88" s="422">
        <f>IF(I88="","",WORKDAY(L88-1,1,FERIADOS!$A$2:$A$831))</f>
        <v>43739</v>
      </c>
      <c r="N88" s="219">
        <f ca="1">IF(I88="","",NETWORKDAYS(Curva!$M$2,M88,FERIADOS!$A$2:$A$831)-1)</f>
        <v>507</v>
      </c>
      <c r="O88" s="423">
        <f ca="1">IF(C88&lt;&gt;"",IF(ISERROR((100000/E88)^(252/N88)-1),Curva!$B$2,((100000/E88)^(252/N88)-1)),"")</f>
        <v>7.8999977333870541E-2</v>
      </c>
      <c r="P88" s="219" t="str">
        <f>IF(OR(G88=1,G88=2),dadosexternosBMF_1!B88,"")</f>
        <v/>
      </c>
      <c r="Q88" s="219" t="str">
        <f>IF(OR(G88=1,G88=2),dadosexternosBMF_1!D88,"")</f>
        <v/>
      </c>
      <c r="R88" s="222">
        <v>31</v>
      </c>
      <c r="S88" s="222" t="s">
        <v>250</v>
      </c>
      <c r="T88" s="219">
        <f ca="1">IF(S88="","",NETWORKDAYS(Curva!$M$2,Y88,FERIADOS!$A$2:$A$831)-1)</f>
        <v>1573</v>
      </c>
      <c r="U88" s="425">
        <f ca="1">IF(ISERROR(_xll.Spline($N$70:$N$108,$O$70:$O$108,T88)),VLOOKUP(S88,$I$1:$O$1100,7,FALSE),_xll.Spline($N$70:$N$108,$O$70:$O$108,T88))</f>
        <v>9.5649988007779019E-2</v>
      </c>
      <c r="V88" s="426">
        <f>IF(S88="","",VLOOKUP(LEFT(RIGHT(S88,3),1),dadosexternosBMF_1!$L$2:$M$13,2,FALSE))</f>
        <v>1</v>
      </c>
      <c r="W88" s="426">
        <f t="shared" si="6"/>
        <v>2024</v>
      </c>
      <c r="X88" s="422">
        <f t="shared" si="7"/>
        <v>45292</v>
      </c>
      <c r="Y88" s="422">
        <f>IF(S88="","",WORKDAY(X88-1,1,FERIADOS!$A$2:$A$8310))</f>
        <v>45293</v>
      </c>
      <c r="Z88" s="427">
        <f t="shared" ca="1" si="15"/>
        <v>1573</v>
      </c>
      <c r="AA88" s="707">
        <f t="shared" ca="1" si="16"/>
        <v>9.5649988007779019E-2</v>
      </c>
      <c r="AB88" s="160" t="str">
        <f t="shared" si="8"/>
        <v>=BC|Cot!DI1F24.ULT</v>
      </c>
      <c r="AC88" s="160" t="str">
        <f t="shared" si="9"/>
        <v>=BC|Cot!DI1F24.OCP</v>
      </c>
      <c r="AD88" s="160" t="str">
        <f t="shared" si="10"/>
        <v>=BC|Cot!DI1F24.OVD</v>
      </c>
      <c r="AE88" s="161" t="str">
        <f t="shared" si="11"/>
        <v>=BC|Cot!DI1F24.FEC</v>
      </c>
      <c r="AF88" s="161" t="str">
        <f t="shared" si="12"/>
        <v>=BC|Cot!DI1F24.AJU</v>
      </c>
      <c r="AG88" s="161" t="str">
        <f t="shared" si="13"/>
        <v>=BC|Cot!DI1F24.HOR</v>
      </c>
      <c r="AH88" s="219" t="str">
        <f t="shared" si="14"/>
        <v>DI1F24</v>
      </c>
    </row>
    <row r="89" spans="1:34" ht="22.5" thickBot="1" x14ac:dyDescent="0.25">
      <c r="A89" s="222">
        <f t="shared" si="21"/>
        <v>18</v>
      </c>
      <c r="B89" s="222" t="str">
        <f>IF(dadosexternosBMF_1!A89="DI1 - DI de 1 dia","DI1 - DI de 1 dia","")</f>
        <v/>
      </c>
      <c r="C89" s="222" t="str">
        <f>IF(dadosexternosBMF_1!A89="DOL - Dólar comercial","",IF(C88&lt;&gt;"",dadosexternosBMF_1!B89,IF(dadosexternosBMF_1!A89="DI1 - DI de 1 dia",dadosexternosBMF_1!B89,"")))</f>
        <v>F20</v>
      </c>
      <c r="D89" s="222">
        <f>IF(C89&lt;&gt;"",dadosexternosBMF_1!C89,"")</f>
        <v>83698.509999999995</v>
      </c>
      <c r="E89" s="222">
        <f>IF(C89&lt;&gt;"",dadosexternosBMF_1!D89,"")</f>
        <v>83909.39</v>
      </c>
      <c r="G89" s="219" t="str">
        <f t="shared" si="22"/>
        <v/>
      </c>
      <c r="H89" s="219">
        <f t="shared" si="17"/>
        <v>18</v>
      </c>
      <c r="I89" s="219" t="str">
        <f t="shared" si="18"/>
        <v>DI1F20</v>
      </c>
      <c r="J89" s="219">
        <f>IF(I89="","",VLOOKUP(LEFT(C89,1),dadosexternosBMF_1!$L$2:$M$13,2,FALSE))</f>
        <v>1</v>
      </c>
      <c r="K89" s="219">
        <f t="shared" si="19"/>
        <v>2020</v>
      </c>
      <c r="L89" s="422">
        <f t="shared" si="20"/>
        <v>43831</v>
      </c>
      <c r="M89" s="422">
        <f>IF(I89="","",WORKDAY(L89-1,1,FERIADOS!$A$2:$A$831))</f>
        <v>43832</v>
      </c>
      <c r="N89" s="219">
        <f ca="1">IF(I89="","",NETWORKDAYS(Curva!$M$2,M89,FERIADOS!$A$2:$A$831)-1)</f>
        <v>571</v>
      </c>
      <c r="O89" s="423">
        <f ca="1">IF(C89&lt;&gt;"",IF(ISERROR((100000/E89)^(252/N89)-1),Curva!$B$2,((100000/E89)^(252/N89)-1)),"")</f>
        <v>8.0499971822441285E-2</v>
      </c>
      <c r="P89" s="219" t="str">
        <f>IF(OR(G89=1,G89=2),dadosexternosBMF_1!B89,"")</f>
        <v/>
      </c>
      <c r="Q89" s="219" t="str">
        <f>IF(OR(G89=1,G89=2),dadosexternosBMF_1!D89,"")</f>
        <v/>
      </c>
      <c r="R89" s="222">
        <v>32</v>
      </c>
      <c r="S89" s="222" t="s">
        <v>420</v>
      </c>
      <c r="T89" s="219">
        <f ca="1">IF(S89="","",NETWORKDAYS(Curva!$M$2,Y89,FERIADOS!$A$2:$A$831)-1)</f>
        <v>1697</v>
      </c>
      <c r="U89" s="425">
        <f ca="1">IF(ISERROR(_xll.Spline($N$70:$N$108,$O$70:$O$108,T89)),VLOOKUP(S89,$I$1:$O$1100,7,FALSE),_xll.Spline($N$70:$N$108,$O$70:$O$108,T89))</f>
        <v>9.6350005970885944E-2</v>
      </c>
      <c r="V89" s="426">
        <f>IF(S89="","",VLOOKUP(LEFT(RIGHT(S89,3),1),dadosexternosBMF_1!$L$2:$M$13,2,FALSE))</f>
        <v>7</v>
      </c>
      <c r="W89" s="426">
        <f t="shared" si="6"/>
        <v>2024</v>
      </c>
      <c r="X89" s="422">
        <f t="shared" si="7"/>
        <v>45474</v>
      </c>
      <c r="Y89" s="422">
        <f>IF(S89="","",WORKDAY(X89-1,1,FERIADOS!$A$2:$A$8310))</f>
        <v>45474</v>
      </c>
      <c r="Z89" s="427">
        <f t="shared" ca="1" si="15"/>
        <v>1697</v>
      </c>
      <c r="AA89" s="707">
        <f t="shared" ca="1" si="16"/>
        <v>9.6350005970885944E-2</v>
      </c>
      <c r="AB89" s="160"/>
      <c r="AC89" s="160" t="str">
        <f t="shared" si="9"/>
        <v>=BC|Cot!DI1N24.OCP</v>
      </c>
      <c r="AD89" s="160" t="str">
        <f t="shared" si="10"/>
        <v>=BC|Cot!DI1N24.OVD</v>
      </c>
      <c r="AE89" s="161" t="str">
        <f t="shared" si="11"/>
        <v>=BC|Cot!DI1N24.FEC</v>
      </c>
      <c r="AF89" s="161" t="str">
        <f t="shared" si="12"/>
        <v>=BC|Cot!DI1N24.AJU</v>
      </c>
      <c r="AG89" s="161" t="str">
        <f t="shared" si="13"/>
        <v>=BC|Cot!DI1N24.HOR</v>
      </c>
      <c r="AH89" s="219" t="str">
        <f t="shared" si="14"/>
        <v>DI1N24</v>
      </c>
    </row>
    <row r="90" spans="1:34" ht="22.5" thickBot="1" x14ac:dyDescent="0.25">
      <c r="A90" s="222">
        <f t="shared" si="21"/>
        <v>19</v>
      </c>
      <c r="B90" s="222" t="str">
        <f>IF(dadosexternosBMF_1!A90="DI1 - DI de 1 dia","DI1 - DI de 1 dia","")</f>
        <v/>
      </c>
      <c r="C90" s="222" t="str">
        <f>IF(dadosexternosBMF_1!A90="DOL - Dólar comercial","",IF(C89&lt;&gt;"",dadosexternosBMF_1!B90,IF(dadosexternosBMF_1!A90="DI1 - DI de 1 dia",dadosexternosBMF_1!B90,"")))</f>
        <v>J20</v>
      </c>
      <c r="D90" s="222">
        <f>IF(C90&lt;&gt;"",dadosexternosBMF_1!C90,"")</f>
        <v>81754.13</v>
      </c>
      <c r="E90" s="222">
        <f>IF(C90&lt;&gt;"",dadosexternosBMF_1!D90,"")</f>
        <v>81982.649999999994</v>
      </c>
      <c r="G90" s="219" t="str">
        <f t="shared" si="22"/>
        <v/>
      </c>
      <c r="H90" s="219">
        <f t="shared" si="17"/>
        <v>19</v>
      </c>
      <c r="I90" s="219" t="str">
        <f t="shared" si="18"/>
        <v>DI1J20</v>
      </c>
      <c r="J90" s="219">
        <f>IF(I90="","",VLOOKUP(LEFT(C90,1),dadosexternosBMF_1!$L$2:$M$13,2,FALSE))</f>
        <v>4</v>
      </c>
      <c r="K90" s="219">
        <f t="shared" si="19"/>
        <v>2020</v>
      </c>
      <c r="L90" s="422">
        <f t="shared" si="20"/>
        <v>43922</v>
      </c>
      <c r="M90" s="422">
        <f>IF(I90="","",WORKDAY(L90-1,1,FERIADOS!$A$2:$A$831))</f>
        <v>43922</v>
      </c>
      <c r="N90" s="219">
        <f ca="1">IF(I90="","",NETWORKDAYS(Curva!$M$2,M90,FERIADOS!$A$2:$A$831)-1)</f>
        <v>633</v>
      </c>
      <c r="O90" s="423">
        <f ca="1">IF(C90&lt;&gt;"",IF(ISERROR((100000/E90)^(252/N90)-1),Curva!$B$2,((100000/E90)^(252/N90)-1)),"")</f>
        <v>8.2300000875942247E-2</v>
      </c>
      <c r="P90" s="219" t="str">
        <f>IF(OR(G90=1,G90=2),dadosexternosBMF_1!B90,"")</f>
        <v/>
      </c>
      <c r="Q90" s="219" t="str">
        <f>IF(OR(G90=1,G90=2),dadosexternosBMF_1!D90,"")</f>
        <v/>
      </c>
      <c r="R90" s="222">
        <v>33</v>
      </c>
      <c r="S90" s="222" t="s">
        <v>251</v>
      </c>
      <c r="T90" s="219">
        <f ca="1">IF(S90="","",NETWORKDAYS(Curva!$M$2,Y90,FERIADOS!$A$2:$A$831)-1)</f>
        <v>1827</v>
      </c>
      <c r="U90" s="425">
        <f ca="1">IF(ISERROR(_xll.Spline($N$70:$N$108,$O$70:$O$108,T90)),VLOOKUP(S90,$I$1:$O$1100,7,FALSE),_xll.Spline($N$70:$N$108,$O$70:$O$108,T90))</f>
        <v>9.720000672329232E-2</v>
      </c>
      <c r="V90" s="426">
        <f>IF(S90="","",VLOOKUP(LEFT(RIGHT(S90,3),1),dadosexternosBMF_1!$L$2:$M$13,2,FALSE))</f>
        <v>1</v>
      </c>
      <c r="W90" s="426">
        <f t="shared" si="6"/>
        <v>2025</v>
      </c>
      <c r="X90" s="422">
        <f t="shared" si="7"/>
        <v>45658</v>
      </c>
      <c r="Y90" s="422">
        <f>IF(S90="","",WORKDAY(X90-1,1,FERIADOS!$A$2:$A$8310))</f>
        <v>45659</v>
      </c>
      <c r="Z90" s="427">
        <f t="shared" ca="1" si="15"/>
        <v>1827</v>
      </c>
      <c r="AA90" s="707">
        <f t="shared" ca="1" si="16"/>
        <v>9.720000672329232E-2</v>
      </c>
      <c r="AB90" s="160" t="str">
        <f t="shared" ref="AB90:AB98" si="23">IF(S90="","",CONCATENATE("=BC|Cot!",S90,".ULT"))</f>
        <v>=BC|Cot!DI1F25.ULT</v>
      </c>
      <c r="AC90" s="160" t="str">
        <f t="shared" si="9"/>
        <v>=BC|Cot!DI1F25.OCP</v>
      </c>
      <c r="AD90" s="160" t="str">
        <f t="shared" si="10"/>
        <v>=BC|Cot!DI1F25.OVD</v>
      </c>
      <c r="AE90" s="161" t="str">
        <f t="shared" si="11"/>
        <v>=BC|Cot!DI1F25.FEC</v>
      </c>
      <c r="AF90" s="161" t="str">
        <f t="shared" si="12"/>
        <v>=BC|Cot!DI1F25.AJU</v>
      </c>
      <c r="AG90" s="161" t="str">
        <f t="shared" si="13"/>
        <v>=BC|Cot!DI1F25.HOR</v>
      </c>
      <c r="AH90" s="219" t="str">
        <f t="shared" si="14"/>
        <v>DI1F25</v>
      </c>
    </row>
    <row r="91" spans="1:34" ht="22.5" thickBot="1" x14ac:dyDescent="0.25">
      <c r="A91" s="222">
        <f t="shared" si="21"/>
        <v>20</v>
      </c>
      <c r="B91" s="222" t="str">
        <f>IF(dadosexternosBMF_1!A91="DI1 - DI de 1 dia","DI1 - DI de 1 dia","")</f>
        <v/>
      </c>
      <c r="C91" s="222" t="str">
        <f>IF(dadosexternosBMF_1!A91="DOL - Dólar comercial","",IF(C90&lt;&gt;"",dadosexternosBMF_1!B91,IF(dadosexternosBMF_1!A91="DI1 - DI de 1 dia",dadosexternosBMF_1!B91,"")))</f>
        <v>N20</v>
      </c>
      <c r="D91" s="222">
        <f>IF(C91&lt;&gt;"",dadosexternosBMF_1!C91,"")</f>
        <v>79795.86</v>
      </c>
      <c r="E91" s="222">
        <f>IF(C91&lt;&gt;"",dadosexternosBMF_1!D91,"")</f>
        <v>80040.5</v>
      </c>
      <c r="G91" s="219" t="str">
        <f t="shared" si="22"/>
        <v/>
      </c>
      <c r="H91" s="219">
        <f t="shared" si="17"/>
        <v>20</v>
      </c>
      <c r="I91" s="219" t="str">
        <f t="shared" si="18"/>
        <v>DI1N20</v>
      </c>
      <c r="J91" s="219">
        <f>IF(I91="","",VLOOKUP(LEFT(C91,1),dadosexternosBMF_1!$L$2:$M$13,2,FALSE))</f>
        <v>7</v>
      </c>
      <c r="K91" s="219">
        <f t="shared" si="19"/>
        <v>2020</v>
      </c>
      <c r="L91" s="422">
        <f t="shared" si="20"/>
        <v>44013</v>
      </c>
      <c r="M91" s="422">
        <f>IF(I91="","",WORKDAY(L91-1,1,FERIADOS!$A$2:$A$831))</f>
        <v>44013</v>
      </c>
      <c r="N91" s="219">
        <f ca="1">IF(I91="","",NETWORKDAYS(Curva!$M$2,M91,FERIADOS!$A$2:$A$831)-1)</f>
        <v>694</v>
      </c>
      <c r="O91" s="423">
        <f ca="1">IF(C91&lt;&gt;"",IF(ISERROR((100000/E91)^(252/N91)-1),Curva!$B$2,((100000/E91)^(252/N91)-1)),"")</f>
        <v>8.4200023510115241E-2</v>
      </c>
      <c r="P91" s="219" t="str">
        <f>IF(OR(G91=1,G91=2),dadosexternosBMF_1!B91,"")</f>
        <v/>
      </c>
      <c r="Q91" s="219" t="str">
        <f>IF(OR(G91=1,G91=2),dadosexternosBMF_1!D91,"")</f>
        <v/>
      </c>
      <c r="R91" s="222">
        <v>34</v>
      </c>
      <c r="S91" s="222" t="s">
        <v>472</v>
      </c>
      <c r="T91" s="219">
        <f ca="1">IF(S91="","",NETWORKDAYS(Curva!$M$2,Y91,FERIADOS!$A$2:$A$831)-1)</f>
        <v>1949</v>
      </c>
      <c r="U91" s="632">
        <f ca="1">(U90+U92)/2</f>
        <v>9.787499786371423E-2</v>
      </c>
      <c r="V91" s="426">
        <f>IF(S91="","",VLOOKUP(LEFT(RIGHT(S91,3),1),dadosexternosBMF_1!$L$2:$M$13,2,FALSE))</f>
        <v>7</v>
      </c>
      <c r="W91" s="426">
        <f t="shared" si="6"/>
        <v>2025</v>
      </c>
      <c r="X91" s="422">
        <f t="shared" si="7"/>
        <v>45839</v>
      </c>
      <c r="Y91" s="422">
        <f>IF(S91="","",WORKDAY(X91-1,1,FERIADOS!$A$2:$A$8310))</f>
        <v>45839</v>
      </c>
      <c r="Z91" s="427">
        <f t="shared" ca="1" si="15"/>
        <v>1949</v>
      </c>
      <c r="AA91" s="707">
        <f t="shared" ca="1" si="16"/>
        <v>9.787499786371423E-2</v>
      </c>
      <c r="AB91" s="160" t="str">
        <f t="shared" si="23"/>
        <v>=BC|Cot!DI1N25.ULT</v>
      </c>
      <c r="AC91" s="160" t="str">
        <f t="shared" si="9"/>
        <v>=BC|Cot!DI1N25.OCP</v>
      </c>
      <c r="AD91" s="160" t="str">
        <f t="shared" si="10"/>
        <v>=BC|Cot!DI1N25.OVD</v>
      </c>
      <c r="AE91" s="161" t="str">
        <f t="shared" si="11"/>
        <v>=BC|Cot!DI1N25.FEC</v>
      </c>
      <c r="AF91" s="161" t="str">
        <f t="shared" si="12"/>
        <v>=BC|Cot!DI1N25.AJU</v>
      </c>
      <c r="AG91" s="161" t="str">
        <f t="shared" si="13"/>
        <v>=BC|Cot!DI1N25.HOR</v>
      </c>
      <c r="AH91" s="219" t="str">
        <f t="shared" si="14"/>
        <v>DI1N25</v>
      </c>
    </row>
    <row r="92" spans="1:34" ht="22.5" thickBot="1" x14ac:dyDescent="0.25">
      <c r="A92" s="222">
        <f t="shared" si="21"/>
        <v>21</v>
      </c>
      <c r="B92" s="222" t="str">
        <f>IF(dadosexternosBMF_1!A92="DI1 - DI de 1 dia","DI1 - DI de 1 dia","")</f>
        <v/>
      </c>
      <c r="C92" s="222" t="str">
        <f>IF(dadosexternosBMF_1!A92="DOL - Dólar comercial","",IF(C91&lt;&gt;"",dadosexternosBMF_1!B92,IF(dadosexternosBMF_1!A92="DI1 - DI de 1 dia",dadosexternosBMF_1!B92,"")))</f>
        <v>V20</v>
      </c>
      <c r="D92" s="222">
        <f>IF(C92&lt;&gt;"",dadosexternosBMF_1!C92,"")</f>
        <v>77780.570000000007</v>
      </c>
      <c r="E92" s="222">
        <f>IF(C92&lt;&gt;"",dadosexternosBMF_1!D92,"")</f>
        <v>78019.73</v>
      </c>
      <c r="G92" s="219" t="str">
        <f t="shared" si="22"/>
        <v/>
      </c>
      <c r="H92" s="219">
        <f t="shared" si="17"/>
        <v>21</v>
      </c>
      <c r="I92" s="219" t="str">
        <f t="shared" si="18"/>
        <v>DI1V20</v>
      </c>
      <c r="J92" s="219">
        <f>IF(I92="","",VLOOKUP(LEFT(C92,1),dadosexternosBMF_1!$L$2:$M$13,2,FALSE))</f>
        <v>10</v>
      </c>
      <c r="K92" s="219">
        <f t="shared" si="19"/>
        <v>2020</v>
      </c>
      <c r="L92" s="422">
        <f t="shared" si="20"/>
        <v>44105</v>
      </c>
      <c r="M92" s="422">
        <f>IF(I92="","",WORKDAY(L92-1,1,FERIADOS!$A$2:$A$831))</f>
        <v>44105</v>
      </c>
      <c r="N92" s="219">
        <f ca="1">IF(I92="","",NETWORKDAYS(Curva!$M$2,M92,FERIADOS!$A$2:$A$831)-1)</f>
        <v>759</v>
      </c>
      <c r="O92" s="423">
        <f ca="1">IF(C92&lt;&gt;"",IF(ISERROR((100000/E92)^(252/N92)-1),Curva!$B$2,((100000/E92)^(252/N92)-1)),"")</f>
        <v>8.5899990156938388E-2</v>
      </c>
      <c r="P92" s="219" t="str">
        <f>IF(OR(G92=1,G92=2),dadosexternosBMF_1!B92,"")</f>
        <v/>
      </c>
      <c r="Q92" s="219" t="str">
        <f>IF(OR(G92=1,G92=2),dadosexternosBMF_1!D92,"")</f>
        <v/>
      </c>
      <c r="R92" s="222">
        <v>35</v>
      </c>
      <c r="S92" s="222" t="s">
        <v>417</v>
      </c>
      <c r="T92" s="219">
        <f ca="1">IF(S92="","",NETWORKDAYS(Curva!$M$2,Y92,FERIADOS!$A$2:$A$831)-1)</f>
        <v>2080</v>
      </c>
      <c r="U92" s="425">
        <f ca="1">IF(ISERROR(_xll.Spline($N$70:$N$108,$O$70:$O$108,T92)),VLOOKUP(S92,$I$1:$O$1100,7,FALSE),_xll.Spline($N$70:$N$108,$O$70:$O$108,T92))</f>
        <v>9.854998900413614E-2</v>
      </c>
      <c r="V92" s="426">
        <f>IF(S92="","",VLOOKUP(LEFT(RIGHT(S92,3),1),dadosexternosBMF_1!$L$2:$M$13,2,FALSE))</f>
        <v>1</v>
      </c>
      <c r="W92" s="426">
        <f t="shared" si="6"/>
        <v>2026</v>
      </c>
      <c r="X92" s="422">
        <f t="shared" si="7"/>
        <v>46023</v>
      </c>
      <c r="Y92" s="422">
        <f>IF(S92="","",WORKDAY(X92-1,1,FERIADOS!$A$2:$A$8310))</f>
        <v>46024</v>
      </c>
      <c r="Z92" s="427">
        <f t="shared" ca="1" si="15"/>
        <v>2080</v>
      </c>
      <c r="AA92" s="707">
        <f t="shared" ca="1" si="16"/>
        <v>9.854998900413614E-2</v>
      </c>
      <c r="AB92" s="160" t="str">
        <f t="shared" si="23"/>
        <v>=BC|Cot!DI1F26.ULT</v>
      </c>
      <c r="AC92" s="160" t="str">
        <f t="shared" si="9"/>
        <v>=BC|Cot!DI1F26.OCP</v>
      </c>
      <c r="AD92" s="160" t="str">
        <f t="shared" si="10"/>
        <v>=BC|Cot!DI1F26.OVD</v>
      </c>
      <c r="AE92" s="161" t="str">
        <f t="shared" si="11"/>
        <v>=BC|Cot!DI1F26.FEC</v>
      </c>
      <c r="AF92" s="161" t="str">
        <f t="shared" si="12"/>
        <v>=BC|Cot!DI1F26.AJU</v>
      </c>
      <c r="AG92" s="161" t="str">
        <f t="shared" si="13"/>
        <v>=BC|Cot!DI1F26.HOR</v>
      </c>
      <c r="AH92" s="219" t="str">
        <f t="shared" si="14"/>
        <v>DI1F26</v>
      </c>
    </row>
    <row r="93" spans="1:34" ht="22.5" thickBot="1" x14ac:dyDescent="0.25">
      <c r="A93" s="222">
        <f t="shared" si="21"/>
        <v>22</v>
      </c>
      <c r="B93" s="222" t="str">
        <f>IF(dadosexternosBMF_1!A93="DI1 - DI de 1 dia","DI1 - DI de 1 dia","")</f>
        <v/>
      </c>
      <c r="C93" s="222" t="str">
        <f>IF(dadosexternosBMF_1!A93="DOL - Dólar comercial","",IF(C92&lt;&gt;"",dadosexternosBMF_1!B93,IF(dadosexternosBMF_1!A93="DI1 - DI de 1 dia",dadosexternosBMF_1!B93,"")))</f>
        <v>F21</v>
      </c>
      <c r="D93" s="222">
        <f>IF(C93&lt;&gt;"",dadosexternosBMF_1!C93,"")</f>
        <v>75901.23</v>
      </c>
      <c r="E93" s="222">
        <f>IF(C93&lt;&gt;"",dadosexternosBMF_1!D93,"")</f>
        <v>76131.09</v>
      </c>
      <c r="G93" s="219" t="str">
        <f t="shared" si="22"/>
        <v/>
      </c>
      <c r="H93" s="219">
        <f t="shared" si="17"/>
        <v>22</v>
      </c>
      <c r="I93" s="219" t="str">
        <f t="shared" si="18"/>
        <v>DI1F21</v>
      </c>
      <c r="J93" s="219">
        <f>IF(I93="","",VLOOKUP(LEFT(C93,1),dadosexternosBMF_1!$L$2:$M$13,2,FALSE))</f>
        <v>1</v>
      </c>
      <c r="K93" s="219">
        <f t="shared" si="19"/>
        <v>2021</v>
      </c>
      <c r="L93" s="422">
        <f t="shared" si="20"/>
        <v>44197</v>
      </c>
      <c r="M93" s="422">
        <f>IF(I93="","",WORKDAY(L93-1,1,FERIADOS!$A$2:$A$831))</f>
        <v>44200</v>
      </c>
      <c r="N93" s="219">
        <f ca="1">IF(I93="","",NETWORKDAYS(Curva!$M$2,M93,FERIADOS!$A$2:$A$831)-1)</f>
        <v>822</v>
      </c>
      <c r="O93" s="423">
        <f ca="1">IF(C93&lt;&gt;"",IF(ISERROR((100000/E93)^(252/N93)-1),Curva!$B$2,((100000/E93)^(252/N93)-1)),"")</f>
        <v>8.7200003686345395E-2</v>
      </c>
      <c r="P93" s="219" t="str">
        <f>IF(OR(G93=1,G93=2),dadosexternosBMF_1!B93,"")</f>
        <v/>
      </c>
      <c r="Q93" s="219" t="str">
        <f>IF(OR(G93=1,G93=2),dadosexternosBMF_1!D93,"")</f>
        <v/>
      </c>
      <c r="R93" s="222">
        <v>36</v>
      </c>
      <c r="S93" s="222" t="s">
        <v>474</v>
      </c>
      <c r="T93" s="219">
        <f ca="1">IF(S93="","",NETWORKDAYS(Curva!$M$2,Y93,FERIADOS!$A$2:$A$831)-1)</f>
        <v>2202</v>
      </c>
      <c r="U93" s="632">
        <f ca="1">(U92+U94)/2</f>
        <v>9.9174991831036619E-2</v>
      </c>
      <c r="V93" s="426">
        <f>IF(S93="","",VLOOKUP(LEFT(RIGHT(S93,3),1),dadosexternosBMF_1!$L$2:$M$13,2,FALSE))</f>
        <v>7</v>
      </c>
      <c r="W93" s="426">
        <f t="shared" si="6"/>
        <v>2026</v>
      </c>
      <c r="X93" s="422">
        <f t="shared" si="7"/>
        <v>46204</v>
      </c>
      <c r="Y93" s="422">
        <f>IF(S93="","",WORKDAY(X93-1,1,FERIADOS!$A$2:$A$8310))</f>
        <v>46204</v>
      </c>
      <c r="Z93" s="427">
        <f t="shared" ca="1" si="15"/>
        <v>2202</v>
      </c>
      <c r="AA93" s="707">
        <f t="shared" ca="1" si="16"/>
        <v>9.9174991831036619E-2</v>
      </c>
      <c r="AB93" s="160" t="str">
        <f t="shared" si="23"/>
        <v>=BC|Cot!DI1N26.ULT</v>
      </c>
      <c r="AC93" s="160" t="str">
        <f t="shared" si="9"/>
        <v>=BC|Cot!DI1N26.OCP</v>
      </c>
      <c r="AD93" s="160" t="str">
        <f t="shared" si="10"/>
        <v>=BC|Cot!DI1N26.OVD</v>
      </c>
      <c r="AE93" s="161" t="str">
        <f t="shared" si="11"/>
        <v>=BC|Cot!DI1N26.FEC</v>
      </c>
      <c r="AF93" s="161" t="str">
        <f t="shared" si="12"/>
        <v>=BC|Cot!DI1N26.AJU</v>
      </c>
      <c r="AG93" s="161" t="str">
        <f t="shared" si="13"/>
        <v>=BC|Cot!DI1N26.HOR</v>
      </c>
      <c r="AH93" s="219" t="str">
        <f t="shared" si="14"/>
        <v>DI1N26</v>
      </c>
    </row>
    <row r="94" spans="1:34" ht="22.5" thickBot="1" x14ac:dyDescent="0.25">
      <c r="A94" s="222">
        <f t="shared" si="21"/>
        <v>23</v>
      </c>
      <c r="B94" s="222" t="str">
        <f>IF(dadosexternosBMF_1!A94="DI1 - DI de 1 dia","DI1 - DI de 1 dia","")</f>
        <v/>
      </c>
      <c r="C94" s="222" t="str">
        <f>IF(dadosexternosBMF_1!A94="DOL - Dólar comercial","",IF(C93&lt;&gt;"",dadosexternosBMF_1!B94,IF(dadosexternosBMF_1!A94="DI1 - DI de 1 dia",dadosexternosBMF_1!B94,"")))</f>
        <v>J21</v>
      </c>
      <c r="D94" s="222">
        <f>IF(C94&lt;&gt;"",dadosexternosBMF_1!C94,"")</f>
        <v>74100.94</v>
      </c>
      <c r="E94" s="222">
        <f>IF(C94&lt;&gt;"",dadosexternosBMF_1!D94,"")</f>
        <v>74329.990000000005</v>
      </c>
      <c r="G94" s="219" t="str">
        <f t="shared" si="22"/>
        <v/>
      </c>
      <c r="H94" s="219">
        <f t="shared" si="17"/>
        <v>23</v>
      </c>
      <c r="I94" s="219" t="str">
        <f t="shared" si="18"/>
        <v>DI1J21</v>
      </c>
      <c r="J94" s="219">
        <f>IF(I94="","",VLOOKUP(LEFT(C94,1),dadosexternosBMF_1!$L$2:$M$13,2,FALSE))</f>
        <v>4</v>
      </c>
      <c r="K94" s="219">
        <f t="shared" si="19"/>
        <v>2021</v>
      </c>
      <c r="L94" s="422">
        <f t="shared" si="20"/>
        <v>44287</v>
      </c>
      <c r="M94" s="422">
        <f>IF(I94="","",WORKDAY(L94-1,1,FERIADOS!$A$2:$A$831))</f>
        <v>44287</v>
      </c>
      <c r="N94" s="219">
        <f ca="1">IF(I94="","",NETWORKDAYS(Curva!$M$2,M94,FERIADOS!$A$2:$A$831)-1)</f>
        <v>883</v>
      </c>
      <c r="O94" s="423">
        <f ca="1">IF(C94&lt;&gt;"",IF(ISERROR((100000/E94)^(252/N94)-1),Curva!$B$2,((100000/E94)^(252/N94)-1)),"")</f>
        <v>8.8349987813921338E-2</v>
      </c>
      <c r="P94" s="219" t="str">
        <f>IF(OR(G94=1,G94=2),dadosexternosBMF_1!B94,"")</f>
        <v/>
      </c>
      <c r="Q94" s="219" t="str">
        <f>IF(OR(G94=1,G94=2),dadosexternosBMF_1!D94,"")</f>
        <v/>
      </c>
      <c r="R94" s="222">
        <v>37</v>
      </c>
      <c r="S94" s="222" t="s">
        <v>412</v>
      </c>
      <c r="T94" s="219">
        <f ca="1">IF(S94="","",NETWORKDAYS(Curva!$M$2,Y94,FERIADOS!$A$2:$A$831)-1)</f>
        <v>2330</v>
      </c>
      <c r="U94" s="425">
        <f ca="1">IF(ISERROR(_xll.Spline($N$70:$N$108,$O$70:$O$108,T94)),VLOOKUP(S94,$I$1:$O$1100,7,FALSE),_xll.Spline($N$70:$N$108,$O$70:$O$108,T94))</f>
        <v>9.9799994657937097E-2</v>
      </c>
      <c r="V94" s="426">
        <f>IF(S94="","",VLOOKUP(LEFT(RIGHT(S94,3),1),dadosexternosBMF_1!$L$2:$M$13,2,FALSE))</f>
        <v>1</v>
      </c>
      <c r="W94" s="426">
        <f t="shared" si="6"/>
        <v>2027</v>
      </c>
      <c r="X94" s="422">
        <f t="shared" si="7"/>
        <v>46388</v>
      </c>
      <c r="Y94" s="422">
        <f>IF(S94="","",WORKDAY(X94-1,1,FERIADOS!$A$2:$A$8310))</f>
        <v>46391</v>
      </c>
      <c r="Z94" s="427">
        <f t="shared" ca="1" si="15"/>
        <v>2330</v>
      </c>
      <c r="AA94" s="707">
        <f t="shared" ca="1" si="16"/>
        <v>9.9799994657937097E-2</v>
      </c>
      <c r="AB94" s="160" t="str">
        <f t="shared" si="23"/>
        <v>=BC|Cot!DI1F27.ULT</v>
      </c>
      <c r="AC94" s="160" t="str">
        <f t="shared" si="9"/>
        <v>=BC|Cot!DI1F27.OCP</v>
      </c>
      <c r="AD94" s="160" t="str">
        <f t="shared" si="10"/>
        <v>=BC|Cot!DI1F27.OVD</v>
      </c>
      <c r="AE94" s="161" t="str">
        <f t="shared" si="11"/>
        <v>=BC|Cot!DI1F27.FEC</v>
      </c>
      <c r="AF94" s="161" t="str">
        <f t="shared" si="12"/>
        <v>=BC|Cot!DI1F27.AJU</v>
      </c>
      <c r="AG94" s="161" t="str">
        <f t="shared" si="13"/>
        <v>=BC|Cot!DI1F27.HOR</v>
      </c>
      <c r="AH94" s="219" t="str">
        <f t="shared" si="14"/>
        <v>DI1F27</v>
      </c>
    </row>
    <row r="95" spans="1:34" ht="22.5" thickBot="1" x14ac:dyDescent="0.25">
      <c r="A95" s="222">
        <f t="shared" si="21"/>
        <v>24</v>
      </c>
      <c r="B95" s="222" t="str">
        <f>IF(dadosexternosBMF_1!A95="DI1 - DI de 1 dia","DI1 - DI de 1 dia","")</f>
        <v/>
      </c>
      <c r="C95" s="222" t="str">
        <f>IF(dadosexternosBMF_1!A95="DOL - Dólar comercial","",IF(C94&lt;&gt;"",dadosexternosBMF_1!B95,IF(dadosexternosBMF_1!A95="DI1 - DI de 1 dia",dadosexternosBMF_1!B95,"")))</f>
        <v>N21</v>
      </c>
      <c r="D95" s="222">
        <f>IF(C95&lt;&gt;"",dadosexternosBMF_1!C95,"")</f>
        <v>72208.820000000007</v>
      </c>
      <c r="E95" s="222">
        <f>IF(C95&lt;&gt;"",dadosexternosBMF_1!D95,"")</f>
        <v>72460.100000000006</v>
      </c>
      <c r="G95" s="219" t="str">
        <f t="shared" si="22"/>
        <v/>
      </c>
      <c r="H95" s="219">
        <f t="shared" si="17"/>
        <v>24</v>
      </c>
      <c r="I95" s="219" t="str">
        <f t="shared" si="18"/>
        <v>DI1N21</v>
      </c>
      <c r="J95" s="219">
        <f>IF(I95="","",VLOOKUP(LEFT(C95,1),dadosexternosBMF_1!$L$2:$M$13,2,FALSE))</f>
        <v>7</v>
      </c>
      <c r="K95" s="219">
        <f t="shared" si="19"/>
        <v>2021</v>
      </c>
      <c r="L95" s="422">
        <f t="shared" si="20"/>
        <v>44378</v>
      </c>
      <c r="M95" s="422">
        <f>IF(I95="","",WORKDAY(L95-1,1,FERIADOS!$A$2:$A$831))</f>
        <v>44378</v>
      </c>
      <c r="N95" s="219">
        <f ca="1">IF(I95="","",NETWORKDAYS(Curva!$M$2,M95,FERIADOS!$A$2:$A$831)-1)</f>
        <v>945</v>
      </c>
      <c r="O95" s="423">
        <f ca="1">IF(C95&lt;&gt;"",IF(ISERROR((100000/E95)^(252/N95)-1),Curva!$B$2,((100000/E95)^(252/N95)-1)),"")</f>
        <v>8.9700003399198813E-2</v>
      </c>
      <c r="P95" s="219" t="str">
        <f>IF(OR(G95=1,G95=2),dadosexternosBMF_1!B95,"")</f>
        <v/>
      </c>
      <c r="Q95" s="219" t="str">
        <f>IF(OR(G95=1,G95=2),dadosexternosBMF_1!D95,"")</f>
        <v/>
      </c>
      <c r="R95" s="222">
        <v>38</v>
      </c>
      <c r="S95" s="222" t="s">
        <v>435</v>
      </c>
      <c r="T95" s="219">
        <f ca="1">IF(S95="","",NETWORKDAYS(Curva!$M$2,Y95,FERIADOS!$A$2:$A$831)-1)</f>
        <v>2581</v>
      </c>
      <c r="U95" s="425">
        <f ca="1">IF(ISERROR(_xll.Spline($N$70:$N$108,$O$70:$O$108,T95)),VLOOKUP(S95,$I$1:$O$1100,7,FALSE),_xll.Spline($N$70:$N$108,$O$70:$O$108,T95))</f>
        <v>0.10039999985581738</v>
      </c>
      <c r="V95" s="426">
        <f>IF(S95="","",VLOOKUP(LEFT(RIGHT(S95,3),1),dadosexternosBMF_1!$L$2:$M$13,2,FALSE))</f>
        <v>1</v>
      </c>
      <c r="W95" s="426">
        <f t="shared" si="6"/>
        <v>2028</v>
      </c>
      <c r="X95" s="422">
        <f t="shared" si="7"/>
        <v>46753</v>
      </c>
      <c r="Y95" s="422">
        <f>IF(S95="","",WORKDAY(X95-1,1,FERIADOS!$A$2:$A$8310))</f>
        <v>46755</v>
      </c>
      <c r="Z95" s="427">
        <f t="shared" ca="1" si="15"/>
        <v>2581</v>
      </c>
      <c r="AA95" s="707">
        <f t="shared" ca="1" si="16"/>
        <v>0.10039999985581738</v>
      </c>
      <c r="AB95" s="160" t="str">
        <f t="shared" si="23"/>
        <v>=BC|Cot!DI1F28.ULT</v>
      </c>
      <c r="AC95" s="160" t="str">
        <f t="shared" si="9"/>
        <v>=BC|Cot!DI1F28.OCP</v>
      </c>
      <c r="AD95" s="160" t="str">
        <f t="shared" si="10"/>
        <v>=BC|Cot!DI1F28.OVD</v>
      </c>
      <c r="AE95" s="161" t="str">
        <f t="shared" si="11"/>
        <v>=BC|Cot!DI1F28.FEC</v>
      </c>
      <c r="AF95" s="161" t="str">
        <f t="shared" si="12"/>
        <v>=BC|Cot!DI1F28.AJU</v>
      </c>
      <c r="AG95" s="161" t="str">
        <f t="shared" si="13"/>
        <v>=BC|Cot!DI1F28.HOR</v>
      </c>
      <c r="AH95" s="219" t="str">
        <f t="shared" si="14"/>
        <v>DI1F28</v>
      </c>
    </row>
    <row r="96" spans="1:34" ht="22.5" thickBot="1" x14ac:dyDescent="0.25">
      <c r="A96" s="222">
        <f t="shared" si="21"/>
        <v>25</v>
      </c>
      <c r="B96" s="222" t="str">
        <f>IF(dadosexternosBMF_1!A96="DI1 - DI de 1 dia","DI1 - DI de 1 dia","")</f>
        <v/>
      </c>
      <c r="C96" s="222" t="str">
        <f>IF(dadosexternosBMF_1!A96="DOL - Dólar comercial","",IF(C95&lt;&gt;"",dadosexternosBMF_1!B96,IF(dadosexternosBMF_1!A96="DI1 - DI de 1 dia",dadosexternosBMF_1!B96,"")))</f>
        <v>V21</v>
      </c>
      <c r="D96" s="222">
        <f>IF(C96&lt;&gt;"",dadosexternosBMF_1!C96,"")</f>
        <v>70415.3</v>
      </c>
      <c r="E96" s="222">
        <f>IF(C96&lt;&gt;"",dadosexternosBMF_1!D96,"")</f>
        <v>70664.08</v>
      </c>
      <c r="G96" s="219" t="str">
        <f t="shared" si="22"/>
        <v/>
      </c>
      <c r="H96" s="219">
        <f t="shared" si="17"/>
        <v>25</v>
      </c>
      <c r="I96" s="219" t="str">
        <f t="shared" si="18"/>
        <v>DI1V21</v>
      </c>
      <c r="J96" s="219">
        <f>IF(I96="","",VLOOKUP(LEFT(C96,1),dadosexternosBMF_1!$L$2:$M$13,2,FALSE))</f>
        <v>10</v>
      </c>
      <c r="K96" s="219">
        <f t="shared" si="19"/>
        <v>2021</v>
      </c>
      <c r="L96" s="422">
        <f t="shared" si="20"/>
        <v>44470</v>
      </c>
      <c r="M96" s="422">
        <f>IF(I96="","",WORKDAY(L96-1,1,FERIADOS!$A$2:$A$831))</f>
        <v>44470</v>
      </c>
      <c r="N96" s="219">
        <f ca="1">IF(I96="","",NETWORKDAYS(Curva!$M$2,M96,FERIADOS!$A$2:$A$831)-1)</f>
        <v>1010</v>
      </c>
      <c r="O96" s="423">
        <f ca="1">IF(C96&lt;&gt;"",IF(ISERROR((100000/E96)^(252/N96)-1),Curva!$B$2,((100000/E96)^(252/N96)-1)),"")</f>
        <v>9.0499996749705547E-2</v>
      </c>
      <c r="P96" s="219" t="str">
        <f>IF(OR(G96=1,G96=2),dadosexternosBMF_1!B96,"")</f>
        <v/>
      </c>
      <c r="Q96" s="219" t="str">
        <f>IF(OR(G96=1,G96=2),dadosexternosBMF_1!D96,"")</f>
        <v/>
      </c>
      <c r="R96" s="222">
        <v>39</v>
      </c>
      <c r="S96" s="222" t="s">
        <v>265</v>
      </c>
      <c r="T96" s="219">
        <f ca="1">IF(S96="","",NETWORKDAYS(Curva!$M$2,Y96,FERIADOS!$A$2:$A$831)-1)</f>
        <v>2830</v>
      </c>
      <c r="U96" s="425">
        <f ca="1">IF(ISERROR(_xll.Spline($N$70:$N$108,$O$70:$O$108,T96)),VLOOKUP(S96,$I$1:$O$1100,7,FALSE),_xll.Spline($N$70:$N$108,$O$70:$O$108,T96))</f>
        <v>0.10080000717932958</v>
      </c>
      <c r="V96" s="426">
        <f>IF(S96="","",VLOOKUP(LEFT(RIGHT(S96,3),1),dadosexternosBMF_1!$L$2:$M$13,2,FALSE))</f>
        <v>1</v>
      </c>
      <c r="W96" s="426">
        <f t="shared" si="6"/>
        <v>2029</v>
      </c>
      <c r="X96" s="422">
        <f t="shared" si="7"/>
        <v>47119</v>
      </c>
      <c r="Y96" s="422">
        <f>IF(S96="","",WORKDAY(X96-1,1,FERIADOS!$A$2:$A$8310))</f>
        <v>47120</v>
      </c>
      <c r="Z96" s="427">
        <f t="shared" ca="1" si="15"/>
        <v>2830</v>
      </c>
      <c r="AA96" s="707">
        <f t="shared" ca="1" si="16"/>
        <v>0.10080000717932958</v>
      </c>
      <c r="AB96" s="160" t="str">
        <f t="shared" si="23"/>
        <v>=BC|Cot!DI1F29.ULT</v>
      </c>
      <c r="AC96" s="160" t="str">
        <f t="shared" si="9"/>
        <v>=BC|Cot!DI1F29.OCP</v>
      </c>
      <c r="AD96" s="160" t="str">
        <f t="shared" si="10"/>
        <v>=BC|Cot!DI1F29.OVD</v>
      </c>
      <c r="AE96" s="161" t="str">
        <f t="shared" si="11"/>
        <v>=BC|Cot!DI1F29.FEC</v>
      </c>
      <c r="AF96" s="161" t="str">
        <f t="shared" si="12"/>
        <v>=BC|Cot!DI1F29.AJU</v>
      </c>
      <c r="AG96" s="161" t="str">
        <f t="shared" si="13"/>
        <v>=BC|Cot!DI1F29.HOR</v>
      </c>
      <c r="AH96" s="219" t="str">
        <f t="shared" si="14"/>
        <v>DI1F29</v>
      </c>
    </row>
    <row r="97" spans="1:34" ht="22.5" thickBot="1" x14ac:dyDescent="0.25">
      <c r="A97" s="222">
        <f t="shared" si="21"/>
        <v>26</v>
      </c>
      <c r="B97" s="222" t="str">
        <f>IF(dadosexternosBMF_1!A97="DI1 - DI de 1 dia","DI1 - DI de 1 dia","")</f>
        <v/>
      </c>
      <c r="C97" s="222" t="str">
        <f>IF(dadosexternosBMF_1!A97="DOL - Dólar comercial","",IF(C96&lt;&gt;"",dadosexternosBMF_1!B97,IF(dadosexternosBMF_1!A97="DI1 - DI de 1 dia",dadosexternosBMF_1!B97,"")))</f>
        <v>F22</v>
      </c>
      <c r="D97" s="222">
        <f>IF(C97&lt;&gt;"",dadosexternosBMF_1!C97,"")</f>
        <v>68663.37</v>
      </c>
      <c r="E97" s="222">
        <f>IF(C97&lt;&gt;"",dadosexternosBMF_1!D97,"")</f>
        <v>68907.539999999994</v>
      </c>
      <c r="G97" s="219" t="str">
        <f t="shared" si="22"/>
        <v/>
      </c>
      <c r="H97" s="219">
        <f t="shared" si="17"/>
        <v>26</v>
      </c>
      <c r="I97" s="219" t="str">
        <f t="shared" si="18"/>
        <v>DI1F22</v>
      </c>
      <c r="J97" s="219">
        <f>IF(I97="","",VLOOKUP(LEFT(C97,1),dadosexternosBMF_1!$L$2:$M$13,2,FALSE))</f>
        <v>1</v>
      </c>
      <c r="K97" s="219">
        <f t="shared" si="19"/>
        <v>2022</v>
      </c>
      <c r="L97" s="422">
        <f t="shared" si="20"/>
        <v>44562</v>
      </c>
      <c r="M97" s="422">
        <f>IF(I97="","",WORKDAY(L97-1,1,FERIADOS!$A$2:$A$831))</f>
        <v>44564</v>
      </c>
      <c r="N97" s="219">
        <f ca="1">IF(I97="","",NETWORKDAYS(Curva!$M$2,M97,FERIADOS!$A$2:$A$831)-1)</f>
        <v>1073</v>
      </c>
      <c r="O97" s="423">
        <f ca="1">IF(C97&lt;&gt;"",IF(ISERROR((100000/E97)^(252/N97)-1),Curva!$B$2,((100000/E97)^(252/N97)-1)),"")</f>
        <v>9.1400005347353153E-2</v>
      </c>
      <c r="P97" s="219" t="str">
        <f>IF(OR(G97=1,G97=2),dadosexternosBMF_1!B97,"")</f>
        <v/>
      </c>
      <c r="Q97" s="219" t="str">
        <f>IF(OR(G97=1,G97=2),dadosexternosBMF_1!D97,"")</f>
        <v/>
      </c>
      <c r="R97" s="222">
        <v>40</v>
      </c>
      <c r="S97" s="222" t="s">
        <v>421</v>
      </c>
      <c r="T97" s="219">
        <f ca="1">IF(S97="","",NETWORKDAYS(Curva!$M$2,Y97,FERIADOS!$A$2:$A$831)-1)</f>
        <v>3080</v>
      </c>
      <c r="U97" s="425">
        <f ca="1">IF(ISERROR(_xll.Spline($N$70:$N$108,$O$70:$O$108,T97)),VLOOKUP(S97,$I$1:$O$1100,7,FALSE),_xll.Spline($N$70:$N$108,$O$70:$O$108,T97))</f>
        <v>0.10117999328146854</v>
      </c>
      <c r="V97" s="426">
        <f>IF(S97="","",VLOOKUP(LEFT(RIGHT(S97,3),1),dadosexternosBMF_1!$L$2:$M$13,2,FALSE))</f>
        <v>1</v>
      </c>
      <c r="W97" s="426">
        <f t="shared" si="6"/>
        <v>2030</v>
      </c>
      <c r="X97" s="422">
        <f t="shared" si="7"/>
        <v>47484</v>
      </c>
      <c r="Y97" s="422">
        <f>IF(S97="","",WORKDAY(X97-1,1,FERIADOS!$A$2:$A$8310))</f>
        <v>47485</v>
      </c>
      <c r="Z97" s="427">
        <f t="shared" ca="1" si="15"/>
        <v>3080</v>
      </c>
      <c r="AA97" s="707">
        <f t="shared" ca="1" si="16"/>
        <v>0.10117999328146854</v>
      </c>
      <c r="AB97" s="160" t="str">
        <f t="shared" si="23"/>
        <v>=BC|Cot!DI1F30.ULT</v>
      </c>
      <c r="AC97" s="160" t="str">
        <f t="shared" si="9"/>
        <v>=BC|Cot!DI1F30.OCP</v>
      </c>
      <c r="AD97" s="160" t="str">
        <f t="shared" si="10"/>
        <v>=BC|Cot!DI1F30.OVD</v>
      </c>
      <c r="AE97" s="161" t="str">
        <f t="shared" si="11"/>
        <v>=BC|Cot!DI1F30.FEC</v>
      </c>
      <c r="AF97" s="161" t="str">
        <f t="shared" si="12"/>
        <v>=BC|Cot!DI1F30.AJU</v>
      </c>
      <c r="AG97" s="161" t="str">
        <f t="shared" si="13"/>
        <v>=BC|Cot!DI1F30.HOR</v>
      </c>
      <c r="AH97" s="219" t="str">
        <f t="shared" si="14"/>
        <v>DI1F30</v>
      </c>
    </row>
    <row r="98" spans="1:34" ht="22.5" thickBot="1" x14ac:dyDescent="0.25">
      <c r="A98" s="222">
        <f t="shared" si="21"/>
        <v>27</v>
      </c>
      <c r="B98" s="222" t="str">
        <f>IF(dadosexternosBMF_1!A98="DI1 - DI de 1 dia","DI1 - DI de 1 dia","")</f>
        <v/>
      </c>
      <c r="C98" s="222" t="str">
        <f>IF(dadosexternosBMF_1!A98="DOL - Dólar comercial","",IF(C97&lt;&gt;"",dadosexternosBMF_1!B98,IF(dadosexternosBMF_1!A98="DI1 - DI de 1 dia",dadosexternosBMF_1!B98,"")))</f>
        <v>J22</v>
      </c>
      <c r="D98" s="222">
        <f>IF(C98&lt;&gt;"",dadosexternosBMF_1!C98,"")</f>
        <v>67013.600000000006</v>
      </c>
      <c r="E98" s="222">
        <f>IF(C98&lt;&gt;"",dadosexternosBMF_1!D98,"")</f>
        <v>67271.100000000006</v>
      </c>
      <c r="G98" s="219" t="str">
        <f t="shared" si="22"/>
        <v/>
      </c>
      <c r="H98" s="219">
        <f t="shared" si="17"/>
        <v>27</v>
      </c>
      <c r="I98" s="219" t="str">
        <f t="shared" si="18"/>
        <v>DI1J22</v>
      </c>
      <c r="J98" s="219">
        <f>IF(I98="","",VLOOKUP(LEFT(C98,1),dadosexternosBMF_1!$L$2:$M$13,2,FALSE))</f>
        <v>4</v>
      </c>
      <c r="K98" s="219">
        <f t="shared" si="19"/>
        <v>2022</v>
      </c>
      <c r="L98" s="422">
        <f t="shared" si="20"/>
        <v>44652</v>
      </c>
      <c r="M98" s="422">
        <f>IF(I98="","",WORKDAY(L98-1,1,FERIADOS!$A$2:$A$831))</f>
        <v>44652</v>
      </c>
      <c r="N98" s="219">
        <f ca="1">IF(I98="","",NETWORKDAYS(Curva!$M$2,M98,FERIADOS!$A$2:$A$831)-1)</f>
        <v>1135</v>
      </c>
      <c r="O98" s="423">
        <f ca="1">IF(C98&lt;&gt;"",IF(ISERROR((100000/E98)^(252/N98)-1),Curva!$B$2,((100000/E98)^(252/N98)-1)),"")</f>
        <v>9.2010004767375531E-2</v>
      </c>
      <c r="P98" s="219" t="str">
        <f>IF(OR(G98=1,G98=2),dadosexternosBMF_1!B98,"")</f>
        <v/>
      </c>
      <c r="Q98" s="219" t="str">
        <f>IF(OR(G98=1,G98=2),dadosexternosBMF_1!D98,"")</f>
        <v/>
      </c>
      <c r="R98" s="222">
        <v>41</v>
      </c>
      <c r="S98" s="222" t="s">
        <v>421</v>
      </c>
      <c r="T98" s="219">
        <f ca="1">IF(S98="","",NETWORKDAYS(Curva!$M$2,Y98,FERIADOS!$A$2:$A$831)-1)</f>
        <v>3080</v>
      </c>
      <c r="U98" s="425">
        <f ca="1">IF(ISERROR(_xll.Spline($N$70:$N$108,$O$70:$O$108,T98)),VLOOKUP(S98,$I$1:$O$1100,7,FALSE),_xll.Spline($N$70:$N$108,$O$70:$O$108,T98))</f>
        <v>0.10117999328146854</v>
      </c>
      <c r="V98" s="426">
        <f>IF(S98="","",VLOOKUP(LEFT(RIGHT(S98,3),1),dadosexternosBMF_1!$L$2:$M$13,2,FALSE))</f>
        <v>1</v>
      </c>
      <c r="W98" s="426">
        <f t="shared" si="6"/>
        <v>2030</v>
      </c>
      <c r="X98" s="422">
        <f t="shared" si="7"/>
        <v>47484</v>
      </c>
      <c r="Y98" s="422">
        <f>IF(S98="","",WORKDAY(X98-1,1,FERIADOS!$A$2:$A$8310))</f>
        <v>47485</v>
      </c>
      <c r="Z98" s="427">
        <f t="shared" ca="1" si="15"/>
        <v>3080</v>
      </c>
      <c r="AA98" s="707">
        <f t="shared" ca="1" si="16"/>
        <v>0.10117999328146854</v>
      </c>
      <c r="AB98" s="160" t="str">
        <f t="shared" si="23"/>
        <v>=BC|Cot!DI1F30.ULT</v>
      </c>
      <c r="AC98" s="160" t="str">
        <f t="shared" si="9"/>
        <v>=BC|Cot!DI1F30.OCP</v>
      </c>
      <c r="AD98" s="160" t="str">
        <f t="shared" si="10"/>
        <v>=BC|Cot!DI1F30.OVD</v>
      </c>
      <c r="AE98" s="161" t="str">
        <f t="shared" si="11"/>
        <v>=BC|Cot!DI1F30.FEC</v>
      </c>
      <c r="AF98" s="161" t="str">
        <f t="shared" si="12"/>
        <v>=BC|Cot!DI1F30.AJU</v>
      </c>
      <c r="AG98" s="161" t="str">
        <f t="shared" si="13"/>
        <v>=BC|Cot!DI1F30.HOR</v>
      </c>
      <c r="AH98" s="219" t="str">
        <f t="shared" si="14"/>
        <v>DI1F30</v>
      </c>
    </row>
    <row r="99" spans="1:34" x14ac:dyDescent="0.2">
      <c r="A99" s="222">
        <f t="shared" si="21"/>
        <v>28</v>
      </c>
      <c r="B99" s="222" t="str">
        <f>IF(dadosexternosBMF_1!A99="DI1 - DI de 1 dia","DI1 - DI de 1 dia","")</f>
        <v/>
      </c>
      <c r="C99" s="222" t="str">
        <f>IF(dadosexternosBMF_1!A99="DOL - Dólar comercial","",IF(C98&lt;&gt;"",dadosexternosBMF_1!B99,IF(dadosexternosBMF_1!A99="DI1 - DI de 1 dia",dadosexternosBMF_1!B99,"")))</f>
        <v>N22</v>
      </c>
      <c r="D99" s="222">
        <f>IF(C99&lt;&gt;"",dadosexternosBMF_1!C99,"")</f>
        <v>65373.65</v>
      </c>
      <c r="E99" s="222">
        <f>IF(C99&lt;&gt;"",dadosexternosBMF_1!D99,"")</f>
        <v>65647</v>
      </c>
      <c r="G99" s="219" t="str">
        <f t="shared" si="22"/>
        <v/>
      </c>
      <c r="H99" s="219">
        <f t="shared" si="17"/>
        <v>28</v>
      </c>
      <c r="I99" s="219" t="str">
        <f t="shared" si="18"/>
        <v>DI1N22</v>
      </c>
      <c r="J99" s="219">
        <f>IF(I99="","",VLOOKUP(LEFT(C99,1),dadosexternosBMF_1!$L$2:$M$13,2,FALSE))</f>
        <v>7</v>
      </c>
      <c r="K99" s="219">
        <f t="shared" si="19"/>
        <v>2022</v>
      </c>
      <c r="L99" s="422">
        <f t="shared" si="20"/>
        <v>44743</v>
      </c>
      <c r="M99" s="422">
        <f>IF(I99="","",WORKDAY(L99-1,1,FERIADOS!$A$2:$A$831))</f>
        <v>44743</v>
      </c>
      <c r="N99" s="219">
        <f ca="1">IF(I99="","",NETWORKDAYS(Curva!$M$2,M99,FERIADOS!$A$2:$A$831)-1)</f>
        <v>1197</v>
      </c>
      <c r="O99" s="423">
        <f ca="1">IF(C99&lt;&gt;"",IF(ISERROR((100000/E99)^(252/N99)-1),Curva!$B$2,((100000/E99)^(252/N99)-1)),"")</f>
        <v>9.2650017499465109E-2</v>
      </c>
      <c r="P99" s="219" t="str">
        <f>IF(OR(G99=1,G99=2),dadosexternosBMF_1!B99,"")</f>
        <v/>
      </c>
      <c r="Q99" s="219" t="str">
        <f>IF(OR(G99=1,G99=2),dadosexternosBMF_1!D99,"")</f>
        <v/>
      </c>
      <c r="R99" s="222">
        <v>42</v>
      </c>
      <c r="S99" s="222"/>
      <c r="T99" s="219" t="str">
        <f>IF(S99="","",NETWORKDAYS(Curva!$M$2,Y99,FERIADOS!$A$2:$A$831)-1)</f>
        <v/>
      </c>
      <c r="U99" s="425" t="e">
        <f>IF(ISERROR(_xll.Spline($N$70:$N$108,$O$70:$O$108,T99)),VLOOKUP(S99,$I$1:$O$1100,7,FALSE),_xll.Spline($N$70:$N$108,$O$70:$O$108,T99))</f>
        <v>#N/A</v>
      </c>
      <c r="V99" s="426" t="str">
        <f>IF(S99="","",VLOOKUP(LEFT(RIGHT(S99,3),1),dadosexternosBMF_1!$L$2:$M$13,2,FALSE))</f>
        <v/>
      </c>
      <c r="W99" s="426" t="str">
        <f t="shared" si="6"/>
        <v/>
      </c>
      <c r="X99" s="422" t="str">
        <f t="shared" si="7"/>
        <v/>
      </c>
      <c r="Y99" s="422" t="str">
        <f>IF(S99="","",WORKDAY(X99-1,1,FERIADOS!$A$2:$A$8310))</f>
        <v/>
      </c>
    </row>
    <row r="100" spans="1:34" x14ac:dyDescent="0.2">
      <c r="A100" s="222">
        <f t="shared" si="21"/>
        <v>29</v>
      </c>
      <c r="B100" s="222" t="str">
        <f>IF(dadosexternosBMF_1!A100="DI1 - DI de 1 dia","DI1 - DI de 1 dia","")</f>
        <v/>
      </c>
      <c r="C100" s="222" t="str">
        <f>IF(dadosexternosBMF_1!A100="DOL - Dólar comercial","",IF(C99&lt;&gt;"",dadosexternosBMF_1!B100,IF(dadosexternosBMF_1!A100="DI1 - DI de 1 dia",dadosexternosBMF_1!B100,"")))</f>
        <v>F23</v>
      </c>
      <c r="D100" s="222">
        <f>IF(C100&lt;&gt;"",dadosexternosBMF_1!C100,"")</f>
        <v>62161.81</v>
      </c>
      <c r="E100" s="222">
        <f>IF(C100&lt;&gt;"",dadosexternosBMF_1!D100,"")</f>
        <v>62464.03</v>
      </c>
      <c r="G100" s="219" t="str">
        <f t="shared" si="22"/>
        <v/>
      </c>
      <c r="H100" s="219">
        <f t="shared" si="17"/>
        <v>29</v>
      </c>
      <c r="I100" s="219" t="str">
        <f t="shared" si="18"/>
        <v>DI1F23</v>
      </c>
      <c r="J100" s="219">
        <f>IF(I100="","",VLOOKUP(LEFT(C100,1),dadosexternosBMF_1!$L$2:$M$13,2,FALSE))</f>
        <v>1</v>
      </c>
      <c r="K100" s="219">
        <f t="shared" si="19"/>
        <v>2023</v>
      </c>
      <c r="L100" s="422">
        <f t="shared" si="20"/>
        <v>44927</v>
      </c>
      <c r="M100" s="422">
        <f>IF(I100="","",WORKDAY(L100-1,1,FERIADOS!$A$2:$A$831))</f>
        <v>44928</v>
      </c>
      <c r="N100" s="219">
        <f ca="1">IF(I100="","",NETWORKDAYS(Curva!$M$2,M100,FERIADOS!$A$2:$A$831)-1)</f>
        <v>1324</v>
      </c>
      <c r="O100" s="423">
        <f ca="1">IF(C100&lt;&gt;"",IF(ISERROR((100000/E100)^(252/N100)-1),Curva!$B$2,((100000/E100)^(252/N100)-1)),"")</f>
        <v>9.3700013508272173E-2</v>
      </c>
      <c r="P100" s="219" t="str">
        <f>IF(OR(G100=1,G100=2),dadosexternosBMF_1!B100,"")</f>
        <v/>
      </c>
      <c r="Q100" s="219" t="str">
        <f>IF(OR(G100=1,G100=2),dadosexternosBMF_1!D100,"")</f>
        <v/>
      </c>
    </row>
    <row r="101" spans="1:34" x14ac:dyDescent="0.2">
      <c r="A101" s="222">
        <f t="shared" si="21"/>
        <v>30</v>
      </c>
      <c r="B101" s="222" t="str">
        <f>IF(dadosexternosBMF_1!A101="DI1 - DI de 1 dia","DI1 - DI de 1 dia","")</f>
        <v/>
      </c>
      <c r="C101" s="222" t="str">
        <f>IF(dadosexternosBMF_1!A101="DOL - Dólar comercial","",IF(C100&lt;&gt;"",dadosexternosBMF_1!B101,IF(dadosexternosBMF_1!A101="DI1 - DI de 1 dia",dadosexternosBMF_1!B101,"")))</f>
        <v>N23</v>
      </c>
      <c r="D101" s="222">
        <f>IF(C101&lt;&gt;"",dadosexternosBMF_1!C101,"")</f>
        <v>59205.72</v>
      </c>
      <c r="E101" s="222">
        <f>IF(C101&lt;&gt;"",dadosexternosBMF_1!D101,"")</f>
        <v>59514.03</v>
      </c>
      <c r="G101" s="219" t="str">
        <f t="shared" si="22"/>
        <v/>
      </c>
      <c r="H101" s="219">
        <f t="shared" si="17"/>
        <v>30</v>
      </c>
      <c r="I101" s="219" t="str">
        <f t="shared" si="18"/>
        <v>DI1N23</v>
      </c>
      <c r="J101" s="219">
        <f>IF(I101="","",VLOOKUP(LEFT(C101,1),dadosexternosBMF_1!$L$2:$M$13,2,FALSE))</f>
        <v>7</v>
      </c>
      <c r="K101" s="219">
        <f t="shared" si="19"/>
        <v>2023</v>
      </c>
      <c r="L101" s="422">
        <f t="shared" si="20"/>
        <v>45108</v>
      </c>
      <c r="M101" s="422">
        <f>IF(I101="","",WORKDAY(L101-1,1,FERIADOS!$A$2:$A$831))</f>
        <v>45110</v>
      </c>
      <c r="N101" s="219">
        <f ca="1">IF(I101="","",NETWORKDAYS(Curva!$M$2,M101,FERIADOS!$A$2:$A$831)-1)</f>
        <v>1448</v>
      </c>
      <c r="O101" s="423">
        <f ca="1">IF(C101&lt;&gt;"",IF(ISERROR((100000/E101)^(252/N101)-1),Curva!$B$2,((100000/E101)^(252/N101)-1)),"")</f>
        <v>9.4520002123377855E-2</v>
      </c>
      <c r="P101" s="219" t="str">
        <f>IF(OR(G101=1,G101=2),dadosexternosBMF_1!B101,"")</f>
        <v/>
      </c>
      <c r="Q101" s="219" t="str">
        <f>IF(OR(G101=1,G101=2),dadosexternosBMF_1!D101,"")</f>
        <v/>
      </c>
    </row>
    <row r="102" spans="1:34" x14ac:dyDescent="0.2">
      <c r="A102" s="222">
        <f t="shared" si="21"/>
        <v>31</v>
      </c>
      <c r="B102" s="222" t="str">
        <f>IF(dadosexternosBMF_1!A102="DI1 - DI de 1 dia","DI1 - DI de 1 dia","")</f>
        <v/>
      </c>
      <c r="C102" s="222" t="str">
        <f>IF(dadosexternosBMF_1!A102="DOL - Dólar comercial","",IF(C101&lt;&gt;"",dadosexternosBMF_1!B102,IF(dadosexternosBMF_1!A102="DI1 - DI de 1 dia",dadosexternosBMF_1!B102,"")))</f>
        <v>F24</v>
      </c>
      <c r="D102" s="222">
        <f>IF(C102&lt;&gt;"",dadosexternosBMF_1!C102,"")</f>
        <v>56233.120000000003</v>
      </c>
      <c r="E102" s="222">
        <f>IF(C102&lt;&gt;"",dadosexternosBMF_1!D102,"")</f>
        <v>56541.31</v>
      </c>
      <c r="G102" s="219" t="str">
        <f t="shared" si="22"/>
        <v/>
      </c>
      <c r="H102" s="219">
        <f t="shared" si="17"/>
        <v>31</v>
      </c>
      <c r="I102" s="219" t="str">
        <f t="shared" si="18"/>
        <v>DI1F24</v>
      </c>
      <c r="J102" s="219">
        <f>IF(I102="","",VLOOKUP(LEFT(C102,1),dadosexternosBMF_1!$L$2:$M$13,2,FALSE))</f>
        <v>1</v>
      </c>
      <c r="K102" s="219">
        <f t="shared" si="19"/>
        <v>2024</v>
      </c>
      <c r="L102" s="422">
        <f t="shared" si="20"/>
        <v>45292</v>
      </c>
      <c r="M102" s="422">
        <f>IF(I102="","",WORKDAY(L102-1,1,FERIADOS!$A$2:$A$831))</f>
        <v>45293</v>
      </c>
      <c r="N102" s="219">
        <f ca="1">IF(I102="","",NETWORKDAYS(Curva!$M$2,M102,FERIADOS!$A$2:$A$831)-1)</f>
        <v>1573</v>
      </c>
      <c r="O102" s="423">
        <f ca="1">IF(C102&lt;&gt;"",IF(ISERROR((100000/E102)^(252/N102)-1),Curva!$B$2,((100000/E102)^(252/N102)-1)),"")</f>
        <v>9.5649988007779019E-2</v>
      </c>
      <c r="P102" s="219" t="str">
        <f>IF(OR(G102=1,G102=2),dadosexternosBMF_1!B102,"")</f>
        <v/>
      </c>
      <c r="Q102" s="219" t="str">
        <f>IF(OR(G102=1,G102=2),dadosexternosBMF_1!D102,"")</f>
        <v/>
      </c>
    </row>
    <row r="103" spans="1:34" x14ac:dyDescent="0.2">
      <c r="A103" s="222">
        <f t="shared" si="21"/>
        <v>32</v>
      </c>
      <c r="B103" s="222" t="str">
        <f>IF(dadosexternosBMF_1!A103="DI1 - DI de 1 dia","DI1 - DI de 1 dia","")</f>
        <v/>
      </c>
      <c r="C103" s="222" t="str">
        <f>IF(dadosexternosBMF_1!A103="DOL - Dólar comercial","",IF(C102&lt;&gt;"",dadosexternosBMF_1!B103,IF(dadosexternosBMF_1!A103="DI1 - DI de 1 dia",dadosexternosBMF_1!B103,"")))</f>
        <v>N24</v>
      </c>
      <c r="D103" s="222">
        <f>IF(C103&lt;&gt;"",dadosexternosBMF_1!C103,"")</f>
        <v>53514.55</v>
      </c>
      <c r="E103" s="222">
        <f>IF(C103&lt;&gt;"",dadosexternosBMF_1!D103,"")</f>
        <v>53824.11</v>
      </c>
      <c r="G103" s="219" t="str">
        <f t="shared" si="22"/>
        <v/>
      </c>
      <c r="H103" s="219">
        <f t="shared" si="17"/>
        <v>32</v>
      </c>
      <c r="I103" s="219" t="str">
        <f t="shared" si="18"/>
        <v>DI1N24</v>
      </c>
      <c r="J103" s="219">
        <f>IF(I103="","",VLOOKUP(LEFT(C103,1),dadosexternosBMF_1!$L$2:$M$13,2,FALSE))</f>
        <v>7</v>
      </c>
      <c r="K103" s="219">
        <f t="shared" si="19"/>
        <v>2024</v>
      </c>
      <c r="L103" s="422">
        <f t="shared" si="20"/>
        <v>45474</v>
      </c>
      <c r="M103" s="422">
        <f>IF(I103="","",WORKDAY(L103-1,1,FERIADOS!$A$2:$A$831))</f>
        <v>45474</v>
      </c>
      <c r="N103" s="219">
        <f ca="1">IF(I103="","",NETWORKDAYS(Curva!$M$2,M103,FERIADOS!$A$2:$A$831)-1)</f>
        <v>1697</v>
      </c>
      <c r="O103" s="423">
        <f ca="1">IF(C103&lt;&gt;"",IF(ISERROR((100000/E103)^(252/N103)-1),Curva!$B$2,((100000/E103)^(252/N103)-1)),"")</f>
        <v>9.6350005970885944E-2</v>
      </c>
      <c r="P103" s="219" t="str">
        <f>IF(OR(G103=1,G103=2),dadosexternosBMF_1!B103,"")</f>
        <v/>
      </c>
      <c r="Q103" s="219" t="str">
        <f>IF(OR(G103=1,G103=2),dadosexternosBMF_1!D103,"")</f>
        <v/>
      </c>
    </row>
    <row r="104" spans="1:34" x14ac:dyDescent="0.2">
      <c r="A104" s="222">
        <f t="shared" si="21"/>
        <v>33</v>
      </c>
      <c r="B104" s="222" t="str">
        <f>IF(dadosexternosBMF_1!A104="DI1 - DI de 1 dia","DI1 - DI de 1 dia","")</f>
        <v/>
      </c>
      <c r="C104" s="222" t="str">
        <f>IF(dadosexternosBMF_1!A104="DOL - Dólar comercial","",IF(C103&lt;&gt;"",dadosexternosBMF_1!B104,IF(dadosexternosBMF_1!A104="DI1 - DI de 1 dia",dadosexternosBMF_1!B104,"")))</f>
        <v>F25</v>
      </c>
      <c r="D104" s="222">
        <f>IF(C104&lt;&gt;"",dadosexternosBMF_1!C104,"")</f>
        <v>50736.42</v>
      </c>
      <c r="E104" s="222">
        <f>IF(C104&lt;&gt;"",dadosexternosBMF_1!D104,"")</f>
        <v>51042.03</v>
      </c>
      <c r="G104" s="219" t="str">
        <f t="shared" si="22"/>
        <v/>
      </c>
      <c r="H104" s="219">
        <f t="shared" si="17"/>
        <v>33</v>
      </c>
      <c r="I104" s="219" t="str">
        <f t="shared" si="18"/>
        <v>DI1F25</v>
      </c>
      <c r="J104" s="219">
        <f>IF(I104="","",VLOOKUP(LEFT(C104,1),dadosexternosBMF_1!$L$2:$M$13,2,FALSE))</f>
        <v>1</v>
      </c>
      <c r="K104" s="219">
        <f t="shared" si="19"/>
        <v>2025</v>
      </c>
      <c r="L104" s="422">
        <f t="shared" si="20"/>
        <v>45658</v>
      </c>
      <c r="M104" s="422">
        <f>IF(I104="","",WORKDAY(L104-1,1,FERIADOS!$A$2:$A$831))</f>
        <v>45659</v>
      </c>
      <c r="N104" s="219">
        <f ca="1">IF(I104="","",NETWORKDAYS(Curva!$M$2,M104,FERIADOS!$A$2:$A$831)-1)</f>
        <v>1827</v>
      </c>
      <c r="O104" s="423">
        <f ca="1">IF(C104&lt;&gt;"",IF(ISERROR((100000/E104)^(252/N104)-1),Curva!$B$2,((100000/E104)^(252/N104)-1)),"")</f>
        <v>9.720000672329232E-2</v>
      </c>
      <c r="P104" s="219" t="str">
        <f>IF(OR(G104=1,G104=2),dadosexternosBMF_1!B104,"")</f>
        <v/>
      </c>
      <c r="Q104" s="219" t="str">
        <f>IF(OR(G104=1,G104=2),dadosexternosBMF_1!D104,"")</f>
        <v/>
      </c>
    </row>
    <row r="105" spans="1:34" x14ac:dyDescent="0.2">
      <c r="A105" s="222">
        <f t="shared" si="21"/>
        <v>34</v>
      </c>
      <c r="B105" s="222" t="str">
        <f>IF(dadosexternosBMF_1!A105="DI1 - DI de 1 dia","DI1 - DI de 1 dia","")</f>
        <v/>
      </c>
      <c r="C105" s="222" t="str">
        <f>IF(dadosexternosBMF_1!A105="DOL - Dólar comercial","",IF(C104&lt;&gt;"",dadosexternosBMF_1!B105,IF(dadosexternosBMF_1!A105="DI1 - DI de 1 dia",dadosexternosBMF_1!B105,"")))</f>
        <v>F26</v>
      </c>
      <c r="D105" s="222">
        <f>IF(C105&lt;&gt;"",dadosexternosBMF_1!C105,"")</f>
        <v>45789.16</v>
      </c>
      <c r="E105" s="222">
        <f>IF(C105&lt;&gt;"",dadosexternosBMF_1!D105,"")</f>
        <v>46033.55</v>
      </c>
      <c r="G105" s="219" t="str">
        <f t="shared" si="22"/>
        <v/>
      </c>
      <c r="H105" s="219">
        <f t="shared" si="17"/>
        <v>34</v>
      </c>
      <c r="I105" s="219" t="str">
        <f t="shared" si="18"/>
        <v>DI1F26</v>
      </c>
      <c r="J105" s="219">
        <f>IF(I105="","",VLOOKUP(LEFT(C105,1),dadosexternosBMF_1!$L$2:$M$13,2,FALSE))</f>
        <v>1</v>
      </c>
      <c r="K105" s="219">
        <f t="shared" si="19"/>
        <v>2026</v>
      </c>
      <c r="L105" s="422">
        <f t="shared" si="20"/>
        <v>46023</v>
      </c>
      <c r="M105" s="422">
        <f>IF(I105="","",WORKDAY(L105-1,1,FERIADOS!$A$2:$A$831))</f>
        <v>46024</v>
      </c>
      <c r="N105" s="219">
        <f ca="1">IF(I105="","",NETWORKDAYS(Curva!$M$2,M105,FERIADOS!$A$2:$A$831)-1)</f>
        <v>2080</v>
      </c>
      <c r="O105" s="423">
        <f ca="1">IF(C105&lt;&gt;"",IF(ISERROR((100000/E105)^(252/N105)-1),Curva!$B$2,((100000/E105)^(252/N105)-1)),"")</f>
        <v>9.854998900413614E-2</v>
      </c>
      <c r="P105" s="219" t="str">
        <f>IF(OR(G105=1,G105=2),dadosexternosBMF_1!B105,"")</f>
        <v/>
      </c>
      <c r="Q105" s="219" t="str">
        <f>IF(OR(G105=1,G105=2),dadosexternosBMF_1!D105,"")</f>
        <v/>
      </c>
    </row>
    <row r="106" spans="1:34" x14ac:dyDescent="0.2">
      <c r="A106" s="222">
        <f t="shared" si="21"/>
        <v>35</v>
      </c>
      <c r="B106" s="222" t="str">
        <f>IF(dadosexternosBMF_1!A106="DI1 - DI de 1 dia","DI1 - DI de 1 dia","")</f>
        <v/>
      </c>
      <c r="C106" s="222" t="str">
        <f>IF(dadosexternosBMF_1!A106="DOL - Dólar comercial","",IF(C105&lt;&gt;"",dadosexternosBMF_1!B106,IF(dadosexternosBMF_1!A106="DI1 - DI de 1 dia",dadosexternosBMF_1!B106,"")))</f>
        <v>F27</v>
      </c>
      <c r="D106" s="222">
        <f>IF(C106&lt;&gt;"",dadosexternosBMF_1!C106,"")</f>
        <v>41250.28</v>
      </c>
      <c r="E106" s="222">
        <f>IF(C106&lt;&gt;"",dadosexternosBMF_1!D106,"")</f>
        <v>41496.559999999998</v>
      </c>
      <c r="G106" s="219" t="str">
        <f t="shared" si="22"/>
        <v/>
      </c>
      <c r="H106" s="219">
        <f t="shared" si="17"/>
        <v>35</v>
      </c>
      <c r="I106" s="219" t="str">
        <f t="shared" si="18"/>
        <v>DI1F27</v>
      </c>
      <c r="J106" s="219">
        <f>IF(I106="","",VLOOKUP(LEFT(C106,1),dadosexternosBMF_1!$L$2:$M$13,2,FALSE))</f>
        <v>1</v>
      </c>
      <c r="K106" s="219">
        <f t="shared" si="19"/>
        <v>2027</v>
      </c>
      <c r="L106" s="422">
        <f t="shared" si="20"/>
        <v>46388</v>
      </c>
      <c r="M106" s="422">
        <f>IF(I106="","",WORKDAY(L106-1,1,FERIADOS!$A$2:$A$831))</f>
        <v>46391</v>
      </c>
      <c r="N106" s="219">
        <f ca="1">IF(I106="","",NETWORKDAYS(Curva!$M$2,M106,FERIADOS!$A$2:$A$831)-1)</f>
        <v>2330</v>
      </c>
      <c r="O106" s="423">
        <f ca="1">IF(C106&lt;&gt;"",IF(ISERROR((100000/E106)^(252/N106)-1),Curva!$B$2,((100000/E106)^(252/N106)-1)),"")</f>
        <v>9.9799994657937097E-2</v>
      </c>
      <c r="P106" s="219" t="str">
        <f>IF(OR(G106=1,G106=2),dadosexternosBMF_1!B106,"")</f>
        <v/>
      </c>
      <c r="Q106" s="219" t="str">
        <f>IF(OR(G106=1,G106=2),dadosexternosBMF_1!D106,"")</f>
        <v/>
      </c>
    </row>
    <row r="107" spans="1:34" x14ac:dyDescent="0.2">
      <c r="A107" s="222">
        <f t="shared" si="21"/>
        <v>36</v>
      </c>
      <c r="B107" s="222" t="str">
        <f>IF(dadosexternosBMF_1!A107="DI1 - DI de 1 dia","DI1 - DI de 1 dia","")</f>
        <v/>
      </c>
      <c r="C107" s="222" t="str">
        <f>IF(dadosexternosBMF_1!A107="DOL - Dólar comercial","",IF(C106&lt;&gt;"",dadosexternosBMF_1!B107,IF(dadosexternosBMF_1!A107="DI1 - DI de 1 dia",dadosexternosBMF_1!B107,"")))</f>
        <v>F28</v>
      </c>
      <c r="D107" s="222">
        <f>IF(C107&lt;&gt;"",dadosexternosBMF_1!C107,"")</f>
        <v>37288.629999999997</v>
      </c>
      <c r="E107" s="222">
        <f>IF(C107&lt;&gt;"",dadosexternosBMF_1!D107,"")</f>
        <v>37534.99</v>
      </c>
      <c r="G107" s="219" t="str">
        <f t="shared" si="22"/>
        <v/>
      </c>
      <c r="H107" s="219">
        <f t="shared" si="17"/>
        <v>36</v>
      </c>
      <c r="I107" s="219" t="str">
        <f t="shared" si="18"/>
        <v>DI1F28</v>
      </c>
      <c r="J107" s="219">
        <f>IF(I107="","",VLOOKUP(LEFT(C107,1),dadosexternosBMF_1!$L$2:$M$13,2,FALSE))</f>
        <v>1</v>
      </c>
      <c r="K107" s="219">
        <f t="shared" si="19"/>
        <v>2028</v>
      </c>
      <c r="L107" s="422">
        <f t="shared" si="20"/>
        <v>46753</v>
      </c>
      <c r="M107" s="422">
        <f>IF(I107="","",WORKDAY(L107-1,1,FERIADOS!$A$2:$A$831))</f>
        <v>46755</v>
      </c>
      <c r="N107" s="219">
        <f ca="1">IF(I107="","",NETWORKDAYS(Curva!$M$2,M107,FERIADOS!$A$2:$A$831)-1)</f>
        <v>2581</v>
      </c>
      <c r="O107" s="423">
        <f ca="1">IF(C107&lt;&gt;"",IF(ISERROR((100000/E107)^(252/N107)-1),Curva!$B$2,((100000/E107)^(252/N107)-1)),"")</f>
        <v>0.10039999985581738</v>
      </c>
      <c r="P107" s="219" t="str">
        <f>IF(OR(G107=1,G107=2),dadosexternosBMF_1!B107,"")</f>
        <v/>
      </c>
      <c r="Q107" s="219" t="str">
        <f>IF(OR(G107=1,G107=2),dadosexternosBMF_1!D107,"")</f>
        <v/>
      </c>
    </row>
    <row r="108" spans="1:34" x14ac:dyDescent="0.2">
      <c r="A108" s="222">
        <f t="shared" si="21"/>
        <v>37</v>
      </c>
      <c r="B108" s="222" t="str">
        <f>IF(dadosexternosBMF_1!A108="DI1 - DI de 1 dia","DI1 - DI de 1 dia","")</f>
        <v/>
      </c>
      <c r="C108" s="222" t="str">
        <f>IF(dadosexternosBMF_1!A108="DOL - Dólar comercial","",IF(C107&lt;&gt;"",dadosexternosBMF_1!B108,IF(dadosexternosBMF_1!A108="DI1 - DI de 1 dia",dadosexternosBMF_1!B108,"")))</f>
        <v>F29</v>
      </c>
      <c r="D108" s="222">
        <f>IF(C108&lt;&gt;"",dadosexternosBMF_1!C108,"")</f>
        <v>33765.69</v>
      </c>
      <c r="E108" s="222">
        <f>IF(C108&lt;&gt;"",dadosexternosBMF_1!D108,"")</f>
        <v>34010.089999999997</v>
      </c>
      <c r="G108" s="219" t="str">
        <f t="shared" si="22"/>
        <v/>
      </c>
      <c r="H108" s="219">
        <f t="shared" si="17"/>
        <v>37</v>
      </c>
      <c r="I108" s="219" t="str">
        <f t="shared" si="18"/>
        <v>DI1F29</v>
      </c>
      <c r="J108" s="219">
        <f>IF(I108="","",VLOOKUP(LEFT(C108,1),dadosexternosBMF_1!$L$2:$M$13,2,FALSE))</f>
        <v>1</v>
      </c>
      <c r="K108" s="219">
        <f t="shared" si="19"/>
        <v>2029</v>
      </c>
      <c r="L108" s="422">
        <f t="shared" si="20"/>
        <v>47119</v>
      </c>
      <c r="M108" s="422">
        <f>IF(I108="","",WORKDAY(L108-1,1,FERIADOS!$A$2:$A$831))</f>
        <v>47120</v>
      </c>
      <c r="N108" s="219">
        <f ca="1">IF(I108="","",NETWORKDAYS(Curva!$M$2,M108,FERIADOS!$A$2:$A$831)-1)</f>
        <v>2830</v>
      </c>
      <c r="O108" s="423">
        <f ca="1">IF(C108&lt;&gt;"",IF(ISERROR((100000/E108)^(252/N108)-1),Curva!$B$2,((100000/E108)^(252/N108)-1)),"")</f>
        <v>0.10080000717932958</v>
      </c>
      <c r="P108" s="219" t="str">
        <f>IF(OR(G108=1,G108=2),dadosexternosBMF_1!B108,"")</f>
        <v/>
      </c>
      <c r="Q108" s="219" t="str">
        <f>IF(OR(G108=1,G108=2),dadosexternosBMF_1!D108,"")</f>
        <v/>
      </c>
    </row>
    <row r="109" spans="1:34" x14ac:dyDescent="0.2">
      <c r="A109" s="222">
        <f t="shared" si="21"/>
        <v>38</v>
      </c>
      <c r="B109" s="222" t="str">
        <f>IF(dadosexternosBMF_1!A109="DI1 - DI de 1 dia","DI1 - DI de 1 dia","")</f>
        <v/>
      </c>
      <c r="C109" s="222" t="str">
        <f>IF(dadosexternosBMF_1!A109="DOL - Dólar comercial","",IF(C108&lt;&gt;"",dadosexternosBMF_1!B109,IF(dadosexternosBMF_1!A109="DI1 - DI de 1 dia",dadosexternosBMF_1!B109,"")))</f>
        <v>F30</v>
      </c>
      <c r="D109" s="222">
        <f>IF(C109&lt;&gt;"",dadosexternosBMF_1!C109,"")</f>
        <v>30548.71</v>
      </c>
      <c r="E109" s="222">
        <f>IF(C109&lt;&gt;"",dadosexternosBMF_1!D109,"")</f>
        <v>30789.200000000001</v>
      </c>
      <c r="G109" s="219" t="str">
        <f t="shared" si="22"/>
        <v/>
      </c>
      <c r="H109" s="219">
        <f t="shared" si="17"/>
        <v>38</v>
      </c>
      <c r="I109" s="219" t="str">
        <f t="shared" si="18"/>
        <v>DI1F30</v>
      </c>
      <c r="J109" s="219">
        <f>IF(I109="","",VLOOKUP(LEFT(C109,1),dadosexternosBMF_1!$L$2:$M$13,2,FALSE))</f>
        <v>1</v>
      </c>
      <c r="K109" s="219">
        <f t="shared" si="19"/>
        <v>2030</v>
      </c>
      <c r="L109" s="422">
        <f t="shared" si="20"/>
        <v>47484</v>
      </c>
      <c r="M109" s="422">
        <f>IF(I109="","",WORKDAY(L109-1,1,FERIADOS!$A$2:$A$831))</f>
        <v>47485</v>
      </c>
      <c r="N109" s="219">
        <f ca="1">IF(I109="","",NETWORKDAYS(Curva!$M$2,M109,FERIADOS!$A$2:$A$831)-1)</f>
        <v>3080</v>
      </c>
      <c r="O109" s="423">
        <f ca="1">IF(C109&lt;&gt;"",IF(ISERROR((100000/E109)^(252/N109)-1),Curva!$B$2,((100000/E109)^(252/N109)-1)),"")</f>
        <v>0.10117999328146854</v>
      </c>
      <c r="P109" s="219" t="str">
        <f>IF(OR(G109=1,G109=2),dadosexternosBMF_1!B109,"")</f>
        <v/>
      </c>
      <c r="Q109" s="219" t="str">
        <f>IF(OR(G109=1,G109=2),dadosexternosBMF_1!D109,"")</f>
        <v/>
      </c>
    </row>
    <row r="110" spans="1:34" x14ac:dyDescent="0.2">
      <c r="A110" s="222" t="str">
        <f t="shared" si="21"/>
        <v/>
      </c>
      <c r="B110" s="222" t="str">
        <f>IF(dadosexternosBMF_1!A110="DI1 - DI de 1 dia","DI1 - DI de 1 dia","")</f>
        <v/>
      </c>
      <c r="C110" s="222" t="str">
        <f>IF(dadosexternosBMF_1!A110="DOL - Dólar comercial","",IF(C109&lt;&gt;"",dadosexternosBMF_1!B110,IF(dadosexternosBMF_1!A110="DI1 - DI de 1 dia",dadosexternosBMF_1!B110,"")))</f>
        <v/>
      </c>
      <c r="D110" s="222" t="str">
        <f>IF(C110&lt;&gt;"",dadosexternosBMF_1!C110,"")</f>
        <v/>
      </c>
      <c r="E110" s="222" t="str">
        <f>IF(C110&lt;&gt;"",dadosexternosBMF_1!D110,"")</f>
        <v/>
      </c>
      <c r="G110" s="219">
        <f t="shared" si="22"/>
        <v>1</v>
      </c>
      <c r="H110" s="219" t="str">
        <f t="shared" si="17"/>
        <v/>
      </c>
      <c r="I110" s="219" t="str">
        <f t="shared" si="18"/>
        <v/>
      </c>
      <c r="J110" s="219" t="str">
        <f>IF(I110="","",VLOOKUP(LEFT(C110,1),dadosexternosBMF_1!$L$2:$M$13,2,FALSE))</f>
        <v/>
      </c>
      <c r="K110" s="219" t="str">
        <f t="shared" si="19"/>
        <v/>
      </c>
      <c r="L110" s="422" t="str">
        <f t="shared" si="20"/>
        <v/>
      </c>
      <c r="M110" s="422" t="str">
        <f>IF(I110="","",WORKDAY(L110-1,1,FERIADOS!$A$2:$A$831))</f>
        <v/>
      </c>
      <c r="N110" s="219" t="str">
        <f>IF(I110="","",NETWORKDAYS(Curva!$M$2,M110,FERIADOS!$A$2:$A$831)-1)</f>
        <v/>
      </c>
      <c r="O110" s="423" t="str">
        <f>IF(C110&lt;&gt;"",IF(ISERROR((100000/E110)^(252/N110)-1),Curva!$B$2,((100000/E110)^(252/N110)-1)),"")</f>
        <v/>
      </c>
      <c r="P110" s="219" t="str">
        <f>IF(OR(G110=1,G110=2),dadosexternosBMF_1!B110,"")</f>
        <v>V17</v>
      </c>
      <c r="Q110" s="219">
        <f>IF(OR(G110=1,G110=2),dadosexternosBMF_1!D110,"")</f>
        <v>3147.127</v>
      </c>
    </row>
    <row r="111" spans="1:34" x14ac:dyDescent="0.2">
      <c r="A111" s="222" t="str">
        <f t="shared" si="21"/>
        <v/>
      </c>
      <c r="B111" s="222" t="str">
        <f>IF(dadosexternosBMF_1!A111="DI1 - DI de 1 dia","DI1 - DI de 1 dia","")</f>
        <v/>
      </c>
      <c r="C111" s="222" t="str">
        <f>IF(dadosexternosBMF_1!A111="DOL - Dólar comercial","",IF(C110&lt;&gt;"",dadosexternosBMF_1!B111,IF(dadosexternosBMF_1!A111="DI1 - DI de 1 dia",dadosexternosBMF_1!B111,"")))</f>
        <v/>
      </c>
      <c r="D111" s="222" t="str">
        <f>IF(C111&lt;&gt;"",dadosexternosBMF_1!C111,"")</f>
        <v/>
      </c>
      <c r="E111" s="222" t="str">
        <f>IF(C111&lt;&gt;"",dadosexternosBMF_1!D111,"")</f>
        <v/>
      </c>
      <c r="G111" s="219">
        <f t="shared" si="22"/>
        <v>2</v>
      </c>
      <c r="H111" s="219" t="str">
        <f t="shared" si="17"/>
        <v/>
      </c>
      <c r="I111" s="219" t="str">
        <f t="shared" si="18"/>
        <v/>
      </c>
      <c r="J111" s="219" t="str">
        <f>IF(I111="","",VLOOKUP(LEFT(C111,1),dadosexternosBMF_1!$L$2:$M$13,2,FALSE))</f>
        <v/>
      </c>
      <c r="K111" s="219" t="str">
        <f t="shared" si="19"/>
        <v/>
      </c>
      <c r="L111" s="422" t="str">
        <f t="shared" si="20"/>
        <v/>
      </c>
      <c r="M111" s="422" t="str">
        <f>IF(I111="","",WORKDAY(L111-1,1,FERIADOS!$A$2:$A$831))</f>
        <v/>
      </c>
      <c r="N111" s="219" t="str">
        <f>IF(I111="","",NETWORKDAYS(Curva!$M$2,M111,FERIADOS!$A$2:$A$831)-1)</f>
        <v/>
      </c>
      <c r="O111" s="423" t="str">
        <f>IF(C111&lt;&gt;"",IF(ISERROR((100000/E111)^(252/N111)-1),Curva!$B$2,((100000/E111)^(252/N111)-1)),"")</f>
        <v/>
      </c>
      <c r="P111" s="219" t="str">
        <f>IF(OR(G111=1,G111=2),dadosexternosBMF_1!B111,"")</f>
        <v>X17</v>
      </c>
      <c r="Q111" s="219">
        <f>IF(OR(G111=1,G111=2),dadosexternosBMF_1!D111,"")</f>
        <v>3159.7559999999999</v>
      </c>
    </row>
    <row r="112" spans="1:34" x14ac:dyDescent="0.2">
      <c r="A112" s="222" t="str">
        <f t="shared" si="21"/>
        <v/>
      </c>
      <c r="B112" s="222" t="str">
        <f>IF(dadosexternosBMF_1!A112="DI1 - DI de 1 dia","DI1 - DI de 1 dia","")</f>
        <v/>
      </c>
      <c r="C112" s="222" t="str">
        <f>IF(dadosexternosBMF_1!A112="DOL - Dólar comercial","",IF(C111&lt;&gt;"",dadosexternosBMF_1!B112,IF(dadosexternosBMF_1!A112="DI1 - DI de 1 dia",dadosexternosBMF_1!B112,"")))</f>
        <v/>
      </c>
      <c r="D112" s="222" t="str">
        <f>IF(C112&lt;&gt;"",dadosexternosBMF_1!C112,"")</f>
        <v/>
      </c>
      <c r="E112" s="222" t="str">
        <f>IF(C112&lt;&gt;"",dadosexternosBMF_1!D112,"")</f>
        <v/>
      </c>
      <c r="G112" s="219" t="str">
        <f t="shared" si="22"/>
        <v/>
      </c>
      <c r="H112" s="219" t="str">
        <f t="shared" si="17"/>
        <v/>
      </c>
      <c r="I112" s="219" t="str">
        <f t="shared" si="18"/>
        <v/>
      </c>
      <c r="J112" s="219" t="str">
        <f>IF(I112="","",VLOOKUP(LEFT(C112,1),dadosexternosBMF_1!$L$2:$M$13,2,FALSE))</f>
        <v/>
      </c>
      <c r="K112" s="219" t="str">
        <f t="shared" si="19"/>
        <v/>
      </c>
      <c r="L112" s="422" t="str">
        <f t="shared" si="20"/>
        <v/>
      </c>
      <c r="M112" s="422" t="str">
        <f>IF(I112="","",WORKDAY(L112-1,1,FERIADOS!$A$2:$A$831))</f>
        <v/>
      </c>
      <c r="N112" s="219" t="str">
        <f>IF(I112="","",NETWORKDAYS(Curva!$M$2,M112,FERIADOS!$A$2:$A$831)-1)</f>
        <v/>
      </c>
      <c r="O112" s="423" t="str">
        <f>IF(C112&lt;&gt;"",IF(ISERROR((100000/E112)^(252/N112)-1),Curva!$B$2,((100000/E112)^(252/N112)-1)),"")</f>
        <v/>
      </c>
      <c r="P112" s="219" t="str">
        <f>IF(OR(G112=1,G112=2),dadosexternosBMF_1!B112,"")</f>
        <v/>
      </c>
      <c r="Q112" s="219" t="str">
        <f>IF(OR(G112=1,G112=2),dadosexternosBMF_1!D112,"")</f>
        <v/>
      </c>
    </row>
    <row r="113" spans="1:17" x14ac:dyDescent="0.2">
      <c r="A113" s="222" t="str">
        <f t="shared" si="21"/>
        <v/>
      </c>
      <c r="B113" s="222" t="str">
        <f>IF(dadosexternosBMF_1!A113="DI1 - DI de 1 dia","DI1 - DI de 1 dia","")</f>
        <v/>
      </c>
      <c r="C113" s="222" t="str">
        <f>IF(dadosexternosBMF_1!A113="DOL - Dólar comercial","",IF(C112&lt;&gt;"",dadosexternosBMF_1!B113,IF(dadosexternosBMF_1!A113="DI1 - DI de 1 dia",dadosexternosBMF_1!B113,"")))</f>
        <v/>
      </c>
      <c r="D113" s="222" t="str">
        <f>IF(C113&lt;&gt;"",dadosexternosBMF_1!C113,"")</f>
        <v/>
      </c>
      <c r="E113" s="222" t="str">
        <f>IF(C113&lt;&gt;"",dadosexternosBMF_1!D113,"")</f>
        <v/>
      </c>
      <c r="G113" s="219" t="str">
        <f t="shared" si="22"/>
        <v/>
      </c>
      <c r="H113" s="219" t="str">
        <f t="shared" si="17"/>
        <v/>
      </c>
      <c r="I113" s="219" t="str">
        <f t="shared" si="18"/>
        <v/>
      </c>
      <c r="J113" s="219" t="str">
        <f>IF(I113="","",VLOOKUP(LEFT(C113,1),dadosexternosBMF_1!$L$2:$M$13,2,FALSE))</f>
        <v/>
      </c>
      <c r="K113" s="219" t="str">
        <f t="shared" si="19"/>
        <v/>
      </c>
      <c r="L113" s="422" t="str">
        <f t="shared" si="20"/>
        <v/>
      </c>
      <c r="M113" s="422" t="str">
        <f>IF(I113="","",WORKDAY(L113-1,1,FERIADOS!$A$2:$A$831))</f>
        <v/>
      </c>
      <c r="N113" s="219" t="str">
        <f>IF(I113="","",NETWORKDAYS(Curva!$M$2,M113,FERIADOS!$A$2:$A$831)-1)</f>
        <v/>
      </c>
      <c r="O113" s="423" t="str">
        <f>IF(C113&lt;&gt;"",IF(ISERROR((100000/E113)^(252/N113)-1),Curva!$B$2,((100000/E113)^(252/N113)-1)),"")</f>
        <v/>
      </c>
      <c r="P113" s="219" t="str">
        <f>IF(OR(G113=1,G113=2),dadosexternosBMF_1!B113,"")</f>
        <v/>
      </c>
      <c r="Q113" s="219" t="str">
        <f>IF(OR(G113=1,G113=2),dadosexternosBMF_1!D113,"")</f>
        <v/>
      </c>
    </row>
    <row r="114" spans="1:17" x14ac:dyDescent="0.2">
      <c r="A114" s="222" t="str">
        <f t="shared" si="21"/>
        <v/>
      </c>
      <c r="B114" s="222" t="str">
        <f>IF(dadosexternosBMF_1!A114="DI1 - DI de 1 dia","DI1 - DI de 1 dia","")</f>
        <v/>
      </c>
      <c r="C114" s="222" t="str">
        <f>IF(dadosexternosBMF_1!A114="DOL - Dólar comercial","",IF(C113&lt;&gt;"",dadosexternosBMF_1!B114,IF(dadosexternosBMF_1!A114="DI1 - DI de 1 dia",dadosexternosBMF_1!B114,"")))</f>
        <v/>
      </c>
      <c r="D114" s="222" t="str">
        <f>IF(C114&lt;&gt;"",dadosexternosBMF_1!C114,"")</f>
        <v/>
      </c>
      <c r="E114" s="222" t="str">
        <f>IF(C114&lt;&gt;"",dadosexternosBMF_1!D114,"")</f>
        <v/>
      </c>
      <c r="G114" s="219" t="str">
        <f t="shared" si="22"/>
        <v/>
      </c>
      <c r="H114" s="219" t="str">
        <f t="shared" si="17"/>
        <v/>
      </c>
      <c r="I114" s="219" t="str">
        <f t="shared" si="18"/>
        <v/>
      </c>
      <c r="J114" s="219" t="str">
        <f>IF(I114="","",VLOOKUP(LEFT(C114,1),dadosexternosBMF_1!$L$2:$M$13,2,FALSE))</f>
        <v/>
      </c>
      <c r="K114" s="219" t="str">
        <f t="shared" si="19"/>
        <v/>
      </c>
      <c r="L114" s="422" t="str">
        <f t="shared" si="20"/>
        <v/>
      </c>
      <c r="M114" s="422" t="str">
        <f>IF(I114="","",WORKDAY(L114-1,1,FERIADOS!$A$2:$A$831))</f>
        <v/>
      </c>
      <c r="N114" s="219" t="str">
        <f>IF(I114="","",NETWORKDAYS(Curva!$M$2,M114,FERIADOS!$A$2:$A$831)-1)</f>
        <v/>
      </c>
      <c r="O114" s="423" t="str">
        <f>IF(C114&lt;&gt;"",IF(ISERROR((100000/E114)^(252/N114)-1),Curva!$B$2,((100000/E114)^(252/N114)-1)),"")</f>
        <v/>
      </c>
      <c r="P114" s="219" t="str">
        <f>IF(OR(G114=1,G114=2),dadosexternosBMF_1!B114,"")</f>
        <v/>
      </c>
      <c r="Q114" s="219" t="str">
        <f>IF(OR(G114=1,G114=2),dadosexternosBMF_1!D114,"")</f>
        <v/>
      </c>
    </row>
    <row r="115" spans="1:17" x14ac:dyDescent="0.2">
      <c r="A115" s="222" t="str">
        <f t="shared" si="21"/>
        <v/>
      </c>
      <c r="B115" s="222" t="str">
        <f>IF(dadosexternosBMF_1!A115="DI1 - DI de 1 dia","DI1 - DI de 1 dia","")</f>
        <v/>
      </c>
      <c r="C115" s="222" t="str">
        <f>IF(dadosexternosBMF_1!A115="DOL - Dólar comercial","",IF(C114&lt;&gt;"",dadosexternosBMF_1!B115,IF(dadosexternosBMF_1!A115="DI1 - DI de 1 dia",dadosexternosBMF_1!B115,"")))</f>
        <v/>
      </c>
      <c r="D115" s="222" t="str">
        <f>IF(C115&lt;&gt;"",dadosexternosBMF_1!C115,"")</f>
        <v/>
      </c>
      <c r="E115" s="222" t="str">
        <f>IF(C115&lt;&gt;"",dadosexternosBMF_1!D115,"")</f>
        <v/>
      </c>
      <c r="G115" s="219" t="str">
        <f t="shared" si="22"/>
        <v/>
      </c>
      <c r="H115" s="219" t="str">
        <f t="shared" si="17"/>
        <v/>
      </c>
      <c r="I115" s="219" t="str">
        <f t="shared" si="18"/>
        <v/>
      </c>
      <c r="J115" s="219" t="str">
        <f>IF(I115="","",VLOOKUP(LEFT(C115,1),dadosexternosBMF_1!$L$2:$M$13,2,FALSE))</f>
        <v/>
      </c>
      <c r="K115" s="219" t="str">
        <f t="shared" si="19"/>
        <v/>
      </c>
      <c r="L115" s="422" t="str">
        <f t="shared" si="20"/>
        <v/>
      </c>
      <c r="M115" s="422" t="str">
        <f>IF(I115="","",WORKDAY(L115-1,1,FERIADOS!$A$2:$A$831))</f>
        <v/>
      </c>
      <c r="N115" s="219" t="str">
        <f>IF(I115="","",NETWORKDAYS(Curva!$M$2,M115,FERIADOS!$A$2:$A$831)-1)</f>
        <v/>
      </c>
      <c r="O115" s="423" t="str">
        <f>IF(C115&lt;&gt;"",IF(ISERROR((100000/E115)^(252/N115)-1),Curva!$B$2,((100000/E115)^(252/N115)-1)),"")</f>
        <v/>
      </c>
      <c r="P115" s="219" t="str">
        <f>IF(OR(G115=1,G115=2),dadosexternosBMF_1!B115,"")</f>
        <v/>
      </c>
      <c r="Q115" s="219" t="str">
        <f>IF(OR(G115=1,G115=2),dadosexternosBMF_1!D115,"")</f>
        <v/>
      </c>
    </row>
    <row r="116" spans="1:17" x14ac:dyDescent="0.2">
      <c r="A116" s="222" t="str">
        <f t="shared" si="21"/>
        <v/>
      </c>
      <c r="B116" s="222" t="str">
        <f>IF(dadosexternosBMF_1!A116="DI1 - DI de 1 dia","DI1 - DI de 1 dia","")</f>
        <v/>
      </c>
      <c r="C116" s="222" t="str">
        <f>IF(dadosexternosBMF_1!A116="DOL - Dólar comercial","",IF(C115&lt;&gt;"",dadosexternosBMF_1!B116,IF(dadosexternosBMF_1!A116="DI1 - DI de 1 dia",dadosexternosBMF_1!B116,"")))</f>
        <v/>
      </c>
      <c r="D116" s="222" t="str">
        <f>IF(C116&lt;&gt;"",dadosexternosBMF_1!C116,"")</f>
        <v/>
      </c>
      <c r="E116" s="222" t="str">
        <f>IF(C116&lt;&gt;"",dadosexternosBMF_1!D116,"")</f>
        <v/>
      </c>
      <c r="G116" s="219" t="str">
        <f t="shared" si="22"/>
        <v/>
      </c>
      <c r="H116" s="219" t="str">
        <f t="shared" si="17"/>
        <v/>
      </c>
      <c r="I116" s="219" t="str">
        <f t="shared" si="18"/>
        <v/>
      </c>
      <c r="J116" s="219" t="str">
        <f>IF(I116="","",VLOOKUP(LEFT(C116,1),dadosexternosBMF_1!$L$2:$M$13,2,FALSE))</f>
        <v/>
      </c>
      <c r="K116" s="219" t="str">
        <f t="shared" si="19"/>
        <v/>
      </c>
      <c r="L116" s="422" t="str">
        <f t="shared" si="20"/>
        <v/>
      </c>
      <c r="M116" s="422" t="str">
        <f>IF(I116="","",WORKDAY(L116-1,1,FERIADOS!$A$2:$A$831))</f>
        <v/>
      </c>
      <c r="N116" s="219" t="str">
        <f>IF(I116="","",NETWORKDAYS(Curva!$M$2,M116,FERIADOS!$A$2:$A$831)-1)</f>
        <v/>
      </c>
      <c r="O116" s="423" t="str">
        <f>IF(C116&lt;&gt;"",IF(ISERROR((100000/E116)^(252/N116)-1),Curva!$B$2,((100000/E116)^(252/N116)-1)),"")</f>
        <v/>
      </c>
      <c r="P116" s="219" t="str">
        <f>IF(OR(G116=1,G116=2),dadosexternosBMF_1!B116,"")</f>
        <v/>
      </c>
      <c r="Q116" s="219" t="str">
        <f>IF(OR(G116=1,G116=2),dadosexternosBMF_1!D116,"")</f>
        <v/>
      </c>
    </row>
    <row r="117" spans="1:17" x14ac:dyDescent="0.2">
      <c r="A117" s="222" t="str">
        <f t="shared" si="21"/>
        <v/>
      </c>
      <c r="B117" s="222" t="str">
        <f>IF(dadosexternosBMF_1!A117="DI1 - DI de 1 dia","DI1 - DI de 1 dia","")</f>
        <v/>
      </c>
      <c r="C117" s="222" t="str">
        <f>IF(dadosexternosBMF_1!A117="DOL - Dólar comercial","",IF(C116&lt;&gt;"",dadosexternosBMF_1!B117,IF(dadosexternosBMF_1!A117="DI1 - DI de 1 dia",dadosexternosBMF_1!B117,"")))</f>
        <v/>
      </c>
      <c r="D117" s="222" t="str">
        <f>IF(C117&lt;&gt;"",dadosexternosBMF_1!C117,"")</f>
        <v/>
      </c>
      <c r="E117" s="222" t="str">
        <f>IF(C117&lt;&gt;"",dadosexternosBMF_1!D117,"")</f>
        <v/>
      </c>
      <c r="G117" s="219" t="str">
        <f t="shared" si="22"/>
        <v/>
      </c>
      <c r="H117" s="219" t="str">
        <f t="shared" si="17"/>
        <v/>
      </c>
      <c r="I117" s="219" t="str">
        <f t="shared" si="18"/>
        <v/>
      </c>
      <c r="J117" s="219" t="str">
        <f>IF(I117="","",VLOOKUP(LEFT(C117,1),dadosexternosBMF_1!$L$2:$M$13,2,FALSE))</f>
        <v/>
      </c>
      <c r="K117" s="219" t="str">
        <f t="shared" si="19"/>
        <v/>
      </c>
      <c r="L117" s="422" t="str">
        <f t="shared" si="20"/>
        <v/>
      </c>
      <c r="M117" s="422" t="str">
        <f>IF(I117="","",WORKDAY(L117-1,1,FERIADOS!$A$2:$A$831))</f>
        <v/>
      </c>
      <c r="N117" s="219" t="str">
        <f>IF(I117="","",NETWORKDAYS(Curva!$M$2,M117,FERIADOS!$A$2:$A$831)-1)</f>
        <v/>
      </c>
      <c r="O117" s="423" t="str">
        <f>IF(C117&lt;&gt;"",IF(ISERROR((100000/E117)^(252/N117)-1),Curva!$B$2,((100000/E117)^(252/N117)-1)),"")</f>
        <v/>
      </c>
      <c r="P117" s="219" t="str">
        <f>IF(OR(G117=1,G117=2),dadosexternosBMF_1!B117,"")</f>
        <v/>
      </c>
      <c r="Q117" s="219" t="str">
        <f>IF(OR(G117=1,G117=2),dadosexternosBMF_1!D117,"")</f>
        <v/>
      </c>
    </row>
    <row r="118" spans="1:17" x14ac:dyDescent="0.2">
      <c r="A118" s="222" t="str">
        <f t="shared" si="21"/>
        <v/>
      </c>
      <c r="B118" s="222" t="str">
        <f>IF(dadosexternosBMF_1!A118="DI1 - DI de 1 dia","DI1 - DI de 1 dia","")</f>
        <v/>
      </c>
      <c r="C118" s="222" t="str">
        <f>IF(dadosexternosBMF_1!A118="DOL - Dólar comercial","",IF(C117&lt;&gt;"",dadosexternosBMF_1!B118,IF(dadosexternosBMF_1!A118="DI1 - DI de 1 dia",dadosexternosBMF_1!B118,"")))</f>
        <v/>
      </c>
      <c r="D118" s="222" t="str">
        <f>IF(C118&lt;&gt;"",dadosexternosBMF_1!C118,"")</f>
        <v/>
      </c>
      <c r="E118" s="222" t="str">
        <f>IF(C118&lt;&gt;"",dadosexternosBMF_1!D118,"")</f>
        <v/>
      </c>
      <c r="G118" s="219" t="str">
        <f t="shared" si="22"/>
        <v/>
      </c>
      <c r="H118" s="219" t="str">
        <f t="shared" si="17"/>
        <v/>
      </c>
      <c r="I118" s="219" t="str">
        <f t="shared" si="18"/>
        <v/>
      </c>
      <c r="J118" s="219" t="str">
        <f>IF(I118="","",VLOOKUP(LEFT(C118,1),dadosexternosBMF_1!$L$2:$M$13,2,FALSE))</f>
        <v/>
      </c>
      <c r="K118" s="219" t="str">
        <f t="shared" si="19"/>
        <v/>
      </c>
      <c r="L118" s="422" t="str">
        <f t="shared" si="20"/>
        <v/>
      </c>
      <c r="M118" s="422" t="str">
        <f>IF(I118="","",WORKDAY(L118-1,1,FERIADOS!$A$2:$A$831))</f>
        <v/>
      </c>
      <c r="N118" s="219" t="str">
        <f>IF(I118="","",NETWORKDAYS(Curva!$M$2,M118,FERIADOS!$A$2:$A$831)-1)</f>
        <v/>
      </c>
      <c r="O118" s="423" t="str">
        <f>IF(C118&lt;&gt;"",IF(ISERROR((100000/E118)^(252/N118)-1),Curva!$B$2,((100000/E118)^(252/N118)-1)),"")</f>
        <v/>
      </c>
      <c r="P118" s="219" t="str">
        <f>IF(OR(G118=1,G118=2),dadosexternosBMF_1!B118,"")</f>
        <v/>
      </c>
      <c r="Q118" s="219" t="str">
        <f>IF(OR(G118=1,G118=2),dadosexternosBMF_1!D118,"")</f>
        <v/>
      </c>
    </row>
    <row r="119" spans="1:17" x14ac:dyDescent="0.2">
      <c r="A119" s="222" t="str">
        <f t="shared" si="21"/>
        <v/>
      </c>
      <c r="B119" s="222" t="str">
        <f>IF(dadosexternosBMF_1!A119="DI1 - DI de 1 dia","DI1 - DI de 1 dia","")</f>
        <v/>
      </c>
      <c r="C119" s="222" t="str">
        <f>IF(dadosexternosBMF_1!A119="DOL - Dólar comercial","",IF(C118&lt;&gt;"",dadosexternosBMF_1!B119,IF(dadosexternosBMF_1!A119="DI1 - DI de 1 dia",dadosexternosBMF_1!B119,"")))</f>
        <v/>
      </c>
      <c r="D119" s="222" t="str">
        <f>IF(C119&lt;&gt;"",dadosexternosBMF_1!C119,"")</f>
        <v/>
      </c>
      <c r="E119" s="222" t="str">
        <f>IF(C119&lt;&gt;"",dadosexternosBMF_1!D119,"")</f>
        <v/>
      </c>
      <c r="G119" s="219" t="str">
        <f t="shared" si="22"/>
        <v/>
      </c>
      <c r="H119" s="219" t="str">
        <f t="shared" si="17"/>
        <v/>
      </c>
      <c r="I119" s="219" t="str">
        <f t="shared" si="18"/>
        <v/>
      </c>
      <c r="J119" s="219" t="str">
        <f>IF(I119="","",VLOOKUP(LEFT(C119,1),dadosexternosBMF_1!$L$2:$M$13,2,FALSE))</f>
        <v/>
      </c>
      <c r="K119" s="219" t="str">
        <f t="shared" si="19"/>
        <v/>
      </c>
      <c r="L119" s="422" t="str">
        <f t="shared" si="20"/>
        <v/>
      </c>
      <c r="M119" s="422" t="str">
        <f>IF(I119="","",WORKDAY(L119-1,1,FERIADOS!$A$2:$A$831))</f>
        <v/>
      </c>
      <c r="N119" s="219" t="str">
        <f>IF(I119="","",NETWORKDAYS(Curva!$M$2,M119,FERIADOS!$A$2:$A$831)-1)</f>
        <v/>
      </c>
      <c r="O119" s="423" t="str">
        <f>IF(C119&lt;&gt;"",IF(ISERROR((100000/E119)^(252/N119)-1),Curva!$B$2,((100000/E119)^(252/N119)-1)),"")</f>
        <v/>
      </c>
      <c r="P119" s="219" t="str">
        <f>IF(OR(G119=1,G119=2),dadosexternosBMF_1!B119,"")</f>
        <v/>
      </c>
      <c r="Q119" s="219" t="str">
        <f>IF(OR(G119=1,G119=2),dadosexternosBMF_1!D119,"")</f>
        <v/>
      </c>
    </row>
    <row r="120" spans="1:17" x14ac:dyDescent="0.2">
      <c r="A120" s="222" t="str">
        <f t="shared" si="21"/>
        <v/>
      </c>
      <c r="B120" s="222" t="str">
        <f>IF(dadosexternosBMF_1!A120="DI1 - DI de 1 dia","DI1 - DI de 1 dia","")</f>
        <v/>
      </c>
      <c r="C120" s="222" t="str">
        <f>IF(dadosexternosBMF_1!A120="DOL - Dólar comercial","",IF(C119&lt;&gt;"",dadosexternosBMF_1!B120,IF(dadosexternosBMF_1!A120="DI1 - DI de 1 dia",dadosexternosBMF_1!B120,"")))</f>
        <v/>
      </c>
      <c r="D120" s="222" t="str">
        <f>IF(C120&lt;&gt;"",dadosexternosBMF_1!C120,"")</f>
        <v/>
      </c>
      <c r="E120" s="222" t="str">
        <f>IF(C120&lt;&gt;"",dadosexternosBMF_1!D120,"")</f>
        <v/>
      </c>
      <c r="G120" s="219" t="str">
        <f t="shared" si="22"/>
        <v/>
      </c>
      <c r="H120" s="219" t="str">
        <f t="shared" si="17"/>
        <v/>
      </c>
      <c r="I120" s="219" t="str">
        <f t="shared" si="18"/>
        <v/>
      </c>
      <c r="J120" s="219" t="str">
        <f>IF(I120="","",VLOOKUP(LEFT(C120,1),dadosexternosBMF_1!$L$2:$M$13,2,FALSE))</f>
        <v/>
      </c>
      <c r="K120" s="219" t="str">
        <f t="shared" si="19"/>
        <v/>
      </c>
      <c r="L120" s="422" t="str">
        <f t="shared" si="20"/>
        <v/>
      </c>
      <c r="M120" s="422" t="str">
        <f>IF(I120="","",WORKDAY(L120-1,1,FERIADOS!$A$2:$A$831))</f>
        <v/>
      </c>
      <c r="N120" s="219" t="str">
        <f>IF(I120="","",NETWORKDAYS(Curva!$M$2,M120,FERIADOS!$A$2:$A$831)-1)</f>
        <v/>
      </c>
      <c r="O120" s="423" t="str">
        <f>IF(C120&lt;&gt;"",IF(ISERROR((100000/E120)^(252/N120)-1),Curva!$B$2,((100000/E120)^(252/N120)-1)),"")</f>
        <v/>
      </c>
      <c r="P120" s="219" t="str">
        <f>IF(OR(G120=1,G120=2),dadosexternosBMF_1!B120,"")</f>
        <v/>
      </c>
      <c r="Q120" s="219" t="str">
        <f>IF(OR(G120=1,G120=2),dadosexternosBMF_1!D120,"")</f>
        <v/>
      </c>
    </row>
    <row r="121" spans="1:17" x14ac:dyDescent="0.2">
      <c r="A121" s="222" t="str">
        <f t="shared" si="21"/>
        <v/>
      </c>
      <c r="B121" s="222" t="str">
        <f>IF(dadosexternosBMF_1!A121="DI1 - DI de 1 dia","DI1 - DI de 1 dia","")</f>
        <v/>
      </c>
      <c r="C121" s="222" t="str">
        <f>IF(dadosexternosBMF_1!A121="DOL - Dólar comercial","",IF(C120&lt;&gt;"",dadosexternosBMF_1!B121,IF(dadosexternosBMF_1!A121="DI1 - DI de 1 dia",dadosexternosBMF_1!B121,"")))</f>
        <v/>
      </c>
      <c r="D121" s="222" t="str">
        <f>IF(C121&lt;&gt;"",dadosexternosBMF_1!C121,"")</f>
        <v/>
      </c>
      <c r="E121" s="222" t="str">
        <f>IF(C121&lt;&gt;"",dadosexternosBMF_1!D121,"")</f>
        <v/>
      </c>
      <c r="G121" s="219" t="str">
        <f t="shared" si="22"/>
        <v/>
      </c>
      <c r="H121" s="219" t="str">
        <f t="shared" si="17"/>
        <v/>
      </c>
      <c r="I121" s="219" t="str">
        <f t="shared" si="18"/>
        <v/>
      </c>
      <c r="J121" s="219" t="str">
        <f>IF(I121="","",VLOOKUP(LEFT(C121,1),dadosexternosBMF_1!$L$2:$M$13,2,FALSE))</f>
        <v/>
      </c>
      <c r="K121" s="219" t="str">
        <f t="shared" si="19"/>
        <v/>
      </c>
      <c r="L121" s="422" t="str">
        <f t="shared" si="20"/>
        <v/>
      </c>
      <c r="M121" s="422" t="str">
        <f>IF(I121="","",WORKDAY(L121-1,1,FERIADOS!$A$2:$A$831))</f>
        <v/>
      </c>
      <c r="N121" s="219" t="str">
        <f>IF(I121="","",NETWORKDAYS(Curva!$M$2,M121,FERIADOS!$A$2:$A$831)-1)</f>
        <v/>
      </c>
      <c r="O121" s="423" t="str">
        <f>IF(C121&lt;&gt;"",IF(ISERROR((100000/E121)^(252/N121)-1),Curva!$B$2,((100000/E121)^(252/N121)-1)),"")</f>
        <v/>
      </c>
      <c r="P121" s="219" t="str">
        <f>IF(OR(G121=1,G121=2),dadosexternosBMF_1!B121,"")</f>
        <v/>
      </c>
      <c r="Q121" s="219" t="str">
        <f>IF(OR(G121=1,G121=2),dadosexternosBMF_1!D121,"")</f>
        <v/>
      </c>
    </row>
    <row r="122" spans="1:17" x14ac:dyDescent="0.2">
      <c r="A122" s="222" t="str">
        <f t="shared" si="21"/>
        <v/>
      </c>
      <c r="B122" s="222" t="str">
        <f>IF(dadosexternosBMF_1!A122="DI1 - DI de 1 dia","DI1 - DI de 1 dia","")</f>
        <v/>
      </c>
      <c r="C122" s="222" t="str">
        <f>IF(dadosexternosBMF_1!A122="DOL - Dólar comercial","",IF(C121&lt;&gt;"",dadosexternosBMF_1!B122,IF(dadosexternosBMF_1!A122="DI1 - DI de 1 dia",dadosexternosBMF_1!B122,"")))</f>
        <v/>
      </c>
      <c r="D122" s="222" t="str">
        <f>IF(C122&lt;&gt;"",dadosexternosBMF_1!C122,"")</f>
        <v/>
      </c>
      <c r="E122" s="222" t="str">
        <f>IF(C122&lt;&gt;"",dadosexternosBMF_1!D122,"")</f>
        <v/>
      </c>
      <c r="G122" s="219" t="str">
        <f t="shared" si="22"/>
        <v/>
      </c>
      <c r="H122" s="219" t="str">
        <f t="shared" si="17"/>
        <v/>
      </c>
      <c r="I122" s="219" t="str">
        <f t="shared" si="18"/>
        <v/>
      </c>
      <c r="J122" s="219" t="str">
        <f>IF(I122="","",VLOOKUP(LEFT(C122,1),dadosexternosBMF_1!$L$2:$M$13,2,FALSE))</f>
        <v/>
      </c>
      <c r="K122" s="219" t="str">
        <f t="shared" si="19"/>
        <v/>
      </c>
      <c r="L122" s="422" t="str">
        <f t="shared" si="20"/>
        <v/>
      </c>
      <c r="M122" s="422" t="str">
        <f>IF(I122="","",WORKDAY(L122-1,1,FERIADOS!$A$2:$A$831))</f>
        <v/>
      </c>
      <c r="N122" s="219" t="str">
        <f>IF(I122="","",NETWORKDAYS(Curva!$M$2,M122,FERIADOS!$A$2:$A$831)-1)</f>
        <v/>
      </c>
      <c r="O122" s="423" t="str">
        <f>IF(C122&lt;&gt;"",IF(ISERROR((100000/E122)^(252/N122)-1),Curva!$B$2,((100000/E122)^(252/N122)-1)),"")</f>
        <v/>
      </c>
      <c r="P122" s="219" t="str">
        <f>IF(OR(G122=1,G122=2),dadosexternosBMF_1!B122,"")</f>
        <v/>
      </c>
      <c r="Q122" s="219" t="str">
        <f>IF(OR(G122=1,G122=2),dadosexternosBMF_1!D122,"")</f>
        <v/>
      </c>
    </row>
    <row r="123" spans="1:17" x14ac:dyDescent="0.2">
      <c r="A123" s="222" t="str">
        <f t="shared" si="21"/>
        <v/>
      </c>
      <c r="B123" s="222" t="str">
        <f>IF(dadosexternosBMF_1!A123="DI1 - DI de 1 dia","DI1 - DI de 1 dia","")</f>
        <v/>
      </c>
      <c r="C123" s="222" t="str">
        <f>IF(dadosexternosBMF_1!A123="DOL - Dólar comercial","",IF(C122&lt;&gt;"",dadosexternosBMF_1!B123,IF(dadosexternosBMF_1!A123="DI1 - DI de 1 dia",dadosexternosBMF_1!B123,"")))</f>
        <v/>
      </c>
      <c r="D123" s="222" t="str">
        <f>IF(C123&lt;&gt;"",dadosexternosBMF_1!C123,"")</f>
        <v/>
      </c>
      <c r="E123" s="222" t="str">
        <f>IF(C123&lt;&gt;"",dadosexternosBMF_1!D123,"")</f>
        <v/>
      </c>
      <c r="G123" s="219" t="str">
        <f t="shared" si="22"/>
        <v/>
      </c>
      <c r="H123" s="219" t="str">
        <f t="shared" si="17"/>
        <v/>
      </c>
      <c r="I123" s="219" t="str">
        <f t="shared" si="18"/>
        <v/>
      </c>
      <c r="J123" s="219" t="str">
        <f>IF(I123="","",VLOOKUP(LEFT(C123,1),dadosexternosBMF_1!$L$2:$M$13,2,FALSE))</f>
        <v/>
      </c>
      <c r="K123" s="219" t="str">
        <f t="shared" si="19"/>
        <v/>
      </c>
      <c r="L123" s="422" t="str">
        <f t="shared" si="20"/>
        <v/>
      </c>
      <c r="M123" s="422" t="str">
        <f>IF(I123="","",WORKDAY(L123-1,1,FERIADOS!$A$2:$A$831))</f>
        <v/>
      </c>
      <c r="N123" s="219" t="str">
        <f>IF(I123="","",NETWORKDAYS(Curva!$M$2,M123,FERIADOS!$A$2:$A$831)-1)</f>
        <v/>
      </c>
      <c r="O123" s="423" t="str">
        <f>IF(C123&lt;&gt;"",IF(ISERROR((100000/E123)^(252/N123)-1),Curva!$B$2,((100000/E123)^(252/N123)-1)),"")</f>
        <v/>
      </c>
      <c r="P123" s="219" t="str">
        <f>IF(OR(G123=1,G123=2),dadosexternosBMF_1!B123,"")</f>
        <v/>
      </c>
      <c r="Q123" s="219" t="str">
        <f>IF(OR(G123=1,G123=2),dadosexternosBMF_1!D123,"")</f>
        <v/>
      </c>
    </row>
    <row r="124" spans="1:17" x14ac:dyDescent="0.2">
      <c r="A124" s="222" t="str">
        <f t="shared" si="21"/>
        <v/>
      </c>
      <c r="B124" s="222" t="str">
        <f>IF(dadosexternosBMF_1!A124="DI1 - DI de 1 dia","DI1 - DI de 1 dia","")</f>
        <v/>
      </c>
      <c r="C124" s="222" t="str">
        <f>IF(dadosexternosBMF_1!A124="DOL - Dólar comercial","",IF(C123&lt;&gt;"",dadosexternosBMF_1!B124,IF(dadosexternosBMF_1!A124="DI1 - DI de 1 dia",dadosexternosBMF_1!B124,"")))</f>
        <v/>
      </c>
      <c r="D124" s="222" t="str">
        <f>IF(C124&lt;&gt;"",dadosexternosBMF_1!C124,"")</f>
        <v/>
      </c>
      <c r="E124" s="222" t="str">
        <f>IF(C124&lt;&gt;"",dadosexternosBMF_1!D124,"")</f>
        <v/>
      </c>
      <c r="G124" s="219" t="str">
        <f t="shared" si="22"/>
        <v/>
      </c>
      <c r="H124" s="219" t="str">
        <f t="shared" si="17"/>
        <v/>
      </c>
      <c r="I124" s="219" t="str">
        <f t="shared" si="18"/>
        <v/>
      </c>
      <c r="J124" s="219" t="str">
        <f>IF(I124="","",VLOOKUP(LEFT(C124,1),dadosexternosBMF_1!$L$2:$M$13,2,FALSE))</f>
        <v/>
      </c>
      <c r="K124" s="219" t="str">
        <f t="shared" si="19"/>
        <v/>
      </c>
      <c r="L124" s="422" t="str">
        <f t="shared" si="20"/>
        <v/>
      </c>
      <c r="M124" s="422" t="str">
        <f>IF(I124="","",WORKDAY(L124-1,1,FERIADOS!$A$2:$A$831))</f>
        <v/>
      </c>
      <c r="N124" s="219" t="str">
        <f>IF(I124="","",NETWORKDAYS(Curva!$M$2,M124,FERIADOS!$A$2:$A$831)-1)</f>
        <v/>
      </c>
      <c r="O124" s="423" t="str">
        <f>IF(C124&lt;&gt;"",IF(ISERROR((100000/E124)^(252/N124)-1),Curva!$B$2,((100000/E124)^(252/N124)-1)),"")</f>
        <v/>
      </c>
      <c r="P124" s="219" t="str">
        <f>IF(OR(G124=1,G124=2),dadosexternosBMF_1!B124,"")</f>
        <v/>
      </c>
      <c r="Q124" s="219" t="str">
        <f>IF(OR(G124=1,G124=2),dadosexternosBMF_1!D124,"")</f>
        <v/>
      </c>
    </row>
    <row r="125" spans="1:17" x14ac:dyDescent="0.2">
      <c r="A125" s="222" t="str">
        <f t="shared" si="21"/>
        <v/>
      </c>
      <c r="B125" s="222" t="str">
        <f>IF(dadosexternosBMF_1!A125="DI1 - DI de 1 dia","DI1 - DI de 1 dia","")</f>
        <v/>
      </c>
      <c r="C125" s="222" t="str">
        <f>IF(dadosexternosBMF_1!A125="DOL - Dólar comercial","",IF(C124&lt;&gt;"",dadosexternosBMF_1!B125,IF(dadosexternosBMF_1!A125="DI1 - DI de 1 dia",dadosexternosBMF_1!B125,"")))</f>
        <v/>
      </c>
      <c r="D125" s="222" t="str">
        <f>IF(C125&lt;&gt;"",dadosexternosBMF_1!C125,"")</f>
        <v/>
      </c>
      <c r="E125" s="222" t="str">
        <f>IF(C125&lt;&gt;"",dadosexternosBMF_1!D125,"")</f>
        <v/>
      </c>
      <c r="G125" s="219" t="str">
        <f t="shared" si="22"/>
        <v/>
      </c>
      <c r="H125" s="219" t="str">
        <f t="shared" si="17"/>
        <v/>
      </c>
      <c r="I125" s="219" t="str">
        <f t="shared" si="18"/>
        <v/>
      </c>
      <c r="J125" s="219" t="str">
        <f>IF(I125="","",VLOOKUP(LEFT(C125,1),dadosexternosBMF_1!$L$2:$M$13,2,FALSE))</f>
        <v/>
      </c>
      <c r="K125" s="219" t="str">
        <f t="shared" si="19"/>
        <v/>
      </c>
      <c r="L125" s="422" t="str">
        <f t="shared" si="20"/>
        <v/>
      </c>
      <c r="M125" s="422" t="str">
        <f>IF(I125="","",WORKDAY(L125-1,1,FERIADOS!$A$2:$A$831))</f>
        <v/>
      </c>
      <c r="N125" s="219" t="str">
        <f>IF(I125="","",NETWORKDAYS(Curva!$M$2,M125,FERIADOS!$A$2:$A$831)-1)</f>
        <v/>
      </c>
      <c r="O125" s="423" t="str">
        <f>IF(C125&lt;&gt;"",IF(ISERROR((100000/E125)^(252/N125)-1),Curva!$B$2,((100000/E125)^(252/N125)-1)),"")</f>
        <v/>
      </c>
      <c r="P125" s="219" t="str">
        <f>IF(OR(G125=1,G125=2),dadosexternosBMF_1!B125,"")</f>
        <v/>
      </c>
      <c r="Q125" s="219" t="str">
        <f>IF(OR(G125=1,G125=2),dadosexternosBMF_1!D125,"")</f>
        <v/>
      </c>
    </row>
    <row r="126" spans="1:17" x14ac:dyDescent="0.2">
      <c r="A126" s="222" t="str">
        <f t="shared" si="21"/>
        <v/>
      </c>
      <c r="B126" s="222" t="str">
        <f>IF(dadosexternosBMF_1!A126="DI1 - DI de 1 dia","DI1 - DI de 1 dia","")</f>
        <v/>
      </c>
      <c r="C126" s="222" t="str">
        <f>IF(dadosexternosBMF_1!A126="DOL - Dólar comercial","",IF(C125&lt;&gt;"",dadosexternosBMF_1!B126,IF(dadosexternosBMF_1!A126="DI1 - DI de 1 dia",dadosexternosBMF_1!B126,"")))</f>
        <v/>
      </c>
      <c r="D126" s="222" t="str">
        <f>IF(C126&lt;&gt;"",dadosexternosBMF_1!C126,"")</f>
        <v/>
      </c>
      <c r="E126" s="222" t="str">
        <f>IF(C126&lt;&gt;"",dadosexternosBMF_1!D126,"")</f>
        <v/>
      </c>
      <c r="G126" s="219" t="str">
        <f t="shared" si="22"/>
        <v/>
      </c>
      <c r="H126" s="219" t="str">
        <f t="shared" si="17"/>
        <v/>
      </c>
      <c r="I126" s="219" t="str">
        <f t="shared" si="18"/>
        <v/>
      </c>
      <c r="J126" s="219" t="str">
        <f>IF(I126="","",VLOOKUP(LEFT(C126,1),dadosexternosBMF_1!$L$2:$M$13,2,FALSE))</f>
        <v/>
      </c>
      <c r="K126" s="219" t="str">
        <f t="shared" si="19"/>
        <v/>
      </c>
      <c r="L126" s="422" t="str">
        <f t="shared" si="20"/>
        <v/>
      </c>
      <c r="M126" s="422" t="str">
        <f>IF(I126="","",WORKDAY(L126-1,1,FERIADOS!$A$2:$A$831))</f>
        <v/>
      </c>
      <c r="N126" s="219" t="str">
        <f>IF(I126="","",NETWORKDAYS(Curva!$M$2,M126,FERIADOS!$A$2:$A$831)-1)</f>
        <v/>
      </c>
      <c r="O126" s="423" t="str">
        <f>IF(C126&lt;&gt;"",IF(ISERROR((100000/E126)^(252/N126)-1),Curva!$B$2,((100000/E126)^(252/N126)-1)),"")</f>
        <v/>
      </c>
      <c r="P126" s="219" t="str">
        <f>IF(OR(G126=1,G126=2),dadosexternosBMF_1!B126,"")</f>
        <v/>
      </c>
      <c r="Q126" s="219" t="str">
        <f>IF(OR(G126=1,G126=2),dadosexternosBMF_1!D126,"")</f>
        <v/>
      </c>
    </row>
    <row r="127" spans="1:17" x14ac:dyDescent="0.2">
      <c r="A127" s="222" t="str">
        <f t="shared" si="21"/>
        <v/>
      </c>
      <c r="B127" s="222" t="str">
        <f>IF(dadosexternosBMF_1!A127="DI1 - DI de 1 dia","DI1 - DI de 1 dia","")</f>
        <v/>
      </c>
      <c r="C127" s="222" t="str">
        <f>IF(dadosexternosBMF_1!A127="DOL - Dólar comercial","",IF(C126&lt;&gt;"",dadosexternosBMF_1!B127,IF(dadosexternosBMF_1!A127="DI1 - DI de 1 dia",dadosexternosBMF_1!B127,"")))</f>
        <v/>
      </c>
      <c r="D127" s="222" t="str">
        <f>IF(C127&lt;&gt;"",dadosexternosBMF_1!C127,"")</f>
        <v/>
      </c>
      <c r="E127" s="222" t="str">
        <f>IF(C127&lt;&gt;"",dadosexternosBMF_1!D127,"")</f>
        <v/>
      </c>
      <c r="G127" s="219" t="str">
        <f t="shared" si="22"/>
        <v/>
      </c>
      <c r="H127" s="219" t="str">
        <f t="shared" si="17"/>
        <v/>
      </c>
      <c r="I127" s="219" t="str">
        <f t="shared" si="18"/>
        <v/>
      </c>
      <c r="J127" s="219" t="str">
        <f>IF(I127="","",VLOOKUP(LEFT(C127,1),dadosexternosBMF_1!$L$2:$M$13,2,FALSE))</f>
        <v/>
      </c>
      <c r="K127" s="219" t="str">
        <f t="shared" si="19"/>
        <v/>
      </c>
      <c r="L127" s="422" t="str">
        <f t="shared" si="20"/>
        <v/>
      </c>
      <c r="M127" s="422" t="str">
        <f>IF(I127="","",WORKDAY(L127-1,1,FERIADOS!$A$2:$A$831))</f>
        <v/>
      </c>
      <c r="N127" s="219" t="str">
        <f>IF(I127="","",NETWORKDAYS(Curva!$M$2,M127,FERIADOS!$A$2:$A$831)-1)</f>
        <v/>
      </c>
      <c r="O127" s="423" t="str">
        <f>IF(C127&lt;&gt;"",IF(ISERROR((100000/E127)^(252/N127)-1),Curva!$B$2,((100000/E127)^(252/N127)-1)),"")</f>
        <v/>
      </c>
      <c r="P127" s="219" t="str">
        <f>IF(OR(G127=1,G127=2),dadosexternosBMF_1!B127,"")</f>
        <v/>
      </c>
      <c r="Q127" s="219" t="str">
        <f>IF(OR(G127=1,G127=2),dadosexternosBMF_1!D127,"")</f>
        <v/>
      </c>
    </row>
    <row r="128" spans="1:17" x14ac:dyDescent="0.2">
      <c r="A128" s="222" t="str">
        <f t="shared" si="21"/>
        <v/>
      </c>
      <c r="B128" s="222" t="str">
        <f>IF(dadosexternosBMF_1!A128="DI1 - DI de 1 dia","DI1 - DI de 1 dia","")</f>
        <v/>
      </c>
      <c r="C128" s="222" t="str">
        <f>IF(dadosexternosBMF_1!A128="DOL - Dólar comercial","",IF(C127&lt;&gt;"",dadosexternosBMF_1!B128,IF(dadosexternosBMF_1!A128="DI1 - DI de 1 dia",dadosexternosBMF_1!B128,"")))</f>
        <v/>
      </c>
      <c r="D128" s="222" t="str">
        <f>IF(C128&lt;&gt;"",dadosexternosBMF_1!C128,"")</f>
        <v/>
      </c>
      <c r="E128" s="222" t="str">
        <f>IF(C128&lt;&gt;"",dadosexternosBMF_1!D128,"")</f>
        <v/>
      </c>
      <c r="G128" s="219" t="str">
        <f t="shared" si="22"/>
        <v/>
      </c>
      <c r="H128" s="219" t="str">
        <f t="shared" si="17"/>
        <v/>
      </c>
      <c r="I128" s="219" t="str">
        <f t="shared" si="18"/>
        <v/>
      </c>
      <c r="J128" s="219" t="str">
        <f>IF(I128="","",VLOOKUP(LEFT(C128,1),dadosexternosBMF_1!$L$2:$M$13,2,FALSE))</f>
        <v/>
      </c>
      <c r="K128" s="219" t="str">
        <f t="shared" si="19"/>
        <v/>
      </c>
      <c r="L128" s="422" t="str">
        <f t="shared" si="20"/>
        <v/>
      </c>
      <c r="M128" s="422" t="str">
        <f>IF(I128="","",WORKDAY(L128-1,1,FERIADOS!$A$2:$A$831))</f>
        <v/>
      </c>
      <c r="N128" s="219" t="str">
        <f>IF(I128="","",NETWORKDAYS(Curva!$M$2,M128,FERIADOS!$A$2:$A$831)-1)</f>
        <v/>
      </c>
      <c r="O128" s="423" t="str">
        <f>IF(C128&lt;&gt;"",IF(ISERROR((100000/E128)^(252/N128)-1),Curva!$B$2,((100000/E128)^(252/N128)-1)),"")</f>
        <v/>
      </c>
      <c r="P128" s="219" t="str">
        <f>IF(OR(G128=1,G128=2),dadosexternosBMF_1!B128,"")</f>
        <v/>
      </c>
      <c r="Q128" s="219" t="str">
        <f>IF(OR(G128=1,G128=2),dadosexternosBMF_1!D128,"")</f>
        <v/>
      </c>
    </row>
    <row r="129" spans="1:17" x14ac:dyDescent="0.2">
      <c r="A129" s="222" t="str">
        <f t="shared" si="21"/>
        <v/>
      </c>
      <c r="B129" s="222" t="str">
        <f>IF(dadosexternosBMF_1!A129="DI1 - DI de 1 dia","DI1 - DI de 1 dia","")</f>
        <v/>
      </c>
      <c r="C129" s="222" t="str">
        <f>IF(dadosexternosBMF_1!A129="DOL - Dólar comercial","",IF(C128&lt;&gt;"",dadosexternosBMF_1!B129,IF(dadosexternosBMF_1!A129="DI1 - DI de 1 dia",dadosexternosBMF_1!B129,"")))</f>
        <v/>
      </c>
      <c r="D129" s="222" t="str">
        <f>IF(C129&lt;&gt;"",dadosexternosBMF_1!C129,"")</f>
        <v/>
      </c>
      <c r="E129" s="222" t="str">
        <f>IF(C129&lt;&gt;"",dadosexternosBMF_1!D129,"")</f>
        <v/>
      </c>
      <c r="G129" s="219" t="str">
        <f t="shared" si="22"/>
        <v/>
      </c>
      <c r="H129" s="219" t="str">
        <f t="shared" ref="H129:H154" si="24">IF(A129&lt;&gt;"",A129,"")</f>
        <v/>
      </c>
      <c r="I129" s="219" t="str">
        <f t="shared" ref="I129:I154" si="25">IF(A129&lt;&gt;"",(CONCATENATE("DI1",C129)),"")</f>
        <v/>
      </c>
      <c r="J129" s="219" t="str">
        <f>IF(I129="","",VLOOKUP(LEFT(C129,1),dadosexternosBMF_1!$L$2:$M$13,2,FALSE))</f>
        <v/>
      </c>
      <c r="K129" s="219" t="str">
        <f t="shared" ref="K129:K154" si="26">IF(I129="","",1+CONCATENATE(20,RIGHT(C129,2))-1)</f>
        <v/>
      </c>
      <c r="L129" s="422" t="str">
        <f t="shared" ref="L129:L154" si="27">IF(I129="","",CONCATENATE(1,"/",J129,"/",K129)+1-1)</f>
        <v/>
      </c>
      <c r="M129" s="422" t="str">
        <f>IF(I129="","",WORKDAY(L129-1,1,FERIADOS!$A$2:$A$831))</f>
        <v/>
      </c>
      <c r="N129" s="219" t="str">
        <f>IF(I129="","",NETWORKDAYS(Curva!$M$2,M129,FERIADOS!$A$2:$A$831)-1)</f>
        <v/>
      </c>
      <c r="O129" s="423" t="str">
        <f>IF(C129&lt;&gt;"",IF(ISERROR((100000/E129)^(252/N129)-1),Curva!$B$2,((100000/E129)^(252/N129)-1)),"")</f>
        <v/>
      </c>
      <c r="P129" s="219" t="str">
        <f>IF(OR(G129=1,G129=2),dadosexternosBMF_1!B129,"")</f>
        <v/>
      </c>
      <c r="Q129" s="219" t="str">
        <f>IF(OR(G129=1,G129=2),dadosexternosBMF_1!D129,"")</f>
        <v/>
      </c>
    </row>
    <row r="130" spans="1:17" x14ac:dyDescent="0.2">
      <c r="A130" s="222" t="str">
        <f t="shared" ref="A130:A154" si="28">IF(AND(A129&lt;&gt;"",C130&lt;&gt;""),A129+1,IF(B130="DI1 - DI de 1 dia",1,""))</f>
        <v/>
      </c>
      <c r="B130" s="222" t="str">
        <f>IF(dadosexternosBMF_1!A130="DI1 - DI de 1 dia","DI1 - DI de 1 dia","")</f>
        <v/>
      </c>
      <c r="C130" s="222" t="str">
        <f>IF(dadosexternosBMF_1!A130="DOL - Dólar comercial","",IF(C129&lt;&gt;"",dadosexternosBMF_1!B130,IF(dadosexternosBMF_1!A130="DI1 - DI de 1 dia",dadosexternosBMF_1!B130,"")))</f>
        <v/>
      </c>
      <c r="D130" s="222" t="str">
        <f>IF(C130&lt;&gt;"",dadosexternosBMF_1!C130,"")</f>
        <v/>
      </c>
      <c r="E130" s="222" t="str">
        <f>IF(C130&lt;&gt;"",dadosexternosBMF_1!D130,"")</f>
        <v/>
      </c>
      <c r="G130" s="219" t="str">
        <f t="shared" ref="G130:G154" si="29">IF(G129=1,2,IF(AND(H130="",H129&lt;&gt;""),1,""))</f>
        <v/>
      </c>
      <c r="H130" s="219" t="str">
        <f t="shared" si="24"/>
        <v/>
      </c>
      <c r="I130" s="219" t="str">
        <f t="shared" si="25"/>
        <v/>
      </c>
      <c r="J130" s="219" t="str">
        <f>IF(I130="","",VLOOKUP(LEFT(C130,1),dadosexternosBMF_1!$L$2:$M$13,2,FALSE))</f>
        <v/>
      </c>
      <c r="K130" s="219" t="str">
        <f t="shared" si="26"/>
        <v/>
      </c>
      <c r="L130" s="422" t="str">
        <f t="shared" si="27"/>
        <v/>
      </c>
      <c r="M130" s="422" t="str">
        <f>IF(I130="","",WORKDAY(L130-1,1,FERIADOS!$A$2:$A$831))</f>
        <v/>
      </c>
      <c r="N130" s="219" t="str">
        <f>IF(I130="","",NETWORKDAYS(Curva!$M$2,M130,FERIADOS!$A$2:$A$831)-1)</f>
        <v/>
      </c>
      <c r="O130" s="423" t="str">
        <f>IF(C130&lt;&gt;"",IF(ISERROR((100000/E130)^(252/N130)-1),Curva!$B$2,((100000/E130)^(252/N130)-1)),"")</f>
        <v/>
      </c>
      <c r="P130" s="219" t="str">
        <f>IF(OR(G130=1,G130=2),dadosexternosBMF_1!B130,"")</f>
        <v/>
      </c>
      <c r="Q130" s="219" t="str">
        <f>IF(OR(G130=1,G130=2),dadosexternosBMF_1!D130,"")</f>
        <v/>
      </c>
    </row>
    <row r="131" spans="1:17" x14ac:dyDescent="0.2">
      <c r="A131" s="222" t="str">
        <f t="shared" si="28"/>
        <v/>
      </c>
      <c r="B131" s="222" t="str">
        <f>IF(dadosexternosBMF_1!A131="DI1 - DI de 1 dia","DI1 - DI de 1 dia","")</f>
        <v/>
      </c>
      <c r="C131" s="222" t="str">
        <f>IF(dadosexternosBMF_1!A131="DOL - Dólar comercial","",IF(C130&lt;&gt;"",dadosexternosBMF_1!B131,IF(dadosexternosBMF_1!A131="DI1 - DI de 1 dia",dadosexternosBMF_1!B131,"")))</f>
        <v/>
      </c>
      <c r="D131" s="222" t="str">
        <f>IF(C131&lt;&gt;"",dadosexternosBMF_1!C131,"")</f>
        <v/>
      </c>
      <c r="E131" s="222" t="str">
        <f>IF(C131&lt;&gt;"",dadosexternosBMF_1!D131,"")</f>
        <v/>
      </c>
      <c r="G131" s="219" t="str">
        <f t="shared" si="29"/>
        <v/>
      </c>
      <c r="H131" s="219" t="str">
        <f t="shared" si="24"/>
        <v/>
      </c>
      <c r="I131" s="219" t="str">
        <f t="shared" si="25"/>
        <v/>
      </c>
      <c r="J131" s="219" t="str">
        <f>IF(I131="","",VLOOKUP(LEFT(C131,1),dadosexternosBMF_1!$L$2:$M$13,2,FALSE))</f>
        <v/>
      </c>
      <c r="K131" s="219" t="str">
        <f t="shared" si="26"/>
        <v/>
      </c>
      <c r="L131" s="422" t="str">
        <f t="shared" si="27"/>
        <v/>
      </c>
      <c r="M131" s="422" t="str">
        <f>IF(I131="","",WORKDAY(L131-1,1,FERIADOS!$A$2:$A$831))</f>
        <v/>
      </c>
      <c r="N131" s="219" t="str">
        <f>IF(I131="","",NETWORKDAYS(Curva!$M$2,M131,FERIADOS!$A$2:$A$831)-1)</f>
        <v/>
      </c>
      <c r="O131" s="423" t="str">
        <f>IF(C131&lt;&gt;"",IF(ISERROR((100000/E131)^(252/N131)-1),Curva!$B$2,((100000/E131)^(252/N131)-1)),"")</f>
        <v/>
      </c>
      <c r="P131" s="219" t="str">
        <f>IF(OR(G131=1,G131=2),dadosexternosBMF_1!B131,"")</f>
        <v/>
      </c>
      <c r="Q131" s="219" t="str">
        <f>IF(OR(G131=1,G131=2),dadosexternosBMF_1!D131,"")</f>
        <v/>
      </c>
    </row>
    <row r="132" spans="1:17" x14ac:dyDescent="0.2">
      <c r="A132" s="222" t="str">
        <f t="shared" si="28"/>
        <v/>
      </c>
      <c r="B132" s="222" t="str">
        <f>IF(dadosexternosBMF_1!A132="DI1 - DI de 1 dia","DI1 - DI de 1 dia","")</f>
        <v/>
      </c>
      <c r="C132" s="222" t="str">
        <f>IF(dadosexternosBMF_1!A132="DOL - Dólar comercial","",IF(C131&lt;&gt;"",dadosexternosBMF_1!B132,IF(dadosexternosBMF_1!A132="DI1 - DI de 1 dia",dadosexternosBMF_1!B132,"")))</f>
        <v/>
      </c>
      <c r="D132" s="222" t="str">
        <f>IF(C132&lt;&gt;"",dadosexternosBMF_1!C132,"")</f>
        <v/>
      </c>
      <c r="E132" s="222" t="str">
        <f>IF(C132&lt;&gt;"",dadosexternosBMF_1!D132,"")</f>
        <v/>
      </c>
      <c r="G132" s="219" t="str">
        <f t="shared" si="29"/>
        <v/>
      </c>
      <c r="H132" s="219" t="str">
        <f t="shared" si="24"/>
        <v/>
      </c>
      <c r="I132" s="219" t="str">
        <f t="shared" si="25"/>
        <v/>
      </c>
      <c r="J132" s="219" t="str">
        <f>IF(I132="","",VLOOKUP(LEFT(C132,1),dadosexternosBMF_1!$L$2:$M$13,2,FALSE))</f>
        <v/>
      </c>
      <c r="K132" s="219" t="str">
        <f t="shared" si="26"/>
        <v/>
      </c>
      <c r="L132" s="422" t="str">
        <f t="shared" si="27"/>
        <v/>
      </c>
      <c r="M132" s="422" t="str">
        <f>IF(I132="","",WORKDAY(L132-1,1,FERIADOS!$A$2:$A$831))</f>
        <v/>
      </c>
      <c r="N132" s="219" t="str">
        <f>IF(I132="","",NETWORKDAYS(Curva!$M$2,M132,FERIADOS!$A$2:$A$831)-1)</f>
        <v/>
      </c>
      <c r="O132" s="423" t="str">
        <f>IF(C132&lt;&gt;"",IF(ISERROR((100000/E132)^(252/N132)-1),Curva!$B$2,((100000/E132)^(252/N132)-1)),"")</f>
        <v/>
      </c>
      <c r="P132" s="219" t="str">
        <f>IF(OR(G132=1,G132=2),dadosexternosBMF_1!B132,"")</f>
        <v/>
      </c>
      <c r="Q132" s="219" t="str">
        <f>IF(OR(G132=1,G132=2),dadosexternosBMF_1!D132,"")</f>
        <v/>
      </c>
    </row>
    <row r="133" spans="1:17" x14ac:dyDescent="0.2">
      <c r="A133" s="222" t="str">
        <f t="shared" si="28"/>
        <v/>
      </c>
      <c r="B133" s="222" t="str">
        <f>IF(dadosexternosBMF_1!A133="DI1 - DI de 1 dia","DI1 - DI de 1 dia","")</f>
        <v/>
      </c>
      <c r="C133" s="222" t="str">
        <f>IF(dadosexternosBMF_1!A133="DOL - Dólar comercial","",IF(C132&lt;&gt;"",dadosexternosBMF_1!B133,IF(dadosexternosBMF_1!A133="DI1 - DI de 1 dia",dadosexternosBMF_1!B133,"")))</f>
        <v/>
      </c>
      <c r="D133" s="222" t="str">
        <f>IF(C133&lt;&gt;"",dadosexternosBMF_1!C133,"")</f>
        <v/>
      </c>
      <c r="E133" s="222" t="str">
        <f>IF(C133&lt;&gt;"",dadosexternosBMF_1!D133,"")</f>
        <v/>
      </c>
      <c r="G133" s="219" t="str">
        <f t="shared" si="29"/>
        <v/>
      </c>
      <c r="H133" s="219" t="str">
        <f t="shared" si="24"/>
        <v/>
      </c>
      <c r="I133" s="219" t="str">
        <f t="shared" si="25"/>
        <v/>
      </c>
      <c r="J133" s="219" t="str">
        <f>IF(I133="","",VLOOKUP(LEFT(C133,1),dadosexternosBMF_1!$L$2:$M$13,2,FALSE))</f>
        <v/>
      </c>
      <c r="K133" s="219" t="str">
        <f t="shared" si="26"/>
        <v/>
      </c>
      <c r="L133" s="422" t="str">
        <f t="shared" si="27"/>
        <v/>
      </c>
      <c r="M133" s="422" t="str">
        <f>IF(I133="","",WORKDAY(L133-1,1,FERIADOS!$A$2:$A$831))</f>
        <v/>
      </c>
      <c r="N133" s="219" t="str">
        <f>IF(I133="","",NETWORKDAYS(Curva!$M$2,M133,FERIADOS!$A$2:$A$831)-1)</f>
        <v/>
      </c>
      <c r="O133" s="423" t="str">
        <f>IF(C133&lt;&gt;"",IF(ISERROR((100000/E133)^(252/N133)-1),Curva!$B$2,((100000/E133)^(252/N133)-1)),"")</f>
        <v/>
      </c>
      <c r="P133" s="219" t="str">
        <f>IF(OR(G133=1,G133=2),dadosexternosBMF_1!B133,"")</f>
        <v/>
      </c>
      <c r="Q133" s="219" t="str">
        <f>IF(OR(G133=1,G133=2),dadosexternosBMF_1!D133,"")</f>
        <v/>
      </c>
    </row>
    <row r="134" spans="1:17" x14ac:dyDescent="0.2">
      <c r="A134" s="222" t="str">
        <f t="shared" si="28"/>
        <v/>
      </c>
      <c r="B134" s="222" t="str">
        <f>IF(dadosexternosBMF_1!A134="DI1 - DI de 1 dia","DI1 - DI de 1 dia","")</f>
        <v/>
      </c>
      <c r="C134" s="222" t="str">
        <f>IF(dadosexternosBMF_1!A134="DOL - Dólar comercial","",IF(C133&lt;&gt;"",dadosexternosBMF_1!B134,IF(dadosexternosBMF_1!A134="DI1 - DI de 1 dia",dadosexternosBMF_1!B134,"")))</f>
        <v/>
      </c>
      <c r="D134" s="222" t="str">
        <f>IF(C134&lt;&gt;"",dadosexternosBMF_1!C134,"")</f>
        <v/>
      </c>
      <c r="E134" s="222" t="str">
        <f>IF(C134&lt;&gt;"",dadosexternosBMF_1!D134,"")</f>
        <v/>
      </c>
      <c r="G134" s="219" t="str">
        <f t="shared" si="29"/>
        <v/>
      </c>
      <c r="H134" s="219" t="str">
        <f t="shared" si="24"/>
        <v/>
      </c>
      <c r="I134" s="219" t="str">
        <f t="shared" si="25"/>
        <v/>
      </c>
      <c r="J134" s="219" t="str">
        <f>IF(I134="","",VLOOKUP(LEFT(C134,1),dadosexternosBMF_1!$L$2:$M$13,2,FALSE))</f>
        <v/>
      </c>
      <c r="K134" s="219" t="str">
        <f t="shared" si="26"/>
        <v/>
      </c>
      <c r="L134" s="422" t="str">
        <f t="shared" si="27"/>
        <v/>
      </c>
      <c r="M134" s="422" t="str">
        <f>IF(I134="","",WORKDAY(L134-1,1,FERIADOS!$A$2:$A$831))</f>
        <v/>
      </c>
      <c r="N134" s="219" t="str">
        <f>IF(I134="","",NETWORKDAYS(Curva!$M$2,M134,FERIADOS!$A$2:$A$831)-1)</f>
        <v/>
      </c>
      <c r="O134" s="423" t="str">
        <f>IF(C134&lt;&gt;"",IF(ISERROR((100000/E134)^(252/N134)-1),Curva!$B$2,((100000/E134)^(252/N134)-1)),"")</f>
        <v/>
      </c>
      <c r="P134" s="219" t="str">
        <f>IF(OR(G134=1,G134=2),dadosexternosBMF_1!B134,"")</f>
        <v/>
      </c>
      <c r="Q134" s="219" t="str">
        <f>IF(OR(G134=1,G134=2),dadosexternosBMF_1!D134,"")</f>
        <v/>
      </c>
    </row>
    <row r="135" spans="1:17" x14ac:dyDescent="0.2">
      <c r="A135" s="222" t="str">
        <f t="shared" si="28"/>
        <v/>
      </c>
      <c r="B135" s="222" t="str">
        <f>IF(dadosexternosBMF_1!A135="DI1 - DI de 1 dia","DI1 - DI de 1 dia","")</f>
        <v/>
      </c>
      <c r="C135" s="222" t="str">
        <f>IF(dadosexternosBMF_1!A135="DOL - Dólar comercial","",IF(C134&lt;&gt;"",dadosexternosBMF_1!B135,IF(dadosexternosBMF_1!A135="DI1 - DI de 1 dia",dadosexternosBMF_1!B135,"")))</f>
        <v/>
      </c>
      <c r="D135" s="222" t="str">
        <f>IF(C135&lt;&gt;"",dadosexternosBMF_1!C135,"")</f>
        <v/>
      </c>
      <c r="E135" s="222" t="str">
        <f>IF(C135&lt;&gt;"",dadosexternosBMF_1!D135,"")</f>
        <v/>
      </c>
      <c r="G135" s="219" t="str">
        <f t="shared" si="29"/>
        <v/>
      </c>
      <c r="H135" s="219" t="str">
        <f t="shared" si="24"/>
        <v/>
      </c>
      <c r="I135" s="219" t="str">
        <f t="shared" si="25"/>
        <v/>
      </c>
      <c r="J135" s="219" t="str">
        <f>IF(I135="","",VLOOKUP(LEFT(C135,1),dadosexternosBMF_1!$L$2:$M$13,2,FALSE))</f>
        <v/>
      </c>
      <c r="K135" s="219" t="str">
        <f t="shared" si="26"/>
        <v/>
      </c>
      <c r="L135" s="422" t="str">
        <f t="shared" si="27"/>
        <v/>
      </c>
      <c r="M135" s="422" t="str">
        <f>IF(I135="","",WORKDAY(L135-1,1,FERIADOS!$A$2:$A$831))</f>
        <v/>
      </c>
      <c r="N135" s="219" t="str">
        <f>IF(I135="","",NETWORKDAYS(Curva!$M$2,M135,FERIADOS!$A$2:$A$831)-1)</f>
        <v/>
      </c>
      <c r="O135" s="423" t="str">
        <f>IF(C135&lt;&gt;"",IF(ISERROR((100000/E135)^(252/N135)-1),Curva!$B$2,((100000/E135)^(252/N135)-1)),"")</f>
        <v/>
      </c>
      <c r="P135" s="219" t="str">
        <f>IF(OR(G135=1,G135=2),dadosexternosBMF_1!B135,"")</f>
        <v/>
      </c>
      <c r="Q135" s="219" t="str">
        <f>IF(OR(G135=1,G135=2),dadosexternosBMF_1!D135,"")</f>
        <v/>
      </c>
    </row>
    <row r="136" spans="1:17" x14ac:dyDescent="0.2">
      <c r="A136" s="222" t="str">
        <f t="shared" si="28"/>
        <v/>
      </c>
      <c r="B136" s="222" t="str">
        <f>IF(dadosexternosBMF_1!A136="DI1 - DI de 1 dia","DI1 - DI de 1 dia","")</f>
        <v/>
      </c>
      <c r="C136" s="222" t="str">
        <f>IF(dadosexternosBMF_1!A136="DOL - Dólar comercial","",IF(C135&lt;&gt;"",dadosexternosBMF_1!B136,IF(dadosexternosBMF_1!A136="DI1 - DI de 1 dia",dadosexternosBMF_1!B136,"")))</f>
        <v/>
      </c>
      <c r="D136" s="222" t="str">
        <f>IF(C136&lt;&gt;"",dadosexternosBMF_1!C136,"")</f>
        <v/>
      </c>
      <c r="E136" s="222" t="str">
        <f>IF(C136&lt;&gt;"",dadosexternosBMF_1!D136,"")</f>
        <v/>
      </c>
      <c r="G136" s="219" t="str">
        <f t="shared" si="29"/>
        <v/>
      </c>
      <c r="H136" s="219" t="str">
        <f t="shared" si="24"/>
        <v/>
      </c>
      <c r="I136" s="219" t="str">
        <f t="shared" si="25"/>
        <v/>
      </c>
      <c r="J136" s="219" t="str">
        <f>IF(I136="","",VLOOKUP(LEFT(C136,1),dadosexternosBMF_1!$L$2:$M$13,2,FALSE))</f>
        <v/>
      </c>
      <c r="K136" s="219" t="str">
        <f t="shared" si="26"/>
        <v/>
      </c>
      <c r="L136" s="422" t="str">
        <f t="shared" si="27"/>
        <v/>
      </c>
      <c r="M136" s="422" t="str">
        <f>IF(I136="","",WORKDAY(L136-1,1,FERIADOS!$A$2:$A$831))</f>
        <v/>
      </c>
      <c r="N136" s="219" t="str">
        <f>IF(I136="","",NETWORKDAYS(Curva!$M$2,M136,FERIADOS!$A$2:$A$831)-1)</f>
        <v/>
      </c>
      <c r="O136" s="423" t="str">
        <f>IF(C136&lt;&gt;"",IF(ISERROR((100000/E136)^(252/N136)-1),Curva!$B$2,((100000/E136)^(252/N136)-1)),"")</f>
        <v/>
      </c>
      <c r="P136" s="219" t="str">
        <f>IF(OR(G136=1,G136=2),dadosexternosBMF_1!B136,"")</f>
        <v/>
      </c>
      <c r="Q136" s="219" t="str">
        <f>IF(OR(G136=1,G136=2),dadosexternosBMF_1!D136,"")</f>
        <v/>
      </c>
    </row>
    <row r="137" spans="1:17" x14ac:dyDescent="0.2">
      <c r="A137" s="222" t="str">
        <f t="shared" si="28"/>
        <v/>
      </c>
      <c r="B137" s="222" t="str">
        <f>IF(dadosexternosBMF_1!A137="DI1 - DI de 1 dia","DI1 - DI de 1 dia","")</f>
        <v/>
      </c>
      <c r="C137" s="222" t="str">
        <f>IF(dadosexternosBMF_1!A137="DOL - Dólar comercial","",IF(C136&lt;&gt;"",dadosexternosBMF_1!B137,IF(dadosexternosBMF_1!A137="DI1 - DI de 1 dia",dadosexternosBMF_1!B137,"")))</f>
        <v/>
      </c>
      <c r="D137" s="222" t="str">
        <f>IF(C137&lt;&gt;"",dadosexternosBMF_1!C137,"")</f>
        <v/>
      </c>
      <c r="E137" s="222" t="str">
        <f>IF(C137&lt;&gt;"",dadosexternosBMF_1!D137,"")</f>
        <v/>
      </c>
      <c r="G137" s="219" t="str">
        <f t="shared" si="29"/>
        <v/>
      </c>
      <c r="H137" s="219" t="str">
        <f t="shared" si="24"/>
        <v/>
      </c>
      <c r="I137" s="219" t="str">
        <f t="shared" si="25"/>
        <v/>
      </c>
      <c r="J137" s="219" t="str">
        <f>IF(I137="","",VLOOKUP(LEFT(C137,1),dadosexternosBMF_1!$L$2:$M$13,2,FALSE))</f>
        <v/>
      </c>
      <c r="K137" s="219" t="str">
        <f t="shared" si="26"/>
        <v/>
      </c>
      <c r="L137" s="422" t="str">
        <f t="shared" si="27"/>
        <v/>
      </c>
      <c r="M137" s="422" t="str">
        <f>IF(I137="","",WORKDAY(L137-1,1,FERIADOS!$A$2:$A$831))</f>
        <v/>
      </c>
      <c r="N137" s="219" t="str">
        <f>IF(I137="","",NETWORKDAYS(Curva!$M$2,M137,FERIADOS!$A$2:$A$831)-1)</f>
        <v/>
      </c>
      <c r="O137" s="423" t="str">
        <f>IF(C137&lt;&gt;"",IF(ISERROR((100000/E137)^(252/N137)-1),Curva!$B$2,((100000/E137)^(252/N137)-1)),"")</f>
        <v/>
      </c>
      <c r="P137" s="219" t="str">
        <f>IF(OR(G137=1,G137=2),dadosexternosBMF_1!B137,"")</f>
        <v/>
      </c>
      <c r="Q137" s="219" t="str">
        <f>IF(OR(G137=1,G137=2),dadosexternosBMF_1!D137,"")</f>
        <v/>
      </c>
    </row>
    <row r="138" spans="1:17" x14ac:dyDescent="0.2">
      <c r="A138" s="222" t="str">
        <f t="shared" si="28"/>
        <v/>
      </c>
      <c r="B138" s="222" t="str">
        <f>IF(dadosexternosBMF_1!A138="DI1 - DI de 1 dia","DI1 - DI de 1 dia","")</f>
        <v/>
      </c>
      <c r="C138" s="222" t="str">
        <f>IF(dadosexternosBMF_1!A138="DOL - Dólar comercial","",IF(C137&lt;&gt;"",dadosexternosBMF_1!B138,IF(dadosexternosBMF_1!A138="DI1 - DI de 1 dia",dadosexternosBMF_1!B138,"")))</f>
        <v/>
      </c>
      <c r="D138" s="222" t="str">
        <f>IF(C138&lt;&gt;"",dadosexternosBMF_1!C138,"")</f>
        <v/>
      </c>
      <c r="E138" s="222" t="str">
        <f>IF(C138&lt;&gt;"",dadosexternosBMF_1!D138,"")</f>
        <v/>
      </c>
      <c r="G138" s="219" t="str">
        <f t="shared" si="29"/>
        <v/>
      </c>
      <c r="H138" s="219" t="str">
        <f t="shared" si="24"/>
        <v/>
      </c>
      <c r="I138" s="219" t="str">
        <f t="shared" si="25"/>
        <v/>
      </c>
      <c r="J138" s="219" t="str">
        <f>IF(I138="","",VLOOKUP(LEFT(C138,1),dadosexternosBMF_1!$L$2:$M$13,2,FALSE))</f>
        <v/>
      </c>
      <c r="K138" s="219" t="str">
        <f t="shared" si="26"/>
        <v/>
      </c>
      <c r="L138" s="422" t="str">
        <f t="shared" si="27"/>
        <v/>
      </c>
      <c r="M138" s="422" t="str">
        <f>IF(I138="","",WORKDAY(L138-1,1,FERIADOS!$A$2:$A$831))</f>
        <v/>
      </c>
      <c r="N138" s="219" t="str">
        <f>IF(I138="","",NETWORKDAYS(Curva!$M$2,M138,FERIADOS!$A$2:$A$831)-1)</f>
        <v/>
      </c>
      <c r="O138" s="423" t="str">
        <f>IF(C138&lt;&gt;"",IF(ISERROR((100000/E138)^(252/N138)-1),Curva!$B$2,((100000/E138)^(252/N138)-1)),"")</f>
        <v/>
      </c>
      <c r="P138" s="219" t="str">
        <f>IF(OR(G138=1,G138=2),dadosexternosBMF_1!B138,"")</f>
        <v/>
      </c>
      <c r="Q138" s="219" t="str">
        <f>IF(OR(G138=1,G138=2),dadosexternosBMF_1!D138,"")</f>
        <v/>
      </c>
    </row>
    <row r="139" spans="1:17" x14ac:dyDescent="0.2">
      <c r="A139" s="222" t="str">
        <f t="shared" si="28"/>
        <v/>
      </c>
      <c r="B139" s="222" t="str">
        <f>IF(dadosexternosBMF_1!A139="DI1 - DI de 1 dia","DI1 - DI de 1 dia","")</f>
        <v/>
      </c>
      <c r="C139" s="222" t="str">
        <f>IF(dadosexternosBMF_1!A139="DOL - Dólar comercial","",IF(C138&lt;&gt;"",dadosexternosBMF_1!B139,IF(dadosexternosBMF_1!A139="DI1 - DI de 1 dia",dadosexternosBMF_1!B139,"")))</f>
        <v/>
      </c>
      <c r="D139" s="222" t="str">
        <f>IF(C139&lt;&gt;"",dadosexternosBMF_1!C139,"")</f>
        <v/>
      </c>
      <c r="E139" s="222" t="str">
        <f>IF(C139&lt;&gt;"",dadosexternosBMF_1!D139,"")</f>
        <v/>
      </c>
      <c r="G139" s="219" t="str">
        <f t="shared" si="29"/>
        <v/>
      </c>
      <c r="H139" s="219" t="str">
        <f t="shared" si="24"/>
        <v/>
      </c>
      <c r="I139" s="219" t="str">
        <f t="shared" si="25"/>
        <v/>
      </c>
      <c r="J139" s="219" t="str">
        <f>IF(I139="","",VLOOKUP(LEFT(C139,1),dadosexternosBMF_1!$L$2:$M$13,2,FALSE))</f>
        <v/>
      </c>
      <c r="K139" s="219" t="str">
        <f t="shared" si="26"/>
        <v/>
      </c>
      <c r="L139" s="422" t="str">
        <f t="shared" si="27"/>
        <v/>
      </c>
      <c r="M139" s="422" t="str">
        <f>IF(I139="","",WORKDAY(L139-1,1,FERIADOS!$A$2:$A$831))</f>
        <v/>
      </c>
      <c r="N139" s="219" t="str">
        <f>IF(I139="","",NETWORKDAYS(Curva!$M$2,M139,FERIADOS!$A$2:$A$831)-1)</f>
        <v/>
      </c>
      <c r="O139" s="423" t="str">
        <f>IF(C139&lt;&gt;"",IF(ISERROR((100000/E139)^(252/N139)-1),Curva!$B$2,((100000/E139)^(252/N139)-1)),"")</f>
        <v/>
      </c>
      <c r="P139" s="219" t="str">
        <f>IF(OR(G139=1,G139=2),dadosexternosBMF_1!B139,"")</f>
        <v/>
      </c>
      <c r="Q139" s="219" t="str">
        <f>IF(OR(G139=1,G139=2),dadosexternosBMF_1!D139,"")</f>
        <v/>
      </c>
    </row>
    <row r="140" spans="1:17" x14ac:dyDescent="0.2">
      <c r="A140" s="222" t="str">
        <f t="shared" si="28"/>
        <v/>
      </c>
      <c r="B140" s="222" t="str">
        <f>IF(dadosexternosBMF_1!A140="DI1 - DI de 1 dia","DI1 - DI de 1 dia","")</f>
        <v/>
      </c>
      <c r="C140" s="222" t="str">
        <f>IF(dadosexternosBMF_1!A140="DOL - Dólar comercial","",IF(C139&lt;&gt;"",dadosexternosBMF_1!B140,IF(dadosexternosBMF_1!A140="DI1 - DI de 1 dia",dadosexternosBMF_1!B140,"")))</f>
        <v/>
      </c>
      <c r="D140" s="222" t="str">
        <f>IF(C140&lt;&gt;"",dadosexternosBMF_1!C140,"")</f>
        <v/>
      </c>
      <c r="E140" s="222" t="str">
        <f>IF(C140&lt;&gt;"",dadosexternosBMF_1!D140,"")</f>
        <v/>
      </c>
      <c r="G140" s="219" t="str">
        <f t="shared" si="29"/>
        <v/>
      </c>
      <c r="H140" s="219" t="str">
        <f t="shared" si="24"/>
        <v/>
      </c>
      <c r="I140" s="219" t="str">
        <f t="shared" si="25"/>
        <v/>
      </c>
      <c r="J140" s="219" t="str">
        <f>IF(I140="","",VLOOKUP(LEFT(C140,1),dadosexternosBMF_1!$L$2:$M$13,2,FALSE))</f>
        <v/>
      </c>
      <c r="K140" s="219" t="str">
        <f t="shared" si="26"/>
        <v/>
      </c>
      <c r="L140" s="422" t="str">
        <f t="shared" si="27"/>
        <v/>
      </c>
      <c r="M140" s="422" t="str">
        <f>IF(I140="","",WORKDAY(L140-1,1,FERIADOS!$A$2:$A$831))</f>
        <v/>
      </c>
      <c r="N140" s="219" t="str">
        <f>IF(I140="","",NETWORKDAYS(Curva!$M$2,M140,FERIADOS!$A$2:$A$831)-1)</f>
        <v/>
      </c>
      <c r="O140" s="423" t="str">
        <f>IF(C140&lt;&gt;"",IF(ISERROR((100000/E140)^(252/N140)-1),Curva!$B$2,((100000/E140)^(252/N140)-1)),"")</f>
        <v/>
      </c>
      <c r="P140" s="219" t="str">
        <f>IF(OR(G140=1,G140=2),dadosexternosBMF_1!B140,"")</f>
        <v/>
      </c>
      <c r="Q140" s="219" t="str">
        <f>IF(OR(G140=1,G140=2),dadosexternosBMF_1!D140,"")</f>
        <v/>
      </c>
    </row>
    <row r="141" spans="1:17" x14ac:dyDescent="0.2">
      <c r="A141" s="222" t="str">
        <f t="shared" si="28"/>
        <v/>
      </c>
      <c r="B141" s="222" t="str">
        <f>IF(dadosexternosBMF_1!A141="DI1 - DI de 1 dia","DI1 - DI de 1 dia","")</f>
        <v/>
      </c>
      <c r="C141" s="222" t="str">
        <f>IF(dadosexternosBMF_1!A141="DOL - Dólar comercial","",IF(C140&lt;&gt;"",dadosexternosBMF_1!B141,IF(dadosexternosBMF_1!A141="DI1 - DI de 1 dia",dadosexternosBMF_1!B141,"")))</f>
        <v/>
      </c>
      <c r="D141" s="222" t="str">
        <f>IF(C141&lt;&gt;"",dadosexternosBMF_1!C141,"")</f>
        <v/>
      </c>
      <c r="E141" s="222" t="str">
        <f>IF(C141&lt;&gt;"",dadosexternosBMF_1!D141,"")</f>
        <v/>
      </c>
      <c r="G141" s="219" t="str">
        <f t="shared" si="29"/>
        <v/>
      </c>
      <c r="H141" s="219" t="str">
        <f t="shared" si="24"/>
        <v/>
      </c>
      <c r="I141" s="219" t="str">
        <f t="shared" si="25"/>
        <v/>
      </c>
      <c r="J141" s="219" t="str">
        <f>IF(I141="","",VLOOKUP(LEFT(C141,1),dadosexternosBMF_1!$L$2:$M$13,2,FALSE))</f>
        <v/>
      </c>
      <c r="K141" s="219" t="str">
        <f t="shared" si="26"/>
        <v/>
      </c>
      <c r="L141" s="422" t="str">
        <f t="shared" si="27"/>
        <v/>
      </c>
      <c r="M141" s="422" t="str">
        <f>IF(I141="","",WORKDAY(L141-1,1,FERIADOS!$A$2:$A$831))</f>
        <v/>
      </c>
      <c r="N141" s="219" t="str">
        <f>IF(I141="","",NETWORKDAYS(Curva!$M$2,M141,FERIADOS!$A$2:$A$831)-1)</f>
        <v/>
      </c>
      <c r="O141" s="423" t="str">
        <f>IF(C141&lt;&gt;"",IF(ISERROR((100000/E141)^(252/N141)-1),Curva!$B$2,((100000/E141)^(252/N141)-1)),"")</f>
        <v/>
      </c>
      <c r="P141" s="219" t="str">
        <f>IF(OR(G141=1,G141=2),dadosexternosBMF_1!B141,"")</f>
        <v/>
      </c>
      <c r="Q141" s="219" t="str">
        <f>IF(OR(G141=1,G141=2),dadosexternosBMF_1!D141,"")</f>
        <v/>
      </c>
    </row>
    <row r="142" spans="1:17" x14ac:dyDescent="0.2">
      <c r="A142" s="222" t="str">
        <f t="shared" si="28"/>
        <v/>
      </c>
      <c r="B142" s="222" t="str">
        <f>IF(dadosexternosBMF_1!A142="DI1 - DI de 1 dia","DI1 - DI de 1 dia","")</f>
        <v/>
      </c>
      <c r="C142" s="222" t="str">
        <f>IF(dadosexternosBMF_1!A142="DOL - Dólar comercial","",IF(C141&lt;&gt;"",dadosexternosBMF_1!B142,IF(dadosexternosBMF_1!A142="DI1 - DI de 1 dia",dadosexternosBMF_1!B142,"")))</f>
        <v/>
      </c>
      <c r="D142" s="222" t="str">
        <f>IF(C142&lt;&gt;"",dadosexternosBMF_1!C142,"")</f>
        <v/>
      </c>
      <c r="E142" s="222" t="str">
        <f>IF(C142&lt;&gt;"",dadosexternosBMF_1!D142,"")</f>
        <v/>
      </c>
      <c r="G142" s="219" t="str">
        <f t="shared" si="29"/>
        <v/>
      </c>
      <c r="H142" s="219" t="str">
        <f t="shared" si="24"/>
        <v/>
      </c>
      <c r="I142" s="219" t="str">
        <f t="shared" si="25"/>
        <v/>
      </c>
      <c r="J142" s="219" t="str">
        <f>IF(I142="","",VLOOKUP(LEFT(C142,1),dadosexternosBMF_1!$L$2:$M$13,2,FALSE))</f>
        <v/>
      </c>
      <c r="K142" s="219" t="str">
        <f t="shared" si="26"/>
        <v/>
      </c>
      <c r="L142" s="422" t="str">
        <f t="shared" si="27"/>
        <v/>
      </c>
      <c r="M142" s="422" t="str">
        <f>IF(I142="","",WORKDAY(L142-1,1,FERIADOS!$A$2:$A$831))</f>
        <v/>
      </c>
      <c r="N142" s="219" t="str">
        <f>IF(I142="","",NETWORKDAYS(Curva!$M$2,M142,FERIADOS!$A$2:$A$831)-1)</f>
        <v/>
      </c>
      <c r="O142" s="423" t="str">
        <f>IF(C142&lt;&gt;"",IF(ISERROR((100000/E142)^(252/N142)-1),Curva!$B$2,((100000/E142)^(252/N142)-1)),"")</f>
        <v/>
      </c>
      <c r="P142" s="219" t="str">
        <f>IF(OR(G142=1,G142=2),dadosexternosBMF_1!B142,"")</f>
        <v/>
      </c>
      <c r="Q142" s="219" t="str">
        <f>IF(OR(G142=1,G142=2),dadosexternosBMF_1!D142,"")</f>
        <v/>
      </c>
    </row>
    <row r="143" spans="1:17" x14ac:dyDescent="0.2">
      <c r="A143" s="222" t="str">
        <f t="shared" si="28"/>
        <v/>
      </c>
      <c r="B143" s="222" t="str">
        <f>IF(dadosexternosBMF_1!A143="DI1 - DI de 1 dia","DI1 - DI de 1 dia","")</f>
        <v/>
      </c>
      <c r="C143" s="222" t="str">
        <f>IF(dadosexternosBMF_1!A143="DOL - Dólar comercial","",IF(C142&lt;&gt;"",dadosexternosBMF_1!B143,IF(dadosexternosBMF_1!A143="DI1 - DI de 1 dia",dadosexternosBMF_1!B143,"")))</f>
        <v/>
      </c>
      <c r="D143" s="222" t="str">
        <f>IF(C143&lt;&gt;"",dadosexternosBMF_1!C143,"")</f>
        <v/>
      </c>
      <c r="E143" s="222" t="str">
        <f>IF(C143&lt;&gt;"",dadosexternosBMF_1!D143,"")</f>
        <v/>
      </c>
      <c r="G143" s="219" t="str">
        <f t="shared" si="29"/>
        <v/>
      </c>
      <c r="H143" s="219" t="str">
        <f t="shared" si="24"/>
        <v/>
      </c>
      <c r="I143" s="219" t="str">
        <f t="shared" si="25"/>
        <v/>
      </c>
      <c r="J143" s="219" t="str">
        <f>IF(I143="","",VLOOKUP(LEFT(C143,1),dadosexternosBMF_1!$L$2:$M$13,2,FALSE))</f>
        <v/>
      </c>
      <c r="K143" s="219" t="str">
        <f t="shared" si="26"/>
        <v/>
      </c>
      <c r="L143" s="422" t="str">
        <f t="shared" si="27"/>
        <v/>
      </c>
      <c r="M143" s="422" t="str">
        <f>IF(I143="","",WORKDAY(L143-1,1,FERIADOS!$A$2:$A$831))</f>
        <v/>
      </c>
      <c r="N143" s="219" t="str">
        <f>IF(I143="","",NETWORKDAYS(Curva!$M$2,M143,FERIADOS!$A$2:$A$831)-1)</f>
        <v/>
      </c>
      <c r="O143" s="423" t="str">
        <f>IF(C143&lt;&gt;"",IF(ISERROR((100000/E143)^(252/N143)-1),Curva!$B$2,((100000/E143)^(252/N143)-1)),"")</f>
        <v/>
      </c>
      <c r="P143" s="219" t="str">
        <f>IF(OR(G143=1,G143=2),dadosexternosBMF_1!B143,"")</f>
        <v/>
      </c>
      <c r="Q143" s="219" t="str">
        <f>IF(OR(G143=1,G143=2),dadosexternosBMF_1!D143,"")</f>
        <v/>
      </c>
    </row>
    <row r="144" spans="1:17" x14ac:dyDescent="0.2">
      <c r="A144" s="222" t="str">
        <f t="shared" si="28"/>
        <v/>
      </c>
      <c r="B144" s="222" t="str">
        <f>IF(dadosexternosBMF_1!A144="DI1 - DI de 1 dia","DI1 - DI de 1 dia","")</f>
        <v/>
      </c>
      <c r="C144" s="222" t="str">
        <f>IF(dadosexternosBMF_1!A144="DOL - Dólar comercial","",IF(C143&lt;&gt;"",dadosexternosBMF_1!B144,IF(dadosexternosBMF_1!A144="DI1 - DI de 1 dia",dadosexternosBMF_1!B144,"")))</f>
        <v/>
      </c>
      <c r="D144" s="222" t="str">
        <f>IF(C144&lt;&gt;"",dadosexternosBMF_1!C144,"")</f>
        <v/>
      </c>
      <c r="E144" s="222" t="str">
        <f>IF(C144&lt;&gt;"",dadosexternosBMF_1!D144,"")</f>
        <v/>
      </c>
      <c r="G144" s="219" t="str">
        <f t="shared" si="29"/>
        <v/>
      </c>
      <c r="H144" s="219" t="str">
        <f t="shared" si="24"/>
        <v/>
      </c>
      <c r="I144" s="219" t="str">
        <f t="shared" si="25"/>
        <v/>
      </c>
      <c r="J144" s="219" t="str">
        <f>IF(I144="","",VLOOKUP(LEFT(C144,1),dadosexternosBMF_1!$L$2:$M$13,2,FALSE))</f>
        <v/>
      </c>
      <c r="K144" s="219" t="str">
        <f t="shared" si="26"/>
        <v/>
      </c>
      <c r="L144" s="422" t="str">
        <f t="shared" si="27"/>
        <v/>
      </c>
      <c r="M144" s="422" t="str">
        <f>IF(I144="","",WORKDAY(L144-1,1,FERIADOS!$A$2:$A$831))</f>
        <v/>
      </c>
      <c r="N144" s="219" t="str">
        <f>IF(I144="","",NETWORKDAYS(Curva!$M$2,M144,FERIADOS!$A$2:$A$831)-1)</f>
        <v/>
      </c>
      <c r="O144" s="423" t="str">
        <f>IF(C144&lt;&gt;"",IF(ISERROR((100000/E144)^(252/N144)-1),Curva!$B$2,((100000/E144)^(252/N144)-1)),"")</f>
        <v/>
      </c>
      <c r="P144" s="219" t="str">
        <f>IF(OR(G144=1,G144=2),dadosexternosBMF_1!B144,"")</f>
        <v/>
      </c>
      <c r="Q144" s="219" t="str">
        <f>IF(OR(G144=1,G144=2),dadosexternosBMF_1!D144,"")</f>
        <v/>
      </c>
    </row>
    <row r="145" spans="1:17" x14ac:dyDescent="0.2">
      <c r="A145" s="222" t="str">
        <f t="shared" si="28"/>
        <v/>
      </c>
      <c r="B145" s="222" t="str">
        <f>IF(dadosexternosBMF_1!A145="DI1 - DI de 1 dia","DI1 - DI de 1 dia","")</f>
        <v/>
      </c>
      <c r="C145" s="222" t="str">
        <f>IF(dadosexternosBMF_1!A145="DOL - Dólar comercial","",IF(C144&lt;&gt;"",dadosexternosBMF_1!B145,IF(dadosexternosBMF_1!A145="DI1 - DI de 1 dia",dadosexternosBMF_1!B145,"")))</f>
        <v/>
      </c>
      <c r="D145" s="222" t="str">
        <f>IF(C145&lt;&gt;"",dadosexternosBMF_1!C145,"")</f>
        <v/>
      </c>
      <c r="E145" s="222" t="str">
        <f>IF(C145&lt;&gt;"",dadosexternosBMF_1!D145,"")</f>
        <v/>
      </c>
      <c r="G145" s="219" t="str">
        <f t="shared" si="29"/>
        <v/>
      </c>
      <c r="H145" s="219" t="str">
        <f t="shared" si="24"/>
        <v/>
      </c>
      <c r="I145" s="219" t="str">
        <f t="shared" si="25"/>
        <v/>
      </c>
      <c r="J145" s="219" t="str">
        <f>IF(I145="","",VLOOKUP(LEFT(C145,1),dadosexternosBMF_1!$L$2:$M$13,2,FALSE))</f>
        <v/>
      </c>
      <c r="K145" s="219" t="str">
        <f t="shared" si="26"/>
        <v/>
      </c>
      <c r="L145" s="422" t="str">
        <f t="shared" si="27"/>
        <v/>
      </c>
      <c r="M145" s="422" t="str">
        <f>IF(I145="","",WORKDAY(L145-1,1,FERIADOS!$A$2:$A$831))</f>
        <v/>
      </c>
      <c r="N145" s="219" t="str">
        <f>IF(I145="","",NETWORKDAYS(Curva!$M$2,M145,FERIADOS!$A$2:$A$831)-1)</f>
        <v/>
      </c>
      <c r="O145" s="423" t="str">
        <f>IF(C145&lt;&gt;"",IF(ISERROR((100000/E145)^(252/N145)-1),Curva!$B$2,((100000/E145)^(252/N145)-1)),"")</f>
        <v/>
      </c>
      <c r="P145" s="219" t="str">
        <f>IF(OR(G145=1,G145=2),dadosexternosBMF_1!B145,"")</f>
        <v/>
      </c>
      <c r="Q145" s="219" t="str">
        <f>IF(OR(G145=1,G145=2),dadosexternosBMF_1!D145,"")</f>
        <v/>
      </c>
    </row>
    <row r="146" spans="1:17" x14ac:dyDescent="0.2">
      <c r="A146" s="222" t="str">
        <f t="shared" si="28"/>
        <v/>
      </c>
      <c r="B146" s="222" t="str">
        <f>IF(dadosexternosBMF_1!A146="DI1 - DI de 1 dia","DI1 - DI de 1 dia","")</f>
        <v/>
      </c>
      <c r="C146" s="222" t="str">
        <f>IF(dadosexternosBMF_1!A146="DOL - Dólar comercial","",IF(C145&lt;&gt;"",dadosexternosBMF_1!B146,IF(dadosexternosBMF_1!A146="DI1 - DI de 1 dia",dadosexternosBMF_1!B146,"")))</f>
        <v/>
      </c>
      <c r="D146" s="222" t="str">
        <f>IF(C146&lt;&gt;"",dadosexternosBMF_1!C146,"")</f>
        <v/>
      </c>
      <c r="E146" s="222" t="str">
        <f>IF(C146&lt;&gt;"",dadosexternosBMF_1!D146,"")</f>
        <v/>
      </c>
      <c r="G146" s="219" t="str">
        <f t="shared" si="29"/>
        <v/>
      </c>
      <c r="H146" s="219" t="str">
        <f t="shared" si="24"/>
        <v/>
      </c>
      <c r="I146" s="219" t="str">
        <f t="shared" si="25"/>
        <v/>
      </c>
      <c r="J146" s="219" t="str">
        <f>IF(I146="","",VLOOKUP(LEFT(C146,1),dadosexternosBMF_1!$L$2:$M$13,2,FALSE))</f>
        <v/>
      </c>
      <c r="K146" s="219" t="str">
        <f t="shared" si="26"/>
        <v/>
      </c>
      <c r="L146" s="422" t="str">
        <f t="shared" si="27"/>
        <v/>
      </c>
      <c r="M146" s="422" t="str">
        <f>IF(I146="","",WORKDAY(L146-1,1,FERIADOS!$A$2:$A$831))</f>
        <v/>
      </c>
      <c r="N146" s="219" t="str">
        <f>IF(I146="","",NETWORKDAYS(Curva!$M$2,M146,FERIADOS!$A$2:$A$831)-1)</f>
        <v/>
      </c>
      <c r="O146" s="423" t="str">
        <f>IF(C146&lt;&gt;"",IF(ISERROR((100000/E146)^(252/N146)-1),Curva!$B$2,((100000/E146)^(252/N146)-1)),"")</f>
        <v/>
      </c>
      <c r="P146" s="219" t="str">
        <f>IF(OR(G146=1,G146=2),dadosexternosBMF_1!B146,"")</f>
        <v/>
      </c>
      <c r="Q146" s="219" t="str">
        <f>IF(OR(G146=1,G146=2),dadosexternosBMF_1!D146,"")</f>
        <v/>
      </c>
    </row>
    <row r="147" spans="1:17" x14ac:dyDescent="0.2">
      <c r="A147" s="222" t="str">
        <f t="shared" si="28"/>
        <v/>
      </c>
      <c r="B147" s="222" t="str">
        <f>IF(dadosexternosBMF_1!A147="DI1 - DI de 1 dia","DI1 - DI de 1 dia","")</f>
        <v/>
      </c>
      <c r="C147" s="222" t="str">
        <f>IF(dadosexternosBMF_1!A147="DOL - Dólar comercial","",IF(C146&lt;&gt;"",dadosexternosBMF_1!B147,IF(dadosexternosBMF_1!A147="DI1 - DI de 1 dia",dadosexternosBMF_1!B147,"")))</f>
        <v/>
      </c>
      <c r="D147" s="222" t="str">
        <f>IF(C147&lt;&gt;"",dadosexternosBMF_1!C147,"")</f>
        <v/>
      </c>
      <c r="E147" s="222" t="str">
        <f>IF(C147&lt;&gt;"",dadosexternosBMF_1!D147,"")</f>
        <v/>
      </c>
      <c r="G147" s="219" t="str">
        <f t="shared" si="29"/>
        <v/>
      </c>
      <c r="H147" s="219" t="str">
        <f t="shared" si="24"/>
        <v/>
      </c>
      <c r="I147" s="219" t="str">
        <f t="shared" si="25"/>
        <v/>
      </c>
      <c r="J147" s="219" t="str">
        <f>IF(I147="","",VLOOKUP(LEFT(C147,1),dadosexternosBMF_1!$L$2:$M$13,2,FALSE))</f>
        <v/>
      </c>
      <c r="K147" s="219" t="str">
        <f t="shared" si="26"/>
        <v/>
      </c>
      <c r="L147" s="422" t="str">
        <f t="shared" si="27"/>
        <v/>
      </c>
      <c r="M147" s="422" t="str">
        <f>IF(I147="","",WORKDAY(L147-1,1,FERIADOS!$A$2:$A$831))</f>
        <v/>
      </c>
      <c r="N147" s="219" t="str">
        <f>IF(I147="","",NETWORKDAYS(Curva!$M$2,M147,FERIADOS!$A$2:$A$831)-1)</f>
        <v/>
      </c>
      <c r="O147" s="423" t="str">
        <f>IF(C147&lt;&gt;"",IF(ISERROR((100000/E147)^(252/N147)-1),Curva!$B$2,((100000/E147)^(252/N147)-1)),"")</f>
        <v/>
      </c>
      <c r="P147" s="219" t="str">
        <f>IF(OR(G147=1,G147=2),dadosexternosBMF_1!B147,"")</f>
        <v/>
      </c>
      <c r="Q147" s="219" t="str">
        <f>IF(OR(G147=1,G147=2),dadosexternosBMF_1!D147,"")</f>
        <v/>
      </c>
    </row>
    <row r="148" spans="1:17" x14ac:dyDescent="0.2">
      <c r="A148" s="222" t="str">
        <f t="shared" si="28"/>
        <v/>
      </c>
      <c r="B148" s="222" t="str">
        <f>IF(dadosexternosBMF_1!A148="DI1 - DI de 1 dia","DI1 - DI de 1 dia","")</f>
        <v/>
      </c>
      <c r="C148" s="222" t="str">
        <f>IF(dadosexternosBMF_1!A148="DOL - Dólar comercial","",IF(C147&lt;&gt;"",dadosexternosBMF_1!B148,IF(dadosexternosBMF_1!A148="DI1 - DI de 1 dia",dadosexternosBMF_1!B148,"")))</f>
        <v/>
      </c>
      <c r="D148" s="222" t="str">
        <f>IF(C148&lt;&gt;"",dadosexternosBMF_1!C148,"")</f>
        <v/>
      </c>
      <c r="E148" s="222" t="str">
        <f>IF(C148&lt;&gt;"",dadosexternosBMF_1!D148,"")</f>
        <v/>
      </c>
      <c r="G148" s="219" t="str">
        <f t="shared" si="29"/>
        <v/>
      </c>
      <c r="H148" s="219" t="str">
        <f t="shared" si="24"/>
        <v/>
      </c>
      <c r="I148" s="219" t="str">
        <f t="shared" si="25"/>
        <v/>
      </c>
      <c r="J148" s="219" t="str">
        <f>IF(I148="","",VLOOKUP(LEFT(C148,1),dadosexternosBMF_1!$L$2:$M$13,2,FALSE))</f>
        <v/>
      </c>
      <c r="K148" s="219" t="str">
        <f t="shared" si="26"/>
        <v/>
      </c>
      <c r="L148" s="422" t="str">
        <f t="shared" si="27"/>
        <v/>
      </c>
      <c r="M148" s="422" t="str">
        <f>IF(I148="","",WORKDAY(L148-1,1,FERIADOS!$A$2:$A$831))</f>
        <v/>
      </c>
      <c r="N148" s="219" t="str">
        <f>IF(I148="","",NETWORKDAYS(Curva!$M$2,M148,FERIADOS!$A$2:$A$831)-1)</f>
        <v/>
      </c>
      <c r="O148" s="423" t="str">
        <f>IF(C148&lt;&gt;"",IF(ISERROR((100000/E148)^(252/N148)-1),Curva!$B$2,((100000/E148)^(252/N148)-1)),"")</f>
        <v/>
      </c>
      <c r="P148" s="219" t="str">
        <f>IF(OR(G148=1,G148=2),dadosexternosBMF_1!B148,"")</f>
        <v/>
      </c>
      <c r="Q148" s="219" t="str">
        <f>IF(OR(G148=1,G148=2),dadosexternosBMF_1!D148,"")</f>
        <v/>
      </c>
    </row>
    <row r="149" spans="1:17" x14ac:dyDescent="0.2">
      <c r="A149" s="222" t="str">
        <f t="shared" si="28"/>
        <v/>
      </c>
      <c r="B149" s="222" t="str">
        <f>IF(dadosexternosBMF_1!A149="DI1 - DI de 1 dia","DI1 - DI de 1 dia","")</f>
        <v/>
      </c>
      <c r="C149" s="222" t="str">
        <f>IF(dadosexternosBMF_1!A149="DOL - Dólar comercial","",IF(C148&lt;&gt;"",dadosexternosBMF_1!B149,IF(dadosexternosBMF_1!A149="DI1 - DI de 1 dia",dadosexternosBMF_1!B149,"")))</f>
        <v/>
      </c>
      <c r="D149" s="222" t="str">
        <f>IF(C149&lt;&gt;"",dadosexternosBMF_1!C149,"")</f>
        <v/>
      </c>
      <c r="E149" s="222" t="str">
        <f>IF(C149&lt;&gt;"",dadosexternosBMF_1!D149,"")</f>
        <v/>
      </c>
      <c r="G149" s="219" t="str">
        <f t="shared" si="29"/>
        <v/>
      </c>
      <c r="H149" s="219" t="str">
        <f t="shared" si="24"/>
        <v/>
      </c>
      <c r="I149" s="219" t="str">
        <f t="shared" si="25"/>
        <v/>
      </c>
      <c r="J149" s="219" t="str">
        <f>IF(I149="","",VLOOKUP(LEFT(C149,1),dadosexternosBMF_1!$L$2:$M$13,2,FALSE))</f>
        <v/>
      </c>
      <c r="K149" s="219" t="str">
        <f t="shared" si="26"/>
        <v/>
      </c>
      <c r="L149" s="422" t="str">
        <f t="shared" si="27"/>
        <v/>
      </c>
      <c r="M149" s="422" t="str">
        <f>IF(I149="","",WORKDAY(L149-1,1,FERIADOS!$A$2:$A$831))</f>
        <v/>
      </c>
      <c r="N149" s="219" t="str">
        <f>IF(I149="","",NETWORKDAYS(Curva!$M$2,M149,FERIADOS!$A$2:$A$831)-1)</f>
        <v/>
      </c>
      <c r="O149" s="423" t="str">
        <f>IF(C149&lt;&gt;"",IF(ISERROR((100000/E149)^(252/N149)-1),Curva!$B$2,((100000/E149)^(252/N149)-1)),"")</f>
        <v/>
      </c>
      <c r="P149" s="219" t="str">
        <f>IF(OR(G149=1,G149=2),dadosexternosBMF_1!B149,"")</f>
        <v/>
      </c>
      <c r="Q149" s="219" t="str">
        <f>IF(OR(G149=1,G149=2),dadosexternosBMF_1!D149,"")</f>
        <v/>
      </c>
    </row>
    <row r="150" spans="1:17" x14ac:dyDescent="0.2">
      <c r="A150" s="222" t="str">
        <f t="shared" si="28"/>
        <v/>
      </c>
      <c r="B150" s="222" t="str">
        <f>IF(dadosexternosBMF_1!A150="DI1 - DI de 1 dia","DI1 - DI de 1 dia","")</f>
        <v/>
      </c>
      <c r="C150" s="222" t="str">
        <f>IF(dadosexternosBMF_1!A150="DOL - Dólar comercial","",IF(C149&lt;&gt;"",dadosexternosBMF_1!B150,IF(dadosexternosBMF_1!A150="DI1 - DI de 1 dia",dadosexternosBMF_1!B150,"")))</f>
        <v/>
      </c>
      <c r="D150" s="222" t="str">
        <f>IF(C150&lt;&gt;"",dadosexternosBMF_1!C150,"")</f>
        <v/>
      </c>
      <c r="E150" s="222" t="str">
        <f>IF(C150&lt;&gt;"",dadosexternosBMF_1!D150,"")</f>
        <v/>
      </c>
      <c r="G150" s="219" t="str">
        <f t="shared" si="29"/>
        <v/>
      </c>
      <c r="H150" s="219" t="str">
        <f t="shared" si="24"/>
        <v/>
      </c>
      <c r="I150" s="219" t="str">
        <f t="shared" si="25"/>
        <v/>
      </c>
      <c r="J150" s="219" t="str">
        <f>IF(I150="","",VLOOKUP(LEFT(C150,1),dadosexternosBMF_1!$L$2:$M$13,2,FALSE))</f>
        <v/>
      </c>
      <c r="K150" s="219" t="str">
        <f t="shared" si="26"/>
        <v/>
      </c>
      <c r="L150" s="422" t="str">
        <f t="shared" si="27"/>
        <v/>
      </c>
      <c r="M150" s="422" t="str">
        <f>IF(I150="","",WORKDAY(L150-1,1,FERIADOS!$A$2:$A$831))</f>
        <v/>
      </c>
      <c r="N150" s="219" t="str">
        <f>IF(I150="","",NETWORKDAYS(Curva!$M$2,M150,FERIADOS!$A$2:$A$831)-1)</f>
        <v/>
      </c>
      <c r="O150" s="423" t="str">
        <f>IF(C150&lt;&gt;"",IF(ISERROR((100000/E150)^(252/N150)-1),Curva!$B$2,((100000/E150)^(252/N150)-1)),"")</f>
        <v/>
      </c>
      <c r="P150" s="219" t="str">
        <f>IF(OR(G150=1,G150=2),dadosexternosBMF_1!B150,"")</f>
        <v/>
      </c>
      <c r="Q150" s="219" t="str">
        <f>IF(OR(G150=1,G150=2),dadosexternosBMF_1!D150,"")</f>
        <v/>
      </c>
    </row>
    <row r="151" spans="1:17" x14ac:dyDescent="0.2">
      <c r="A151" s="222" t="str">
        <f t="shared" si="28"/>
        <v/>
      </c>
      <c r="B151" s="222" t="str">
        <f>IF(dadosexternosBMF_1!A151="DI1 - DI de 1 dia","DI1 - DI de 1 dia","")</f>
        <v/>
      </c>
      <c r="C151" s="222" t="str">
        <f>IF(dadosexternosBMF_1!A151="DOL - Dólar comercial","",IF(C150&lt;&gt;"",dadosexternosBMF_1!B151,IF(dadosexternosBMF_1!A151="DI1 - DI de 1 dia",dadosexternosBMF_1!B151,"")))</f>
        <v/>
      </c>
      <c r="D151" s="222" t="str">
        <f>IF(C151&lt;&gt;"",dadosexternosBMF_1!C151,"")</f>
        <v/>
      </c>
      <c r="E151" s="222" t="str">
        <f>IF(C151&lt;&gt;"",dadosexternosBMF_1!D151,"")</f>
        <v/>
      </c>
      <c r="G151" s="219" t="str">
        <f t="shared" si="29"/>
        <v/>
      </c>
      <c r="H151" s="219" t="str">
        <f t="shared" si="24"/>
        <v/>
      </c>
      <c r="I151" s="219" t="str">
        <f t="shared" si="25"/>
        <v/>
      </c>
      <c r="J151" s="219" t="str">
        <f>IF(I151="","",VLOOKUP(LEFT(C151,1),dadosexternosBMF_1!$L$2:$M$13,2,FALSE))</f>
        <v/>
      </c>
      <c r="K151" s="219" t="str">
        <f t="shared" si="26"/>
        <v/>
      </c>
      <c r="L151" s="422" t="str">
        <f t="shared" si="27"/>
        <v/>
      </c>
      <c r="M151" s="422" t="str">
        <f>IF(I151="","",WORKDAY(L151-1,1,FERIADOS!$A$2:$A$831))</f>
        <v/>
      </c>
      <c r="N151" s="219" t="str">
        <f>IF(I151="","",NETWORKDAYS(Curva!$M$2,M151,FERIADOS!$A$2:$A$831)-1)</f>
        <v/>
      </c>
      <c r="O151" s="423" t="str">
        <f>IF(C151&lt;&gt;"",IF(ISERROR((100000/E151)^(252/N151)-1),Curva!$B$2,((100000/E151)^(252/N151)-1)),"")</f>
        <v/>
      </c>
      <c r="P151" s="219" t="str">
        <f>IF(OR(G151=1,G151=2),dadosexternosBMF_1!B151,"")</f>
        <v/>
      </c>
      <c r="Q151" s="219" t="str">
        <f>IF(OR(G151=1,G151=2),dadosexternosBMF_1!D151,"")</f>
        <v/>
      </c>
    </row>
    <row r="152" spans="1:17" x14ac:dyDescent="0.2">
      <c r="A152" s="222" t="str">
        <f t="shared" si="28"/>
        <v/>
      </c>
      <c r="B152" s="222" t="str">
        <f>IF(dadosexternosBMF_1!A152="DI1 - DI de 1 dia","DI1 - DI de 1 dia","")</f>
        <v/>
      </c>
      <c r="C152" s="222" t="str">
        <f>IF(dadosexternosBMF_1!A152="DOL - Dólar comercial","",IF(C151&lt;&gt;"",dadosexternosBMF_1!B152,IF(dadosexternosBMF_1!A152="DI1 - DI de 1 dia",dadosexternosBMF_1!B152,"")))</f>
        <v/>
      </c>
      <c r="D152" s="222" t="str">
        <f>IF(C152&lt;&gt;"",dadosexternosBMF_1!C152,"")</f>
        <v/>
      </c>
      <c r="E152" s="222" t="str">
        <f>IF(C152&lt;&gt;"",dadosexternosBMF_1!D152,"")</f>
        <v/>
      </c>
      <c r="G152" s="219" t="str">
        <f t="shared" si="29"/>
        <v/>
      </c>
      <c r="H152" s="219" t="str">
        <f t="shared" si="24"/>
        <v/>
      </c>
      <c r="I152" s="219" t="str">
        <f t="shared" si="25"/>
        <v/>
      </c>
      <c r="J152" s="219" t="str">
        <f>IF(I152="","",VLOOKUP(LEFT(C152,1),dadosexternosBMF_1!$L$2:$M$13,2,FALSE))</f>
        <v/>
      </c>
      <c r="K152" s="219" t="str">
        <f t="shared" si="26"/>
        <v/>
      </c>
      <c r="L152" s="422" t="str">
        <f t="shared" si="27"/>
        <v/>
      </c>
      <c r="M152" s="422" t="str">
        <f>IF(I152="","",WORKDAY(L152-1,1,FERIADOS!$A$2:$A$831))</f>
        <v/>
      </c>
      <c r="N152" s="219" t="str">
        <f>IF(I152="","",NETWORKDAYS(Curva!$M$2,M152,FERIADOS!$A$2:$A$831)-1)</f>
        <v/>
      </c>
      <c r="O152" s="423" t="str">
        <f>IF(C152&lt;&gt;"",IF(ISERROR((100000/E152)^(252/N152)-1),Curva!$B$2,((100000/E152)^(252/N152)-1)),"")</f>
        <v/>
      </c>
      <c r="P152" s="219" t="str">
        <f>IF(OR(G152=1,G152=2),dadosexternosBMF_1!B152,"")</f>
        <v/>
      </c>
      <c r="Q152" s="219" t="str">
        <f>IF(OR(G152=1,G152=2),dadosexternosBMF_1!D152,"")</f>
        <v/>
      </c>
    </row>
    <row r="153" spans="1:17" x14ac:dyDescent="0.2">
      <c r="A153" s="222" t="str">
        <f t="shared" si="28"/>
        <v/>
      </c>
      <c r="B153" s="222" t="str">
        <f>IF(dadosexternosBMF_1!A153="DI1 - DI de 1 dia","DI1 - DI de 1 dia","")</f>
        <v/>
      </c>
      <c r="C153" s="222" t="str">
        <f>IF(dadosexternosBMF_1!A153="DOL - Dólar comercial","",IF(C152&lt;&gt;"",dadosexternosBMF_1!B153,IF(dadosexternosBMF_1!A153="DI1 - DI de 1 dia",dadosexternosBMF_1!B153,"")))</f>
        <v/>
      </c>
      <c r="D153" s="222" t="str">
        <f>IF(C153&lt;&gt;"",dadosexternosBMF_1!C153,"")</f>
        <v/>
      </c>
      <c r="E153" s="222" t="str">
        <f>IF(C153&lt;&gt;"",dadosexternosBMF_1!D153,"")</f>
        <v/>
      </c>
      <c r="G153" s="219" t="str">
        <f t="shared" si="29"/>
        <v/>
      </c>
      <c r="H153" s="219" t="str">
        <f t="shared" si="24"/>
        <v/>
      </c>
      <c r="I153" s="219" t="str">
        <f t="shared" si="25"/>
        <v/>
      </c>
      <c r="J153" s="219" t="str">
        <f>IF(I153="","",VLOOKUP(LEFT(C153,1),dadosexternosBMF_1!$L$2:$M$13,2,FALSE))</f>
        <v/>
      </c>
      <c r="K153" s="219" t="str">
        <f t="shared" si="26"/>
        <v/>
      </c>
      <c r="L153" s="422" t="str">
        <f t="shared" si="27"/>
        <v/>
      </c>
      <c r="M153" s="422" t="str">
        <f>IF(I153="","",WORKDAY(L153-1,1,FERIADOS!$A$2:$A$831))</f>
        <v/>
      </c>
      <c r="N153" s="219" t="str">
        <f>IF(I153="","",NETWORKDAYS(Curva!$M$2,M153,FERIADOS!$A$2:$A$831)-1)</f>
        <v/>
      </c>
      <c r="O153" s="423" t="str">
        <f>IF(C153&lt;&gt;"",IF(ISERROR((100000/E153)^(252/N153)-1),Curva!$B$2,((100000/E153)^(252/N153)-1)),"")</f>
        <v/>
      </c>
      <c r="P153" s="219" t="str">
        <f>IF(OR(G153=1,G153=2),dadosexternosBMF_1!B153,"")</f>
        <v/>
      </c>
      <c r="Q153" s="219" t="str">
        <f>IF(OR(G153=1,G153=2),dadosexternosBMF_1!D153,"")</f>
        <v/>
      </c>
    </row>
    <row r="154" spans="1:17" x14ac:dyDescent="0.2">
      <c r="A154" s="222" t="str">
        <f t="shared" si="28"/>
        <v/>
      </c>
      <c r="B154" s="222" t="str">
        <f>IF(dadosexternosBMF_1!A154="DI1 - DI de 1 dia","DI1 - DI de 1 dia","")</f>
        <v/>
      </c>
      <c r="C154" s="222" t="str">
        <f>IF(dadosexternosBMF_1!A154="DOL - Dólar comercial","",IF(C153&lt;&gt;"",dadosexternosBMF_1!B154,IF(dadosexternosBMF_1!A154="DI1 - DI de 1 dia",dadosexternosBMF_1!B154,"")))</f>
        <v/>
      </c>
      <c r="D154" s="222" t="str">
        <f>IF(C154&lt;&gt;"",dadosexternosBMF_1!C154,"")</f>
        <v/>
      </c>
      <c r="E154" s="222" t="str">
        <f>IF(C154&lt;&gt;"",dadosexternosBMF_1!D154,"")</f>
        <v/>
      </c>
      <c r="G154" s="219" t="str">
        <f t="shared" si="29"/>
        <v/>
      </c>
      <c r="H154" s="219" t="str">
        <f t="shared" si="24"/>
        <v/>
      </c>
      <c r="I154" s="219" t="str">
        <f t="shared" si="25"/>
        <v/>
      </c>
      <c r="J154" s="219" t="str">
        <f>IF(I154="","",VLOOKUP(LEFT(C154,1),dadosexternosBMF_1!$L$2:$M$13,2,FALSE))</f>
        <v/>
      </c>
      <c r="K154" s="219" t="str">
        <f t="shared" si="26"/>
        <v/>
      </c>
      <c r="L154" s="422" t="str">
        <f t="shared" si="27"/>
        <v/>
      </c>
      <c r="M154" s="422" t="str">
        <f>IF(I154="","",WORKDAY(L154-1,1,FERIADOS!$A$2:$A$831))</f>
        <v/>
      </c>
      <c r="N154" s="219" t="str">
        <f>IF(I154="","",NETWORKDAYS(Curva!$M$2,M154,FERIADOS!$A$2:$A$831)-1)</f>
        <v/>
      </c>
      <c r="O154" s="423" t="str">
        <f>IF(C154&lt;&gt;"",IF(ISERROR((100000/E154)^(252/N154)-1),Curva!$B$2,((100000/E154)^(252/N154)-1)),"")</f>
        <v/>
      </c>
      <c r="P154" s="219" t="str">
        <f>IF(OR(G154=1,G154=2),dadosexternosBMF_1!B154,"")</f>
        <v/>
      </c>
      <c r="Q154" s="219" t="str">
        <f>IF(OR(G154=1,G154=2),dadosexternosBMF_1!D154,"")</f>
        <v/>
      </c>
    </row>
    <row r="155" spans="1:17" x14ac:dyDescent="0.2">
      <c r="A155" s="222" t="str">
        <f t="shared" ref="A155:A218" si="30">IF(AND(A154&lt;&gt;"",C155&lt;&gt;""),A154+1,IF(B155="DI1 - DI de 1 dia",1,""))</f>
        <v/>
      </c>
      <c r="B155" s="222" t="str">
        <f>IF(dadosexternosBMF_1!A155="DI1 - DI de 1 dia","DI1 - DI de 1 dia","")</f>
        <v/>
      </c>
      <c r="C155" s="222" t="str">
        <f>IF(dadosexternosBMF_1!A155="DOL - Dólar comercial","",IF(C154&lt;&gt;"",dadosexternosBMF_1!B155,IF(dadosexternosBMF_1!A155="DI1 - DI de 1 dia",dadosexternosBMF_1!B155,"")))</f>
        <v/>
      </c>
      <c r="D155" s="222" t="str">
        <f>IF(C155&lt;&gt;"",dadosexternosBMF_1!C155,"")</f>
        <v/>
      </c>
      <c r="E155" s="222" t="str">
        <f>IF(C155&lt;&gt;"",dadosexternosBMF_1!D155,"")</f>
        <v/>
      </c>
      <c r="G155" s="219" t="str">
        <f t="shared" ref="G155:G218" si="31">IF(G154=1,2,IF(AND(H155="",H154&lt;&gt;""),1,""))</f>
        <v/>
      </c>
      <c r="H155" s="219" t="str">
        <f t="shared" ref="H155:H218" si="32">IF(A155&lt;&gt;"",A155,"")</f>
        <v/>
      </c>
      <c r="I155" s="219" t="str">
        <f t="shared" ref="I155:I218" si="33">IF(A155&lt;&gt;"",(CONCATENATE("DI1",C155)),"")</f>
        <v/>
      </c>
      <c r="J155" s="219" t="str">
        <f>IF(I155="","",VLOOKUP(LEFT(C155,1),dadosexternosBMF_1!$L$2:$M$13,2,FALSE))</f>
        <v/>
      </c>
      <c r="K155" s="219" t="str">
        <f t="shared" ref="K155:K218" si="34">IF(I155="","",1+CONCATENATE(20,RIGHT(C155,2))-1)</f>
        <v/>
      </c>
      <c r="L155" s="422" t="str">
        <f t="shared" ref="L155:L218" si="35">IF(I155="","",CONCATENATE(1,"/",J155,"/",K155)+1-1)</f>
        <v/>
      </c>
      <c r="M155" s="422" t="str">
        <f>IF(I155="","",WORKDAY(L155-1,1,FERIADOS!$A$2:$A$831))</f>
        <v/>
      </c>
      <c r="N155" s="219" t="str">
        <f>IF(I155="","",NETWORKDAYS(Curva!$M$2,M155,FERIADOS!$A$2:$A$831)-1)</f>
        <v/>
      </c>
      <c r="O155" s="423" t="str">
        <f>IF(C155&lt;&gt;"",IF(ISERROR((100000/E155)^(252/N155)-1),Curva!$B$2,((100000/E155)^(252/N155)-1)),"")</f>
        <v/>
      </c>
      <c r="P155" s="219" t="str">
        <f>IF(OR(G155=1,G155=2),dadosexternosBMF_1!B155,"")</f>
        <v/>
      </c>
      <c r="Q155" s="219" t="str">
        <f>IF(OR(G155=1,G155=2),dadosexternosBMF_1!D155,"")</f>
        <v/>
      </c>
    </row>
    <row r="156" spans="1:17" x14ac:dyDescent="0.2">
      <c r="A156" s="222" t="str">
        <f t="shared" si="30"/>
        <v/>
      </c>
      <c r="B156" s="222" t="str">
        <f>IF(dadosexternosBMF_1!A156="DI1 - DI de 1 dia","DI1 - DI de 1 dia","")</f>
        <v/>
      </c>
      <c r="C156" s="222" t="str">
        <f>IF(dadosexternosBMF_1!A156="DOL - Dólar comercial","",IF(C155&lt;&gt;"",dadosexternosBMF_1!B156,IF(dadosexternosBMF_1!A156="DI1 - DI de 1 dia",dadosexternosBMF_1!B156,"")))</f>
        <v/>
      </c>
      <c r="D156" s="222" t="str">
        <f>IF(C156&lt;&gt;"",dadosexternosBMF_1!C156,"")</f>
        <v/>
      </c>
      <c r="E156" s="222" t="str">
        <f>IF(C156&lt;&gt;"",dadosexternosBMF_1!D156,"")</f>
        <v/>
      </c>
      <c r="G156" s="219" t="str">
        <f t="shared" si="31"/>
        <v/>
      </c>
      <c r="H156" s="219" t="str">
        <f t="shared" si="32"/>
        <v/>
      </c>
      <c r="I156" s="219" t="str">
        <f t="shared" si="33"/>
        <v/>
      </c>
      <c r="J156" s="219" t="str">
        <f>IF(I156="","",VLOOKUP(LEFT(C156,1),dadosexternosBMF_1!$L$2:$M$13,2,FALSE))</f>
        <v/>
      </c>
      <c r="K156" s="219" t="str">
        <f t="shared" si="34"/>
        <v/>
      </c>
      <c r="L156" s="422" t="str">
        <f t="shared" si="35"/>
        <v/>
      </c>
      <c r="M156" s="422" t="str">
        <f>IF(I156="","",WORKDAY(L156-1,1,FERIADOS!$A$2:$A$831))</f>
        <v/>
      </c>
      <c r="N156" s="219" t="str">
        <f>IF(I156="","",NETWORKDAYS(Curva!$M$2,M156,FERIADOS!$A$2:$A$831)-1)</f>
        <v/>
      </c>
      <c r="O156" s="423" t="str">
        <f>IF(C156&lt;&gt;"",IF(ISERROR((100000/E156)^(252/N156)-1),Curva!$B$2,((100000/E156)^(252/N156)-1)),"")</f>
        <v/>
      </c>
      <c r="P156" s="219" t="str">
        <f>IF(OR(G156=1,G156=2),dadosexternosBMF_1!B156,"")</f>
        <v/>
      </c>
      <c r="Q156" s="219" t="str">
        <f>IF(OR(G156=1,G156=2),dadosexternosBMF_1!D156,"")</f>
        <v/>
      </c>
    </row>
    <row r="157" spans="1:17" x14ac:dyDescent="0.2">
      <c r="A157" s="222" t="str">
        <f t="shared" si="30"/>
        <v/>
      </c>
      <c r="B157" s="222" t="str">
        <f>IF(dadosexternosBMF_1!A157="DI1 - DI de 1 dia","DI1 - DI de 1 dia","")</f>
        <v/>
      </c>
      <c r="C157" s="222" t="str">
        <f>IF(dadosexternosBMF_1!A157="DOL - Dólar comercial","",IF(C156&lt;&gt;"",dadosexternosBMF_1!B157,IF(dadosexternosBMF_1!A157="DI1 - DI de 1 dia",dadosexternosBMF_1!B157,"")))</f>
        <v/>
      </c>
      <c r="D157" s="222" t="str">
        <f>IF(C157&lt;&gt;"",dadosexternosBMF_1!C157,"")</f>
        <v/>
      </c>
      <c r="E157" s="222" t="str">
        <f>IF(C157&lt;&gt;"",dadosexternosBMF_1!D157,"")</f>
        <v/>
      </c>
      <c r="G157" s="219" t="str">
        <f t="shared" si="31"/>
        <v/>
      </c>
      <c r="H157" s="219" t="str">
        <f t="shared" si="32"/>
        <v/>
      </c>
      <c r="I157" s="219" t="str">
        <f t="shared" si="33"/>
        <v/>
      </c>
      <c r="J157" s="219" t="str">
        <f>IF(I157="","",VLOOKUP(LEFT(C157,1),dadosexternosBMF_1!$L$2:$M$13,2,FALSE))</f>
        <v/>
      </c>
      <c r="K157" s="219" t="str">
        <f t="shared" si="34"/>
        <v/>
      </c>
      <c r="L157" s="422" t="str">
        <f t="shared" si="35"/>
        <v/>
      </c>
      <c r="M157" s="422" t="str">
        <f>IF(I157="","",WORKDAY(L157-1,1,FERIADOS!$A$2:$A$831))</f>
        <v/>
      </c>
      <c r="N157" s="219" t="str">
        <f>IF(I157="","",NETWORKDAYS(Curva!$M$2,M157,FERIADOS!$A$2:$A$831)-1)</f>
        <v/>
      </c>
      <c r="O157" s="423" t="str">
        <f>IF(C157&lt;&gt;"",IF(ISERROR((100000/E157)^(252/N157)-1),Curva!$B$2,((100000/E157)^(252/N157)-1)),"")</f>
        <v/>
      </c>
      <c r="P157" s="219" t="str">
        <f>IF(OR(G157=1,G157=2),dadosexternosBMF_1!B157,"")</f>
        <v/>
      </c>
      <c r="Q157" s="219" t="str">
        <f>IF(OR(G157=1,G157=2),dadosexternosBMF_1!D157,"")</f>
        <v/>
      </c>
    </row>
    <row r="158" spans="1:17" x14ac:dyDescent="0.2">
      <c r="A158" s="222" t="str">
        <f t="shared" si="30"/>
        <v/>
      </c>
      <c r="B158" s="222" t="str">
        <f>IF(dadosexternosBMF_1!A158="DI1 - DI de 1 dia","DI1 - DI de 1 dia","")</f>
        <v/>
      </c>
      <c r="C158" s="222" t="str">
        <f>IF(dadosexternosBMF_1!A158="DOL - Dólar comercial","",IF(C157&lt;&gt;"",dadosexternosBMF_1!B158,IF(dadosexternosBMF_1!A158="DI1 - DI de 1 dia",dadosexternosBMF_1!B158,"")))</f>
        <v/>
      </c>
      <c r="D158" s="222" t="str">
        <f>IF(C158&lt;&gt;"",dadosexternosBMF_1!C158,"")</f>
        <v/>
      </c>
      <c r="E158" s="222" t="str">
        <f>IF(C158&lt;&gt;"",dadosexternosBMF_1!D158,"")</f>
        <v/>
      </c>
      <c r="G158" s="219" t="str">
        <f t="shared" si="31"/>
        <v/>
      </c>
      <c r="H158" s="219" t="str">
        <f t="shared" si="32"/>
        <v/>
      </c>
      <c r="I158" s="219" t="str">
        <f t="shared" si="33"/>
        <v/>
      </c>
      <c r="J158" s="219" t="str">
        <f>IF(I158="","",VLOOKUP(LEFT(C158,1),dadosexternosBMF_1!$L$2:$M$13,2,FALSE))</f>
        <v/>
      </c>
      <c r="K158" s="219" t="str">
        <f t="shared" si="34"/>
        <v/>
      </c>
      <c r="L158" s="422" t="str">
        <f t="shared" si="35"/>
        <v/>
      </c>
      <c r="M158" s="422" t="str">
        <f>IF(I158="","",WORKDAY(L158-1,1,FERIADOS!$A$2:$A$831))</f>
        <v/>
      </c>
      <c r="N158" s="219" t="str">
        <f>IF(I158="","",NETWORKDAYS(Curva!$M$2,M158,FERIADOS!$A$2:$A$831)-1)</f>
        <v/>
      </c>
      <c r="O158" s="423" t="str">
        <f>IF(C158&lt;&gt;"",IF(ISERROR((100000/E158)^(252/N158)-1),Curva!$B$2,((100000/E158)^(252/N158)-1)),"")</f>
        <v/>
      </c>
      <c r="P158" s="219" t="str">
        <f>IF(OR(G158=1,G158=2),dadosexternosBMF_1!B158,"")</f>
        <v/>
      </c>
      <c r="Q158" s="219" t="str">
        <f>IF(OR(G158=1,G158=2),dadosexternosBMF_1!D158,"")</f>
        <v/>
      </c>
    </row>
    <row r="159" spans="1:17" x14ac:dyDescent="0.2">
      <c r="A159" s="222" t="str">
        <f t="shared" si="30"/>
        <v/>
      </c>
      <c r="B159" s="222" t="str">
        <f>IF(dadosexternosBMF_1!A159="DI1 - DI de 1 dia","DI1 - DI de 1 dia","")</f>
        <v/>
      </c>
      <c r="C159" s="222" t="str">
        <f>IF(dadosexternosBMF_1!A159="DOL - Dólar comercial","",IF(C158&lt;&gt;"",dadosexternosBMF_1!B159,IF(dadosexternosBMF_1!A159="DI1 - DI de 1 dia",dadosexternosBMF_1!B159,"")))</f>
        <v/>
      </c>
      <c r="D159" s="222" t="str">
        <f>IF(C159&lt;&gt;"",dadosexternosBMF_1!C159,"")</f>
        <v/>
      </c>
      <c r="E159" s="222" t="str">
        <f>IF(C159&lt;&gt;"",dadosexternosBMF_1!D159,"")</f>
        <v/>
      </c>
      <c r="G159" s="219" t="str">
        <f t="shared" si="31"/>
        <v/>
      </c>
      <c r="H159" s="219" t="str">
        <f t="shared" si="32"/>
        <v/>
      </c>
      <c r="I159" s="219" t="str">
        <f t="shared" si="33"/>
        <v/>
      </c>
      <c r="J159" s="219" t="str">
        <f>IF(I159="","",VLOOKUP(LEFT(C159,1),dadosexternosBMF_1!$L$2:$M$13,2,FALSE))</f>
        <v/>
      </c>
      <c r="K159" s="219" t="str">
        <f t="shared" si="34"/>
        <v/>
      </c>
      <c r="L159" s="422" t="str">
        <f t="shared" si="35"/>
        <v/>
      </c>
      <c r="M159" s="422" t="str">
        <f>IF(I159="","",WORKDAY(L159-1,1,FERIADOS!$A$2:$A$831))</f>
        <v/>
      </c>
      <c r="N159" s="219" t="str">
        <f>IF(I159="","",NETWORKDAYS(Curva!$M$2,M159,FERIADOS!$A$2:$A$831)-1)</f>
        <v/>
      </c>
      <c r="O159" s="423" t="str">
        <f>IF(C159&lt;&gt;"",IF(ISERROR((100000/E159)^(252/N159)-1),Curva!$B$2,((100000/E159)^(252/N159)-1)),"")</f>
        <v/>
      </c>
      <c r="P159" s="219" t="str">
        <f>IF(OR(G159=1,G159=2),dadosexternosBMF_1!B159,"")</f>
        <v/>
      </c>
      <c r="Q159" s="219" t="str">
        <f>IF(OR(G159=1,G159=2),dadosexternosBMF_1!D159,"")</f>
        <v/>
      </c>
    </row>
    <row r="160" spans="1:17" x14ac:dyDescent="0.2">
      <c r="A160" s="222" t="str">
        <f t="shared" si="30"/>
        <v/>
      </c>
      <c r="B160" s="222" t="str">
        <f>IF(dadosexternosBMF_1!A160="DI1 - DI de 1 dia","DI1 - DI de 1 dia","")</f>
        <v/>
      </c>
      <c r="C160" s="222" t="str">
        <f>IF(dadosexternosBMF_1!A160="DOL - Dólar comercial","",IF(C159&lt;&gt;"",dadosexternosBMF_1!B160,IF(dadosexternosBMF_1!A160="DI1 - DI de 1 dia",dadosexternosBMF_1!B160,"")))</f>
        <v/>
      </c>
      <c r="D160" s="222" t="str">
        <f>IF(C160&lt;&gt;"",dadosexternosBMF_1!C160,"")</f>
        <v/>
      </c>
      <c r="E160" s="222" t="str">
        <f>IF(C160&lt;&gt;"",dadosexternosBMF_1!D160,"")</f>
        <v/>
      </c>
      <c r="G160" s="219" t="str">
        <f t="shared" si="31"/>
        <v/>
      </c>
      <c r="H160" s="219" t="str">
        <f t="shared" si="32"/>
        <v/>
      </c>
      <c r="I160" s="219" t="str">
        <f t="shared" si="33"/>
        <v/>
      </c>
      <c r="J160" s="219" t="str">
        <f>IF(I160="","",VLOOKUP(LEFT(C160,1),dadosexternosBMF_1!$L$2:$M$13,2,FALSE))</f>
        <v/>
      </c>
      <c r="K160" s="219" t="str">
        <f t="shared" si="34"/>
        <v/>
      </c>
      <c r="L160" s="422" t="str">
        <f t="shared" si="35"/>
        <v/>
      </c>
      <c r="M160" s="422" t="str">
        <f>IF(I160="","",WORKDAY(L160-1,1,FERIADOS!$A$2:$A$831))</f>
        <v/>
      </c>
      <c r="N160" s="219" t="str">
        <f>IF(I160="","",NETWORKDAYS(Curva!$M$2,M160,FERIADOS!$A$2:$A$831)-1)</f>
        <v/>
      </c>
      <c r="O160" s="423" t="str">
        <f>IF(C160&lt;&gt;"",IF(ISERROR((100000/E160)^(252/N160)-1),Curva!$B$2,((100000/E160)^(252/N160)-1)),"")</f>
        <v/>
      </c>
      <c r="P160" s="219" t="str">
        <f>IF(OR(G160=1,G160=2),dadosexternosBMF_1!B160,"")</f>
        <v/>
      </c>
      <c r="Q160" s="219" t="str">
        <f>IF(OR(G160=1,G160=2),dadosexternosBMF_1!D160,"")</f>
        <v/>
      </c>
    </row>
    <row r="161" spans="1:17" x14ac:dyDescent="0.2">
      <c r="A161" s="222" t="str">
        <f t="shared" si="30"/>
        <v/>
      </c>
      <c r="B161" s="222" t="str">
        <f>IF(dadosexternosBMF_1!A161="DI1 - DI de 1 dia","DI1 - DI de 1 dia","")</f>
        <v/>
      </c>
      <c r="C161" s="222" t="str">
        <f>IF(dadosexternosBMF_1!A161="DOL - Dólar comercial","",IF(C160&lt;&gt;"",dadosexternosBMF_1!B161,IF(dadosexternosBMF_1!A161="DI1 - DI de 1 dia",dadosexternosBMF_1!B161,"")))</f>
        <v/>
      </c>
      <c r="D161" s="222" t="str">
        <f>IF(C161&lt;&gt;"",dadosexternosBMF_1!C161,"")</f>
        <v/>
      </c>
      <c r="E161" s="222" t="str">
        <f>IF(C161&lt;&gt;"",dadosexternosBMF_1!D161,"")</f>
        <v/>
      </c>
      <c r="G161" s="219" t="str">
        <f t="shared" si="31"/>
        <v/>
      </c>
      <c r="H161" s="219" t="str">
        <f t="shared" si="32"/>
        <v/>
      </c>
      <c r="I161" s="219" t="str">
        <f t="shared" si="33"/>
        <v/>
      </c>
      <c r="J161" s="219" t="str">
        <f>IF(I161="","",VLOOKUP(LEFT(C161,1),dadosexternosBMF_1!$L$2:$M$13,2,FALSE))</f>
        <v/>
      </c>
      <c r="K161" s="219" t="str">
        <f t="shared" si="34"/>
        <v/>
      </c>
      <c r="L161" s="422" t="str">
        <f t="shared" si="35"/>
        <v/>
      </c>
      <c r="M161" s="422" t="str">
        <f>IF(I161="","",WORKDAY(L161-1,1,FERIADOS!$A$2:$A$831))</f>
        <v/>
      </c>
      <c r="N161" s="219" t="str">
        <f>IF(I161="","",NETWORKDAYS(Curva!$M$2,M161,FERIADOS!$A$2:$A$831)-1)</f>
        <v/>
      </c>
      <c r="O161" s="423" t="str">
        <f>IF(C161&lt;&gt;"",IF(ISERROR((100000/E161)^(252/N161)-1),Curva!$B$2,((100000/E161)^(252/N161)-1)),"")</f>
        <v/>
      </c>
      <c r="P161" s="219" t="str">
        <f>IF(OR(G161=1,G161=2),dadosexternosBMF_1!B161,"")</f>
        <v/>
      </c>
      <c r="Q161" s="219" t="str">
        <f>IF(OR(G161=1,G161=2),dadosexternosBMF_1!D161,"")</f>
        <v/>
      </c>
    </row>
    <row r="162" spans="1:17" x14ac:dyDescent="0.2">
      <c r="A162" s="222" t="str">
        <f t="shared" si="30"/>
        <v/>
      </c>
      <c r="B162" s="222" t="str">
        <f>IF(dadosexternosBMF_1!A162="DI1 - DI de 1 dia","DI1 - DI de 1 dia","")</f>
        <v/>
      </c>
      <c r="C162" s="222" t="str">
        <f>IF(dadosexternosBMF_1!A162="DOL - Dólar comercial","",IF(C161&lt;&gt;"",dadosexternosBMF_1!B162,IF(dadosexternosBMF_1!A162="DI1 - DI de 1 dia",dadosexternosBMF_1!B162,"")))</f>
        <v/>
      </c>
      <c r="D162" s="222" t="str">
        <f>IF(C162&lt;&gt;"",dadosexternosBMF_1!C162,"")</f>
        <v/>
      </c>
      <c r="E162" s="222" t="str">
        <f>IF(C162&lt;&gt;"",dadosexternosBMF_1!D162,"")</f>
        <v/>
      </c>
      <c r="G162" s="219" t="str">
        <f t="shared" si="31"/>
        <v/>
      </c>
      <c r="H162" s="219" t="str">
        <f t="shared" si="32"/>
        <v/>
      </c>
      <c r="I162" s="219" t="str">
        <f t="shared" si="33"/>
        <v/>
      </c>
      <c r="J162" s="219" t="str">
        <f>IF(I162="","",VLOOKUP(LEFT(C162,1),dadosexternosBMF_1!$L$2:$M$13,2,FALSE))</f>
        <v/>
      </c>
      <c r="K162" s="219" t="str">
        <f t="shared" si="34"/>
        <v/>
      </c>
      <c r="L162" s="422" t="str">
        <f t="shared" si="35"/>
        <v/>
      </c>
      <c r="M162" s="422" t="str">
        <f>IF(I162="","",WORKDAY(L162-1,1,FERIADOS!$A$2:$A$831))</f>
        <v/>
      </c>
      <c r="N162" s="219" t="str">
        <f>IF(I162="","",NETWORKDAYS(Curva!$M$2,M162,FERIADOS!$A$2:$A$831)-1)</f>
        <v/>
      </c>
      <c r="O162" s="423" t="str">
        <f>IF(C162&lt;&gt;"",IF(ISERROR((100000/E162)^(252/N162)-1),Curva!$B$2,((100000/E162)^(252/N162)-1)),"")</f>
        <v/>
      </c>
      <c r="P162" s="219" t="str">
        <f>IF(OR(G162=1,G162=2),dadosexternosBMF_1!B162,"")</f>
        <v/>
      </c>
      <c r="Q162" s="219" t="str">
        <f>IF(OR(G162=1,G162=2),dadosexternosBMF_1!D162,"")</f>
        <v/>
      </c>
    </row>
    <row r="163" spans="1:17" x14ac:dyDescent="0.2">
      <c r="A163" s="222" t="str">
        <f t="shared" si="30"/>
        <v/>
      </c>
      <c r="B163" s="222" t="str">
        <f>IF(dadosexternosBMF_1!A163="DI1 - DI de 1 dia","DI1 - DI de 1 dia","")</f>
        <v/>
      </c>
      <c r="C163" s="222" t="str">
        <f>IF(dadosexternosBMF_1!A163="DOL - Dólar comercial","",IF(C162&lt;&gt;"",dadosexternosBMF_1!B163,IF(dadosexternosBMF_1!A163="DI1 - DI de 1 dia",dadosexternosBMF_1!B163,"")))</f>
        <v/>
      </c>
      <c r="D163" s="222" t="str">
        <f>IF(C163&lt;&gt;"",dadosexternosBMF_1!C163,"")</f>
        <v/>
      </c>
      <c r="E163" s="222" t="str">
        <f>IF(C163&lt;&gt;"",dadosexternosBMF_1!D163,"")</f>
        <v/>
      </c>
      <c r="G163" s="219" t="str">
        <f t="shared" si="31"/>
        <v/>
      </c>
      <c r="H163" s="219" t="str">
        <f t="shared" si="32"/>
        <v/>
      </c>
      <c r="I163" s="219" t="str">
        <f t="shared" si="33"/>
        <v/>
      </c>
      <c r="J163" s="219" t="str">
        <f>IF(I163="","",VLOOKUP(LEFT(C163,1),dadosexternosBMF_1!$L$2:$M$13,2,FALSE))</f>
        <v/>
      </c>
      <c r="K163" s="219" t="str">
        <f t="shared" si="34"/>
        <v/>
      </c>
      <c r="L163" s="422" t="str">
        <f t="shared" si="35"/>
        <v/>
      </c>
      <c r="M163" s="422" t="str">
        <f>IF(I163="","",WORKDAY(L163-1,1,FERIADOS!$A$2:$A$831))</f>
        <v/>
      </c>
      <c r="N163" s="219" t="str">
        <f>IF(I163="","",NETWORKDAYS(Curva!$M$2,M163,FERIADOS!$A$2:$A$831)-1)</f>
        <v/>
      </c>
      <c r="O163" s="423" t="str">
        <f>IF(C163&lt;&gt;"",IF(ISERROR((100000/E163)^(252/N163)-1),Curva!$B$2,((100000/E163)^(252/N163)-1)),"")</f>
        <v/>
      </c>
      <c r="P163" s="219" t="str">
        <f>IF(OR(G163=1,G163=2),dadosexternosBMF_1!B163,"")</f>
        <v/>
      </c>
      <c r="Q163" s="219" t="str">
        <f>IF(OR(G163=1,G163=2),dadosexternosBMF_1!D163,"")</f>
        <v/>
      </c>
    </row>
    <row r="164" spans="1:17" x14ac:dyDescent="0.2">
      <c r="A164" s="222" t="str">
        <f t="shared" si="30"/>
        <v/>
      </c>
      <c r="B164" s="222" t="str">
        <f>IF(dadosexternosBMF_1!A164="DI1 - DI de 1 dia","DI1 - DI de 1 dia","")</f>
        <v/>
      </c>
      <c r="C164" s="222" t="str">
        <f>IF(dadosexternosBMF_1!A164="DOL - Dólar comercial","",IF(C163&lt;&gt;"",dadosexternosBMF_1!B164,IF(dadosexternosBMF_1!A164="DI1 - DI de 1 dia",dadosexternosBMF_1!B164,"")))</f>
        <v/>
      </c>
      <c r="D164" s="222" t="str">
        <f>IF(C164&lt;&gt;"",dadosexternosBMF_1!C164,"")</f>
        <v/>
      </c>
      <c r="E164" s="222" t="str">
        <f>IF(C164&lt;&gt;"",dadosexternosBMF_1!D164,"")</f>
        <v/>
      </c>
      <c r="G164" s="219" t="str">
        <f t="shared" si="31"/>
        <v/>
      </c>
      <c r="H164" s="219" t="str">
        <f t="shared" si="32"/>
        <v/>
      </c>
      <c r="I164" s="219" t="str">
        <f t="shared" si="33"/>
        <v/>
      </c>
      <c r="J164" s="219" t="str">
        <f>IF(I164="","",VLOOKUP(LEFT(C164,1),dadosexternosBMF_1!$L$2:$M$13,2,FALSE))</f>
        <v/>
      </c>
      <c r="K164" s="219" t="str">
        <f t="shared" si="34"/>
        <v/>
      </c>
      <c r="L164" s="422" t="str">
        <f t="shared" si="35"/>
        <v/>
      </c>
      <c r="M164" s="422" t="str">
        <f>IF(I164="","",WORKDAY(L164-1,1,FERIADOS!$A$2:$A$831))</f>
        <v/>
      </c>
      <c r="N164" s="219" t="str">
        <f>IF(I164="","",NETWORKDAYS(Curva!$M$2,M164,FERIADOS!$A$2:$A$831)-1)</f>
        <v/>
      </c>
      <c r="O164" s="423" t="str">
        <f>IF(C164&lt;&gt;"",IF(ISERROR((100000/E164)^(252/N164)-1),Curva!$B$2,((100000/E164)^(252/N164)-1)),"")</f>
        <v/>
      </c>
      <c r="P164" s="219" t="str">
        <f>IF(OR(G164=1,G164=2),dadosexternosBMF_1!B164,"")</f>
        <v/>
      </c>
      <c r="Q164" s="219" t="str">
        <f>IF(OR(G164=1,G164=2),dadosexternosBMF_1!D164,"")</f>
        <v/>
      </c>
    </row>
    <row r="165" spans="1:17" x14ac:dyDescent="0.2">
      <c r="A165" s="222" t="str">
        <f t="shared" si="30"/>
        <v/>
      </c>
      <c r="B165" s="222" t="str">
        <f>IF(dadosexternosBMF_1!A165="DI1 - DI de 1 dia","DI1 - DI de 1 dia","")</f>
        <v/>
      </c>
      <c r="C165" s="222" t="str">
        <f>IF(dadosexternosBMF_1!A165="DOL - Dólar comercial","",IF(C164&lt;&gt;"",dadosexternosBMF_1!B165,IF(dadosexternosBMF_1!A165="DI1 - DI de 1 dia",dadosexternosBMF_1!B165,"")))</f>
        <v/>
      </c>
      <c r="D165" s="222" t="str">
        <f>IF(C165&lt;&gt;"",dadosexternosBMF_1!C165,"")</f>
        <v/>
      </c>
      <c r="E165" s="222" t="str">
        <f>IF(C165&lt;&gt;"",dadosexternosBMF_1!D165,"")</f>
        <v/>
      </c>
      <c r="G165" s="219" t="str">
        <f t="shared" si="31"/>
        <v/>
      </c>
      <c r="H165" s="219" t="str">
        <f t="shared" si="32"/>
        <v/>
      </c>
      <c r="I165" s="219" t="str">
        <f t="shared" si="33"/>
        <v/>
      </c>
      <c r="J165" s="219" t="str">
        <f>IF(I165="","",VLOOKUP(LEFT(C165,1),dadosexternosBMF_1!$L$2:$M$13,2,FALSE))</f>
        <v/>
      </c>
      <c r="K165" s="219" t="str">
        <f t="shared" si="34"/>
        <v/>
      </c>
      <c r="L165" s="422" t="str">
        <f t="shared" si="35"/>
        <v/>
      </c>
      <c r="M165" s="422" t="str">
        <f>IF(I165="","",WORKDAY(L165-1,1,FERIADOS!$A$2:$A$831))</f>
        <v/>
      </c>
      <c r="N165" s="219" t="str">
        <f>IF(I165="","",NETWORKDAYS(Curva!$M$2,M165,FERIADOS!$A$2:$A$831)-1)</f>
        <v/>
      </c>
      <c r="O165" s="423" t="str">
        <f>IF(C165&lt;&gt;"",IF(ISERROR((100000/E165)^(252/N165)-1),Curva!$B$2,((100000/E165)^(252/N165)-1)),"")</f>
        <v/>
      </c>
      <c r="P165" s="219" t="str">
        <f>IF(OR(G165=1,G165=2),dadosexternosBMF_1!B165,"")</f>
        <v/>
      </c>
      <c r="Q165" s="219" t="str">
        <f>IF(OR(G165=1,G165=2),dadosexternosBMF_1!D165,"")</f>
        <v/>
      </c>
    </row>
    <row r="166" spans="1:17" x14ac:dyDescent="0.2">
      <c r="A166" s="222" t="str">
        <f t="shared" si="30"/>
        <v/>
      </c>
      <c r="B166" s="222" t="str">
        <f>IF(dadosexternosBMF_1!A166="DI1 - DI de 1 dia","DI1 - DI de 1 dia","")</f>
        <v/>
      </c>
      <c r="C166" s="222" t="str">
        <f>IF(dadosexternosBMF_1!A166="DOL - Dólar comercial","",IF(C165&lt;&gt;"",dadosexternosBMF_1!B166,IF(dadosexternosBMF_1!A166="DI1 - DI de 1 dia",dadosexternosBMF_1!B166,"")))</f>
        <v/>
      </c>
      <c r="D166" s="222" t="str">
        <f>IF(C166&lt;&gt;"",dadosexternosBMF_1!C166,"")</f>
        <v/>
      </c>
      <c r="E166" s="222" t="str">
        <f>IF(C166&lt;&gt;"",dadosexternosBMF_1!D166,"")</f>
        <v/>
      </c>
      <c r="G166" s="219" t="str">
        <f t="shared" si="31"/>
        <v/>
      </c>
      <c r="H166" s="219" t="str">
        <f t="shared" si="32"/>
        <v/>
      </c>
      <c r="I166" s="219" t="str">
        <f t="shared" si="33"/>
        <v/>
      </c>
      <c r="J166" s="219" t="str">
        <f>IF(I166="","",VLOOKUP(LEFT(C166,1),dadosexternosBMF_1!$L$2:$M$13,2,FALSE))</f>
        <v/>
      </c>
      <c r="K166" s="219" t="str">
        <f t="shared" si="34"/>
        <v/>
      </c>
      <c r="L166" s="422" t="str">
        <f t="shared" si="35"/>
        <v/>
      </c>
      <c r="M166" s="422" t="str">
        <f>IF(I166="","",WORKDAY(L166-1,1,FERIADOS!$A$2:$A$831))</f>
        <v/>
      </c>
      <c r="N166" s="219" t="str">
        <f>IF(I166="","",NETWORKDAYS(Curva!$M$2,M166,FERIADOS!$A$2:$A$831)-1)</f>
        <v/>
      </c>
      <c r="O166" s="423" t="str">
        <f>IF(C166&lt;&gt;"",IF(ISERROR((100000/E166)^(252/N166)-1),Curva!$B$2,((100000/E166)^(252/N166)-1)),"")</f>
        <v/>
      </c>
      <c r="P166" s="219" t="str">
        <f>IF(OR(G166=1,G166=2),dadosexternosBMF_1!B166,"")</f>
        <v/>
      </c>
      <c r="Q166" s="219" t="str">
        <f>IF(OR(G166=1,G166=2),dadosexternosBMF_1!D166,"")</f>
        <v/>
      </c>
    </row>
    <row r="167" spans="1:17" x14ac:dyDescent="0.2">
      <c r="A167" s="222" t="str">
        <f t="shared" si="30"/>
        <v/>
      </c>
      <c r="B167" s="222" t="str">
        <f>IF(dadosexternosBMF_1!A167="DI1 - DI de 1 dia","DI1 - DI de 1 dia","")</f>
        <v/>
      </c>
      <c r="C167" s="222" t="str">
        <f>IF(dadosexternosBMF_1!A167="DOL - Dólar comercial","",IF(C166&lt;&gt;"",dadosexternosBMF_1!B167,IF(dadosexternosBMF_1!A167="DI1 - DI de 1 dia",dadosexternosBMF_1!B167,"")))</f>
        <v/>
      </c>
      <c r="D167" s="222" t="str">
        <f>IF(C167&lt;&gt;"",dadosexternosBMF_1!C167,"")</f>
        <v/>
      </c>
      <c r="E167" s="222" t="str">
        <f>IF(C167&lt;&gt;"",dadosexternosBMF_1!D167,"")</f>
        <v/>
      </c>
      <c r="G167" s="219" t="str">
        <f t="shared" si="31"/>
        <v/>
      </c>
      <c r="H167" s="219" t="str">
        <f t="shared" si="32"/>
        <v/>
      </c>
      <c r="I167" s="219" t="str">
        <f t="shared" si="33"/>
        <v/>
      </c>
      <c r="J167" s="219" t="str">
        <f>IF(I167="","",VLOOKUP(LEFT(C167,1),dadosexternosBMF_1!$L$2:$M$13,2,FALSE))</f>
        <v/>
      </c>
      <c r="K167" s="219" t="str">
        <f t="shared" si="34"/>
        <v/>
      </c>
      <c r="L167" s="422" t="str">
        <f t="shared" si="35"/>
        <v/>
      </c>
      <c r="M167" s="422" t="str">
        <f>IF(I167="","",WORKDAY(L167-1,1,FERIADOS!$A$2:$A$831))</f>
        <v/>
      </c>
      <c r="N167" s="219" t="str">
        <f>IF(I167="","",NETWORKDAYS(Curva!$M$2,M167,FERIADOS!$A$2:$A$831)-1)</f>
        <v/>
      </c>
      <c r="O167" s="423" t="str">
        <f>IF(C167&lt;&gt;"",IF(ISERROR((100000/E167)^(252/N167)-1),Curva!$B$2,((100000/E167)^(252/N167)-1)),"")</f>
        <v/>
      </c>
      <c r="P167" s="219" t="str">
        <f>IF(OR(G167=1,G167=2),dadosexternosBMF_1!B167,"")</f>
        <v/>
      </c>
      <c r="Q167" s="219" t="str">
        <f>IF(OR(G167=1,G167=2),dadosexternosBMF_1!D167,"")</f>
        <v/>
      </c>
    </row>
    <row r="168" spans="1:17" x14ac:dyDescent="0.2">
      <c r="A168" s="222" t="str">
        <f t="shared" si="30"/>
        <v/>
      </c>
      <c r="B168" s="222" t="str">
        <f>IF(dadosexternosBMF_1!A168="DI1 - DI de 1 dia","DI1 - DI de 1 dia","")</f>
        <v/>
      </c>
      <c r="C168" s="222" t="str">
        <f>IF(dadosexternosBMF_1!A168="DOL - Dólar comercial","",IF(C167&lt;&gt;"",dadosexternosBMF_1!B168,IF(dadosexternosBMF_1!A168="DI1 - DI de 1 dia",dadosexternosBMF_1!B168,"")))</f>
        <v/>
      </c>
      <c r="D168" s="222" t="str">
        <f>IF(C168&lt;&gt;"",dadosexternosBMF_1!C168,"")</f>
        <v/>
      </c>
      <c r="E168" s="222" t="str">
        <f>IF(C168&lt;&gt;"",dadosexternosBMF_1!D168,"")</f>
        <v/>
      </c>
      <c r="G168" s="219" t="str">
        <f t="shared" si="31"/>
        <v/>
      </c>
      <c r="H168" s="219" t="str">
        <f t="shared" si="32"/>
        <v/>
      </c>
      <c r="I168" s="219" t="str">
        <f t="shared" si="33"/>
        <v/>
      </c>
      <c r="J168" s="219" t="str">
        <f>IF(I168="","",VLOOKUP(LEFT(C168,1),dadosexternosBMF_1!$L$2:$M$13,2,FALSE))</f>
        <v/>
      </c>
      <c r="K168" s="219" t="str">
        <f t="shared" si="34"/>
        <v/>
      </c>
      <c r="L168" s="422" t="str">
        <f t="shared" si="35"/>
        <v/>
      </c>
      <c r="M168" s="422" t="str">
        <f>IF(I168="","",WORKDAY(L168-1,1,FERIADOS!$A$2:$A$831))</f>
        <v/>
      </c>
      <c r="N168" s="219" t="str">
        <f>IF(I168="","",NETWORKDAYS(Curva!$M$2,M168,FERIADOS!$A$2:$A$831)-1)</f>
        <v/>
      </c>
      <c r="O168" s="423" t="str">
        <f>IF(C168&lt;&gt;"",IF(ISERROR((100000/E168)^(252/N168)-1),Curva!$B$2,((100000/E168)^(252/N168)-1)),"")</f>
        <v/>
      </c>
      <c r="P168" s="219" t="str">
        <f>IF(OR(G168=1,G168=2),dadosexternosBMF_1!B168,"")</f>
        <v/>
      </c>
      <c r="Q168" s="219" t="str">
        <f>IF(OR(G168=1,G168=2),dadosexternosBMF_1!D168,"")</f>
        <v/>
      </c>
    </row>
    <row r="169" spans="1:17" x14ac:dyDescent="0.2">
      <c r="A169" s="222" t="str">
        <f t="shared" si="30"/>
        <v/>
      </c>
      <c r="B169" s="222" t="str">
        <f>IF(dadosexternosBMF_1!A169="DI1 - DI de 1 dia","DI1 - DI de 1 dia","")</f>
        <v/>
      </c>
      <c r="C169" s="222" t="str">
        <f>IF(dadosexternosBMF_1!A169="DOL - Dólar comercial","",IF(C168&lt;&gt;"",dadosexternosBMF_1!B169,IF(dadosexternosBMF_1!A169="DI1 - DI de 1 dia",dadosexternosBMF_1!B169,"")))</f>
        <v/>
      </c>
      <c r="D169" s="222" t="str">
        <f>IF(C169&lt;&gt;"",dadosexternosBMF_1!C169,"")</f>
        <v/>
      </c>
      <c r="E169" s="222" t="str">
        <f>IF(C169&lt;&gt;"",dadosexternosBMF_1!D169,"")</f>
        <v/>
      </c>
      <c r="G169" s="219" t="str">
        <f t="shared" si="31"/>
        <v/>
      </c>
      <c r="H169" s="219" t="str">
        <f t="shared" si="32"/>
        <v/>
      </c>
      <c r="I169" s="219" t="str">
        <f t="shared" si="33"/>
        <v/>
      </c>
      <c r="J169" s="219" t="str">
        <f>IF(I169="","",VLOOKUP(LEFT(C169,1),dadosexternosBMF_1!$L$2:$M$13,2,FALSE))</f>
        <v/>
      </c>
      <c r="K169" s="219" t="str">
        <f t="shared" si="34"/>
        <v/>
      </c>
      <c r="L169" s="422" t="str">
        <f t="shared" si="35"/>
        <v/>
      </c>
      <c r="M169" s="422" t="str">
        <f>IF(I169="","",WORKDAY(L169-1,1,FERIADOS!$A$2:$A$831))</f>
        <v/>
      </c>
      <c r="N169" s="219" t="str">
        <f>IF(I169="","",NETWORKDAYS(Curva!$M$2,M169,FERIADOS!$A$2:$A$831)-1)</f>
        <v/>
      </c>
      <c r="O169" s="423" t="str">
        <f>IF(C169&lt;&gt;"",IF(ISERROR((100000/E169)^(252/N169)-1),Curva!$B$2,((100000/E169)^(252/N169)-1)),"")</f>
        <v/>
      </c>
      <c r="P169" s="219" t="str">
        <f>IF(OR(G169=1,G169=2),dadosexternosBMF_1!B169,"")</f>
        <v/>
      </c>
      <c r="Q169" s="219" t="str">
        <f>IF(OR(G169=1,G169=2),dadosexternosBMF_1!D169,"")</f>
        <v/>
      </c>
    </row>
    <row r="170" spans="1:17" x14ac:dyDescent="0.2">
      <c r="A170" s="222" t="str">
        <f t="shared" si="30"/>
        <v/>
      </c>
      <c r="B170" s="222" t="str">
        <f>IF(dadosexternosBMF_1!A170="DI1 - DI de 1 dia","DI1 - DI de 1 dia","")</f>
        <v/>
      </c>
      <c r="C170" s="222" t="str">
        <f>IF(dadosexternosBMF_1!A170="DOL - Dólar comercial","",IF(C169&lt;&gt;"",dadosexternosBMF_1!B170,IF(dadosexternosBMF_1!A170="DI1 - DI de 1 dia",dadosexternosBMF_1!B170,"")))</f>
        <v/>
      </c>
      <c r="D170" s="222" t="str">
        <f>IF(C170&lt;&gt;"",dadosexternosBMF_1!C170,"")</f>
        <v/>
      </c>
      <c r="E170" s="222" t="str">
        <f>IF(C170&lt;&gt;"",dadosexternosBMF_1!D170,"")</f>
        <v/>
      </c>
      <c r="G170" s="219" t="str">
        <f t="shared" si="31"/>
        <v/>
      </c>
      <c r="H170" s="219" t="str">
        <f t="shared" si="32"/>
        <v/>
      </c>
      <c r="I170" s="219" t="str">
        <f t="shared" si="33"/>
        <v/>
      </c>
      <c r="J170" s="219" t="str">
        <f>IF(I170="","",VLOOKUP(LEFT(C170,1),dadosexternosBMF_1!$L$2:$M$13,2,FALSE))</f>
        <v/>
      </c>
      <c r="K170" s="219" t="str">
        <f t="shared" si="34"/>
        <v/>
      </c>
      <c r="L170" s="422" t="str">
        <f t="shared" si="35"/>
        <v/>
      </c>
      <c r="M170" s="422" t="str">
        <f>IF(I170="","",WORKDAY(L170-1,1,FERIADOS!$A$2:$A$831))</f>
        <v/>
      </c>
      <c r="N170" s="219" t="str">
        <f>IF(I170="","",NETWORKDAYS(Curva!$M$2,M170,FERIADOS!$A$2:$A$831)-1)</f>
        <v/>
      </c>
      <c r="O170" s="423" t="str">
        <f>IF(C170&lt;&gt;"",IF(ISERROR((100000/E170)^(252/N170)-1),Curva!$B$2,((100000/E170)^(252/N170)-1)),"")</f>
        <v/>
      </c>
      <c r="P170" s="219" t="str">
        <f>IF(OR(G170=1,G170=2),dadosexternosBMF_1!B170,"")</f>
        <v/>
      </c>
      <c r="Q170" s="219" t="str">
        <f>IF(OR(G170=1,G170=2),dadosexternosBMF_1!D170,"")</f>
        <v/>
      </c>
    </row>
    <row r="171" spans="1:17" x14ac:dyDescent="0.2">
      <c r="A171" s="222" t="str">
        <f t="shared" si="30"/>
        <v/>
      </c>
      <c r="B171" s="222" t="str">
        <f>IF(dadosexternosBMF_1!A171="DI1 - DI de 1 dia","DI1 - DI de 1 dia","")</f>
        <v/>
      </c>
      <c r="C171" s="222" t="str">
        <f>IF(dadosexternosBMF_1!A171="DOL - Dólar comercial","",IF(C170&lt;&gt;"",dadosexternosBMF_1!B171,IF(dadosexternosBMF_1!A171="DI1 - DI de 1 dia",dadosexternosBMF_1!B171,"")))</f>
        <v/>
      </c>
      <c r="D171" s="222" t="str">
        <f>IF(C171&lt;&gt;"",dadosexternosBMF_1!C171,"")</f>
        <v/>
      </c>
      <c r="E171" s="222" t="str">
        <f>IF(C171&lt;&gt;"",dadosexternosBMF_1!D171,"")</f>
        <v/>
      </c>
      <c r="G171" s="219" t="str">
        <f t="shared" si="31"/>
        <v/>
      </c>
      <c r="H171" s="219" t="str">
        <f t="shared" si="32"/>
        <v/>
      </c>
      <c r="I171" s="219" t="str">
        <f t="shared" si="33"/>
        <v/>
      </c>
      <c r="J171" s="219" t="str">
        <f>IF(I171="","",VLOOKUP(LEFT(C171,1),dadosexternosBMF_1!$L$2:$M$13,2,FALSE))</f>
        <v/>
      </c>
      <c r="K171" s="219" t="str">
        <f t="shared" si="34"/>
        <v/>
      </c>
      <c r="L171" s="422" t="str">
        <f t="shared" si="35"/>
        <v/>
      </c>
      <c r="M171" s="422" t="str">
        <f>IF(I171="","",WORKDAY(L171-1,1,FERIADOS!$A$2:$A$831))</f>
        <v/>
      </c>
      <c r="N171" s="219" t="str">
        <f>IF(I171="","",NETWORKDAYS(Curva!$M$2,M171,FERIADOS!$A$2:$A$831)-1)</f>
        <v/>
      </c>
      <c r="O171" s="423" t="str">
        <f>IF(C171&lt;&gt;"",IF(ISERROR((100000/E171)^(252/N171)-1),Curva!$B$2,((100000/E171)^(252/N171)-1)),"")</f>
        <v/>
      </c>
      <c r="P171" s="219" t="str">
        <f>IF(OR(G171=1,G171=2),dadosexternosBMF_1!B171,"")</f>
        <v/>
      </c>
      <c r="Q171" s="219" t="str">
        <f>IF(OR(G171=1,G171=2),dadosexternosBMF_1!D171,"")</f>
        <v/>
      </c>
    </row>
    <row r="172" spans="1:17" x14ac:dyDescent="0.2">
      <c r="A172" s="222" t="str">
        <f t="shared" si="30"/>
        <v/>
      </c>
      <c r="B172" s="222" t="str">
        <f>IF(dadosexternosBMF_1!A172="DI1 - DI de 1 dia","DI1 - DI de 1 dia","")</f>
        <v/>
      </c>
      <c r="C172" s="222" t="str">
        <f>IF(dadosexternosBMF_1!A172="DOL - Dólar comercial","",IF(C171&lt;&gt;"",dadosexternosBMF_1!B172,IF(dadosexternosBMF_1!A172="DI1 - DI de 1 dia",dadosexternosBMF_1!B172,"")))</f>
        <v/>
      </c>
      <c r="D172" s="222" t="str">
        <f>IF(C172&lt;&gt;"",dadosexternosBMF_1!C172,"")</f>
        <v/>
      </c>
      <c r="E172" s="222" t="str">
        <f>IF(C172&lt;&gt;"",dadosexternosBMF_1!D172,"")</f>
        <v/>
      </c>
      <c r="G172" s="219" t="str">
        <f t="shared" si="31"/>
        <v/>
      </c>
      <c r="H172" s="219" t="str">
        <f t="shared" si="32"/>
        <v/>
      </c>
      <c r="I172" s="219" t="str">
        <f t="shared" si="33"/>
        <v/>
      </c>
      <c r="J172" s="219" t="str">
        <f>IF(I172="","",VLOOKUP(LEFT(C172,1),dadosexternosBMF_1!$L$2:$M$13,2,FALSE))</f>
        <v/>
      </c>
      <c r="K172" s="219" t="str">
        <f t="shared" si="34"/>
        <v/>
      </c>
      <c r="L172" s="422" t="str">
        <f t="shared" si="35"/>
        <v/>
      </c>
      <c r="M172" s="422" t="str">
        <f>IF(I172="","",WORKDAY(L172-1,1,FERIADOS!$A$2:$A$831))</f>
        <v/>
      </c>
      <c r="N172" s="219" t="str">
        <f>IF(I172="","",NETWORKDAYS(Curva!$M$2,M172,FERIADOS!$A$2:$A$831)-1)</f>
        <v/>
      </c>
      <c r="O172" s="423" t="str">
        <f>IF(C172&lt;&gt;"",IF(ISERROR((100000/E172)^(252/N172)-1),Curva!$B$2,((100000/E172)^(252/N172)-1)),"")</f>
        <v/>
      </c>
      <c r="P172" s="219" t="str">
        <f>IF(OR(G172=1,G172=2),dadosexternosBMF_1!B172,"")</f>
        <v/>
      </c>
      <c r="Q172" s="219" t="str">
        <f>IF(OR(G172=1,G172=2),dadosexternosBMF_1!D172,"")</f>
        <v/>
      </c>
    </row>
    <row r="173" spans="1:17" x14ac:dyDescent="0.2">
      <c r="A173" s="222" t="str">
        <f t="shared" si="30"/>
        <v/>
      </c>
      <c r="B173" s="222" t="str">
        <f>IF(dadosexternosBMF_1!A173="DI1 - DI de 1 dia","DI1 - DI de 1 dia","")</f>
        <v/>
      </c>
      <c r="C173" s="222" t="str">
        <f>IF(dadosexternosBMF_1!A173="DOL - Dólar comercial","",IF(C172&lt;&gt;"",dadosexternosBMF_1!B173,IF(dadosexternosBMF_1!A173="DI1 - DI de 1 dia",dadosexternosBMF_1!B173,"")))</f>
        <v/>
      </c>
      <c r="D173" s="222" t="str">
        <f>IF(C173&lt;&gt;"",dadosexternosBMF_1!C173,"")</f>
        <v/>
      </c>
      <c r="E173" s="222" t="str">
        <f>IF(C173&lt;&gt;"",dadosexternosBMF_1!D173,"")</f>
        <v/>
      </c>
      <c r="G173" s="219" t="str">
        <f t="shared" si="31"/>
        <v/>
      </c>
      <c r="H173" s="219" t="str">
        <f t="shared" si="32"/>
        <v/>
      </c>
      <c r="I173" s="219" t="str">
        <f t="shared" si="33"/>
        <v/>
      </c>
      <c r="J173" s="219" t="str">
        <f>IF(I173="","",VLOOKUP(LEFT(C173,1),dadosexternosBMF_1!$L$2:$M$13,2,FALSE))</f>
        <v/>
      </c>
      <c r="K173" s="219" t="str">
        <f t="shared" si="34"/>
        <v/>
      </c>
      <c r="L173" s="422" t="str">
        <f t="shared" si="35"/>
        <v/>
      </c>
      <c r="M173" s="422" t="str">
        <f>IF(I173="","",WORKDAY(L173-1,1,FERIADOS!$A$2:$A$831))</f>
        <v/>
      </c>
      <c r="N173" s="219" t="str">
        <f>IF(I173="","",NETWORKDAYS(Curva!$M$2,M173,FERIADOS!$A$2:$A$831)-1)</f>
        <v/>
      </c>
      <c r="O173" s="423" t="str">
        <f>IF(C173&lt;&gt;"",IF(ISERROR((100000/E173)^(252/N173)-1),Curva!$B$2,((100000/E173)^(252/N173)-1)),"")</f>
        <v/>
      </c>
      <c r="P173" s="219" t="str">
        <f>IF(OR(G173=1,G173=2),dadosexternosBMF_1!B173,"")</f>
        <v/>
      </c>
      <c r="Q173" s="219" t="str">
        <f>IF(OR(G173=1,G173=2),dadosexternosBMF_1!D173,"")</f>
        <v/>
      </c>
    </row>
    <row r="174" spans="1:17" x14ac:dyDescent="0.2">
      <c r="A174" s="222" t="str">
        <f t="shared" si="30"/>
        <v/>
      </c>
      <c r="B174" s="222" t="str">
        <f>IF(dadosexternosBMF_1!A174="DI1 - DI de 1 dia","DI1 - DI de 1 dia","")</f>
        <v/>
      </c>
      <c r="C174" s="222" t="str">
        <f>IF(dadosexternosBMF_1!A174="DOL - Dólar comercial","",IF(C173&lt;&gt;"",dadosexternosBMF_1!B174,IF(dadosexternosBMF_1!A174="DI1 - DI de 1 dia",dadosexternosBMF_1!B174,"")))</f>
        <v/>
      </c>
      <c r="D174" s="222" t="str">
        <f>IF(C174&lt;&gt;"",dadosexternosBMF_1!C174,"")</f>
        <v/>
      </c>
      <c r="E174" s="222" t="str">
        <f>IF(C174&lt;&gt;"",dadosexternosBMF_1!D174,"")</f>
        <v/>
      </c>
      <c r="G174" s="219" t="str">
        <f t="shared" si="31"/>
        <v/>
      </c>
      <c r="H174" s="219" t="str">
        <f t="shared" si="32"/>
        <v/>
      </c>
      <c r="I174" s="219" t="str">
        <f t="shared" si="33"/>
        <v/>
      </c>
      <c r="J174" s="219" t="str">
        <f>IF(I174="","",VLOOKUP(LEFT(C174,1),dadosexternosBMF_1!$L$2:$M$13,2,FALSE))</f>
        <v/>
      </c>
      <c r="K174" s="219" t="str">
        <f t="shared" si="34"/>
        <v/>
      </c>
      <c r="L174" s="422" t="str">
        <f t="shared" si="35"/>
        <v/>
      </c>
      <c r="M174" s="422" t="str">
        <f>IF(I174="","",WORKDAY(L174-1,1,FERIADOS!$A$2:$A$831))</f>
        <v/>
      </c>
      <c r="N174" s="219" t="str">
        <f>IF(I174="","",NETWORKDAYS(Curva!$M$2,M174,FERIADOS!$A$2:$A$831)-1)</f>
        <v/>
      </c>
      <c r="O174" s="423" t="str">
        <f>IF(C174&lt;&gt;"",IF(ISERROR((100000/E174)^(252/N174)-1),Curva!$B$2,((100000/E174)^(252/N174)-1)),"")</f>
        <v/>
      </c>
      <c r="P174" s="219" t="str">
        <f>IF(OR(G174=1,G174=2),dadosexternosBMF_1!B174,"")</f>
        <v/>
      </c>
      <c r="Q174" s="219" t="str">
        <f>IF(OR(G174=1,G174=2),dadosexternosBMF_1!D174,"")</f>
        <v/>
      </c>
    </row>
    <row r="175" spans="1:17" x14ac:dyDescent="0.2">
      <c r="A175" s="222" t="str">
        <f t="shared" si="30"/>
        <v/>
      </c>
      <c r="B175" s="222" t="str">
        <f>IF(dadosexternosBMF_1!A175="DI1 - DI de 1 dia","DI1 - DI de 1 dia","")</f>
        <v/>
      </c>
      <c r="C175" s="222" t="str">
        <f>IF(dadosexternosBMF_1!A175="DOL - Dólar comercial","",IF(C174&lt;&gt;"",dadosexternosBMF_1!B175,IF(dadosexternosBMF_1!A175="DI1 - DI de 1 dia",dadosexternosBMF_1!B175,"")))</f>
        <v/>
      </c>
      <c r="D175" s="222" t="str">
        <f>IF(C175&lt;&gt;"",dadosexternosBMF_1!C175,"")</f>
        <v/>
      </c>
      <c r="E175" s="222" t="str">
        <f>IF(C175&lt;&gt;"",dadosexternosBMF_1!D175,"")</f>
        <v/>
      </c>
      <c r="G175" s="219" t="str">
        <f t="shared" si="31"/>
        <v/>
      </c>
      <c r="H175" s="219" t="str">
        <f t="shared" si="32"/>
        <v/>
      </c>
      <c r="I175" s="219" t="str">
        <f t="shared" si="33"/>
        <v/>
      </c>
      <c r="J175" s="219" t="str">
        <f>IF(I175="","",VLOOKUP(LEFT(C175,1),dadosexternosBMF_1!$L$2:$M$13,2,FALSE))</f>
        <v/>
      </c>
      <c r="K175" s="219" t="str">
        <f t="shared" si="34"/>
        <v/>
      </c>
      <c r="L175" s="422" t="str">
        <f t="shared" si="35"/>
        <v/>
      </c>
      <c r="M175" s="422" t="str">
        <f>IF(I175="","",WORKDAY(L175-1,1,FERIADOS!$A$2:$A$831))</f>
        <v/>
      </c>
      <c r="N175" s="219" t="str">
        <f>IF(I175="","",NETWORKDAYS(Curva!$M$2,M175,FERIADOS!$A$2:$A$831)-1)</f>
        <v/>
      </c>
      <c r="O175" s="423" t="str">
        <f>IF(C175&lt;&gt;"",IF(ISERROR((100000/E175)^(252/N175)-1),Curva!$B$2,((100000/E175)^(252/N175)-1)),"")</f>
        <v/>
      </c>
      <c r="P175" s="219" t="str">
        <f>IF(OR(G175=1,G175=2),dadosexternosBMF_1!B175,"")</f>
        <v/>
      </c>
      <c r="Q175" s="219" t="str">
        <f>IF(OR(G175=1,G175=2),dadosexternosBMF_1!D175,"")</f>
        <v/>
      </c>
    </row>
    <row r="176" spans="1:17" x14ac:dyDescent="0.2">
      <c r="A176" s="222" t="e">
        <f t="shared" si="30"/>
        <v>#REF!</v>
      </c>
      <c r="B176" s="222" t="e">
        <f>IF(dadosexternosBMF_1!#REF!="DI1 - DI de 1 dia","DI1 - DI de 1 dia","")</f>
        <v>#REF!</v>
      </c>
      <c r="C176" s="222" t="e">
        <f>IF(dadosexternosBMF_1!#REF!="DOL - Dólar comercial","",IF(C175&lt;&gt;"",dadosexternosBMF_1!#REF!,IF(dadosexternosBMF_1!#REF!="DI1 - DI de 1 dia",dadosexternosBMF_1!#REF!,"")))</f>
        <v>#REF!</v>
      </c>
      <c r="D176" s="222" t="e">
        <f>IF(C176&lt;&gt;"",dadosexternosBMF_1!#REF!,"")</f>
        <v>#REF!</v>
      </c>
      <c r="E176" s="222" t="e">
        <f>IF(C176&lt;&gt;"",dadosexternosBMF_1!#REF!,"")</f>
        <v>#REF!</v>
      </c>
      <c r="G176" s="219" t="e">
        <f t="shared" si="31"/>
        <v>#REF!</v>
      </c>
      <c r="H176" s="219" t="e">
        <f t="shared" si="32"/>
        <v>#REF!</v>
      </c>
      <c r="I176" s="219" t="e">
        <f t="shared" si="33"/>
        <v>#REF!</v>
      </c>
      <c r="J176" s="219" t="e">
        <f>IF(I176="","",VLOOKUP(LEFT(C176,1),dadosexternosBMF_1!$L$2:$M$13,2,FALSE))</f>
        <v>#REF!</v>
      </c>
      <c r="K176" s="219" t="e">
        <f t="shared" si="34"/>
        <v>#REF!</v>
      </c>
      <c r="L176" s="422" t="e">
        <f t="shared" si="35"/>
        <v>#REF!</v>
      </c>
      <c r="M176" s="422" t="e">
        <f>IF(I176="","",WORKDAY(L176-1,1,FERIADOS!$A$2:$A$831))</f>
        <v>#REF!</v>
      </c>
      <c r="N176" s="219" t="e">
        <f>IF(I176="","",NETWORKDAYS(Curva!$M$2,M176,FERIADOS!$A$2:$A$831)-1)</f>
        <v>#REF!</v>
      </c>
      <c r="O176" s="423" t="e">
        <f>IF(C176&lt;&gt;"",IF(ISERROR((100000/E176)^(252/N176)-1),Curva!$B$2,((100000/E176)^(252/N176)-1)),"")</f>
        <v>#REF!</v>
      </c>
      <c r="P176" s="219" t="e">
        <f>IF(OR(G176=1,G176=2),dadosexternosBMF_1!#REF!,"")</f>
        <v>#REF!</v>
      </c>
      <c r="Q176" s="219" t="e">
        <f>IF(OR(G176=1,G176=2),dadosexternosBMF_1!#REF!,"")</f>
        <v>#REF!</v>
      </c>
    </row>
    <row r="177" spans="1:17" x14ac:dyDescent="0.2">
      <c r="A177" s="222" t="e">
        <f t="shared" si="30"/>
        <v>#REF!</v>
      </c>
      <c r="B177" s="222" t="e">
        <f>IF(dadosexternosBMF_1!#REF!="DI1 - DI de 1 dia","DI1 - DI de 1 dia","")</f>
        <v>#REF!</v>
      </c>
      <c r="C177" s="222" t="e">
        <f>IF(dadosexternosBMF_1!#REF!="DOL - Dólar comercial","",IF(C176&lt;&gt;"",dadosexternosBMF_1!#REF!,IF(dadosexternosBMF_1!#REF!="DI1 - DI de 1 dia",dadosexternosBMF_1!#REF!,"")))</f>
        <v>#REF!</v>
      </c>
      <c r="D177" s="222" t="e">
        <f>IF(C177&lt;&gt;"",dadosexternosBMF_1!#REF!,"")</f>
        <v>#REF!</v>
      </c>
      <c r="E177" s="222" t="e">
        <f>IF(C177&lt;&gt;"",dadosexternosBMF_1!#REF!,"")</f>
        <v>#REF!</v>
      </c>
      <c r="G177" s="219" t="e">
        <f t="shared" si="31"/>
        <v>#REF!</v>
      </c>
      <c r="H177" s="219" t="e">
        <f t="shared" si="32"/>
        <v>#REF!</v>
      </c>
      <c r="I177" s="219" t="e">
        <f t="shared" si="33"/>
        <v>#REF!</v>
      </c>
      <c r="J177" s="219" t="e">
        <f>IF(I177="","",VLOOKUP(LEFT(C177,1),dadosexternosBMF_1!$L$2:$M$13,2,FALSE))</f>
        <v>#REF!</v>
      </c>
      <c r="K177" s="219" t="e">
        <f t="shared" si="34"/>
        <v>#REF!</v>
      </c>
      <c r="L177" s="422" t="e">
        <f t="shared" si="35"/>
        <v>#REF!</v>
      </c>
      <c r="M177" s="422" t="e">
        <f>IF(I177="","",WORKDAY(L177-1,1,FERIADOS!$A$2:$A$831))</f>
        <v>#REF!</v>
      </c>
      <c r="N177" s="219" t="e">
        <f>IF(I177="","",NETWORKDAYS(Curva!$M$2,M177,FERIADOS!$A$2:$A$831)-1)</f>
        <v>#REF!</v>
      </c>
      <c r="O177" s="423" t="e">
        <f>IF(C177&lt;&gt;"",IF(ISERROR((100000/E177)^(252/N177)-1),Curva!$B$2,((100000/E177)^(252/N177)-1)),"")</f>
        <v>#REF!</v>
      </c>
      <c r="P177" s="219" t="e">
        <f>IF(OR(G177=1,G177=2),dadosexternosBMF_1!#REF!,"")</f>
        <v>#REF!</v>
      </c>
      <c r="Q177" s="219" t="e">
        <f>IF(OR(G177=1,G177=2),dadosexternosBMF_1!#REF!,"")</f>
        <v>#REF!</v>
      </c>
    </row>
    <row r="178" spans="1:17" x14ac:dyDescent="0.2">
      <c r="A178" s="222" t="e">
        <f t="shared" si="30"/>
        <v>#REF!</v>
      </c>
      <c r="B178" s="222" t="e">
        <f>IF(dadosexternosBMF_1!#REF!="DI1 - DI de 1 dia","DI1 - DI de 1 dia","")</f>
        <v>#REF!</v>
      </c>
      <c r="C178" s="222" t="e">
        <f>IF(dadosexternosBMF_1!#REF!="DOL - Dólar comercial","",IF(C177&lt;&gt;"",dadosexternosBMF_1!#REF!,IF(dadosexternosBMF_1!#REF!="DI1 - DI de 1 dia",dadosexternosBMF_1!#REF!,"")))</f>
        <v>#REF!</v>
      </c>
      <c r="D178" s="222" t="e">
        <f>IF(C178&lt;&gt;"",dadosexternosBMF_1!#REF!,"")</f>
        <v>#REF!</v>
      </c>
      <c r="E178" s="222" t="e">
        <f>IF(C178&lt;&gt;"",dadosexternosBMF_1!#REF!,"")</f>
        <v>#REF!</v>
      </c>
      <c r="G178" s="219" t="e">
        <f t="shared" si="31"/>
        <v>#REF!</v>
      </c>
      <c r="H178" s="219" t="e">
        <f t="shared" si="32"/>
        <v>#REF!</v>
      </c>
      <c r="I178" s="219" t="e">
        <f t="shared" si="33"/>
        <v>#REF!</v>
      </c>
      <c r="J178" s="219" t="e">
        <f>IF(I178="","",VLOOKUP(LEFT(C178,1),dadosexternosBMF_1!$L$2:$M$13,2,FALSE))</f>
        <v>#REF!</v>
      </c>
      <c r="K178" s="219" t="e">
        <f t="shared" si="34"/>
        <v>#REF!</v>
      </c>
      <c r="L178" s="422" t="e">
        <f t="shared" si="35"/>
        <v>#REF!</v>
      </c>
      <c r="M178" s="422" t="e">
        <f>IF(I178="","",WORKDAY(L178-1,1,FERIADOS!$A$2:$A$831))</f>
        <v>#REF!</v>
      </c>
      <c r="N178" s="219" t="e">
        <f>IF(I178="","",NETWORKDAYS(Curva!$M$2,M178,FERIADOS!$A$2:$A$831)-1)</f>
        <v>#REF!</v>
      </c>
      <c r="O178" s="423" t="e">
        <f>IF(C178&lt;&gt;"",IF(ISERROR((100000/E178)^(252/N178)-1),Curva!$B$2,((100000/E178)^(252/N178)-1)),"")</f>
        <v>#REF!</v>
      </c>
      <c r="P178" s="219" t="e">
        <f>IF(OR(G178=1,G178=2),dadosexternosBMF_1!#REF!,"")</f>
        <v>#REF!</v>
      </c>
      <c r="Q178" s="219" t="e">
        <f>IF(OR(G178=1,G178=2),dadosexternosBMF_1!#REF!,"")</f>
        <v>#REF!</v>
      </c>
    </row>
    <row r="179" spans="1:17" x14ac:dyDescent="0.2">
      <c r="A179" s="222" t="e">
        <f t="shared" si="30"/>
        <v>#REF!</v>
      </c>
      <c r="B179" s="222" t="e">
        <f>IF(dadosexternosBMF_1!#REF!="DI1 - DI de 1 dia","DI1 - DI de 1 dia","")</f>
        <v>#REF!</v>
      </c>
      <c r="C179" s="222" t="e">
        <f>IF(dadosexternosBMF_1!#REF!="DOL - Dólar comercial","",IF(C178&lt;&gt;"",dadosexternosBMF_1!#REF!,IF(dadosexternosBMF_1!#REF!="DI1 - DI de 1 dia",dadosexternosBMF_1!#REF!,"")))</f>
        <v>#REF!</v>
      </c>
      <c r="D179" s="222" t="e">
        <f>IF(C179&lt;&gt;"",dadosexternosBMF_1!#REF!,"")</f>
        <v>#REF!</v>
      </c>
      <c r="E179" s="222" t="e">
        <f>IF(C179&lt;&gt;"",dadosexternosBMF_1!#REF!,"")</f>
        <v>#REF!</v>
      </c>
      <c r="G179" s="219" t="e">
        <f t="shared" si="31"/>
        <v>#REF!</v>
      </c>
      <c r="H179" s="219" t="e">
        <f t="shared" si="32"/>
        <v>#REF!</v>
      </c>
      <c r="I179" s="219" t="e">
        <f t="shared" si="33"/>
        <v>#REF!</v>
      </c>
      <c r="J179" s="219" t="e">
        <f>IF(I179="","",VLOOKUP(LEFT(C179,1),dadosexternosBMF_1!$L$2:$M$13,2,FALSE))</f>
        <v>#REF!</v>
      </c>
      <c r="K179" s="219" t="e">
        <f t="shared" si="34"/>
        <v>#REF!</v>
      </c>
      <c r="L179" s="422" t="e">
        <f t="shared" si="35"/>
        <v>#REF!</v>
      </c>
      <c r="M179" s="422" t="e">
        <f>IF(I179="","",WORKDAY(L179-1,1,FERIADOS!$A$2:$A$831))</f>
        <v>#REF!</v>
      </c>
      <c r="N179" s="219" t="e">
        <f>IF(I179="","",NETWORKDAYS(Curva!$M$2,M179,FERIADOS!$A$2:$A$831)-1)</f>
        <v>#REF!</v>
      </c>
      <c r="O179" s="423" t="e">
        <f>IF(C179&lt;&gt;"",IF(ISERROR((100000/E179)^(252/N179)-1),Curva!$B$2,((100000/E179)^(252/N179)-1)),"")</f>
        <v>#REF!</v>
      </c>
      <c r="P179" s="219" t="e">
        <f>IF(OR(G179=1,G179=2),dadosexternosBMF_1!#REF!,"")</f>
        <v>#REF!</v>
      </c>
      <c r="Q179" s="219" t="e">
        <f>IF(OR(G179=1,G179=2),dadosexternosBMF_1!#REF!,"")</f>
        <v>#REF!</v>
      </c>
    </row>
    <row r="180" spans="1:17" x14ac:dyDescent="0.2">
      <c r="A180" s="222" t="e">
        <f t="shared" si="30"/>
        <v>#REF!</v>
      </c>
      <c r="B180" s="222" t="e">
        <f>IF(dadosexternosBMF_1!#REF!="DI1 - DI de 1 dia","DI1 - DI de 1 dia","")</f>
        <v>#REF!</v>
      </c>
      <c r="C180" s="222" t="e">
        <f>IF(dadosexternosBMF_1!#REF!="DOL - Dólar comercial","",IF(C179&lt;&gt;"",dadosexternosBMF_1!#REF!,IF(dadosexternosBMF_1!#REF!="DI1 - DI de 1 dia",dadosexternosBMF_1!#REF!,"")))</f>
        <v>#REF!</v>
      </c>
      <c r="D180" s="222" t="e">
        <f>IF(C180&lt;&gt;"",dadosexternosBMF_1!#REF!,"")</f>
        <v>#REF!</v>
      </c>
      <c r="E180" s="222" t="e">
        <f>IF(C180&lt;&gt;"",dadosexternosBMF_1!#REF!,"")</f>
        <v>#REF!</v>
      </c>
      <c r="G180" s="219" t="e">
        <f t="shared" si="31"/>
        <v>#REF!</v>
      </c>
      <c r="H180" s="219" t="e">
        <f t="shared" si="32"/>
        <v>#REF!</v>
      </c>
      <c r="I180" s="219" t="e">
        <f t="shared" si="33"/>
        <v>#REF!</v>
      </c>
      <c r="J180" s="219" t="e">
        <f>IF(I180="","",VLOOKUP(LEFT(C180,1),dadosexternosBMF_1!$L$2:$M$13,2,FALSE))</f>
        <v>#REF!</v>
      </c>
      <c r="K180" s="219" t="e">
        <f t="shared" si="34"/>
        <v>#REF!</v>
      </c>
      <c r="L180" s="422" t="e">
        <f t="shared" si="35"/>
        <v>#REF!</v>
      </c>
      <c r="M180" s="422" t="e">
        <f>IF(I180="","",WORKDAY(L180-1,1,FERIADOS!$A$2:$A$831))</f>
        <v>#REF!</v>
      </c>
      <c r="N180" s="219" t="e">
        <f>IF(I180="","",NETWORKDAYS(Curva!$M$2,M180,FERIADOS!$A$2:$A$831)-1)</f>
        <v>#REF!</v>
      </c>
      <c r="O180" s="423" t="e">
        <f>IF(C180&lt;&gt;"",IF(ISERROR((100000/E180)^(252/N180)-1),Curva!$B$2,((100000/E180)^(252/N180)-1)),"")</f>
        <v>#REF!</v>
      </c>
      <c r="P180" s="219" t="e">
        <f>IF(OR(G180=1,G180=2),dadosexternosBMF_1!#REF!,"")</f>
        <v>#REF!</v>
      </c>
      <c r="Q180" s="219" t="e">
        <f>IF(OR(G180=1,G180=2),dadosexternosBMF_1!#REF!,"")</f>
        <v>#REF!</v>
      </c>
    </row>
    <row r="181" spans="1:17" x14ac:dyDescent="0.2">
      <c r="A181" s="222" t="e">
        <f t="shared" si="30"/>
        <v>#REF!</v>
      </c>
      <c r="B181" s="222" t="e">
        <f>IF(dadosexternosBMF_1!#REF!="DI1 - DI de 1 dia","DI1 - DI de 1 dia","")</f>
        <v>#REF!</v>
      </c>
      <c r="C181" s="222" t="e">
        <f>IF(dadosexternosBMF_1!#REF!="DOL - Dólar comercial","",IF(C180&lt;&gt;"",dadosexternosBMF_1!#REF!,IF(dadosexternosBMF_1!#REF!="DI1 - DI de 1 dia",dadosexternosBMF_1!#REF!,"")))</f>
        <v>#REF!</v>
      </c>
      <c r="D181" s="222" t="e">
        <f>IF(C181&lt;&gt;"",dadosexternosBMF_1!#REF!,"")</f>
        <v>#REF!</v>
      </c>
      <c r="E181" s="222" t="e">
        <f>IF(C181&lt;&gt;"",dadosexternosBMF_1!#REF!,"")</f>
        <v>#REF!</v>
      </c>
      <c r="G181" s="219" t="e">
        <f t="shared" si="31"/>
        <v>#REF!</v>
      </c>
      <c r="H181" s="219" t="e">
        <f t="shared" si="32"/>
        <v>#REF!</v>
      </c>
      <c r="I181" s="219" t="e">
        <f t="shared" si="33"/>
        <v>#REF!</v>
      </c>
      <c r="J181" s="219" t="e">
        <f>IF(I181="","",VLOOKUP(LEFT(C181,1),dadosexternosBMF_1!$L$2:$M$13,2,FALSE))</f>
        <v>#REF!</v>
      </c>
      <c r="K181" s="219" t="e">
        <f t="shared" si="34"/>
        <v>#REF!</v>
      </c>
      <c r="L181" s="422" t="e">
        <f t="shared" si="35"/>
        <v>#REF!</v>
      </c>
      <c r="M181" s="422" t="e">
        <f>IF(I181="","",WORKDAY(L181-1,1,FERIADOS!$A$2:$A$831))</f>
        <v>#REF!</v>
      </c>
      <c r="N181" s="219" t="e">
        <f>IF(I181="","",NETWORKDAYS(Curva!$M$2,M181,FERIADOS!$A$2:$A$831)-1)</f>
        <v>#REF!</v>
      </c>
      <c r="O181" s="423" t="e">
        <f>IF(C181&lt;&gt;"",IF(ISERROR((100000/E181)^(252/N181)-1),Curva!$B$2,((100000/E181)^(252/N181)-1)),"")</f>
        <v>#REF!</v>
      </c>
      <c r="P181" s="219" t="e">
        <f>IF(OR(G181=1,G181=2),dadosexternosBMF_1!#REF!,"")</f>
        <v>#REF!</v>
      </c>
      <c r="Q181" s="219" t="e">
        <f>IF(OR(G181=1,G181=2),dadosexternosBMF_1!#REF!,"")</f>
        <v>#REF!</v>
      </c>
    </row>
    <row r="182" spans="1:17" x14ac:dyDescent="0.2">
      <c r="A182" s="222" t="e">
        <f t="shared" si="30"/>
        <v>#REF!</v>
      </c>
      <c r="B182" s="222" t="e">
        <f>IF(dadosexternosBMF_1!#REF!="DI1 - DI de 1 dia","DI1 - DI de 1 dia","")</f>
        <v>#REF!</v>
      </c>
      <c r="C182" s="222" t="e">
        <f>IF(dadosexternosBMF_1!#REF!="DOL - Dólar comercial","",IF(C181&lt;&gt;"",dadosexternosBMF_1!#REF!,IF(dadosexternosBMF_1!#REF!="DI1 - DI de 1 dia",dadosexternosBMF_1!#REF!,"")))</f>
        <v>#REF!</v>
      </c>
      <c r="D182" s="222" t="e">
        <f>IF(C182&lt;&gt;"",dadosexternosBMF_1!#REF!,"")</f>
        <v>#REF!</v>
      </c>
      <c r="E182" s="222" t="e">
        <f>IF(C182&lt;&gt;"",dadosexternosBMF_1!#REF!,"")</f>
        <v>#REF!</v>
      </c>
      <c r="G182" s="219" t="e">
        <f t="shared" si="31"/>
        <v>#REF!</v>
      </c>
      <c r="H182" s="219" t="e">
        <f t="shared" si="32"/>
        <v>#REF!</v>
      </c>
      <c r="I182" s="219" t="e">
        <f t="shared" si="33"/>
        <v>#REF!</v>
      </c>
      <c r="J182" s="219" t="e">
        <f>IF(I182="","",VLOOKUP(LEFT(C182,1),dadosexternosBMF_1!$L$2:$M$13,2,FALSE))</f>
        <v>#REF!</v>
      </c>
      <c r="K182" s="219" t="e">
        <f t="shared" si="34"/>
        <v>#REF!</v>
      </c>
      <c r="L182" s="422" t="e">
        <f t="shared" si="35"/>
        <v>#REF!</v>
      </c>
      <c r="M182" s="422" t="e">
        <f>IF(I182="","",WORKDAY(L182-1,1,FERIADOS!$A$2:$A$831))</f>
        <v>#REF!</v>
      </c>
      <c r="N182" s="219" t="e">
        <f>IF(I182="","",NETWORKDAYS(Curva!$M$2,M182,FERIADOS!$A$2:$A$831)-1)</f>
        <v>#REF!</v>
      </c>
      <c r="O182" s="423" t="e">
        <f>IF(C182&lt;&gt;"",IF(ISERROR((100000/E182)^(252/N182)-1),Curva!$B$2,((100000/E182)^(252/N182)-1)),"")</f>
        <v>#REF!</v>
      </c>
      <c r="P182" s="219" t="e">
        <f>IF(OR(G182=1,G182=2),dadosexternosBMF_1!#REF!,"")</f>
        <v>#REF!</v>
      </c>
      <c r="Q182" s="219" t="e">
        <f>IF(OR(G182=1,G182=2),dadosexternosBMF_1!#REF!,"")</f>
        <v>#REF!</v>
      </c>
    </row>
    <row r="183" spans="1:17" x14ac:dyDescent="0.2">
      <c r="A183" s="222" t="e">
        <f t="shared" si="30"/>
        <v>#REF!</v>
      </c>
      <c r="B183" s="222" t="e">
        <f>IF(dadosexternosBMF_1!#REF!="DI1 - DI de 1 dia","DI1 - DI de 1 dia","")</f>
        <v>#REF!</v>
      </c>
      <c r="C183" s="222" t="e">
        <f>IF(dadosexternosBMF_1!#REF!="DOL - Dólar comercial","",IF(C182&lt;&gt;"",dadosexternosBMF_1!#REF!,IF(dadosexternosBMF_1!#REF!="DI1 - DI de 1 dia",dadosexternosBMF_1!#REF!,"")))</f>
        <v>#REF!</v>
      </c>
      <c r="D183" s="222" t="e">
        <f>IF(C183&lt;&gt;"",dadosexternosBMF_1!#REF!,"")</f>
        <v>#REF!</v>
      </c>
      <c r="E183" s="222" t="e">
        <f>IF(C183&lt;&gt;"",dadosexternosBMF_1!#REF!,"")</f>
        <v>#REF!</v>
      </c>
      <c r="G183" s="219" t="e">
        <f t="shared" si="31"/>
        <v>#REF!</v>
      </c>
      <c r="H183" s="219" t="e">
        <f t="shared" si="32"/>
        <v>#REF!</v>
      </c>
      <c r="I183" s="219" t="e">
        <f t="shared" si="33"/>
        <v>#REF!</v>
      </c>
      <c r="J183" s="219" t="e">
        <f>IF(I183="","",VLOOKUP(LEFT(C183,1),dadosexternosBMF_1!$L$2:$M$13,2,FALSE))</f>
        <v>#REF!</v>
      </c>
      <c r="K183" s="219" t="e">
        <f t="shared" si="34"/>
        <v>#REF!</v>
      </c>
      <c r="L183" s="422" t="e">
        <f t="shared" si="35"/>
        <v>#REF!</v>
      </c>
      <c r="M183" s="422" t="e">
        <f>IF(I183="","",WORKDAY(L183-1,1,FERIADOS!$A$2:$A$831))</f>
        <v>#REF!</v>
      </c>
      <c r="N183" s="219" t="e">
        <f>IF(I183="","",NETWORKDAYS(Curva!$M$2,M183,FERIADOS!$A$2:$A$831)-1)</f>
        <v>#REF!</v>
      </c>
      <c r="O183" s="423" t="e">
        <f>IF(C183&lt;&gt;"",IF(ISERROR((100000/E183)^(252/N183)-1),Curva!$B$2,((100000/E183)^(252/N183)-1)),"")</f>
        <v>#REF!</v>
      </c>
      <c r="P183" s="219" t="e">
        <f>IF(OR(G183=1,G183=2),dadosexternosBMF_1!#REF!,"")</f>
        <v>#REF!</v>
      </c>
      <c r="Q183" s="219" t="e">
        <f>IF(OR(G183=1,G183=2),dadosexternosBMF_1!#REF!,"")</f>
        <v>#REF!</v>
      </c>
    </row>
    <row r="184" spans="1:17" x14ac:dyDescent="0.2">
      <c r="A184" s="222" t="e">
        <f t="shared" si="30"/>
        <v>#REF!</v>
      </c>
      <c r="B184" s="222" t="e">
        <f>IF(dadosexternosBMF_1!#REF!="DI1 - DI de 1 dia","DI1 - DI de 1 dia","")</f>
        <v>#REF!</v>
      </c>
      <c r="C184" s="222" t="e">
        <f>IF(dadosexternosBMF_1!#REF!="DOL - Dólar comercial","",IF(C183&lt;&gt;"",dadosexternosBMF_1!#REF!,IF(dadosexternosBMF_1!#REF!="DI1 - DI de 1 dia",dadosexternosBMF_1!#REF!,"")))</f>
        <v>#REF!</v>
      </c>
      <c r="D184" s="222" t="e">
        <f>IF(C184&lt;&gt;"",dadosexternosBMF_1!#REF!,"")</f>
        <v>#REF!</v>
      </c>
      <c r="E184" s="222" t="e">
        <f>IF(C184&lt;&gt;"",dadosexternosBMF_1!#REF!,"")</f>
        <v>#REF!</v>
      </c>
      <c r="G184" s="219" t="e">
        <f t="shared" si="31"/>
        <v>#REF!</v>
      </c>
      <c r="H184" s="219" t="e">
        <f t="shared" si="32"/>
        <v>#REF!</v>
      </c>
      <c r="I184" s="219" t="e">
        <f t="shared" si="33"/>
        <v>#REF!</v>
      </c>
      <c r="J184" s="219" t="e">
        <f>IF(I184="","",VLOOKUP(LEFT(C184,1),dadosexternosBMF_1!$L$2:$M$13,2,FALSE))</f>
        <v>#REF!</v>
      </c>
      <c r="K184" s="219" t="e">
        <f t="shared" si="34"/>
        <v>#REF!</v>
      </c>
      <c r="L184" s="422" t="e">
        <f t="shared" si="35"/>
        <v>#REF!</v>
      </c>
      <c r="M184" s="422" t="e">
        <f>IF(I184="","",WORKDAY(L184-1,1,FERIADOS!$A$2:$A$831))</f>
        <v>#REF!</v>
      </c>
      <c r="N184" s="219" t="e">
        <f>IF(I184="","",NETWORKDAYS(Curva!$M$2,M184,FERIADOS!$A$2:$A$831)-1)</f>
        <v>#REF!</v>
      </c>
      <c r="O184" s="423" t="e">
        <f>IF(C184&lt;&gt;"",IF(ISERROR((100000/E184)^(252/N184)-1),Curva!$B$2,((100000/E184)^(252/N184)-1)),"")</f>
        <v>#REF!</v>
      </c>
      <c r="P184" s="219" t="e">
        <f>IF(OR(G184=1,G184=2),dadosexternosBMF_1!#REF!,"")</f>
        <v>#REF!</v>
      </c>
      <c r="Q184" s="219" t="e">
        <f>IF(OR(G184=1,G184=2),dadosexternosBMF_1!#REF!,"")</f>
        <v>#REF!</v>
      </c>
    </row>
    <row r="185" spans="1:17" x14ac:dyDescent="0.2">
      <c r="A185" s="222" t="e">
        <f t="shared" si="30"/>
        <v>#REF!</v>
      </c>
      <c r="B185" s="222" t="e">
        <f>IF(dadosexternosBMF_1!#REF!="DI1 - DI de 1 dia","DI1 - DI de 1 dia","")</f>
        <v>#REF!</v>
      </c>
      <c r="C185" s="222" t="e">
        <f>IF(dadosexternosBMF_1!#REF!="DOL - Dólar comercial","",IF(C184&lt;&gt;"",dadosexternosBMF_1!#REF!,IF(dadosexternosBMF_1!#REF!="DI1 - DI de 1 dia",dadosexternosBMF_1!#REF!,"")))</f>
        <v>#REF!</v>
      </c>
      <c r="D185" s="222" t="e">
        <f>IF(C185&lt;&gt;"",dadosexternosBMF_1!#REF!,"")</f>
        <v>#REF!</v>
      </c>
      <c r="E185" s="222" t="e">
        <f>IF(C185&lt;&gt;"",dadosexternosBMF_1!#REF!,"")</f>
        <v>#REF!</v>
      </c>
      <c r="G185" s="219" t="e">
        <f t="shared" si="31"/>
        <v>#REF!</v>
      </c>
      <c r="H185" s="219" t="e">
        <f t="shared" si="32"/>
        <v>#REF!</v>
      </c>
      <c r="I185" s="219" t="e">
        <f t="shared" si="33"/>
        <v>#REF!</v>
      </c>
      <c r="J185" s="219" t="e">
        <f>IF(I185="","",VLOOKUP(LEFT(C185,1),dadosexternosBMF_1!$L$2:$M$13,2,FALSE))</f>
        <v>#REF!</v>
      </c>
      <c r="K185" s="219" t="e">
        <f t="shared" si="34"/>
        <v>#REF!</v>
      </c>
      <c r="L185" s="422" t="e">
        <f t="shared" si="35"/>
        <v>#REF!</v>
      </c>
      <c r="M185" s="422" t="e">
        <f>IF(I185="","",WORKDAY(L185-1,1,FERIADOS!$A$2:$A$831))</f>
        <v>#REF!</v>
      </c>
      <c r="N185" s="219" t="e">
        <f>IF(I185="","",NETWORKDAYS(Curva!$M$2,M185,FERIADOS!$A$2:$A$831)-1)</f>
        <v>#REF!</v>
      </c>
      <c r="O185" s="423" t="e">
        <f>IF(C185&lt;&gt;"",IF(ISERROR((100000/E185)^(252/N185)-1),Curva!$B$2,((100000/E185)^(252/N185)-1)),"")</f>
        <v>#REF!</v>
      </c>
      <c r="P185" s="219" t="e">
        <f>IF(OR(G185=1,G185=2),dadosexternosBMF_1!#REF!,"")</f>
        <v>#REF!</v>
      </c>
      <c r="Q185" s="219" t="e">
        <f>IF(OR(G185=1,G185=2),dadosexternosBMF_1!#REF!,"")</f>
        <v>#REF!</v>
      </c>
    </row>
    <row r="186" spans="1:17" x14ac:dyDescent="0.2">
      <c r="A186" s="222" t="e">
        <f t="shared" si="30"/>
        <v>#REF!</v>
      </c>
      <c r="B186" s="222" t="e">
        <f>IF(dadosexternosBMF_1!#REF!="DI1 - DI de 1 dia","DI1 - DI de 1 dia","")</f>
        <v>#REF!</v>
      </c>
      <c r="C186" s="222" t="e">
        <f>IF(dadosexternosBMF_1!#REF!="DOL - Dólar comercial","",IF(C185&lt;&gt;"",dadosexternosBMF_1!#REF!,IF(dadosexternosBMF_1!#REF!="DI1 - DI de 1 dia",dadosexternosBMF_1!#REF!,"")))</f>
        <v>#REF!</v>
      </c>
      <c r="D186" s="222" t="e">
        <f>IF(C186&lt;&gt;"",dadosexternosBMF_1!#REF!,"")</f>
        <v>#REF!</v>
      </c>
      <c r="E186" s="222" t="e">
        <f>IF(C186&lt;&gt;"",dadosexternosBMF_1!#REF!,"")</f>
        <v>#REF!</v>
      </c>
      <c r="G186" s="219" t="e">
        <f t="shared" si="31"/>
        <v>#REF!</v>
      </c>
      <c r="H186" s="219" t="e">
        <f t="shared" si="32"/>
        <v>#REF!</v>
      </c>
      <c r="I186" s="219" t="e">
        <f t="shared" si="33"/>
        <v>#REF!</v>
      </c>
      <c r="J186" s="219" t="e">
        <f>IF(I186="","",VLOOKUP(LEFT(C186,1),dadosexternosBMF_1!$L$2:$M$13,2,FALSE))</f>
        <v>#REF!</v>
      </c>
      <c r="K186" s="219" t="e">
        <f t="shared" si="34"/>
        <v>#REF!</v>
      </c>
      <c r="L186" s="422" t="e">
        <f t="shared" si="35"/>
        <v>#REF!</v>
      </c>
      <c r="M186" s="422" t="e">
        <f>IF(I186="","",WORKDAY(L186-1,1,FERIADOS!$A$2:$A$831))</f>
        <v>#REF!</v>
      </c>
      <c r="N186" s="219" t="e">
        <f>IF(I186="","",NETWORKDAYS(Curva!$M$2,M186,FERIADOS!$A$2:$A$831)-1)</f>
        <v>#REF!</v>
      </c>
      <c r="O186" s="423" t="e">
        <f>IF(C186&lt;&gt;"",IF(ISERROR((100000/E186)^(252/N186)-1),Curva!$B$2,((100000/E186)^(252/N186)-1)),"")</f>
        <v>#REF!</v>
      </c>
      <c r="P186" s="219" t="e">
        <f>IF(OR(G186=1,G186=2),dadosexternosBMF_1!#REF!,"")</f>
        <v>#REF!</v>
      </c>
      <c r="Q186" s="219" t="e">
        <f>IF(OR(G186=1,G186=2),dadosexternosBMF_1!#REF!,"")</f>
        <v>#REF!</v>
      </c>
    </row>
    <row r="187" spans="1:17" x14ac:dyDescent="0.2">
      <c r="A187" s="222" t="e">
        <f t="shared" si="30"/>
        <v>#REF!</v>
      </c>
      <c r="B187" s="222" t="e">
        <f>IF(dadosexternosBMF_1!#REF!="DI1 - DI de 1 dia","DI1 - DI de 1 dia","")</f>
        <v>#REF!</v>
      </c>
      <c r="C187" s="222" t="e">
        <f>IF(dadosexternosBMF_1!#REF!="DOL - Dólar comercial","",IF(C186&lt;&gt;"",dadosexternosBMF_1!#REF!,IF(dadosexternosBMF_1!#REF!="DI1 - DI de 1 dia",dadosexternosBMF_1!#REF!,"")))</f>
        <v>#REF!</v>
      </c>
      <c r="D187" s="222" t="e">
        <f>IF(C187&lt;&gt;"",dadosexternosBMF_1!#REF!,"")</f>
        <v>#REF!</v>
      </c>
      <c r="E187" s="222" t="e">
        <f>IF(C187&lt;&gt;"",dadosexternosBMF_1!#REF!,"")</f>
        <v>#REF!</v>
      </c>
      <c r="G187" s="219" t="e">
        <f t="shared" si="31"/>
        <v>#REF!</v>
      </c>
      <c r="H187" s="219" t="e">
        <f t="shared" si="32"/>
        <v>#REF!</v>
      </c>
      <c r="I187" s="219" t="e">
        <f t="shared" si="33"/>
        <v>#REF!</v>
      </c>
      <c r="J187" s="219" t="e">
        <f>IF(I187="","",VLOOKUP(LEFT(C187,1),dadosexternosBMF_1!$L$2:$M$13,2,FALSE))</f>
        <v>#REF!</v>
      </c>
      <c r="K187" s="219" t="e">
        <f t="shared" si="34"/>
        <v>#REF!</v>
      </c>
      <c r="L187" s="422" t="e">
        <f t="shared" si="35"/>
        <v>#REF!</v>
      </c>
      <c r="M187" s="422" t="e">
        <f>IF(I187="","",WORKDAY(L187-1,1,FERIADOS!$A$2:$A$831))</f>
        <v>#REF!</v>
      </c>
      <c r="N187" s="219" t="e">
        <f>IF(I187="","",NETWORKDAYS(Curva!$M$2,M187,FERIADOS!$A$2:$A$831)-1)</f>
        <v>#REF!</v>
      </c>
      <c r="O187" s="423" t="e">
        <f>IF(C187&lt;&gt;"",IF(ISERROR((100000/E187)^(252/N187)-1),Curva!$B$2,((100000/E187)^(252/N187)-1)),"")</f>
        <v>#REF!</v>
      </c>
      <c r="P187" s="219" t="e">
        <f>IF(OR(G187=1,G187=2),dadosexternosBMF_1!#REF!,"")</f>
        <v>#REF!</v>
      </c>
      <c r="Q187" s="219" t="e">
        <f>IF(OR(G187=1,G187=2),dadosexternosBMF_1!#REF!,"")</f>
        <v>#REF!</v>
      </c>
    </row>
    <row r="188" spans="1:17" x14ac:dyDescent="0.2">
      <c r="A188" s="222" t="e">
        <f t="shared" si="30"/>
        <v>#REF!</v>
      </c>
      <c r="B188" s="222" t="e">
        <f>IF(dadosexternosBMF_1!#REF!="DI1 - DI de 1 dia","DI1 - DI de 1 dia","")</f>
        <v>#REF!</v>
      </c>
      <c r="C188" s="222" t="e">
        <f>IF(dadosexternosBMF_1!#REF!="DOL - Dólar comercial","",IF(C187&lt;&gt;"",dadosexternosBMF_1!#REF!,IF(dadosexternosBMF_1!#REF!="DI1 - DI de 1 dia",dadosexternosBMF_1!#REF!,"")))</f>
        <v>#REF!</v>
      </c>
      <c r="D188" s="222" t="e">
        <f>IF(C188&lt;&gt;"",dadosexternosBMF_1!#REF!,"")</f>
        <v>#REF!</v>
      </c>
      <c r="E188" s="222" t="e">
        <f>IF(C188&lt;&gt;"",dadosexternosBMF_1!#REF!,"")</f>
        <v>#REF!</v>
      </c>
      <c r="G188" s="219" t="e">
        <f t="shared" si="31"/>
        <v>#REF!</v>
      </c>
      <c r="H188" s="219" t="e">
        <f t="shared" si="32"/>
        <v>#REF!</v>
      </c>
      <c r="I188" s="219" t="e">
        <f t="shared" si="33"/>
        <v>#REF!</v>
      </c>
      <c r="J188" s="219" t="e">
        <f>IF(I188="","",VLOOKUP(LEFT(C188,1),dadosexternosBMF_1!$L$2:$M$13,2,FALSE))</f>
        <v>#REF!</v>
      </c>
      <c r="K188" s="219" t="e">
        <f t="shared" si="34"/>
        <v>#REF!</v>
      </c>
      <c r="L188" s="422" t="e">
        <f t="shared" si="35"/>
        <v>#REF!</v>
      </c>
      <c r="M188" s="422" t="e">
        <f>IF(I188="","",WORKDAY(L188-1,1,FERIADOS!$A$2:$A$831))</f>
        <v>#REF!</v>
      </c>
      <c r="N188" s="219" t="e">
        <f>IF(I188="","",NETWORKDAYS(Curva!$M$2,M188,FERIADOS!$A$2:$A$831)-1)</f>
        <v>#REF!</v>
      </c>
      <c r="O188" s="423" t="e">
        <f>IF(C188&lt;&gt;"",IF(ISERROR((100000/E188)^(252/N188)-1),Curva!$B$2,((100000/E188)^(252/N188)-1)),"")</f>
        <v>#REF!</v>
      </c>
      <c r="P188" s="219" t="e">
        <f>IF(OR(G188=1,G188=2),dadosexternosBMF_1!#REF!,"")</f>
        <v>#REF!</v>
      </c>
      <c r="Q188" s="219" t="e">
        <f>IF(OR(G188=1,G188=2),dadosexternosBMF_1!#REF!,"")</f>
        <v>#REF!</v>
      </c>
    </row>
    <row r="189" spans="1:17" x14ac:dyDescent="0.2">
      <c r="A189" s="222" t="e">
        <f t="shared" si="30"/>
        <v>#REF!</v>
      </c>
      <c r="B189" s="222" t="e">
        <f>IF(dadosexternosBMF_1!#REF!="DI1 - DI de 1 dia","DI1 - DI de 1 dia","")</f>
        <v>#REF!</v>
      </c>
      <c r="C189" s="222" t="e">
        <f>IF(dadosexternosBMF_1!#REF!="DOL - Dólar comercial","",IF(C188&lt;&gt;"",dadosexternosBMF_1!#REF!,IF(dadosexternosBMF_1!#REF!="DI1 - DI de 1 dia",dadosexternosBMF_1!#REF!,"")))</f>
        <v>#REF!</v>
      </c>
      <c r="D189" s="222" t="e">
        <f>IF(C189&lt;&gt;"",dadosexternosBMF_1!#REF!,"")</f>
        <v>#REF!</v>
      </c>
      <c r="E189" s="222" t="e">
        <f>IF(C189&lt;&gt;"",dadosexternosBMF_1!#REF!,"")</f>
        <v>#REF!</v>
      </c>
      <c r="G189" s="219" t="e">
        <f t="shared" si="31"/>
        <v>#REF!</v>
      </c>
      <c r="H189" s="219" t="e">
        <f t="shared" si="32"/>
        <v>#REF!</v>
      </c>
      <c r="I189" s="219" t="e">
        <f t="shared" si="33"/>
        <v>#REF!</v>
      </c>
      <c r="J189" s="219" t="e">
        <f>IF(I189="","",VLOOKUP(LEFT(C189,1),dadosexternosBMF_1!$L$2:$M$13,2,FALSE))</f>
        <v>#REF!</v>
      </c>
      <c r="K189" s="219" t="e">
        <f t="shared" si="34"/>
        <v>#REF!</v>
      </c>
      <c r="L189" s="422" t="e">
        <f t="shared" si="35"/>
        <v>#REF!</v>
      </c>
      <c r="M189" s="422" t="e">
        <f>IF(I189="","",WORKDAY(L189-1,1,FERIADOS!$A$2:$A$831))</f>
        <v>#REF!</v>
      </c>
      <c r="N189" s="219" t="e">
        <f>IF(I189="","",NETWORKDAYS(Curva!$M$2,M189,FERIADOS!$A$2:$A$831)-1)</f>
        <v>#REF!</v>
      </c>
      <c r="O189" s="423" t="e">
        <f>IF(C189&lt;&gt;"",IF(ISERROR((100000/E189)^(252/N189)-1),Curva!$B$2,((100000/E189)^(252/N189)-1)),"")</f>
        <v>#REF!</v>
      </c>
      <c r="P189" s="219" t="e">
        <f>IF(OR(G189=1,G189=2),dadosexternosBMF_1!#REF!,"")</f>
        <v>#REF!</v>
      </c>
      <c r="Q189" s="219" t="e">
        <f>IF(OR(G189=1,G189=2),dadosexternosBMF_1!#REF!,"")</f>
        <v>#REF!</v>
      </c>
    </row>
    <row r="190" spans="1:17" x14ac:dyDescent="0.2">
      <c r="A190" s="222" t="e">
        <f t="shared" si="30"/>
        <v>#REF!</v>
      </c>
      <c r="B190" s="222" t="e">
        <f>IF(dadosexternosBMF_1!#REF!="DI1 - DI de 1 dia","DI1 - DI de 1 dia","")</f>
        <v>#REF!</v>
      </c>
      <c r="C190" s="222" t="e">
        <f>IF(dadosexternosBMF_1!#REF!="DOL - Dólar comercial","",IF(C189&lt;&gt;"",dadosexternosBMF_1!#REF!,IF(dadosexternosBMF_1!#REF!="DI1 - DI de 1 dia",dadosexternosBMF_1!#REF!,"")))</f>
        <v>#REF!</v>
      </c>
      <c r="D190" s="222" t="e">
        <f>IF(C190&lt;&gt;"",dadosexternosBMF_1!#REF!,"")</f>
        <v>#REF!</v>
      </c>
      <c r="E190" s="222" t="e">
        <f>IF(C190&lt;&gt;"",dadosexternosBMF_1!#REF!,"")</f>
        <v>#REF!</v>
      </c>
      <c r="G190" s="219" t="e">
        <f t="shared" si="31"/>
        <v>#REF!</v>
      </c>
      <c r="H190" s="219" t="e">
        <f t="shared" si="32"/>
        <v>#REF!</v>
      </c>
      <c r="I190" s="219" t="e">
        <f t="shared" si="33"/>
        <v>#REF!</v>
      </c>
      <c r="J190" s="219" t="e">
        <f>IF(I190="","",VLOOKUP(LEFT(C190,1),dadosexternosBMF_1!$L$2:$M$13,2,FALSE))</f>
        <v>#REF!</v>
      </c>
      <c r="K190" s="219" t="e">
        <f t="shared" si="34"/>
        <v>#REF!</v>
      </c>
      <c r="L190" s="422" t="e">
        <f t="shared" si="35"/>
        <v>#REF!</v>
      </c>
      <c r="M190" s="422" t="e">
        <f>IF(I190="","",WORKDAY(L190-1,1,FERIADOS!$A$2:$A$831))</f>
        <v>#REF!</v>
      </c>
      <c r="N190" s="219" t="e">
        <f>IF(I190="","",NETWORKDAYS(Curva!$M$2,M190,FERIADOS!$A$2:$A$831)-1)</f>
        <v>#REF!</v>
      </c>
      <c r="O190" s="423" t="e">
        <f>IF(C190&lt;&gt;"",IF(ISERROR((100000/E190)^(252/N190)-1),Curva!$B$2,((100000/E190)^(252/N190)-1)),"")</f>
        <v>#REF!</v>
      </c>
      <c r="P190" s="219" t="e">
        <f>IF(OR(G190=1,G190=2),dadosexternosBMF_1!#REF!,"")</f>
        <v>#REF!</v>
      </c>
      <c r="Q190" s="219" t="e">
        <f>IF(OR(G190=1,G190=2),dadosexternosBMF_1!#REF!,"")</f>
        <v>#REF!</v>
      </c>
    </row>
    <row r="191" spans="1:17" x14ac:dyDescent="0.2">
      <c r="A191" s="222" t="e">
        <f t="shared" si="30"/>
        <v>#REF!</v>
      </c>
      <c r="B191" s="222" t="e">
        <f>IF(dadosexternosBMF_1!#REF!="DI1 - DI de 1 dia","DI1 - DI de 1 dia","")</f>
        <v>#REF!</v>
      </c>
      <c r="C191" s="222" t="e">
        <f>IF(dadosexternosBMF_1!#REF!="DOL - Dólar comercial","",IF(C190&lt;&gt;"",dadosexternosBMF_1!#REF!,IF(dadosexternosBMF_1!#REF!="DI1 - DI de 1 dia",dadosexternosBMF_1!#REF!,"")))</f>
        <v>#REF!</v>
      </c>
      <c r="D191" s="222" t="e">
        <f>IF(C191&lt;&gt;"",dadosexternosBMF_1!#REF!,"")</f>
        <v>#REF!</v>
      </c>
      <c r="E191" s="222" t="e">
        <f>IF(C191&lt;&gt;"",dadosexternosBMF_1!#REF!,"")</f>
        <v>#REF!</v>
      </c>
      <c r="G191" s="219" t="e">
        <f t="shared" si="31"/>
        <v>#REF!</v>
      </c>
      <c r="H191" s="219" t="e">
        <f t="shared" si="32"/>
        <v>#REF!</v>
      </c>
      <c r="I191" s="219" t="e">
        <f t="shared" si="33"/>
        <v>#REF!</v>
      </c>
      <c r="J191" s="219" t="e">
        <f>IF(I191="","",VLOOKUP(LEFT(C191,1),dadosexternosBMF_1!$L$2:$M$13,2,FALSE))</f>
        <v>#REF!</v>
      </c>
      <c r="K191" s="219" t="e">
        <f t="shared" si="34"/>
        <v>#REF!</v>
      </c>
      <c r="L191" s="422" t="e">
        <f t="shared" si="35"/>
        <v>#REF!</v>
      </c>
      <c r="M191" s="422" t="e">
        <f>IF(I191="","",WORKDAY(L191-1,1,FERIADOS!$A$2:$A$831))</f>
        <v>#REF!</v>
      </c>
      <c r="N191" s="219" t="e">
        <f>IF(I191="","",NETWORKDAYS(Curva!$M$2,M191,FERIADOS!$A$2:$A$831)-1)</f>
        <v>#REF!</v>
      </c>
      <c r="O191" s="423" t="e">
        <f>IF(C191&lt;&gt;"",IF(ISERROR((100000/E191)^(252/N191)-1),Curva!$B$2,((100000/E191)^(252/N191)-1)),"")</f>
        <v>#REF!</v>
      </c>
      <c r="P191" s="219" t="e">
        <f>IF(OR(G191=1,G191=2),dadosexternosBMF_1!#REF!,"")</f>
        <v>#REF!</v>
      </c>
      <c r="Q191" s="219" t="e">
        <f>IF(OR(G191=1,G191=2),dadosexternosBMF_1!#REF!,"")</f>
        <v>#REF!</v>
      </c>
    </row>
    <row r="192" spans="1:17" x14ac:dyDescent="0.2">
      <c r="A192" s="222" t="e">
        <f t="shared" si="30"/>
        <v>#REF!</v>
      </c>
      <c r="B192" s="222" t="e">
        <f>IF(dadosexternosBMF_1!#REF!="DI1 - DI de 1 dia","DI1 - DI de 1 dia","")</f>
        <v>#REF!</v>
      </c>
      <c r="C192" s="222" t="e">
        <f>IF(dadosexternosBMF_1!#REF!="DOL - Dólar comercial","",IF(C191&lt;&gt;"",dadosexternosBMF_1!#REF!,IF(dadosexternosBMF_1!#REF!="DI1 - DI de 1 dia",dadosexternosBMF_1!#REF!,"")))</f>
        <v>#REF!</v>
      </c>
      <c r="D192" s="222" t="e">
        <f>IF(C192&lt;&gt;"",dadosexternosBMF_1!#REF!,"")</f>
        <v>#REF!</v>
      </c>
      <c r="E192" s="222" t="e">
        <f>IF(C192&lt;&gt;"",dadosexternosBMF_1!#REF!,"")</f>
        <v>#REF!</v>
      </c>
      <c r="G192" s="219" t="e">
        <f t="shared" si="31"/>
        <v>#REF!</v>
      </c>
      <c r="H192" s="219" t="e">
        <f t="shared" si="32"/>
        <v>#REF!</v>
      </c>
      <c r="I192" s="219" t="e">
        <f t="shared" si="33"/>
        <v>#REF!</v>
      </c>
      <c r="J192" s="219" t="e">
        <f>IF(I192="","",VLOOKUP(LEFT(C192,1),dadosexternosBMF_1!$L$2:$M$13,2,FALSE))</f>
        <v>#REF!</v>
      </c>
      <c r="K192" s="219" t="e">
        <f t="shared" si="34"/>
        <v>#REF!</v>
      </c>
      <c r="L192" s="422" t="e">
        <f t="shared" si="35"/>
        <v>#REF!</v>
      </c>
      <c r="M192" s="422" t="e">
        <f>IF(I192="","",WORKDAY(L192-1,1,FERIADOS!$A$2:$A$831))</f>
        <v>#REF!</v>
      </c>
      <c r="N192" s="219" t="e">
        <f>IF(I192="","",NETWORKDAYS(Curva!$M$2,M192,FERIADOS!$A$2:$A$831)-1)</f>
        <v>#REF!</v>
      </c>
      <c r="O192" s="423" t="e">
        <f>IF(C192&lt;&gt;"",IF(ISERROR((100000/E192)^(252/N192)-1),Curva!$B$2,((100000/E192)^(252/N192)-1)),"")</f>
        <v>#REF!</v>
      </c>
      <c r="P192" s="219" t="e">
        <f>IF(OR(G192=1,G192=2),dadosexternosBMF_1!#REF!,"")</f>
        <v>#REF!</v>
      </c>
      <c r="Q192" s="219" t="e">
        <f>IF(OR(G192=1,G192=2),dadosexternosBMF_1!#REF!,"")</f>
        <v>#REF!</v>
      </c>
    </row>
    <row r="193" spans="1:17" x14ac:dyDescent="0.2">
      <c r="A193" s="222" t="e">
        <f t="shared" si="30"/>
        <v>#REF!</v>
      </c>
      <c r="B193" s="222" t="e">
        <f>IF(dadosexternosBMF_1!#REF!="DI1 - DI de 1 dia","DI1 - DI de 1 dia","")</f>
        <v>#REF!</v>
      </c>
      <c r="C193" s="222" t="e">
        <f>IF(dadosexternosBMF_1!#REF!="DOL - Dólar comercial","",IF(C192&lt;&gt;"",dadosexternosBMF_1!#REF!,IF(dadosexternosBMF_1!#REF!="DI1 - DI de 1 dia",dadosexternosBMF_1!#REF!,"")))</f>
        <v>#REF!</v>
      </c>
      <c r="D193" s="222" t="e">
        <f>IF(C193&lt;&gt;"",dadosexternosBMF_1!#REF!,"")</f>
        <v>#REF!</v>
      </c>
      <c r="E193" s="222" t="e">
        <f>IF(C193&lt;&gt;"",dadosexternosBMF_1!#REF!,"")</f>
        <v>#REF!</v>
      </c>
      <c r="G193" s="219" t="e">
        <f t="shared" si="31"/>
        <v>#REF!</v>
      </c>
      <c r="H193" s="219" t="e">
        <f t="shared" si="32"/>
        <v>#REF!</v>
      </c>
      <c r="I193" s="219" t="e">
        <f t="shared" si="33"/>
        <v>#REF!</v>
      </c>
      <c r="J193" s="219" t="e">
        <f>IF(I193="","",VLOOKUP(LEFT(C193,1),dadosexternosBMF_1!$L$2:$M$13,2,FALSE))</f>
        <v>#REF!</v>
      </c>
      <c r="K193" s="219" t="e">
        <f t="shared" si="34"/>
        <v>#REF!</v>
      </c>
      <c r="L193" s="422" t="e">
        <f t="shared" si="35"/>
        <v>#REF!</v>
      </c>
      <c r="M193" s="422" t="e">
        <f>IF(I193="","",WORKDAY(L193-1,1,FERIADOS!$A$2:$A$831))</f>
        <v>#REF!</v>
      </c>
      <c r="N193" s="219" t="e">
        <f>IF(I193="","",NETWORKDAYS(Curva!$M$2,M193,FERIADOS!$A$2:$A$831)-1)</f>
        <v>#REF!</v>
      </c>
      <c r="O193" s="423" t="e">
        <f>IF(C193&lt;&gt;"",IF(ISERROR((100000/E193)^(252/N193)-1),Curva!$B$2,((100000/E193)^(252/N193)-1)),"")</f>
        <v>#REF!</v>
      </c>
      <c r="P193" s="219" t="e">
        <f>IF(OR(G193=1,G193=2),dadosexternosBMF_1!#REF!,"")</f>
        <v>#REF!</v>
      </c>
      <c r="Q193" s="219" t="e">
        <f>IF(OR(G193=1,G193=2),dadosexternosBMF_1!#REF!,"")</f>
        <v>#REF!</v>
      </c>
    </row>
    <row r="194" spans="1:17" x14ac:dyDescent="0.2">
      <c r="A194" s="222" t="e">
        <f t="shared" si="30"/>
        <v>#REF!</v>
      </c>
      <c r="B194" s="222" t="e">
        <f>IF(dadosexternosBMF_1!#REF!="DI1 - DI de 1 dia","DI1 - DI de 1 dia","")</f>
        <v>#REF!</v>
      </c>
      <c r="C194" s="222" t="e">
        <f>IF(dadosexternosBMF_1!#REF!="DOL - Dólar comercial","",IF(C193&lt;&gt;"",dadosexternosBMF_1!#REF!,IF(dadosexternosBMF_1!#REF!="DI1 - DI de 1 dia",dadosexternosBMF_1!#REF!,"")))</f>
        <v>#REF!</v>
      </c>
      <c r="D194" s="222" t="e">
        <f>IF(C194&lt;&gt;"",dadosexternosBMF_1!#REF!,"")</f>
        <v>#REF!</v>
      </c>
      <c r="E194" s="222" t="e">
        <f>IF(C194&lt;&gt;"",dadosexternosBMF_1!#REF!,"")</f>
        <v>#REF!</v>
      </c>
      <c r="G194" s="219" t="e">
        <f t="shared" si="31"/>
        <v>#REF!</v>
      </c>
      <c r="H194" s="219" t="e">
        <f t="shared" si="32"/>
        <v>#REF!</v>
      </c>
      <c r="I194" s="219" t="e">
        <f t="shared" si="33"/>
        <v>#REF!</v>
      </c>
      <c r="J194" s="219" t="e">
        <f>IF(I194="","",VLOOKUP(LEFT(C194,1),dadosexternosBMF_1!$L$2:$M$13,2,FALSE))</f>
        <v>#REF!</v>
      </c>
      <c r="K194" s="219" t="e">
        <f t="shared" si="34"/>
        <v>#REF!</v>
      </c>
      <c r="L194" s="422" t="e">
        <f t="shared" si="35"/>
        <v>#REF!</v>
      </c>
      <c r="M194" s="422" t="e">
        <f>IF(I194="","",WORKDAY(L194-1,1,FERIADOS!$A$2:$A$831))</f>
        <v>#REF!</v>
      </c>
      <c r="N194" s="219" t="e">
        <f>IF(I194="","",NETWORKDAYS(Curva!$M$2,M194,FERIADOS!$A$2:$A$831)-1)</f>
        <v>#REF!</v>
      </c>
      <c r="O194" s="423" t="e">
        <f>IF(C194&lt;&gt;"",IF(ISERROR((100000/E194)^(252/N194)-1),Curva!$B$2,((100000/E194)^(252/N194)-1)),"")</f>
        <v>#REF!</v>
      </c>
      <c r="P194" s="219" t="e">
        <f>IF(OR(G194=1,G194=2),dadosexternosBMF_1!#REF!,"")</f>
        <v>#REF!</v>
      </c>
      <c r="Q194" s="219" t="e">
        <f>IF(OR(G194=1,G194=2),dadosexternosBMF_1!#REF!,"")</f>
        <v>#REF!</v>
      </c>
    </row>
    <row r="195" spans="1:17" x14ac:dyDescent="0.2">
      <c r="A195" s="222" t="e">
        <f t="shared" si="30"/>
        <v>#REF!</v>
      </c>
      <c r="B195" s="222" t="str">
        <f>IF(dadosexternosBMF_1!A198="DI1 - DI de 1 dia","DI1 - DI de 1 dia","")</f>
        <v/>
      </c>
      <c r="C195" s="222" t="e">
        <f>IF(dadosexternosBMF_1!A198="DOL - Dólar comercial","",IF(C194&lt;&gt;"",dadosexternosBMF_1!B198,IF(dadosexternosBMF_1!A198="DI1 - DI de 1 dia",dadosexternosBMF_1!B198,"")))</f>
        <v>#REF!</v>
      </c>
      <c r="D195" s="222" t="e">
        <f>IF(C195&lt;&gt;"",dadosexternosBMF_1!C198,"")</f>
        <v>#REF!</v>
      </c>
      <c r="E195" s="222" t="e">
        <f>IF(C195&lt;&gt;"",dadosexternosBMF_1!D198,"")</f>
        <v>#REF!</v>
      </c>
      <c r="G195" s="219" t="e">
        <f t="shared" si="31"/>
        <v>#REF!</v>
      </c>
      <c r="H195" s="219" t="e">
        <f t="shared" si="32"/>
        <v>#REF!</v>
      </c>
      <c r="I195" s="219" t="e">
        <f t="shared" si="33"/>
        <v>#REF!</v>
      </c>
      <c r="J195" s="219" t="e">
        <f>IF(I195="","",VLOOKUP(LEFT(C195,1),dadosexternosBMF_1!$L$2:$M$13,2,FALSE))</f>
        <v>#REF!</v>
      </c>
      <c r="K195" s="219" t="e">
        <f t="shared" si="34"/>
        <v>#REF!</v>
      </c>
      <c r="L195" s="422" t="e">
        <f t="shared" si="35"/>
        <v>#REF!</v>
      </c>
      <c r="M195" s="422" t="e">
        <f>IF(I195="","",WORKDAY(L195-1,1,FERIADOS!$A$2:$A$831))</f>
        <v>#REF!</v>
      </c>
      <c r="N195" s="219" t="e">
        <f>IF(I195="","",NETWORKDAYS(Curva!$M$2,M195,FERIADOS!$A$2:$A$831)-1)</f>
        <v>#REF!</v>
      </c>
      <c r="O195" s="423" t="e">
        <f>IF(C195&lt;&gt;"",IF(ISERROR((100000/E195)^(252/N195)-1),Curva!$B$2,((100000/E195)^(252/N195)-1)),"")</f>
        <v>#REF!</v>
      </c>
      <c r="P195" s="219" t="e">
        <f>IF(OR(G195=1,G195=2),dadosexternosBMF_1!B198,"")</f>
        <v>#REF!</v>
      </c>
      <c r="Q195" s="219" t="e">
        <f>IF(OR(G195=1,G195=2),dadosexternosBMF_1!D198,"")</f>
        <v>#REF!</v>
      </c>
    </row>
    <row r="196" spans="1:17" x14ac:dyDescent="0.2">
      <c r="A196" s="222" t="e">
        <f t="shared" si="30"/>
        <v>#REF!</v>
      </c>
      <c r="B196" s="222" t="str">
        <f>IF(dadosexternosBMF_1!A199="DI1 - DI de 1 dia","DI1 - DI de 1 dia","")</f>
        <v/>
      </c>
      <c r="C196" s="222" t="e">
        <f>IF(dadosexternosBMF_1!A199="DOL - Dólar comercial","",IF(C195&lt;&gt;"",dadosexternosBMF_1!B199,IF(dadosexternosBMF_1!A199="DI1 - DI de 1 dia",dadosexternosBMF_1!B199,"")))</f>
        <v>#REF!</v>
      </c>
      <c r="D196" s="222" t="e">
        <f>IF(C196&lt;&gt;"",dadosexternosBMF_1!C199,"")</f>
        <v>#REF!</v>
      </c>
      <c r="E196" s="222" t="e">
        <f>IF(C196&lt;&gt;"",dadosexternosBMF_1!D199,"")</f>
        <v>#REF!</v>
      </c>
      <c r="G196" s="219" t="e">
        <f t="shared" si="31"/>
        <v>#REF!</v>
      </c>
      <c r="H196" s="219" t="e">
        <f t="shared" si="32"/>
        <v>#REF!</v>
      </c>
      <c r="I196" s="219" t="e">
        <f t="shared" si="33"/>
        <v>#REF!</v>
      </c>
      <c r="J196" s="219" t="e">
        <f>IF(I196="","",VLOOKUP(LEFT(C196,1),dadosexternosBMF_1!$L$2:$M$13,2,FALSE))</f>
        <v>#REF!</v>
      </c>
      <c r="K196" s="219" t="e">
        <f t="shared" si="34"/>
        <v>#REF!</v>
      </c>
      <c r="L196" s="422" t="e">
        <f t="shared" si="35"/>
        <v>#REF!</v>
      </c>
      <c r="M196" s="422" t="e">
        <f>IF(I196="","",WORKDAY(L196-1,1,FERIADOS!$A$2:$A$831))</f>
        <v>#REF!</v>
      </c>
      <c r="N196" s="219" t="e">
        <f>IF(I196="","",NETWORKDAYS(Curva!$M$2,M196,FERIADOS!$A$2:$A$831)-1)</f>
        <v>#REF!</v>
      </c>
      <c r="O196" s="423" t="e">
        <f>IF(C196&lt;&gt;"",IF(ISERROR((100000/E196)^(252/N196)-1),Curva!$B$2,((100000/E196)^(252/N196)-1)),"")</f>
        <v>#REF!</v>
      </c>
      <c r="P196" s="219" t="e">
        <f>IF(OR(G196=1,G196=2),dadosexternosBMF_1!B199,"")</f>
        <v>#REF!</v>
      </c>
      <c r="Q196" s="219" t="e">
        <f>IF(OR(G196=1,G196=2),dadosexternosBMF_1!D199,"")</f>
        <v>#REF!</v>
      </c>
    </row>
    <row r="197" spans="1:17" x14ac:dyDescent="0.2">
      <c r="A197" s="222" t="e">
        <f t="shared" si="30"/>
        <v>#REF!</v>
      </c>
      <c r="B197" s="222" t="str">
        <f>IF(dadosexternosBMF_1!A200="DI1 - DI de 1 dia","DI1 - DI de 1 dia","")</f>
        <v/>
      </c>
      <c r="C197" s="222" t="e">
        <f>IF(dadosexternosBMF_1!A200="DOL - Dólar comercial","",IF(C196&lt;&gt;"",dadosexternosBMF_1!B200,IF(dadosexternosBMF_1!A200="DI1 - DI de 1 dia",dadosexternosBMF_1!B200,"")))</f>
        <v>#REF!</v>
      </c>
      <c r="D197" s="222" t="e">
        <f>IF(C197&lt;&gt;"",dadosexternosBMF_1!C200,"")</f>
        <v>#REF!</v>
      </c>
      <c r="E197" s="222" t="e">
        <f>IF(C197&lt;&gt;"",dadosexternosBMF_1!D200,"")</f>
        <v>#REF!</v>
      </c>
      <c r="G197" s="219" t="e">
        <f t="shared" si="31"/>
        <v>#REF!</v>
      </c>
      <c r="H197" s="219" t="e">
        <f t="shared" si="32"/>
        <v>#REF!</v>
      </c>
      <c r="I197" s="219" t="e">
        <f t="shared" si="33"/>
        <v>#REF!</v>
      </c>
      <c r="J197" s="219" t="e">
        <f>IF(I197="","",VLOOKUP(LEFT(C197,1),dadosexternosBMF_1!$L$2:$M$13,2,FALSE))</f>
        <v>#REF!</v>
      </c>
      <c r="K197" s="219" t="e">
        <f t="shared" si="34"/>
        <v>#REF!</v>
      </c>
      <c r="L197" s="422" t="e">
        <f t="shared" si="35"/>
        <v>#REF!</v>
      </c>
      <c r="M197" s="422" t="e">
        <f>IF(I197="","",WORKDAY(L197-1,1,FERIADOS!$A$2:$A$831))</f>
        <v>#REF!</v>
      </c>
      <c r="N197" s="219" t="e">
        <f>IF(I197="","",NETWORKDAYS(Curva!$M$2,M197,FERIADOS!$A$2:$A$831)-1)</f>
        <v>#REF!</v>
      </c>
      <c r="O197" s="423" t="e">
        <f>IF(C197&lt;&gt;"",IF(ISERROR((100000/E197)^(252/N197)-1),Curva!$B$2,((100000/E197)^(252/N197)-1)),"")</f>
        <v>#REF!</v>
      </c>
      <c r="P197" s="219" t="e">
        <f>IF(OR(G197=1,G197=2),dadosexternosBMF_1!B200,"")</f>
        <v>#REF!</v>
      </c>
      <c r="Q197" s="219" t="e">
        <f>IF(OR(G197=1,G197=2),dadosexternosBMF_1!D200,"")</f>
        <v>#REF!</v>
      </c>
    </row>
    <row r="198" spans="1:17" x14ac:dyDescent="0.2">
      <c r="A198" s="222" t="e">
        <f t="shared" si="30"/>
        <v>#REF!</v>
      </c>
      <c r="B198" s="222" t="str">
        <f>IF(dadosexternosBMF_1!A201="DI1 - DI de 1 dia","DI1 - DI de 1 dia","")</f>
        <v/>
      </c>
      <c r="C198" s="222" t="e">
        <f>IF(dadosexternosBMF_1!A201="DOL - Dólar comercial","",IF(C197&lt;&gt;"",dadosexternosBMF_1!B201,IF(dadosexternosBMF_1!A201="DI1 - DI de 1 dia",dadosexternosBMF_1!B201,"")))</f>
        <v>#REF!</v>
      </c>
      <c r="D198" s="222" t="e">
        <f>IF(C198&lt;&gt;"",dadosexternosBMF_1!C201,"")</f>
        <v>#REF!</v>
      </c>
      <c r="E198" s="222" t="e">
        <f>IF(C198&lt;&gt;"",dadosexternosBMF_1!D201,"")</f>
        <v>#REF!</v>
      </c>
      <c r="G198" s="219" t="e">
        <f t="shared" si="31"/>
        <v>#REF!</v>
      </c>
      <c r="H198" s="219" t="e">
        <f t="shared" si="32"/>
        <v>#REF!</v>
      </c>
      <c r="I198" s="219" t="e">
        <f t="shared" si="33"/>
        <v>#REF!</v>
      </c>
      <c r="J198" s="219" t="e">
        <f>IF(I198="","",VLOOKUP(LEFT(C198,1),dadosexternosBMF_1!$L$2:$M$13,2,FALSE))</f>
        <v>#REF!</v>
      </c>
      <c r="K198" s="219" t="e">
        <f t="shared" si="34"/>
        <v>#REF!</v>
      </c>
      <c r="L198" s="422" t="e">
        <f t="shared" si="35"/>
        <v>#REF!</v>
      </c>
      <c r="M198" s="422" t="e">
        <f>IF(I198="","",WORKDAY(L198-1,1,FERIADOS!$A$2:$A$831))</f>
        <v>#REF!</v>
      </c>
      <c r="N198" s="219" t="e">
        <f>IF(I198="","",NETWORKDAYS(Curva!$M$2,M198,FERIADOS!$A$2:$A$831)-1)</f>
        <v>#REF!</v>
      </c>
      <c r="O198" s="423" t="e">
        <f>IF(C198&lt;&gt;"",IF(ISERROR((100000/E198)^(252/N198)-1),Curva!$B$2,((100000/E198)^(252/N198)-1)),"")</f>
        <v>#REF!</v>
      </c>
      <c r="P198" s="219" t="e">
        <f>IF(OR(G198=1,G198=2),dadosexternosBMF_1!B201,"")</f>
        <v>#REF!</v>
      </c>
      <c r="Q198" s="219" t="e">
        <f>IF(OR(G198=1,G198=2),dadosexternosBMF_1!D201,"")</f>
        <v>#REF!</v>
      </c>
    </row>
    <row r="199" spans="1:17" x14ac:dyDescent="0.2">
      <c r="A199" s="222" t="e">
        <f t="shared" si="30"/>
        <v>#REF!</v>
      </c>
      <c r="B199" s="222" t="str">
        <f>IF(dadosexternosBMF_1!A202="DI1 - DI de 1 dia","DI1 - DI de 1 dia","")</f>
        <v/>
      </c>
      <c r="C199" s="222" t="e">
        <f>IF(dadosexternosBMF_1!A202="DOL - Dólar comercial","",IF(C198&lt;&gt;"",dadosexternosBMF_1!B202,IF(dadosexternosBMF_1!A202="DI1 - DI de 1 dia",dadosexternosBMF_1!B202,"")))</f>
        <v>#REF!</v>
      </c>
      <c r="D199" s="222" t="e">
        <f>IF(C199&lt;&gt;"",dadosexternosBMF_1!C202,"")</f>
        <v>#REF!</v>
      </c>
      <c r="E199" s="222" t="e">
        <f>IF(C199&lt;&gt;"",dadosexternosBMF_1!D202,"")</f>
        <v>#REF!</v>
      </c>
      <c r="G199" s="219" t="e">
        <f t="shared" si="31"/>
        <v>#REF!</v>
      </c>
      <c r="H199" s="219" t="e">
        <f t="shared" si="32"/>
        <v>#REF!</v>
      </c>
      <c r="I199" s="219" t="e">
        <f t="shared" si="33"/>
        <v>#REF!</v>
      </c>
      <c r="J199" s="219" t="e">
        <f>IF(I199="","",VLOOKUP(LEFT(C199,1),dadosexternosBMF_1!$L$2:$M$13,2,FALSE))</f>
        <v>#REF!</v>
      </c>
      <c r="K199" s="219" t="e">
        <f t="shared" si="34"/>
        <v>#REF!</v>
      </c>
      <c r="L199" s="422" t="e">
        <f t="shared" si="35"/>
        <v>#REF!</v>
      </c>
      <c r="M199" s="422" t="e">
        <f>IF(I199="","",WORKDAY(L199-1,1,FERIADOS!$A$2:$A$831))</f>
        <v>#REF!</v>
      </c>
      <c r="N199" s="219" t="e">
        <f>IF(I199="","",NETWORKDAYS(Curva!$M$2,M199,FERIADOS!$A$2:$A$831)-1)</f>
        <v>#REF!</v>
      </c>
      <c r="O199" s="423" t="e">
        <f>IF(C199&lt;&gt;"",IF(ISERROR((100000/E199)^(252/N199)-1),Curva!$B$2,((100000/E199)^(252/N199)-1)),"")</f>
        <v>#REF!</v>
      </c>
      <c r="P199" s="219" t="e">
        <f>IF(OR(G199=1,G199=2),dadosexternosBMF_1!B202,"")</f>
        <v>#REF!</v>
      </c>
      <c r="Q199" s="219" t="e">
        <f>IF(OR(G199=1,G199=2),dadosexternosBMF_1!D202,"")</f>
        <v>#REF!</v>
      </c>
    </row>
    <row r="200" spans="1:17" x14ac:dyDescent="0.2">
      <c r="A200" s="222" t="e">
        <f t="shared" si="30"/>
        <v>#REF!</v>
      </c>
      <c r="B200" s="222" t="str">
        <f>IF(dadosexternosBMF_1!A203="DI1 - DI de 1 dia","DI1 - DI de 1 dia","")</f>
        <v/>
      </c>
      <c r="C200" s="222" t="e">
        <f>IF(dadosexternosBMF_1!A203="DOL - Dólar comercial","",IF(C199&lt;&gt;"",dadosexternosBMF_1!B203,IF(dadosexternosBMF_1!A203="DI1 - DI de 1 dia",dadosexternosBMF_1!B203,"")))</f>
        <v>#REF!</v>
      </c>
      <c r="D200" s="222" t="e">
        <f>IF(C200&lt;&gt;"",dadosexternosBMF_1!C203,"")</f>
        <v>#REF!</v>
      </c>
      <c r="E200" s="222" t="e">
        <f>IF(C200&lt;&gt;"",dadosexternosBMF_1!D203,"")</f>
        <v>#REF!</v>
      </c>
      <c r="G200" s="219" t="e">
        <f t="shared" si="31"/>
        <v>#REF!</v>
      </c>
      <c r="H200" s="219" t="e">
        <f t="shared" si="32"/>
        <v>#REF!</v>
      </c>
      <c r="I200" s="219" t="e">
        <f t="shared" si="33"/>
        <v>#REF!</v>
      </c>
      <c r="J200" s="219" t="e">
        <f>IF(I200="","",VLOOKUP(LEFT(C200,1),dadosexternosBMF_1!$L$2:$M$13,2,FALSE))</f>
        <v>#REF!</v>
      </c>
      <c r="K200" s="219" t="e">
        <f t="shared" si="34"/>
        <v>#REF!</v>
      </c>
      <c r="L200" s="422" t="e">
        <f t="shared" si="35"/>
        <v>#REF!</v>
      </c>
      <c r="M200" s="422" t="e">
        <f>IF(I200="","",WORKDAY(L200-1,1,FERIADOS!$A$2:$A$831))</f>
        <v>#REF!</v>
      </c>
      <c r="N200" s="219" t="e">
        <f>IF(I200="","",NETWORKDAYS(Curva!$M$2,M200,FERIADOS!$A$2:$A$831)-1)</f>
        <v>#REF!</v>
      </c>
      <c r="O200" s="423" t="e">
        <f>IF(C200&lt;&gt;"",IF(ISERROR((100000/E200)^(252/N200)-1),Curva!$B$2,((100000/E200)^(252/N200)-1)),"")</f>
        <v>#REF!</v>
      </c>
      <c r="P200" s="219" t="e">
        <f>IF(OR(G200=1,G200=2),dadosexternosBMF_1!B203,"")</f>
        <v>#REF!</v>
      </c>
      <c r="Q200" s="219" t="e">
        <f>IF(OR(G200=1,G200=2),dadosexternosBMF_1!D203,"")</f>
        <v>#REF!</v>
      </c>
    </row>
    <row r="201" spans="1:17" x14ac:dyDescent="0.2">
      <c r="A201" s="222" t="e">
        <f t="shared" si="30"/>
        <v>#REF!</v>
      </c>
      <c r="B201" s="222" t="str">
        <f>IF(dadosexternosBMF_1!A204="DI1 - DI de 1 dia","DI1 - DI de 1 dia","")</f>
        <v/>
      </c>
      <c r="C201" s="222" t="e">
        <f>IF(dadosexternosBMF_1!A204="DOL - Dólar comercial","",IF(C200&lt;&gt;"",dadosexternosBMF_1!B204,IF(dadosexternosBMF_1!A204="DI1 - DI de 1 dia",dadosexternosBMF_1!B204,"")))</f>
        <v>#REF!</v>
      </c>
      <c r="D201" s="222" t="e">
        <f>IF(C201&lt;&gt;"",dadosexternosBMF_1!C204,"")</f>
        <v>#REF!</v>
      </c>
      <c r="E201" s="222" t="e">
        <f>IF(C201&lt;&gt;"",dadosexternosBMF_1!D204,"")</f>
        <v>#REF!</v>
      </c>
      <c r="G201" s="219" t="e">
        <f t="shared" si="31"/>
        <v>#REF!</v>
      </c>
      <c r="H201" s="219" t="e">
        <f t="shared" si="32"/>
        <v>#REF!</v>
      </c>
      <c r="I201" s="219" t="e">
        <f t="shared" si="33"/>
        <v>#REF!</v>
      </c>
      <c r="J201" s="219" t="e">
        <f>IF(I201="","",VLOOKUP(LEFT(C201,1),dadosexternosBMF_1!$L$2:$M$13,2,FALSE))</f>
        <v>#REF!</v>
      </c>
      <c r="K201" s="219" t="e">
        <f t="shared" si="34"/>
        <v>#REF!</v>
      </c>
      <c r="L201" s="422" t="e">
        <f t="shared" si="35"/>
        <v>#REF!</v>
      </c>
      <c r="M201" s="422" t="e">
        <f>IF(I201="","",WORKDAY(L201-1,1,FERIADOS!$A$2:$A$831))</f>
        <v>#REF!</v>
      </c>
      <c r="N201" s="219" t="e">
        <f>IF(I201="","",NETWORKDAYS(Curva!$M$2,M201,FERIADOS!$A$2:$A$831)-1)</f>
        <v>#REF!</v>
      </c>
      <c r="O201" s="423" t="e">
        <f>IF(C201&lt;&gt;"",IF(ISERROR((100000/E201)^(252/N201)-1),Curva!$B$2,((100000/E201)^(252/N201)-1)),"")</f>
        <v>#REF!</v>
      </c>
      <c r="P201" s="219" t="e">
        <f>IF(OR(G201=1,G201=2),dadosexternosBMF_1!B204,"")</f>
        <v>#REF!</v>
      </c>
      <c r="Q201" s="219" t="e">
        <f>IF(OR(G201=1,G201=2),dadosexternosBMF_1!D204,"")</f>
        <v>#REF!</v>
      </c>
    </row>
    <row r="202" spans="1:17" x14ac:dyDescent="0.2">
      <c r="A202" s="222" t="e">
        <f t="shared" si="30"/>
        <v>#REF!</v>
      </c>
      <c r="B202" s="222" t="e">
        <f>IF(dadosexternosBMF_1!#REF!="DI1 - DI de 1 dia","DI1 - DI de 1 dia","")</f>
        <v>#REF!</v>
      </c>
      <c r="C202" s="222" t="e">
        <f>IF(dadosexternosBMF_1!#REF!="DOL - Dólar comercial","",IF(C201&lt;&gt;"",dadosexternosBMF_1!#REF!,IF(dadosexternosBMF_1!#REF!="DI1 - DI de 1 dia",dadosexternosBMF_1!#REF!,"")))</f>
        <v>#REF!</v>
      </c>
      <c r="D202" s="222" t="e">
        <f>IF(C202&lt;&gt;"",dadosexternosBMF_1!#REF!,"")</f>
        <v>#REF!</v>
      </c>
      <c r="E202" s="222" t="e">
        <f>IF(C202&lt;&gt;"",dadosexternosBMF_1!#REF!,"")</f>
        <v>#REF!</v>
      </c>
      <c r="G202" s="219" t="e">
        <f t="shared" si="31"/>
        <v>#REF!</v>
      </c>
      <c r="H202" s="219" t="e">
        <f t="shared" si="32"/>
        <v>#REF!</v>
      </c>
      <c r="I202" s="219" t="e">
        <f t="shared" si="33"/>
        <v>#REF!</v>
      </c>
      <c r="J202" s="219" t="e">
        <f>IF(I202="","",VLOOKUP(LEFT(C202,1),dadosexternosBMF_1!$L$2:$M$13,2,FALSE))</f>
        <v>#REF!</v>
      </c>
      <c r="K202" s="219" t="e">
        <f t="shared" si="34"/>
        <v>#REF!</v>
      </c>
      <c r="L202" s="422" t="e">
        <f t="shared" si="35"/>
        <v>#REF!</v>
      </c>
      <c r="M202" s="422" t="e">
        <f>IF(I202="","",WORKDAY(L202-1,1,FERIADOS!$A$2:$A$831))</f>
        <v>#REF!</v>
      </c>
      <c r="N202" s="219" t="e">
        <f>IF(I202="","",NETWORKDAYS(Curva!$M$2,M202,FERIADOS!$A$2:$A$831)-1)</f>
        <v>#REF!</v>
      </c>
      <c r="O202" s="423" t="e">
        <f>IF(C202&lt;&gt;"",IF(ISERROR((100000/E202)^(252/N202)-1),Curva!$B$2,((100000/E202)^(252/N202)-1)),"")</f>
        <v>#REF!</v>
      </c>
      <c r="P202" s="219" t="e">
        <f>IF(OR(G202=1,G202=2),dadosexternosBMF_1!#REF!,"")</f>
        <v>#REF!</v>
      </c>
      <c r="Q202" s="219" t="e">
        <f>IF(OR(G202=1,G202=2),dadosexternosBMF_1!#REF!,"")</f>
        <v>#REF!</v>
      </c>
    </row>
    <row r="203" spans="1:17" x14ac:dyDescent="0.2">
      <c r="A203" s="222" t="e">
        <f t="shared" si="30"/>
        <v>#REF!</v>
      </c>
      <c r="B203" s="222" t="e">
        <f>IF(dadosexternosBMF_1!#REF!="DI1 - DI de 1 dia","DI1 - DI de 1 dia","")</f>
        <v>#REF!</v>
      </c>
      <c r="C203" s="222" t="e">
        <f>IF(dadosexternosBMF_1!#REF!="DOL - Dólar comercial","",IF(C202&lt;&gt;"",dadosexternosBMF_1!#REF!,IF(dadosexternosBMF_1!#REF!="DI1 - DI de 1 dia",dadosexternosBMF_1!#REF!,"")))</f>
        <v>#REF!</v>
      </c>
      <c r="D203" s="222" t="e">
        <f>IF(C203&lt;&gt;"",dadosexternosBMF_1!#REF!,"")</f>
        <v>#REF!</v>
      </c>
      <c r="E203" s="222" t="e">
        <f>IF(C203&lt;&gt;"",dadosexternosBMF_1!#REF!,"")</f>
        <v>#REF!</v>
      </c>
      <c r="G203" s="219" t="e">
        <f t="shared" si="31"/>
        <v>#REF!</v>
      </c>
      <c r="H203" s="219" t="e">
        <f t="shared" si="32"/>
        <v>#REF!</v>
      </c>
      <c r="I203" s="219" t="e">
        <f t="shared" si="33"/>
        <v>#REF!</v>
      </c>
      <c r="J203" s="219" t="e">
        <f>IF(I203="","",VLOOKUP(LEFT(C203,1),dadosexternosBMF_1!$L$2:$M$13,2,FALSE))</f>
        <v>#REF!</v>
      </c>
      <c r="K203" s="219" t="e">
        <f t="shared" si="34"/>
        <v>#REF!</v>
      </c>
      <c r="L203" s="422" t="e">
        <f t="shared" si="35"/>
        <v>#REF!</v>
      </c>
      <c r="M203" s="422" t="e">
        <f>IF(I203="","",WORKDAY(L203-1,1,FERIADOS!$A$2:$A$831))</f>
        <v>#REF!</v>
      </c>
      <c r="N203" s="219" t="e">
        <f>IF(I203="","",NETWORKDAYS(Curva!$M$2,M203,FERIADOS!$A$2:$A$831)-1)</f>
        <v>#REF!</v>
      </c>
      <c r="O203" s="423" t="e">
        <f>IF(C203&lt;&gt;"",IF(ISERROR((100000/E203)^(252/N203)-1),Curva!$B$2,((100000/E203)^(252/N203)-1)),"")</f>
        <v>#REF!</v>
      </c>
      <c r="P203" s="219" t="e">
        <f>IF(OR(G203=1,G203=2),dadosexternosBMF_1!#REF!,"")</f>
        <v>#REF!</v>
      </c>
      <c r="Q203" s="219" t="e">
        <f>IF(OR(G203=1,G203=2),dadosexternosBMF_1!#REF!,"")</f>
        <v>#REF!</v>
      </c>
    </row>
    <row r="204" spans="1:17" x14ac:dyDescent="0.2">
      <c r="A204" s="222" t="e">
        <f t="shared" si="30"/>
        <v>#REF!</v>
      </c>
      <c r="B204" s="222" t="e">
        <f>IF(dadosexternosBMF_1!#REF!="DI1 - DI de 1 dia","DI1 - DI de 1 dia","")</f>
        <v>#REF!</v>
      </c>
      <c r="C204" s="222" t="e">
        <f>IF(dadosexternosBMF_1!#REF!="DOL - Dólar comercial","",IF(C203&lt;&gt;"",dadosexternosBMF_1!#REF!,IF(dadosexternosBMF_1!#REF!="DI1 - DI de 1 dia",dadosexternosBMF_1!#REF!,"")))</f>
        <v>#REF!</v>
      </c>
      <c r="D204" s="222" t="e">
        <f>IF(C204&lt;&gt;"",dadosexternosBMF_1!#REF!,"")</f>
        <v>#REF!</v>
      </c>
      <c r="E204" s="222" t="e">
        <f>IF(C204&lt;&gt;"",dadosexternosBMF_1!#REF!,"")</f>
        <v>#REF!</v>
      </c>
      <c r="G204" s="219" t="e">
        <f t="shared" si="31"/>
        <v>#REF!</v>
      </c>
      <c r="H204" s="219" t="e">
        <f t="shared" si="32"/>
        <v>#REF!</v>
      </c>
      <c r="I204" s="219" t="e">
        <f t="shared" si="33"/>
        <v>#REF!</v>
      </c>
      <c r="J204" s="219" t="e">
        <f>IF(I204="","",VLOOKUP(LEFT(C204,1),dadosexternosBMF_1!$L$2:$M$13,2,FALSE))</f>
        <v>#REF!</v>
      </c>
      <c r="K204" s="219" t="e">
        <f t="shared" si="34"/>
        <v>#REF!</v>
      </c>
      <c r="L204" s="422" t="e">
        <f t="shared" si="35"/>
        <v>#REF!</v>
      </c>
      <c r="M204" s="422" t="e">
        <f>IF(I204="","",WORKDAY(L204-1,1,FERIADOS!$A$2:$A$831))</f>
        <v>#REF!</v>
      </c>
      <c r="N204" s="219" t="e">
        <f>IF(I204="","",NETWORKDAYS(Curva!$M$2,M204,FERIADOS!$A$2:$A$831)-1)</f>
        <v>#REF!</v>
      </c>
      <c r="O204" s="423" t="e">
        <f>IF(C204&lt;&gt;"",IF(ISERROR((100000/E204)^(252/N204)-1),Curva!$B$2,((100000/E204)^(252/N204)-1)),"")</f>
        <v>#REF!</v>
      </c>
      <c r="P204" s="219" t="e">
        <f>IF(OR(G204=1,G204=2),dadosexternosBMF_1!#REF!,"")</f>
        <v>#REF!</v>
      </c>
      <c r="Q204" s="219" t="e">
        <f>IF(OR(G204=1,G204=2),dadosexternosBMF_1!#REF!,"")</f>
        <v>#REF!</v>
      </c>
    </row>
    <row r="205" spans="1:17" x14ac:dyDescent="0.2">
      <c r="A205" s="222" t="e">
        <f t="shared" si="30"/>
        <v>#REF!</v>
      </c>
      <c r="B205" s="222" t="e">
        <f>IF(dadosexternosBMF_1!#REF!="DI1 - DI de 1 dia","DI1 - DI de 1 dia","")</f>
        <v>#REF!</v>
      </c>
      <c r="C205" s="222" t="e">
        <f>IF(dadosexternosBMF_1!#REF!="DOL - Dólar comercial","",IF(C204&lt;&gt;"",dadosexternosBMF_1!#REF!,IF(dadosexternosBMF_1!#REF!="DI1 - DI de 1 dia",dadosexternosBMF_1!#REF!,"")))</f>
        <v>#REF!</v>
      </c>
      <c r="D205" s="222" t="e">
        <f>IF(C205&lt;&gt;"",dadosexternosBMF_1!#REF!,"")</f>
        <v>#REF!</v>
      </c>
      <c r="E205" s="222" t="e">
        <f>IF(C205&lt;&gt;"",dadosexternosBMF_1!#REF!,"")</f>
        <v>#REF!</v>
      </c>
      <c r="G205" s="219" t="e">
        <f t="shared" si="31"/>
        <v>#REF!</v>
      </c>
      <c r="H205" s="219" t="e">
        <f t="shared" si="32"/>
        <v>#REF!</v>
      </c>
      <c r="I205" s="219" t="e">
        <f t="shared" si="33"/>
        <v>#REF!</v>
      </c>
      <c r="J205" s="219" t="e">
        <f>IF(I205="","",VLOOKUP(LEFT(C205,1),dadosexternosBMF_1!$L$2:$M$13,2,FALSE))</f>
        <v>#REF!</v>
      </c>
      <c r="K205" s="219" t="e">
        <f t="shared" si="34"/>
        <v>#REF!</v>
      </c>
      <c r="L205" s="422" t="e">
        <f t="shared" si="35"/>
        <v>#REF!</v>
      </c>
      <c r="M205" s="422" t="e">
        <f>IF(I205="","",WORKDAY(L205-1,1,FERIADOS!$A$2:$A$831))</f>
        <v>#REF!</v>
      </c>
      <c r="N205" s="219" t="e">
        <f>IF(I205="","",NETWORKDAYS(Curva!$M$2,M205,FERIADOS!$A$2:$A$831)-1)</f>
        <v>#REF!</v>
      </c>
      <c r="O205" s="423" t="e">
        <f>IF(C205&lt;&gt;"",IF(ISERROR((100000/E205)^(252/N205)-1),Curva!$B$2,((100000/E205)^(252/N205)-1)),"")</f>
        <v>#REF!</v>
      </c>
      <c r="P205" s="219" t="e">
        <f>IF(OR(G205=1,G205=2),dadosexternosBMF_1!#REF!,"")</f>
        <v>#REF!</v>
      </c>
      <c r="Q205" s="219" t="e">
        <f>IF(OR(G205=1,G205=2),dadosexternosBMF_1!#REF!,"")</f>
        <v>#REF!</v>
      </c>
    </row>
    <row r="206" spans="1:17" x14ac:dyDescent="0.2">
      <c r="A206" s="222" t="e">
        <f t="shared" si="30"/>
        <v>#REF!</v>
      </c>
      <c r="B206" s="222" t="e">
        <f>IF(dadosexternosBMF_1!#REF!="DI1 - DI de 1 dia","DI1 - DI de 1 dia","")</f>
        <v>#REF!</v>
      </c>
      <c r="C206" s="222" t="e">
        <f>IF(dadosexternosBMF_1!#REF!="DOL - Dólar comercial","",IF(C205&lt;&gt;"",dadosexternosBMF_1!#REF!,IF(dadosexternosBMF_1!#REF!="DI1 - DI de 1 dia",dadosexternosBMF_1!#REF!,"")))</f>
        <v>#REF!</v>
      </c>
      <c r="D206" s="222" t="e">
        <f>IF(C206&lt;&gt;"",dadosexternosBMF_1!#REF!,"")</f>
        <v>#REF!</v>
      </c>
      <c r="E206" s="222" t="e">
        <f>IF(C206&lt;&gt;"",dadosexternosBMF_1!#REF!,"")</f>
        <v>#REF!</v>
      </c>
      <c r="G206" s="219" t="e">
        <f t="shared" si="31"/>
        <v>#REF!</v>
      </c>
      <c r="H206" s="219" t="e">
        <f t="shared" si="32"/>
        <v>#REF!</v>
      </c>
      <c r="I206" s="219" t="e">
        <f t="shared" si="33"/>
        <v>#REF!</v>
      </c>
      <c r="J206" s="219" t="e">
        <f>IF(I206="","",VLOOKUP(LEFT(C206,1),dadosexternosBMF_1!$L$2:$M$13,2,FALSE))</f>
        <v>#REF!</v>
      </c>
      <c r="K206" s="219" t="e">
        <f t="shared" si="34"/>
        <v>#REF!</v>
      </c>
      <c r="L206" s="422" t="e">
        <f t="shared" si="35"/>
        <v>#REF!</v>
      </c>
      <c r="M206" s="422" t="e">
        <f>IF(I206="","",WORKDAY(L206-1,1,FERIADOS!$A$2:$A$831))</f>
        <v>#REF!</v>
      </c>
      <c r="N206" s="219" t="e">
        <f>IF(I206="","",NETWORKDAYS(Curva!$M$2,M206,FERIADOS!$A$2:$A$831)-1)</f>
        <v>#REF!</v>
      </c>
      <c r="O206" s="423" t="e">
        <f>IF(C206&lt;&gt;"",IF(ISERROR((100000/E206)^(252/N206)-1),Curva!$B$2,((100000/E206)^(252/N206)-1)),"")</f>
        <v>#REF!</v>
      </c>
      <c r="P206" s="219" t="e">
        <f>IF(OR(G206=1,G206=2),dadosexternosBMF_1!#REF!,"")</f>
        <v>#REF!</v>
      </c>
      <c r="Q206" s="219" t="e">
        <f>IF(OR(G206=1,G206=2),dadosexternosBMF_1!#REF!,"")</f>
        <v>#REF!</v>
      </c>
    </row>
    <row r="207" spans="1:17" x14ac:dyDescent="0.2">
      <c r="A207" s="222" t="e">
        <f t="shared" si="30"/>
        <v>#REF!</v>
      </c>
      <c r="B207" s="222" t="e">
        <f>IF(dadosexternosBMF_1!#REF!="DI1 - DI de 1 dia","DI1 - DI de 1 dia","")</f>
        <v>#REF!</v>
      </c>
      <c r="C207" s="222" t="e">
        <f>IF(dadosexternosBMF_1!#REF!="DOL - Dólar comercial","",IF(C206&lt;&gt;"",dadosexternosBMF_1!#REF!,IF(dadosexternosBMF_1!#REF!="DI1 - DI de 1 dia",dadosexternosBMF_1!#REF!,"")))</f>
        <v>#REF!</v>
      </c>
      <c r="D207" s="222" t="e">
        <f>IF(C207&lt;&gt;"",dadosexternosBMF_1!#REF!,"")</f>
        <v>#REF!</v>
      </c>
      <c r="E207" s="222" t="e">
        <f>IF(C207&lt;&gt;"",dadosexternosBMF_1!#REF!,"")</f>
        <v>#REF!</v>
      </c>
      <c r="G207" s="219" t="e">
        <f t="shared" si="31"/>
        <v>#REF!</v>
      </c>
      <c r="H207" s="219" t="e">
        <f t="shared" si="32"/>
        <v>#REF!</v>
      </c>
      <c r="I207" s="219" t="e">
        <f t="shared" si="33"/>
        <v>#REF!</v>
      </c>
      <c r="J207" s="219" t="e">
        <f>IF(I207="","",VLOOKUP(LEFT(C207,1),dadosexternosBMF_1!$L$2:$M$13,2,FALSE))</f>
        <v>#REF!</v>
      </c>
      <c r="K207" s="219" t="e">
        <f t="shared" si="34"/>
        <v>#REF!</v>
      </c>
      <c r="L207" s="422" t="e">
        <f t="shared" si="35"/>
        <v>#REF!</v>
      </c>
      <c r="M207" s="422" t="e">
        <f>IF(I207="","",WORKDAY(L207-1,1,FERIADOS!$A$2:$A$831))</f>
        <v>#REF!</v>
      </c>
      <c r="N207" s="219" t="e">
        <f>IF(I207="","",NETWORKDAYS(Curva!$M$2,M207,FERIADOS!$A$2:$A$831)-1)</f>
        <v>#REF!</v>
      </c>
      <c r="O207" s="423" t="e">
        <f>IF(C207&lt;&gt;"",IF(ISERROR((100000/E207)^(252/N207)-1),Curva!$B$2,((100000/E207)^(252/N207)-1)),"")</f>
        <v>#REF!</v>
      </c>
      <c r="P207" s="219" t="e">
        <f>IF(OR(G207=1,G207=2),dadosexternosBMF_1!#REF!,"")</f>
        <v>#REF!</v>
      </c>
      <c r="Q207" s="219" t="e">
        <f>IF(OR(G207=1,G207=2),dadosexternosBMF_1!#REF!,"")</f>
        <v>#REF!</v>
      </c>
    </row>
    <row r="208" spans="1:17" x14ac:dyDescent="0.2">
      <c r="A208" s="222" t="e">
        <f t="shared" si="30"/>
        <v>#REF!</v>
      </c>
      <c r="B208" s="222" t="e">
        <f>IF(dadosexternosBMF_1!#REF!="DI1 - DI de 1 dia","DI1 - DI de 1 dia","")</f>
        <v>#REF!</v>
      </c>
      <c r="C208" s="222" t="e">
        <f>IF(dadosexternosBMF_1!#REF!="DOL - Dólar comercial","",IF(C207&lt;&gt;"",dadosexternosBMF_1!#REF!,IF(dadosexternosBMF_1!#REF!="DI1 - DI de 1 dia",dadosexternosBMF_1!#REF!,"")))</f>
        <v>#REF!</v>
      </c>
      <c r="D208" s="222" t="e">
        <f>IF(C208&lt;&gt;"",dadosexternosBMF_1!#REF!,"")</f>
        <v>#REF!</v>
      </c>
      <c r="E208" s="222" t="e">
        <f>IF(C208&lt;&gt;"",dadosexternosBMF_1!#REF!,"")</f>
        <v>#REF!</v>
      </c>
      <c r="G208" s="219" t="e">
        <f t="shared" si="31"/>
        <v>#REF!</v>
      </c>
      <c r="H208" s="219" t="e">
        <f t="shared" si="32"/>
        <v>#REF!</v>
      </c>
      <c r="I208" s="219" t="e">
        <f t="shared" si="33"/>
        <v>#REF!</v>
      </c>
      <c r="J208" s="219" t="e">
        <f>IF(I208="","",VLOOKUP(LEFT(C208,1),dadosexternosBMF_1!$L$2:$M$13,2,FALSE))</f>
        <v>#REF!</v>
      </c>
      <c r="K208" s="219" t="e">
        <f t="shared" si="34"/>
        <v>#REF!</v>
      </c>
      <c r="L208" s="422" t="e">
        <f t="shared" si="35"/>
        <v>#REF!</v>
      </c>
      <c r="M208" s="422" t="e">
        <f>IF(I208="","",WORKDAY(L208-1,1,FERIADOS!$A$2:$A$831))</f>
        <v>#REF!</v>
      </c>
      <c r="N208" s="219" t="e">
        <f>IF(I208="","",NETWORKDAYS(Curva!$M$2,M208,FERIADOS!$A$2:$A$831)-1)</f>
        <v>#REF!</v>
      </c>
      <c r="O208" s="423" t="e">
        <f>IF(C208&lt;&gt;"",IF(ISERROR((100000/E208)^(252/N208)-1),Curva!$B$2,((100000/E208)^(252/N208)-1)),"")</f>
        <v>#REF!</v>
      </c>
      <c r="P208" s="219" t="e">
        <f>IF(OR(G208=1,G208=2),dadosexternosBMF_1!#REF!,"")</f>
        <v>#REF!</v>
      </c>
      <c r="Q208" s="219" t="e">
        <f>IF(OR(G208=1,G208=2),dadosexternosBMF_1!#REF!,"")</f>
        <v>#REF!</v>
      </c>
    </row>
    <row r="209" spans="1:17" x14ac:dyDescent="0.2">
      <c r="A209" s="222" t="e">
        <f t="shared" si="30"/>
        <v>#REF!</v>
      </c>
      <c r="B209" s="222" t="e">
        <f>IF(dadosexternosBMF_1!#REF!="DI1 - DI de 1 dia","DI1 - DI de 1 dia","")</f>
        <v>#REF!</v>
      </c>
      <c r="C209" s="222" t="e">
        <f>IF(dadosexternosBMF_1!#REF!="DOL - Dólar comercial","",IF(C208&lt;&gt;"",dadosexternosBMF_1!#REF!,IF(dadosexternosBMF_1!#REF!="DI1 - DI de 1 dia",dadosexternosBMF_1!#REF!,"")))</f>
        <v>#REF!</v>
      </c>
      <c r="D209" s="222" t="e">
        <f>IF(C209&lt;&gt;"",dadosexternosBMF_1!#REF!,"")</f>
        <v>#REF!</v>
      </c>
      <c r="E209" s="222" t="e">
        <f>IF(C209&lt;&gt;"",dadosexternosBMF_1!#REF!,"")</f>
        <v>#REF!</v>
      </c>
      <c r="G209" s="219" t="e">
        <f t="shared" si="31"/>
        <v>#REF!</v>
      </c>
      <c r="H209" s="219" t="e">
        <f t="shared" si="32"/>
        <v>#REF!</v>
      </c>
      <c r="I209" s="219" t="e">
        <f t="shared" si="33"/>
        <v>#REF!</v>
      </c>
      <c r="J209" s="219" t="e">
        <f>IF(I209="","",VLOOKUP(LEFT(C209,1),dadosexternosBMF_1!$L$2:$M$13,2,FALSE))</f>
        <v>#REF!</v>
      </c>
      <c r="K209" s="219" t="e">
        <f t="shared" si="34"/>
        <v>#REF!</v>
      </c>
      <c r="L209" s="422" t="e">
        <f t="shared" si="35"/>
        <v>#REF!</v>
      </c>
      <c r="M209" s="422" t="e">
        <f>IF(I209="","",WORKDAY(L209-1,1,FERIADOS!$A$2:$A$831))</f>
        <v>#REF!</v>
      </c>
      <c r="N209" s="219" t="e">
        <f>IF(I209="","",NETWORKDAYS(Curva!$M$2,M209,FERIADOS!$A$2:$A$831)-1)</f>
        <v>#REF!</v>
      </c>
      <c r="O209" s="423" t="e">
        <f>IF(C209&lt;&gt;"",IF(ISERROR((100000/E209)^(252/N209)-1),Curva!$B$2,((100000/E209)^(252/N209)-1)),"")</f>
        <v>#REF!</v>
      </c>
      <c r="P209" s="219" t="e">
        <f>IF(OR(G209=1,G209=2),dadosexternosBMF_1!#REF!,"")</f>
        <v>#REF!</v>
      </c>
      <c r="Q209" s="219" t="e">
        <f>IF(OR(G209=1,G209=2),dadosexternosBMF_1!#REF!,"")</f>
        <v>#REF!</v>
      </c>
    </row>
    <row r="210" spans="1:17" x14ac:dyDescent="0.2">
      <c r="A210" s="222" t="e">
        <f t="shared" si="30"/>
        <v>#REF!</v>
      </c>
      <c r="B210" s="222" t="e">
        <f>IF(dadosexternosBMF_1!#REF!="DI1 - DI de 1 dia","DI1 - DI de 1 dia","")</f>
        <v>#REF!</v>
      </c>
      <c r="C210" s="222" t="e">
        <f>IF(dadosexternosBMF_1!#REF!="DOL - Dólar comercial","",IF(C209&lt;&gt;"",dadosexternosBMF_1!#REF!,IF(dadosexternosBMF_1!#REF!="DI1 - DI de 1 dia",dadosexternosBMF_1!#REF!,"")))</f>
        <v>#REF!</v>
      </c>
      <c r="D210" s="222" t="e">
        <f>IF(C210&lt;&gt;"",dadosexternosBMF_1!#REF!,"")</f>
        <v>#REF!</v>
      </c>
      <c r="E210" s="222" t="e">
        <f>IF(C210&lt;&gt;"",dadosexternosBMF_1!#REF!,"")</f>
        <v>#REF!</v>
      </c>
      <c r="G210" s="219" t="e">
        <f t="shared" si="31"/>
        <v>#REF!</v>
      </c>
      <c r="H210" s="219" t="e">
        <f t="shared" si="32"/>
        <v>#REF!</v>
      </c>
      <c r="I210" s="219" t="e">
        <f t="shared" si="33"/>
        <v>#REF!</v>
      </c>
      <c r="J210" s="219" t="e">
        <f>IF(I210="","",VLOOKUP(LEFT(C210,1),dadosexternosBMF_1!$L$2:$M$13,2,FALSE))</f>
        <v>#REF!</v>
      </c>
      <c r="K210" s="219" t="e">
        <f t="shared" si="34"/>
        <v>#REF!</v>
      </c>
      <c r="L210" s="422" t="e">
        <f t="shared" si="35"/>
        <v>#REF!</v>
      </c>
      <c r="M210" s="422" t="e">
        <f>IF(I210="","",WORKDAY(L210-1,1,FERIADOS!$A$2:$A$831))</f>
        <v>#REF!</v>
      </c>
      <c r="N210" s="219" t="e">
        <f>IF(I210="","",NETWORKDAYS(Curva!$M$2,M210,FERIADOS!$A$2:$A$831)-1)</f>
        <v>#REF!</v>
      </c>
      <c r="O210" s="423" t="e">
        <f>IF(C210&lt;&gt;"",IF(ISERROR((100000/E210)^(252/N210)-1),Curva!$B$2,((100000/E210)^(252/N210)-1)),"")</f>
        <v>#REF!</v>
      </c>
      <c r="P210" s="219" t="e">
        <f>IF(OR(G210=1,G210=2),dadosexternosBMF_1!#REF!,"")</f>
        <v>#REF!</v>
      </c>
      <c r="Q210" s="219" t="e">
        <f>IF(OR(G210=1,G210=2),dadosexternosBMF_1!#REF!,"")</f>
        <v>#REF!</v>
      </c>
    </row>
    <row r="211" spans="1:17" x14ac:dyDescent="0.2">
      <c r="A211" s="222" t="e">
        <f t="shared" si="30"/>
        <v>#REF!</v>
      </c>
      <c r="B211" s="222" t="e">
        <f>IF(dadosexternosBMF_1!#REF!="DI1 - DI de 1 dia","DI1 - DI de 1 dia","")</f>
        <v>#REF!</v>
      </c>
      <c r="C211" s="222" t="e">
        <f>IF(dadosexternosBMF_1!#REF!="DOL - Dólar comercial","",IF(C210&lt;&gt;"",dadosexternosBMF_1!#REF!,IF(dadosexternosBMF_1!#REF!="DI1 - DI de 1 dia",dadosexternosBMF_1!#REF!,"")))</f>
        <v>#REF!</v>
      </c>
      <c r="D211" s="222" t="e">
        <f>IF(C211&lt;&gt;"",dadosexternosBMF_1!#REF!,"")</f>
        <v>#REF!</v>
      </c>
      <c r="E211" s="222" t="e">
        <f>IF(C211&lt;&gt;"",dadosexternosBMF_1!#REF!,"")</f>
        <v>#REF!</v>
      </c>
      <c r="G211" s="219" t="e">
        <f t="shared" si="31"/>
        <v>#REF!</v>
      </c>
      <c r="H211" s="219" t="e">
        <f t="shared" si="32"/>
        <v>#REF!</v>
      </c>
      <c r="I211" s="219" t="e">
        <f t="shared" si="33"/>
        <v>#REF!</v>
      </c>
      <c r="J211" s="219" t="e">
        <f>IF(I211="","",VLOOKUP(LEFT(C211,1),dadosexternosBMF_1!$L$2:$M$13,2,FALSE))</f>
        <v>#REF!</v>
      </c>
      <c r="K211" s="219" t="e">
        <f t="shared" si="34"/>
        <v>#REF!</v>
      </c>
      <c r="L211" s="422" t="e">
        <f t="shared" si="35"/>
        <v>#REF!</v>
      </c>
      <c r="M211" s="422" t="e">
        <f>IF(I211="","",WORKDAY(L211-1,1,FERIADOS!$A$2:$A$831))</f>
        <v>#REF!</v>
      </c>
      <c r="N211" s="219" t="e">
        <f>IF(I211="","",NETWORKDAYS(Curva!$M$2,M211,FERIADOS!$A$2:$A$831)-1)</f>
        <v>#REF!</v>
      </c>
      <c r="O211" s="423" t="e">
        <f>IF(C211&lt;&gt;"",IF(ISERROR((100000/E211)^(252/N211)-1),Curva!$B$2,((100000/E211)^(252/N211)-1)),"")</f>
        <v>#REF!</v>
      </c>
      <c r="P211" s="219" t="e">
        <f>IF(OR(G211=1,G211=2),dadosexternosBMF_1!#REF!,"")</f>
        <v>#REF!</v>
      </c>
      <c r="Q211" s="219" t="e">
        <f>IF(OR(G211=1,G211=2),dadosexternosBMF_1!#REF!,"")</f>
        <v>#REF!</v>
      </c>
    </row>
    <row r="212" spans="1:17" x14ac:dyDescent="0.2">
      <c r="A212" s="222" t="e">
        <f t="shared" si="30"/>
        <v>#REF!</v>
      </c>
      <c r="B212" s="222" t="str">
        <f>IF(dadosexternosBMF_1!A205="DI1 - DI de 1 dia","DI1 - DI de 1 dia","")</f>
        <v/>
      </c>
      <c r="C212" s="222" t="e">
        <f>IF(dadosexternosBMF_1!A205="DOL - Dólar comercial","",IF(C211&lt;&gt;"",dadosexternosBMF_1!B205,IF(dadosexternosBMF_1!A205="DI1 - DI de 1 dia",dadosexternosBMF_1!B205,"")))</f>
        <v>#REF!</v>
      </c>
      <c r="D212" s="222" t="e">
        <f>IF(C212&lt;&gt;"",dadosexternosBMF_1!C205,"")</f>
        <v>#REF!</v>
      </c>
      <c r="E212" s="222" t="e">
        <f>IF(C212&lt;&gt;"",dadosexternosBMF_1!D205,"")</f>
        <v>#REF!</v>
      </c>
      <c r="G212" s="219" t="e">
        <f t="shared" si="31"/>
        <v>#REF!</v>
      </c>
      <c r="H212" s="219" t="e">
        <f t="shared" si="32"/>
        <v>#REF!</v>
      </c>
      <c r="I212" s="219" t="e">
        <f t="shared" si="33"/>
        <v>#REF!</v>
      </c>
      <c r="J212" s="219" t="e">
        <f>IF(I212="","",VLOOKUP(LEFT(C212,1),dadosexternosBMF_1!$L$2:$M$13,2,FALSE))</f>
        <v>#REF!</v>
      </c>
      <c r="K212" s="219" t="e">
        <f t="shared" si="34"/>
        <v>#REF!</v>
      </c>
      <c r="L212" s="422" t="e">
        <f t="shared" si="35"/>
        <v>#REF!</v>
      </c>
      <c r="M212" s="422" t="e">
        <f>IF(I212="","",WORKDAY(L212-1,1,FERIADOS!$A$2:$A$831))</f>
        <v>#REF!</v>
      </c>
      <c r="N212" s="219" t="e">
        <f>IF(I212="","",NETWORKDAYS(Curva!$M$2,M212,FERIADOS!$A$2:$A$831)-1)</f>
        <v>#REF!</v>
      </c>
      <c r="O212" s="423" t="e">
        <f>IF(C212&lt;&gt;"",IF(ISERROR((100000/E212)^(252/N212)-1),Curva!$B$2,((100000/E212)^(252/N212)-1)),"")</f>
        <v>#REF!</v>
      </c>
      <c r="P212" s="219" t="e">
        <f>IF(OR(G212=1,G212=2),dadosexternosBMF_1!B205,"")</f>
        <v>#REF!</v>
      </c>
      <c r="Q212" s="219" t="e">
        <f>IF(OR(G212=1,G212=2),dadosexternosBMF_1!D205,"")</f>
        <v>#REF!</v>
      </c>
    </row>
    <row r="213" spans="1:17" x14ac:dyDescent="0.2">
      <c r="A213" s="222" t="e">
        <f t="shared" si="30"/>
        <v>#REF!</v>
      </c>
      <c r="B213" s="222" t="str">
        <f>IF(dadosexternosBMF_1!A206="DI1 - DI de 1 dia","DI1 - DI de 1 dia","")</f>
        <v/>
      </c>
      <c r="C213" s="222" t="e">
        <f>IF(dadosexternosBMF_1!A206="DOL - Dólar comercial","",IF(C212&lt;&gt;"",dadosexternosBMF_1!B206,IF(dadosexternosBMF_1!A206="DI1 - DI de 1 dia",dadosexternosBMF_1!B206,"")))</f>
        <v>#REF!</v>
      </c>
      <c r="D213" s="222" t="e">
        <f>IF(C213&lt;&gt;"",dadosexternosBMF_1!C206,"")</f>
        <v>#REF!</v>
      </c>
      <c r="E213" s="222" t="e">
        <f>IF(C213&lt;&gt;"",dadosexternosBMF_1!D206,"")</f>
        <v>#REF!</v>
      </c>
      <c r="G213" s="219" t="e">
        <f t="shared" si="31"/>
        <v>#REF!</v>
      </c>
      <c r="H213" s="219" t="e">
        <f t="shared" si="32"/>
        <v>#REF!</v>
      </c>
      <c r="I213" s="219" t="e">
        <f t="shared" si="33"/>
        <v>#REF!</v>
      </c>
      <c r="J213" s="219" t="e">
        <f>IF(I213="","",VLOOKUP(LEFT(C213,1),dadosexternosBMF_1!$L$2:$M$13,2,FALSE))</f>
        <v>#REF!</v>
      </c>
      <c r="K213" s="219" t="e">
        <f t="shared" si="34"/>
        <v>#REF!</v>
      </c>
      <c r="L213" s="422" t="e">
        <f t="shared" si="35"/>
        <v>#REF!</v>
      </c>
      <c r="M213" s="422" t="e">
        <f>IF(I213="","",WORKDAY(L213-1,1,FERIADOS!$A$2:$A$831))</f>
        <v>#REF!</v>
      </c>
      <c r="N213" s="219" t="e">
        <f>IF(I213="","",NETWORKDAYS(Curva!$M$2,M213,FERIADOS!$A$2:$A$831)-1)</f>
        <v>#REF!</v>
      </c>
      <c r="O213" s="423" t="e">
        <f>IF(C213&lt;&gt;"",IF(ISERROR((100000/E213)^(252/N213)-1),Curva!$B$2,((100000/E213)^(252/N213)-1)),"")</f>
        <v>#REF!</v>
      </c>
      <c r="P213" s="219" t="e">
        <f>IF(OR(G213=1,G213=2),dadosexternosBMF_1!B206,"")</f>
        <v>#REF!</v>
      </c>
      <c r="Q213" s="219" t="e">
        <f>IF(OR(G213=1,G213=2),dadosexternosBMF_1!D206,"")</f>
        <v>#REF!</v>
      </c>
    </row>
    <row r="214" spans="1:17" x14ac:dyDescent="0.2">
      <c r="A214" s="222" t="e">
        <f t="shared" si="30"/>
        <v>#REF!</v>
      </c>
      <c r="B214" s="222" t="str">
        <f>IF(dadosexternosBMF_1!A207="DI1 - DI de 1 dia","DI1 - DI de 1 dia","")</f>
        <v/>
      </c>
      <c r="C214" s="222" t="e">
        <f>IF(dadosexternosBMF_1!A207="DOL - Dólar comercial","",IF(C213&lt;&gt;"",dadosexternosBMF_1!B207,IF(dadosexternosBMF_1!A207="DI1 - DI de 1 dia",dadosexternosBMF_1!B207,"")))</f>
        <v>#REF!</v>
      </c>
      <c r="D214" s="222" t="e">
        <f>IF(C214&lt;&gt;"",dadosexternosBMF_1!C207,"")</f>
        <v>#REF!</v>
      </c>
      <c r="E214" s="222" t="e">
        <f>IF(C214&lt;&gt;"",dadosexternosBMF_1!D207,"")</f>
        <v>#REF!</v>
      </c>
      <c r="G214" s="219" t="e">
        <f t="shared" si="31"/>
        <v>#REF!</v>
      </c>
      <c r="H214" s="219" t="e">
        <f t="shared" si="32"/>
        <v>#REF!</v>
      </c>
      <c r="I214" s="219" t="e">
        <f t="shared" si="33"/>
        <v>#REF!</v>
      </c>
      <c r="J214" s="219" t="e">
        <f>IF(I214="","",VLOOKUP(LEFT(C214,1),dadosexternosBMF_1!$L$2:$M$13,2,FALSE))</f>
        <v>#REF!</v>
      </c>
      <c r="K214" s="219" t="e">
        <f t="shared" si="34"/>
        <v>#REF!</v>
      </c>
      <c r="L214" s="422" t="e">
        <f t="shared" si="35"/>
        <v>#REF!</v>
      </c>
      <c r="M214" s="422" t="e">
        <f>IF(I214="","",WORKDAY(L214-1,1,FERIADOS!$A$2:$A$831))</f>
        <v>#REF!</v>
      </c>
      <c r="N214" s="219" t="e">
        <f>IF(I214="","",NETWORKDAYS(Curva!$M$2,M214,FERIADOS!$A$2:$A$831)-1)</f>
        <v>#REF!</v>
      </c>
      <c r="O214" s="423" t="e">
        <f>IF(C214&lt;&gt;"",IF(ISERROR((100000/E214)^(252/N214)-1),Curva!$B$2,((100000/E214)^(252/N214)-1)),"")</f>
        <v>#REF!</v>
      </c>
      <c r="P214" s="219" t="e">
        <f>IF(OR(G214=1,G214=2),dadosexternosBMF_1!B207,"")</f>
        <v>#REF!</v>
      </c>
      <c r="Q214" s="219" t="e">
        <f>IF(OR(G214=1,G214=2),dadosexternosBMF_1!D207,"")</f>
        <v>#REF!</v>
      </c>
    </row>
    <row r="215" spans="1:17" x14ac:dyDescent="0.2">
      <c r="A215" s="222" t="e">
        <f t="shared" si="30"/>
        <v>#REF!</v>
      </c>
      <c r="B215" s="222" t="str">
        <f>IF(dadosexternosBMF_1!A208="DI1 - DI de 1 dia","DI1 - DI de 1 dia","")</f>
        <v/>
      </c>
      <c r="C215" s="222" t="e">
        <f>IF(dadosexternosBMF_1!A208="DOL - Dólar comercial","",IF(C214&lt;&gt;"",dadosexternosBMF_1!B208,IF(dadosexternosBMF_1!A208="DI1 - DI de 1 dia",dadosexternosBMF_1!B208,"")))</f>
        <v>#REF!</v>
      </c>
      <c r="D215" s="222" t="e">
        <f>IF(C215&lt;&gt;"",dadosexternosBMF_1!C208,"")</f>
        <v>#REF!</v>
      </c>
      <c r="E215" s="222" t="e">
        <f>IF(C215&lt;&gt;"",dadosexternosBMF_1!D208,"")</f>
        <v>#REF!</v>
      </c>
      <c r="G215" s="219" t="e">
        <f t="shared" si="31"/>
        <v>#REF!</v>
      </c>
      <c r="H215" s="219" t="e">
        <f t="shared" si="32"/>
        <v>#REF!</v>
      </c>
      <c r="I215" s="219" t="e">
        <f t="shared" si="33"/>
        <v>#REF!</v>
      </c>
      <c r="J215" s="219" t="e">
        <f>IF(I215="","",VLOOKUP(LEFT(C215,1),dadosexternosBMF_1!$L$2:$M$13,2,FALSE))</f>
        <v>#REF!</v>
      </c>
      <c r="K215" s="219" t="e">
        <f t="shared" si="34"/>
        <v>#REF!</v>
      </c>
      <c r="L215" s="422" t="e">
        <f t="shared" si="35"/>
        <v>#REF!</v>
      </c>
      <c r="M215" s="422" t="e">
        <f>IF(I215="","",WORKDAY(L215-1,1,FERIADOS!$A$2:$A$831))</f>
        <v>#REF!</v>
      </c>
      <c r="N215" s="219" t="e">
        <f>IF(I215="","",NETWORKDAYS(Curva!$M$2,M215,FERIADOS!$A$2:$A$831)-1)</f>
        <v>#REF!</v>
      </c>
      <c r="O215" s="423" t="e">
        <f>IF(C215&lt;&gt;"",IF(ISERROR((100000/E215)^(252/N215)-1),Curva!$B$2,((100000/E215)^(252/N215)-1)),"")</f>
        <v>#REF!</v>
      </c>
      <c r="P215" s="219" t="e">
        <f>IF(OR(G215=1,G215=2),dadosexternosBMF_1!B208,"")</f>
        <v>#REF!</v>
      </c>
      <c r="Q215" s="219" t="e">
        <f>IF(OR(G215=1,G215=2),dadosexternosBMF_1!D208,"")</f>
        <v>#REF!</v>
      </c>
    </row>
    <row r="216" spans="1:17" x14ac:dyDescent="0.2">
      <c r="A216" s="222" t="e">
        <f t="shared" si="30"/>
        <v>#REF!</v>
      </c>
      <c r="B216" s="222" t="str">
        <f>IF(dadosexternosBMF_1!A211="DI1 - DI de 1 dia","DI1 - DI de 1 dia","")</f>
        <v/>
      </c>
      <c r="C216" s="222" t="e">
        <f>IF(dadosexternosBMF_1!A211="DOL - Dólar comercial","",IF(C215&lt;&gt;"",dadosexternosBMF_1!B211,IF(dadosexternosBMF_1!A211="DI1 - DI de 1 dia",dadosexternosBMF_1!B211,"")))</f>
        <v>#REF!</v>
      </c>
      <c r="D216" s="222" t="e">
        <f>IF(C216&lt;&gt;"",dadosexternosBMF_1!C211,"")</f>
        <v>#REF!</v>
      </c>
      <c r="E216" s="222" t="e">
        <f>IF(C216&lt;&gt;"",dadosexternosBMF_1!D211,"")</f>
        <v>#REF!</v>
      </c>
      <c r="G216" s="219" t="e">
        <f t="shared" si="31"/>
        <v>#REF!</v>
      </c>
      <c r="H216" s="219" t="e">
        <f t="shared" si="32"/>
        <v>#REF!</v>
      </c>
      <c r="I216" s="219" t="e">
        <f t="shared" si="33"/>
        <v>#REF!</v>
      </c>
      <c r="J216" s="219" t="e">
        <f>IF(I216="","",VLOOKUP(LEFT(C216,1),dadosexternosBMF_1!$L$2:$M$13,2,FALSE))</f>
        <v>#REF!</v>
      </c>
      <c r="K216" s="219" t="e">
        <f t="shared" si="34"/>
        <v>#REF!</v>
      </c>
      <c r="L216" s="422" t="e">
        <f t="shared" si="35"/>
        <v>#REF!</v>
      </c>
      <c r="M216" s="422" t="e">
        <f>IF(I216="","",WORKDAY(L216-1,1,FERIADOS!$A$2:$A$831))</f>
        <v>#REF!</v>
      </c>
      <c r="N216" s="219" t="e">
        <f>IF(I216="","",NETWORKDAYS(Curva!$M$2,M216,FERIADOS!$A$2:$A$831)-1)</f>
        <v>#REF!</v>
      </c>
      <c r="O216" s="423" t="e">
        <f>IF(C216&lt;&gt;"",IF(ISERROR((100000/E216)^(252/N216)-1),Curva!$B$2,((100000/E216)^(252/N216)-1)),"")</f>
        <v>#REF!</v>
      </c>
      <c r="P216" s="219" t="e">
        <f>IF(OR(G216=1,G216=2),dadosexternosBMF_1!B211,"")</f>
        <v>#REF!</v>
      </c>
      <c r="Q216" s="219" t="e">
        <f>IF(OR(G216=1,G216=2),dadosexternosBMF_1!D211,"")</f>
        <v>#REF!</v>
      </c>
    </row>
    <row r="217" spans="1:17" x14ac:dyDescent="0.2">
      <c r="A217" s="222" t="e">
        <f t="shared" si="30"/>
        <v>#REF!</v>
      </c>
      <c r="B217" s="222" t="str">
        <f>IF(dadosexternosBMF_1!A212="DI1 - DI de 1 dia","DI1 - DI de 1 dia","")</f>
        <v/>
      </c>
      <c r="C217" s="222" t="e">
        <f>IF(dadosexternosBMF_1!A212="DOL - Dólar comercial","",IF(C216&lt;&gt;"",dadosexternosBMF_1!B212,IF(dadosexternosBMF_1!A212="DI1 - DI de 1 dia",dadosexternosBMF_1!B212,"")))</f>
        <v>#REF!</v>
      </c>
      <c r="D217" s="222" t="e">
        <f>IF(C217&lt;&gt;"",dadosexternosBMF_1!C212,"")</f>
        <v>#REF!</v>
      </c>
      <c r="E217" s="222" t="e">
        <f>IF(C217&lt;&gt;"",dadosexternosBMF_1!D212,"")</f>
        <v>#REF!</v>
      </c>
      <c r="G217" s="219" t="e">
        <f t="shared" si="31"/>
        <v>#REF!</v>
      </c>
      <c r="H217" s="219" t="e">
        <f t="shared" si="32"/>
        <v>#REF!</v>
      </c>
      <c r="I217" s="219" t="e">
        <f t="shared" si="33"/>
        <v>#REF!</v>
      </c>
      <c r="J217" s="219" t="e">
        <f>IF(I217="","",VLOOKUP(LEFT(C217,1),dadosexternosBMF_1!$L$2:$M$13,2,FALSE))</f>
        <v>#REF!</v>
      </c>
      <c r="K217" s="219" t="e">
        <f t="shared" si="34"/>
        <v>#REF!</v>
      </c>
      <c r="L217" s="422" t="e">
        <f t="shared" si="35"/>
        <v>#REF!</v>
      </c>
      <c r="M217" s="422" t="e">
        <f>IF(I217="","",WORKDAY(L217-1,1,FERIADOS!$A$2:$A$831))</f>
        <v>#REF!</v>
      </c>
      <c r="N217" s="219" t="e">
        <f>IF(I217="","",NETWORKDAYS(Curva!$M$2,M217,FERIADOS!$A$2:$A$831)-1)</f>
        <v>#REF!</v>
      </c>
      <c r="O217" s="423" t="e">
        <f>IF(C217&lt;&gt;"",IF(ISERROR((100000/E217)^(252/N217)-1),Curva!$B$2,((100000/E217)^(252/N217)-1)),"")</f>
        <v>#REF!</v>
      </c>
      <c r="P217" s="219" t="e">
        <f>IF(OR(G217=1,G217=2),dadosexternosBMF_1!B212,"")</f>
        <v>#REF!</v>
      </c>
      <c r="Q217" s="219" t="e">
        <f>IF(OR(G217=1,G217=2),dadosexternosBMF_1!D212,"")</f>
        <v>#REF!</v>
      </c>
    </row>
    <row r="218" spans="1:17" x14ac:dyDescent="0.2">
      <c r="A218" s="222" t="e">
        <f t="shared" si="30"/>
        <v>#REF!</v>
      </c>
      <c r="B218" s="222" t="str">
        <f>IF(dadosexternosBMF_1!A213="DI1 - DI de 1 dia","DI1 - DI de 1 dia","")</f>
        <v/>
      </c>
      <c r="C218" s="222" t="e">
        <f>IF(dadosexternosBMF_1!A213="DOL - Dólar comercial","",IF(C217&lt;&gt;"",dadosexternosBMF_1!B213,IF(dadosexternosBMF_1!A213="DI1 - DI de 1 dia",dadosexternosBMF_1!B213,"")))</f>
        <v>#REF!</v>
      </c>
      <c r="D218" s="222" t="e">
        <f>IF(C218&lt;&gt;"",dadosexternosBMF_1!C213,"")</f>
        <v>#REF!</v>
      </c>
      <c r="E218" s="222" t="e">
        <f>IF(C218&lt;&gt;"",dadosexternosBMF_1!D213,"")</f>
        <v>#REF!</v>
      </c>
      <c r="G218" s="219" t="e">
        <f t="shared" si="31"/>
        <v>#REF!</v>
      </c>
      <c r="H218" s="219" t="e">
        <f t="shared" si="32"/>
        <v>#REF!</v>
      </c>
      <c r="I218" s="219" t="e">
        <f t="shared" si="33"/>
        <v>#REF!</v>
      </c>
      <c r="J218" s="219" t="e">
        <f>IF(I218="","",VLOOKUP(LEFT(C218,1),dadosexternosBMF_1!$L$2:$M$13,2,FALSE))</f>
        <v>#REF!</v>
      </c>
      <c r="K218" s="219" t="e">
        <f t="shared" si="34"/>
        <v>#REF!</v>
      </c>
      <c r="L218" s="422" t="e">
        <f t="shared" si="35"/>
        <v>#REF!</v>
      </c>
      <c r="M218" s="422" t="e">
        <f>IF(I218="","",WORKDAY(L218-1,1,FERIADOS!$A$2:$A$831))</f>
        <v>#REF!</v>
      </c>
      <c r="N218" s="219" t="e">
        <f>IF(I218="","",NETWORKDAYS(Curva!$M$2,M218,FERIADOS!$A$2:$A$831)-1)</f>
        <v>#REF!</v>
      </c>
      <c r="O218" s="423" t="e">
        <f>IF(C218&lt;&gt;"",IF(ISERROR((100000/E218)^(252/N218)-1),Curva!$B$2,((100000/E218)^(252/N218)-1)),"")</f>
        <v>#REF!</v>
      </c>
      <c r="P218" s="219" t="e">
        <f>IF(OR(G218=1,G218=2),dadosexternosBMF_1!B213,"")</f>
        <v>#REF!</v>
      </c>
      <c r="Q218" s="219" t="e">
        <f>IF(OR(G218=1,G218=2),dadosexternosBMF_1!D213,"")</f>
        <v>#REF!</v>
      </c>
    </row>
    <row r="219" spans="1:17" x14ac:dyDescent="0.2">
      <c r="A219" s="222" t="e">
        <f t="shared" ref="A219:A282" si="36">IF(AND(A218&lt;&gt;"",C219&lt;&gt;""),A218+1,IF(B219="DI1 - DI de 1 dia",1,""))</f>
        <v>#REF!</v>
      </c>
      <c r="B219" s="222" t="str">
        <f>IF(dadosexternosBMF_1!A214="DI1 - DI de 1 dia","DI1 - DI de 1 dia","")</f>
        <v/>
      </c>
      <c r="C219" s="222" t="e">
        <f>IF(dadosexternosBMF_1!A214="DOL - Dólar comercial","",IF(C218&lt;&gt;"",dadosexternosBMF_1!B214,IF(dadosexternosBMF_1!A214="DI1 - DI de 1 dia",dadosexternosBMF_1!B214,"")))</f>
        <v>#REF!</v>
      </c>
      <c r="D219" s="222" t="e">
        <f>IF(C219&lt;&gt;"",dadosexternosBMF_1!C214,"")</f>
        <v>#REF!</v>
      </c>
      <c r="E219" s="222" t="e">
        <f>IF(C219&lt;&gt;"",dadosexternosBMF_1!D214,"")</f>
        <v>#REF!</v>
      </c>
      <c r="G219" s="219" t="e">
        <f t="shared" ref="G219:G282" si="37">IF(G218=1,2,IF(AND(H219="",H218&lt;&gt;""),1,""))</f>
        <v>#REF!</v>
      </c>
      <c r="H219" s="219" t="e">
        <f t="shared" ref="H219:H282" si="38">IF(A219&lt;&gt;"",A219,"")</f>
        <v>#REF!</v>
      </c>
      <c r="I219" s="219" t="e">
        <f t="shared" ref="I219:I282" si="39">IF(A219&lt;&gt;"",(CONCATENATE("DI1",C219)),"")</f>
        <v>#REF!</v>
      </c>
      <c r="J219" s="219" t="e">
        <f>IF(I219="","",VLOOKUP(LEFT(C219,1),dadosexternosBMF_1!$L$2:$M$13,2,FALSE))</f>
        <v>#REF!</v>
      </c>
      <c r="K219" s="219" t="e">
        <f t="shared" ref="K219:K282" si="40">IF(I219="","",1+CONCATENATE(20,RIGHT(C219,2))-1)</f>
        <v>#REF!</v>
      </c>
      <c r="L219" s="422" t="e">
        <f t="shared" ref="L219:L282" si="41">IF(I219="","",CONCATENATE(1,"/",J219,"/",K219)+1-1)</f>
        <v>#REF!</v>
      </c>
      <c r="M219" s="422" t="e">
        <f>IF(I219="","",WORKDAY(L219-1,1,FERIADOS!$A$2:$A$831))</f>
        <v>#REF!</v>
      </c>
      <c r="N219" s="219" t="e">
        <f>IF(I219="","",NETWORKDAYS(Curva!$M$2,M219,FERIADOS!$A$2:$A$831)-1)</f>
        <v>#REF!</v>
      </c>
      <c r="O219" s="423" t="e">
        <f>IF(C219&lt;&gt;"",IF(ISERROR((100000/E219)^(252/N219)-1),Curva!$B$2,((100000/E219)^(252/N219)-1)),"")</f>
        <v>#REF!</v>
      </c>
      <c r="P219" s="219" t="e">
        <f>IF(OR(G219=1,G219=2),dadosexternosBMF_1!B214,"")</f>
        <v>#REF!</v>
      </c>
      <c r="Q219" s="219" t="e">
        <f>IF(OR(G219=1,G219=2),dadosexternosBMF_1!D214,"")</f>
        <v>#REF!</v>
      </c>
    </row>
    <row r="220" spans="1:17" x14ac:dyDescent="0.2">
      <c r="A220" s="222" t="e">
        <f t="shared" si="36"/>
        <v>#REF!</v>
      </c>
      <c r="B220" s="222" t="str">
        <f>IF(dadosexternosBMF_1!A222="DI1 - DI de 1 dia","DI1 - DI de 1 dia","")</f>
        <v/>
      </c>
      <c r="C220" s="222" t="e">
        <f>IF(dadosexternosBMF_1!A222="DOL - Dólar comercial","",IF(C219&lt;&gt;"",dadosexternosBMF_1!B222,IF(dadosexternosBMF_1!A222="DI1 - DI de 1 dia",dadosexternosBMF_1!B222,"")))</f>
        <v>#REF!</v>
      </c>
      <c r="D220" s="222" t="e">
        <f>IF(C220&lt;&gt;"",dadosexternosBMF_1!C222,"")</f>
        <v>#REF!</v>
      </c>
      <c r="E220" s="222" t="e">
        <f>IF(C220&lt;&gt;"",dadosexternosBMF_1!D222,"")</f>
        <v>#REF!</v>
      </c>
      <c r="G220" s="219" t="e">
        <f t="shared" si="37"/>
        <v>#REF!</v>
      </c>
      <c r="H220" s="219" t="e">
        <f t="shared" si="38"/>
        <v>#REF!</v>
      </c>
      <c r="I220" s="219" t="e">
        <f t="shared" si="39"/>
        <v>#REF!</v>
      </c>
      <c r="J220" s="219" t="e">
        <f>IF(I220="","",VLOOKUP(LEFT(C220,1),dadosexternosBMF_1!$L$2:$M$13,2,FALSE))</f>
        <v>#REF!</v>
      </c>
      <c r="K220" s="219" t="e">
        <f t="shared" si="40"/>
        <v>#REF!</v>
      </c>
      <c r="L220" s="422" t="e">
        <f t="shared" si="41"/>
        <v>#REF!</v>
      </c>
      <c r="M220" s="422" t="e">
        <f>IF(I220="","",WORKDAY(L220-1,1,FERIADOS!$A$2:$A$831))</f>
        <v>#REF!</v>
      </c>
      <c r="N220" s="219" t="e">
        <f>IF(I220="","",NETWORKDAYS(Curva!$M$2,M220,FERIADOS!$A$2:$A$831)-1)</f>
        <v>#REF!</v>
      </c>
      <c r="O220" s="423" t="e">
        <f>IF(C220&lt;&gt;"",IF(ISERROR((100000/E220)^(252/N220)-1),Curva!$B$2,((100000/E220)^(252/N220)-1)),"")</f>
        <v>#REF!</v>
      </c>
      <c r="P220" s="219" t="e">
        <f>IF(OR(G220=1,G220=2),dadosexternosBMF_1!B222,"")</f>
        <v>#REF!</v>
      </c>
      <c r="Q220" s="219" t="e">
        <f>IF(OR(G220=1,G220=2),dadosexternosBMF_1!D222,"")</f>
        <v>#REF!</v>
      </c>
    </row>
    <row r="221" spans="1:17" x14ac:dyDescent="0.2">
      <c r="A221" s="222" t="e">
        <f t="shared" si="36"/>
        <v>#REF!</v>
      </c>
      <c r="B221" s="222" t="str">
        <f>IF(dadosexternosBMF_1!A223="DI1 - DI de 1 dia","DI1 - DI de 1 dia","")</f>
        <v/>
      </c>
      <c r="C221" s="222" t="e">
        <f>IF(dadosexternosBMF_1!A223="DOL - Dólar comercial","",IF(C220&lt;&gt;"",dadosexternosBMF_1!B223,IF(dadosexternosBMF_1!A223="DI1 - DI de 1 dia",dadosexternosBMF_1!B223,"")))</f>
        <v>#REF!</v>
      </c>
      <c r="D221" s="222" t="e">
        <f>IF(C221&lt;&gt;"",dadosexternosBMF_1!C223,"")</f>
        <v>#REF!</v>
      </c>
      <c r="E221" s="222" t="e">
        <f>IF(C221&lt;&gt;"",dadosexternosBMF_1!D223,"")</f>
        <v>#REF!</v>
      </c>
      <c r="G221" s="219" t="e">
        <f t="shared" si="37"/>
        <v>#REF!</v>
      </c>
      <c r="H221" s="219" t="e">
        <f t="shared" si="38"/>
        <v>#REF!</v>
      </c>
      <c r="I221" s="219" t="e">
        <f t="shared" si="39"/>
        <v>#REF!</v>
      </c>
      <c r="J221" s="219" t="e">
        <f>IF(I221="","",VLOOKUP(LEFT(C221,1),dadosexternosBMF_1!$L$2:$M$13,2,FALSE))</f>
        <v>#REF!</v>
      </c>
      <c r="K221" s="219" t="e">
        <f t="shared" si="40"/>
        <v>#REF!</v>
      </c>
      <c r="L221" s="422" t="e">
        <f t="shared" si="41"/>
        <v>#REF!</v>
      </c>
      <c r="M221" s="422" t="e">
        <f>IF(I221="","",WORKDAY(L221-1,1,FERIADOS!$A$2:$A$831))</f>
        <v>#REF!</v>
      </c>
      <c r="N221" s="219" t="e">
        <f>IF(I221="","",NETWORKDAYS(Curva!$M$2,M221,FERIADOS!$A$2:$A$831)-1)</f>
        <v>#REF!</v>
      </c>
      <c r="O221" s="423" t="e">
        <f>IF(C221&lt;&gt;"",IF(ISERROR((100000/E221)^(252/N221)-1),Curva!$B$2,((100000/E221)^(252/N221)-1)),"")</f>
        <v>#REF!</v>
      </c>
      <c r="P221" s="219" t="e">
        <f>IF(OR(G221=1,G221=2),dadosexternosBMF_1!B223,"")</f>
        <v>#REF!</v>
      </c>
      <c r="Q221" s="219" t="e">
        <f>IF(OR(G221=1,G221=2),dadosexternosBMF_1!D223,"")</f>
        <v>#REF!</v>
      </c>
    </row>
    <row r="222" spans="1:17" x14ac:dyDescent="0.2">
      <c r="A222" s="222" t="e">
        <f t="shared" si="36"/>
        <v>#REF!</v>
      </c>
      <c r="B222" s="222" t="str">
        <f>IF(dadosexternosBMF_1!A224="DI1 - DI de 1 dia","DI1 - DI de 1 dia","")</f>
        <v/>
      </c>
      <c r="C222" s="222" t="e">
        <f>IF(dadosexternosBMF_1!A224="DOL - Dólar comercial","",IF(C221&lt;&gt;"",dadosexternosBMF_1!B224,IF(dadosexternosBMF_1!A224="DI1 - DI de 1 dia",dadosexternosBMF_1!B224,"")))</f>
        <v>#REF!</v>
      </c>
      <c r="D222" s="222" t="e">
        <f>IF(C222&lt;&gt;"",dadosexternosBMF_1!C224,"")</f>
        <v>#REF!</v>
      </c>
      <c r="E222" s="222" t="e">
        <f>IF(C222&lt;&gt;"",dadosexternosBMF_1!D224,"")</f>
        <v>#REF!</v>
      </c>
      <c r="G222" s="219" t="e">
        <f t="shared" si="37"/>
        <v>#REF!</v>
      </c>
      <c r="H222" s="219" t="e">
        <f t="shared" si="38"/>
        <v>#REF!</v>
      </c>
      <c r="I222" s="219" t="e">
        <f t="shared" si="39"/>
        <v>#REF!</v>
      </c>
      <c r="J222" s="219" t="e">
        <f>IF(I222="","",VLOOKUP(LEFT(C222,1),dadosexternosBMF_1!$L$2:$M$13,2,FALSE))</f>
        <v>#REF!</v>
      </c>
      <c r="K222" s="219" t="e">
        <f t="shared" si="40"/>
        <v>#REF!</v>
      </c>
      <c r="L222" s="422" t="e">
        <f t="shared" si="41"/>
        <v>#REF!</v>
      </c>
      <c r="M222" s="422" t="e">
        <f>IF(I222="","",WORKDAY(L222-1,1,FERIADOS!$A$2:$A$831))</f>
        <v>#REF!</v>
      </c>
      <c r="N222" s="219" t="e">
        <f>IF(I222="","",NETWORKDAYS(Curva!$M$2,M222,FERIADOS!$A$2:$A$831)-1)</f>
        <v>#REF!</v>
      </c>
      <c r="O222" s="423" t="e">
        <f>IF(C222&lt;&gt;"",IF(ISERROR((100000/E222)^(252/N222)-1),Curva!$B$2,((100000/E222)^(252/N222)-1)),"")</f>
        <v>#REF!</v>
      </c>
      <c r="P222" s="219" t="e">
        <f>IF(OR(G222=1,G222=2),dadosexternosBMF_1!B224,"")</f>
        <v>#REF!</v>
      </c>
      <c r="Q222" s="219" t="e">
        <f>IF(OR(G222=1,G222=2),dadosexternosBMF_1!D224,"")</f>
        <v>#REF!</v>
      </c>
    </row>
    <row r="223" spans="1:17" x14ac:dyDescent="0.2">
      <c r="A223" s="222" t="e">
        <f t="shared" si="36"/>
        <v>#REF!</v>
      </c>
      <c r="B223" s="222" t="str">
        <f>IF(dadosexternosBMF_1!A226="DI1 - DI de 1 dia","DI1 - DI de 1 dia","")</f>
        <v/>
      </c>
      <c r="C223" s="222" t="e">
        <f>IF(dadosexternosBMF_1!A226="DOL - Dólar comercial","",IF(C222&lt;&gt;"",dadosexternosBMF_1!B226,IF(dadosexternosBMF_1!A226="DI1 - DI de 1 dia",dadosexternosBMF_1!B226,"")))</f>
        <v>#REF!</v>
      </c>
      <c r="D223" s="222" t="e">
        <f>IF(C223&lt;&gt;"",dadosexternosBMF_1!C226,"")</f>
        <v>#REF!</v>
      </c>
      <c r="E223" s="222" t="e">
        <f>IF(C223&lt;&gt;"",dadosexternosBMF_1!D226,"")</f>
        <v>#REF!</v>
      </c>
      <c r="G223" s="219" t="e">
        <f t="shared" si="37"/>
        <v>#REF!</v>
      </c>
      <c r="H223" s="219" t="e">
        <f t="shared" si="38"/>
        <v>#REF!</v>
      </c>
      <c r="I223" s="219" t="e">
        <f t="shared" si="39"/>
        <v>#REF!</v>
      </c>
      <c r="J223" s="219" t="e">
        <f>IF(I223="","",VLOOKUP(LEFT(C223,1),dadosexternosBMF_1!$L$2:$M$13,2,FALSE))</f>
        <v>#REF!</v>
      </c>
      <c r="K223" s="219" t="e">
        <f t="shared" si="40"/>
        <v>#REF!</v>
      </c>
      <c r="L223" s="422" t="e">
        <f t="shared" si="41"/>
        <v>#REF!</v>
      </c>
      <c r="M223" s="422" t="e">
        <f>IF(I223="","",WORKDAY(L223-1,1,FERIADOS!$A$2:$A$831))</f>
        <v>#REF!</v>
      </c>
      <c r="N223" s="219" t="e">
        <f>IF(I223="","",NETWORKDAYS(Curva!$M$2,M223,FERIADOS!$A$2:$A$831)-1)</f>
        <v>#REF!</v>
      </c>
      <c r="O223" s="423" t="e">
        <f>IF(C223&lt;&gt;"",IF(ISERROR((100000/E223)^(252/N223)-1),Curva!$B$2,((100000/E223)^(252/N223)-1)),"")</f>
        <v>#REF!</v>
      </c>
      <c r="P223" s="219" t="e">
        <f>IF(OR(G223=1,G223=2),dadosexternosBMF_1!B226,"")</f>
        <v>#REF!</v>
      </c>
      <c r="Q223" s="219" t="e">
        <f>IF(OR(G223=1,G223=2),dadosexternosBMF_1!D226,"")</f>
        <v>#REF!</v>
      </c>
    </row>
    <row r="224" spans="1:17" x14ac:dyDescent="0.2">
      <c r="A224" s="222" t="e">
        <f t="shared" si="36"/>
        <v>#REF!</v>
      </c>
      <c r="B224" s="222" t="str">
        <f>IF(dadosexternosBMF_1!A227="DI1 - DI de 1 dia","DI1 - DI de 1 dia","")</f>
        <v/>
      </c>
      <c r="C224" s="222" t="e">
        <f>IF(dadosexternosBMF_1!A227="DOL - Dólar comercial","",IF(C223&lt;&gt;"",dadosexternosBMF_1!B227,IF(dadosexternosBMF_1!A227="DI1 - DI de 1 dia",dadosexternosBMF_1!B227,"")))</f>
        <v>#REF!</v>
      </c>
      <c r="D224" s="222" t="e">
        <f>IF(C224&lt;&gt;"",dadosexternosBMF_1!C227,"")</f>
        <v>#REF!</v>
      </c>
      <c r="E224" s="222" t="e">
        <f>IF(C224&lt;&gt;"",dadosexternosBMF_1!D227,"")</f>
        <v>#REF!</v>
      </c>
      <c r="G224" s="219" t="e">
        <f t="shared" si="37"/>
        <v>#REF!</v>
      </c>
      <c r="H224" s="219" t="e">
        <f t="shared" si="38"/>
        <v>#REF!</v>
      </c>
      <c r="I224" s="219" t="e">
        <f t="shared" si="39"/>
        <v>#REF!</v>
      </c>
      <c r="J224" s="219" t="e">
        <f>IF(I224="","",VLOOKUP(LEFT(C224,1),dadosexternosBMF_1!$L$2:$M$13,2,FALSE))</f>
        <v>#REF!</v>
      </c>
      <c r="K224" s="219" t="e">
        <f t="shared" si="40"/>
        <v>#REF!</v>
      </c>
      <c r="L224" s="422" t="e">
        <f t="shared" si="41"/>
        <v>#REF!</v>
      </c>
      <c r="M224" s="422" t="e">
        <f>IF(I224="","",WORKDAY(L224-1,1,FERIADOS!$A$2:$A$831))</f>
        <v>#REF!</v>
      </c>
      <c r="N224" s="219" t="e">
        <f>IF(I224="","",NETWORKDAYS(Curva!$M$2,M224,FERIADOS!$A$2:$A$831)-1)</f>
        <v>#REF!</v>
      </c>
      <c r="O224" s="423" t="e">
        <f>IF(C224&lt;&gt;"",IF(ISERROR((100000/E224)^(252/N224)-1),Curva!$B$2,((100000/E224)^(252/N224)-1)),"")</f>
        <v>#REF!</v>
      </c>
      <c r="P224" s="219" t="e">
        <f>IF(OR(G224=1,G224=2),dadosexternosBMF_1!B227,"")</f>
        <v>#REF!</v>
      </c>
      <c r="Q224" s="219" t="e">
        <f>IF(OR(G224=1,G224=2),dadosexternosBMF_1!D227,"")</f>
        <v>#REF!</v>
      </c>
    </row>
    <row r="225" spans="1:17" x14ac:dyDescent="0.2">
      <c r="A225" s="222" t="e">
        <f t="shared" si="36"/>
        <v>#REF!</v>
      </c>
      <c r="B225" s="222" t="str">
        <f>IF(dadosexternosBMF_1!A228="DI1 - DI de 1 dia","DI1 - DI de 1 dia","")</f>
        <v/>
      </c>
      <c r="C225" s="222" t="e">
        <f>IF(dadosexternosBMF_1!A228="DOL - Dólar comercial","",IF(C224&lt;&gt;"",dadosexternosBMF_1!B228,IF(dadosexternosBMF_1!A228="DI1 - DI de 1 dia",dadosexternosBMF_1!B228,"")))</f>
        <v>#REF!</v>
      </c>
      <c r="D225" s="222" t="e">
        <f>IF(C225&lt;&gt;"",dadosexternosBMF_1!C228,"")</f>
        <v>#REF!</v>
      </c>
      <c r="E225" s="222" t="e">
        <f>IF(C225&lt;&gt;"",dadosexternosBMF_1!D228,"")</f>
        <v>#REF!</v>
      </c>
      <c r="G225" s="219" t="e">
        <f t="shared" si="37"/>
        <v>#REF!</v>
      </c>
      <c r="H225" s="219" t="e">
        <f t="shared" si="38"/>
        <v>#REF!</v>
      </c>
      <c r="I225" s="219" t="e">
        <f t="shared" si="39"/>
        <v>#REF!</v>
      </c>
      <c r="J225" s="219" t="e">
        <f>IF(I225="","",VLOOKUP(LEFT(C225,1),dadosexternosBMF_1!$L$2:$M$13,2,FALSE))</f>
        <v>#REF!</v>
      </c>
      <c r="K225" s="219" t="e">
        <f t="shared" si="40"/>
        <v>#REF!</v>
      </c>
      <c r="L225" s="422" t="e">
        <f t="shared" si="41"/>
        <v>#REF!</v>
      </c>
      <c r="M225" s="422" t="e">
        <f>IF(I225="","",WORKDAY(L225-1,1,FERIADOS!$A$2:$A$831))</f>
        <v>#REF!</v>
      </c>
      <c r="N225" s="219" t="e">
        <f>IF(I225="","",NETWORKDAYS(Curva!$M$2,M225,FERIADOS!$A$2:$A$831)-1)</f>
        <v>#REF!</v>
      </c>
      <c r="O225" s="423" t="e">
        <f>IF(C225&lt;&gt;"",IF(ISERROR((100000/E225)^(252/N225)-1),Curva!$B$2,((100000/E225)^(252/N225)-1)),"")</f>
        <v>#REF!</v>
      </c>
      <c r="P225" s="219" t="e">
        <f>IF(OR(G225=1,G225=2),dadosexternosBMF_1!B228,"")</f>
        <v>#REF!</v>
      </c>
      <c r="Q225" s="219" t="e">
        <f>IF(OR(G225=1,G225=2),dadosexternosBMF_1!D228,"")</f>
        <v>#REF!</v>
      </c>
    </row>
    <row r="226" spans="1:17" x14ac:dyDescent="0.2">
      <c r="A226" s="222" t="e">
        <f t="shared" si="36"/>
        <v>#REF!</v>
      </c>
      <c r="B226" s="222" t="str">
        <f>IF(dadosexternosBMF_1!A229="DI1 - DI de 1 dia","DI1 - DI de 1 dia","")</f>
        <v/>
      </c>
      <c r="C226" s="222" t="e">
        <f>IF(dadosexternosBMF_1!A229="DOL - Dólar comercial","",IF(C225&lt;&gt;"",dadosexternosBMF_1!B229,IF(dadosexternosBMF_1!A229="DI1 - DI de 1 dia",dadosexternosBMF_1!B229,"")))</f>
        <v>#REF!</v>
      </c>
      <c r="D226" s="222" t="e">
        <f>IF(C226&lt;&gt;"",dadosexternosBMF_1!C229,"")</f>
        <v>#REF!</v>
      </c>
      <c r="E226" s="222" t="e">
        <f>IF(C226&lt;&gt;"",dadosexternosBMF_1!D229,"")</f>
        <v>#REF!</v>
      </c>
      <c r="G226" s="219" t="e">
        <f t="shared" si="37"/>
        <v>#REF!</v>
      </c>
      <c r="H226" s="219" t="e">
        <f t="shared" si="38"/>
        <v>#REF!</v>
      </c>
      <c r="I226" s="219" t="e">
        <f t="shared" si="39"/>
        <v>#REF!</v>
      </c>
      <c r="J226" s="219" t="e">
        <f>IF(I226="","",VLOOKUP(LEFT(C226,1),dadosexternosBMF_1!$L$2:$M$13,2,FALSE))</f>
        <v>#REF!</v>
      </c>
      <c r="K226" s="219" t="e">
        <f t="shared" si="40"/>
        <v>#REF!</v>
      </c>
      <c r="L226" s="422" t="e">
        <f t="shared" si="41"/>
        <v>#REF!</v>
      </c>
      <c r="M226" s="422" t="e">
        <f>IF(I226="","",WORKDAY(L226-1,1,FERIADOS!$A$2:$A$831))</f>
        <v>#REF!</v>
      </c>
      <c r="N226" s="219" t="e">
        <f>IF(I226="","",NETWORKDAYS(Curva!$M$2,M226,FERIADOS!$A$2:$A$831)-1)</f>
        <v>#REF!</v>
      </c>
      <c r="O226" s="423" t="e">
        <f>IF(C226&lt;&gt;"",IF(ISERROR((100000/E226)^(252/N226)-1),Curva!$B$2,((100000/E226)^(252/N226)-1)),"")</f>
        <v>#REF!</v>
      </c>
      <c r="P226" s="219" t="e">
        <f>IF(OR(G226=1,G226=2),dadosexternosBMF_1!B229,"")</f>
        <v>#REF!</v>
      </c>
      <c r="Q226" s="219" t="e">
        <f>IF(OR(G226=1,G226=2),dadosexternosBMF_1!D229,"")</f>
        <v>#REF!</v>
      </c>
    </row>
    <row r="227" spans="1:17" x14ac:dyDescent="0.2">
      <c r="A227" s="222" t="e">
        <f t="shared" si="36"/>
        <v>#REF!</v>
      </c>
      <c r="B227" s="222" t="str">
        <f>IF(dadosexternosBMF_1!A230="DI1 - DI de 1 dia","DI1 - DI de 1 dia","")</f>
        <v/>
      </c>
      <c r="C227" s="222" t="e">
        <f>IF(dadosexternosBMF_1!A230="DOL - Dólar comercial","",IF(C226&lt;&gt;"",dadosexternosBMF_1!B230,IF(dadosexternosBMF_1!A230="DI1 - DI de 1 dia",dadosexternosBMF_1!B230,"")))</f>
        <v>#REF!</v>
      </c>
      <c r="D227" s="222" t="e">
        <f>IF(C227&lt;&gt;"",dadosexternosBMF_1!C230,"")</f>
        <v>#REF!</v>
      </c>
      <c r="E227" s="222" t="e">
        <f>IF(C227&lt;&gt;"",dadosexternosBMF_1!D230,"")</f>
        <v>#REF!</v>
      </c>
      <c r="G227" s="219" t="e">
        <f t="shared" si="37"/>
        <v>#REF!</v>
      </c>
      <c r="H227" s="219" t="e">
        <f t="shared" si="38"/>
        <v>#REF!</v>
      </c>
      <c r="I227" s="219" t="e">
        <f t="shared" si="39"/>
        <v>#REF!</v>
      </c>
      <c r="J227" s="219" t="e">
        <f>IF(I227="","",VLOOKUP(LEFT(C227,1),dadosexternosBMF_1!$L$2:$M$13,2,FALSE))</f>
        <v>#REF!</v>
      </c>
      <c r="K227" s="219" t="e">
        <f t="shared" si="40"/>
        <v>#REF!</v>
      </c>
      <c r="L227" s="422" t="e">
        <f t="shared" si="41"/>
        <v>#REF!</v>
      </c>
      <c r="M227" s="422" t="e">
        <f>IF(I227="","",WORKDAY(L227-1,1,FERIADOS!$A$2:$A$831))</f>
        <v>#REF!</v>
      </c>
      <c r="N227" s="219" t="e">
        <f>IF(I227="","",NETWORKDAYS(Curva!$M$2,M227,FERIADOS!$A$2:$A$831)-1)</f>
        <v>#REF!</v>
      </c>
      <c r="O227" s="423" t="e">
        <f>IF(C227&lt;&gt;"",IF(ISERROR((100000/E227)^(252/N227)-1),Curva!$B$2,((100000/E227)^(252/N227)-1)),"")</f>
        <v>#REF!</v>
      </c>
      <c r="P227" s="219" t="e">
        <f>IF(OR(G227=1,G227=2),dadosexternosBMF_1!B230,"")</f>
        <v>#REF!</v>
      </c>
      <c r="Q227" s="219" t="e">
        <f>IF(OR(G227=1,G227=2),dadosexternosBMF_1!D230,"")</f>
        <v>#REF!</v>
      </c>
    </row>
    <row r="228" spans="1:17" x14ac:dyDescent="0.2">
      <c r="A228" s="222" t="e">
        <f t="shared" si="36"/>
        <v>#REF!</v>
      </c>
      <c r="B228" s="222" t="str">
        <f>IF(dadosexternosBMF_1!A231="DI1 - DI de 1 dia","DI1 - DI de 1 dia","")</f>
        <v/>
      </c>
      <c r="C228" s="222" t="e">
        <f>IF(dadosexternosBMF_1!A231="DOL - Dólar comercial","",IF(C227&lt;&gt;"",dadosexternosBMF_1!B231,IF(dadosexternosBMF_1!A231="DI1 - DI de 1 dia",dadosexternosBMF_1!B231,"")))</f>
        <v>#REF!</v>
      </c>
      <c r="D228" s="222" t="e">
        <f>IF(C228&lt;&gt;"",dadosexternosBMF_1!C231,"")</f>
        <v>#REF!</v>
      </c>
      <c r="E228" s="222" t="e">
        <f>IF(C228&lt;&gt;"",dadosexternosBMF_1!D231,"")</f>
        <v>#REF!</v>
      </c>
      <c r="G228" s="219" t="e">
        <f t="shared" si="37"/>
        <v>#REF!</v>
      </c>
      <c r="H228" s="219" t="e">
        <f t="shared" si="38"/>
        <v>#REF!</v>
      </c>
      <c r="I228" s="219" t="e">
        <f t="shared" si="39"/>
        <v>#REF!</v>
      </c>
      <c r="J228" s="219" t="e">
        <f>IF(I228="","",VLOOKUP(LEFT(C228,1),dadosexternosBMF_1!$L$2:$M$13,2,FALSE))</f>
        <v>#REF!</v>
      </c>
      <c r="K228" s="219" t="e">
        <f t="shared" si="40"/>
        <v>#REF!</v>
      </c>
      <c r="L228" s="422" t="e">
        <f t="shared" si="41"/>
        <v>#REF!</v>
      </c>
      <c r="M228" s="422" t="e">
        <f>IF(I228="","",WORKDAY(L228-1,1,FERIADOS!$A$2:$A$831))</f>
        <v>#REF!</v>
      </c>
      <c r="N228" s="219" t="e">
        <f>IF(I228="","",NETWORKDAYS(Curva!$M$2,M228,FERIADOS!$A$2:$A$831)-1)</f>
        <v>#REF!</v>
      </c>
      <c r="O228" s="423" t="e">
        <f>IF(C228&lt;&gt;"",IF(ISERROR((100000/E228)^(252/N228)-1),Curva!$B$2,((100000/E228)^(252/N228)-1)),"")</f>
        <v>#REF!</v>
      </c>
      <c r="P228" s="219" t="e">
        <f>IF(OR(G228=1,G228=2),dadosexternosBMF_1!B231,"")</f>
        <v>#REF!</v>
      </c>
      <c r="Q228" s="219" t="e">
        <f>IF(OR(G228=1,G228=2),dadosexternosBMF_1!D231,"")</f>
        <v>#REF!</v>
      </c>
    </row>
    <row r="229" spans="1:17" x14ac:dyDescent="0.2">
      <c r="A229" s="222" t="e">
        <f t="shared" si="36"/>
        <v>#REF!</v>
      </c>
      <c r="B229" s="222" t="str">
        <f>IF(dadosexternosBMF_1!A232="DI1 - DI de 1 dia","DI1 - DI de 1 dia","")</f>
        <v/>
      </c>
      <c r="C229" s="222" t="e">
        <f>IF(dadosexternosBMF_1!A232="DOL - Dólar comercial","",IF(C228&lt;&gt;"",dadosexternosBMF_1!B232,IF(dadosexternosBMF_1!A232="DI1 - DI de 1 dia",dadosexternosBMF_1!B232,"")))</f>
        <v>#REF!</v>
      </c>
      <c r="D229" s="222" t="e">
        <f>IF(C229&lt;&gt;"",dadosexternosBMF_1!C232,"")</f>
        <v>#REF!</v>
      </c>
      <c r="E229" s="222" t="e">
        <f>IF(C229&lt;&gt;"",dadosexternosBMF_1!D232,"")</f>
        <v>#REF!</v>
      </c>
      <c r="G229" s="219" t="e">
        <f t="shared" si="37"/>
        <v>#REF!</v>
      </c>
      <c r="H229" s="219" t="e">
        <f t="shared" si="38"/>
        <v>#REF!</v>
      </c>
      <c r="I229" s="219" t="e">
        <f t="shared" si="39"/>
        <v>#REF!</v>
      </c>
      <c r="J229" s="219" t="e">
        <f>IF(I229="","",VLOOKUP(LEFT(C229,1),dadosexternosBMF_1!$L$2:$M$13,2,FALSE))</f>
        <v>#REF!</v>
      </c>
      <c r="K229" s="219" t="e">
        <f t="shared" si="40"/>
        <v>#REF!</v>
      </c>
      <c r="L229" s="422" t="e">
        <f t="shared" si="41"/>
        <v>#REF!</v>
      </c>
      <c r="M229" s="422" t="e">
        <f>IF(I229="","",WORKDAY(L229-1,1,FERIADOS!$A$2:$A$831))</f>
        <v>#REF!</v>
      </c>
      <c r="N229" s="219" t="e">
        <f>IF(I229="","",NETWORKDAYS(Curva!$M$2,M229,FERIADOS!$A$2:$A$831)-1)</f>
        <v>#REF!</v>
      </c>
      <c r="O229" s="423" t="e">
        <f>IF(C229&lt;&gt;"",IF(ISERROR((100000/E229)^(252/N229)-1),Curva!$B$2,((100000/E229)^(252/N229)-1)),"")</f>
        <v>#REF!</v>
      </c>
      <c r="P229" s="219" t="e">
        <f>IF(OR(G229=1,G229=2),dadosexternosBMF_1!B232,"")</f>
        <v>#REF!</v>
      </c>
      <c r="Q229" s="219" t="e">
        <f>IF(OR(G229=1,G229=2),dadosexternosBMF_1!D232,"")</f>
        <v>#REF!</v>
      </c>
    </row>
    <row r="230" spans="1:17" x14ac:dyDescent="0.2">
      <c r="A230" s="222" t="e">
        <f t="shared" si="36"/>
        <v>#REF!</v>
      </c>
      <c r="B230" s="222" t="str">
        <f>IF(dadosexternosBMF_1!A233="DI1 - DI de 1 dia","DI1 - DI de 1 dia","")</f>
        <v/>
      </c>
      <c r="C230" s="222" t="e">
        <f>IF(dadosexternosBMF_1!A233="DOL - Dólar comercial","",IF(C229&lt;&gt;"",dadosexternosBMF_1!B233,IF(dadosexternosBMF_1!A233="DI1 - DI de 1 dia",dadosexternosBMF_1!B233,"")))</f>
        <v>#REF!</v>
      </c>
      <c r="D230" s="222" t="e">
        <f>IF(C230&lt;&gt;"",dadosexternosBMF_1!C233,"")</f>
        <v>#REF!</v>
      </c>
      <c r="E230" s="222" t="e">
        <f>IF(C230&lt;&gt;"",dadosexternosBMF_1!D233,"")</f>
        <v>#REF!</v>
      </c>
      <c r="G230" s="219" t="e">
        <f t="shared" si="37"/>
        <v>#REF!</v>
      </c>
      <c r="H230" s="219" t="e">
        <f t="shared" si="38"/>
        <v>#REF!</v>
      </c>
      <c r="I230" s="219" t="e">
        <f t="shared" si="39"/>
        <v>#REF!</v>
      </c>
      <c r="J230" s="219" t="e">
        <f>IF(I230="","",VLOOKUP(LEFT(C230,1),dadosexternosBMF_1!$L$2:$M$13,2,FALSE))</f>
        <v>#REF!</v>
      </c>
      <c r="K230" s="219" t="e">
        <f t="shared" si="40"/>
        <v>#REF!</v>
      </c>
      <c r="L230" s="422" t="e">
        <f t="shared" si="41"/>
        <v>#REF!</v>
      </c>
      <c r="M230" s="422" t="e">
        <f>IF(I230="","",WORKDAY(L230-1,1,FERIADOS!$A$2:$A$831))</f>
        <v>#REF!</v>
      </c>
      <c r="N230" s="219" t="e">
        <f>IF(I230="","",NETWORKDAYS(Curva!$M$2,M230,FERIADOS!$A$2:$A$831)-1)</f>
        <v>#REF!</v>
      </c>
      <c r="O230" s="423" t="e">
        <f>IF(C230&lt;&gt;"",IF(ISERROR((100000/E230)^(252/N230)-1),Curva!$B$2,((100000/E230)^(252/N230)-1)),"")</f>
        <v>#REF!</v>
      </c>
      <c r="P230" s="219" t="e">
        <f>IF(OR(G230=1,G230=2),dadosexternosBMF_1!B233,"")</f>
        <v>#REF!</v>
      </c>
      <c r="Q230" s="219" t="e">
        <f>IF(OR(G230=1,G230=2),dadosexternosBMF_1!D233,"")</f>
        <v>#REF!</v>
      </c>
    </row>
    <row r="231" spans="1:17" x14ac:dyDescent="0.2">
      <c r="A231" s="222" t="e">
        <f t="shared" si="36"/>
        <v>#REF!</v>
      </c>
      <c r="B231" s="222" t="str">
        <f>IF(dadosexternosBMF_1!A234="DI1 - DI de 1 dia","DI1 - DI de 1 dia","")</f>
        <v/>
      </c>
      <c r="C231" s="222" t="e">
        <f>IF(dadosexternosBMF_1!A234="DOL - Dólar comercial","",IF(C230&lt;&gt;"",dadosexternosBMF_1!B234,IF(dadosexternosBMF_1!A234="DI1 - DI de 1 dia",dadosexternosBMF_1!B234,"")))</f>
        <v>#REF!</v>
      </c>
      <c r="D231" s="222" t="e">
        <f>IF(C231&lt;&gt;"",dadosexternosBMF_1!C234,"")</f>
        <v>#REF!</v>
      </c>
      <c r="E231" s="222" t="e">
        <f>IF(C231&lt;&gt;"",dadosexternosBMF_1!D234,"")</f>
        <v>#REF!</v>
      </c>
      <c r="G231" s="219" t="e">
        <f t="shared" si="37"/>
        <v>#REF!</v>
      </c>
      <c r="H231" s="219" t="e">
        <f t="shared" si="38"/>
        <v>#REF!</v>
      </c>
      <c r="I231" s="219" t="e">
        <f t="shared" si="39"/>
        <v>#REF!</v>
      </c>
      <c r="J231" s="219" t="e">
        <f>IF(I231="","",VLOOKUP(LEFT(C231,1),dadosexternosBMF_1!$L$2:$M$13,2,FALSE))</f>
        <v>#REF!</v>
      </c>
      <c r="K231" s="219" t="e">
        <f t="shared" si="40"/>
        <v>#REF!</v>
      </c>
      <c r="L231" s="422" t="e">
        <f t="shared" si="41"/>
        <v>#REF!</v>
      </c>
      <c r="M231" s="422" t="e">
        <f>IF(I231="","",WORKDAY(L231-1,1,FERIADOS!$A$2:$A$831))</f>
        <v>#REF!</v>
      </c>
      <c r="N231" s="219" t="e">
        <f>IF(I231="","",NETWORKDAYS(Curva!$M$2,M231,FERIADOS!$A$2:$A$831)-1)</f>
        <v>#REF!</v>
      </c>
      <c r="O231" s="423" t="e">
        <f>IF(C231&lt;&gt;"",IF(ISERROR((100000/E231)^(252/N231)-1),Curva!$B$2,((100000/E231)^(252/N231)-1)),"")</f>
        <v>#REF!</v>
      </c>
      <c r="P231" s="219" t="e">
        <f>IF(OR(G231=1,G231=2),dadosexternosBMF_1!B234,"")</f>
        <v>#REF!</v>
      </c>
      <c r="Q231" s="219" t="e">
        <f>IF(OR(G231=1,G231=2),dadosexternosBMF_1!D234,"")</f>
        <v>#REF!</v>
      </c>
    </row>
    <row r="232" spans="1:17" x14ac:dyDescent="0.2">
      <c r="A232" s="222" t="e">
        <f t="shared" si="36"/>
        <v>#REF!</v>
      </c>
      <c r="B232" s="222" t="str">
        <f>IF(dadosexternosBMF_1!A235="DI1 - DI de 1 dia","DI1 - DI de 1 dia","")</f>
        <v/>
      </c>
      <c r="C232" s="222" t="e">
        <f>IF(dadosexternosBMF_1!A235="DOL - Dólar comercial","",IF(C231&lt;&gt;"",dadosexternosBMF_1!B235,IF(dadosexternosBMF_1!A235="DI1 - DI de 1 dia",dadosexternosBMF_1!B235,"")))</f>
        <v>#REF!</v>
      </c>
      <c r="D232" s="222" t="e">
        <f>IF(C232&lt;&gt;"",dadosexternosBMF_1!C235,"")</f>
        <v>#REF!</v>
      </c>
      <c r="E232" s="222" t="e">
        <f>IF(C232&lt;&gt;"",dadosexternosBMF_1!D235,"")</f>
        <v>#REF!</v>
      </c>
      <c r="G232" s="219" t="e">
        <f t="shared" si="37"/>
        <v>#REF!</v>
      </c>
      <c r="H232" s="219" t="e">
        <f t="shared" si="38"/>
        <v>#REF!</v>
      </c>
      <c r="I232" s="219" t="e">
        <f t="shared" si="39"/>
        <v>#REF!</v>
      </c>
      <c r="J232" s="219" t="e">
        <f>IF(I232="","",VLOOKUP(LEFT(C232,1),dadosexternosBMF_1!$L$2:$M$13,2,FALSE))</f>
        <v>#REF!</v>
      </c>
      <c r="K232" s="219" t="e">
        <f t="shared" si="40"/>
        <v>#REF!</v>
      </c>
      <c r="L232" s="422" t="e">
        <f t="shared" si="41"/>
        <v>#REF!</v>
      </c>
      <c r="M232" s="422" t="e">
        <f>IF(I232="","",WORKDAY(L232-1,1,FERIADOS!$A$2:$A$831))</f>
        <v>#REF!</v>
      </c>
      <c r="N232" s="219" t="e">
        <f>IF(I232="","",NETWORKDAYS(Curva!$M$2,M232,FERIADOS!$A$2:$A$831)-1)</f>
        <v>#REF!</v>
      </c>
      <c r="O232" s="423" t="e">
        <f>IF(C232&lt;&gt;"",IF(ISERROR((100000/E232)^(252/N232)-1),Curva!$B$2,((100000/E232)^(252/N232)-1)),"")</f>
        <v>#REF!</v>
      </c>
      <c r="P232" s="219" t="e">
        <f>IF(OR(G232=1,G232=2),dadosexternosBMF_1!B235,"")</f>
        <v>#REF!</v>
      </c>
      <c r="Q232" s="219" t="e">
        <f>IF(OR(G232=1,G232=2),dadosexternosBMF_1!D235,"")</f>
        <v>#REF!</v>
      </c>
    </row>
    <row r="233" spans="1:17" x14ac:dyDescent="0.2">
      <c r="A233" s="222" t="e">
        <f t="shared" si="36"/>
        <v>#REF!</v>
      </c>
      <c r="B233" s="222" t="str">
        <f>IF(dadosexternosBMF_1!A236="DI1 - DI de 1 dia","DI1 - DI de 1 dia","")</f>
        <v/>
      </c>
      <c r="C233" s="222" t="e">
        <f>IF(dadosexternosBMF_1!A236="DOL - Dólar comercial","",IF(C232&lt;&gt;"",dadosexternosBMF_1!B236,IF(dadosexternosBMF_1!A236="DI1 - DI de 1 dia",dadosexternosBMF_1!B236,"")))</f>
        <v>#REF!</v>
      </c>
      <c r="D233" s="222" t="e">
        <f>IF(C233&lt;&gt;"",dadosexternosBMF_1!C236,"")</f>
        <v>#REF!</v>
      </c>
      <c r="E233" s="222" t="e">
        <f>IF(C233&lt;&gt;"",dadosexternosBMF_1!D236,"")</f>
        <v>#REF!</v>
      </c>
      <c r="G233" s="219" t="e">
        <f t="shared" si="37"/>
        <v>#REF!</v>
      </c>
      <c r="H233" s="219" t="e">
        <f t="shared" si="38"/>
        <v>#REF!</v>
      </c>
      <c r="I233" s="219" t="e">
        <f t="shared" si="39"/>
        <v>#REF!</v>
      </c>
      <c r="J233" s="219" t="e">
        <f>IF(I233="","",VLOOKUP(LEFT(C233,1),dadosexternosBMF_1!$L$2:$M$13,2,FALSE))</f>
        <v>#REF!</v>
      </c>
      <c r="K233" s="219" t="e">
        <f t="shared" si="40"/>
        <v>#REF!</v>
      </c>
      <c r="L233" s="422" t="e">
        <f t="shared" si="41"/>
        <v>#REF!</v>
      </c>
      <c r="M233" s="422" t="e">
        <f>IF(I233="","",WORKDAY(L233-1,1,FERIADOS!$A$2:$A$831))</f>
        <v>#REF!</v>
      </c>
      <c r="N233" s="219" t="e">
        <f>IF(I233="","",NETWORKDAYS(Curva!$M$2,M233,FERIADOS!$A$2:$A$831)-1)</f>
        <v>#REF!</v>
      </c>
      <c r="O233" s="423" t="e">
        <f>IF(C233&lt;&gt;"",IF(ISERROR((100000/E233)^(252/N233)-1),Curva!$B$2,((100000/E233)^(252/N233)-1)),"")</f>
        <v>#REF!</v>
      </c>
      <c r="P233" s="219" t="e">
        <f>IF(OR(G233=1,G233=2),dadosexternosBMF_1!B236,"")</f>
        <v>#REF!</v>
      </c>
      <c r="Q233" s="219" t="e">
        <f>IF(OR(G233=1,G233=2),dadosexternosBMF_1!D236,"")</f>
        <v>#REF!</v>
      </c>
    </row>
    <row r="234" spans="1:17" x14ac:dyDescent="0.2">
      <c r="A234" s="222" t="e">
        <f t="shared" si="36"/>
        <v>#REF!</v>
      </c>
      <c r="B234" s="222" t="str">
        <f>IF(dadosexternosBMF_1!A237="DI1 - DI de 1 dia","DI1 - DI de 1 dia","")</f>
        <v/>
      </c>
      <c r="C234" s="222" t="e">
        <f>IF(dadosexternosBMF_1!A237="DOL - Dólar comercial","",IF(C233&lt;&gt;"",dadosexternosBMF_1!B237,IF(dadosexternosBMF_1!A237="DI1 - DI de 1 dia",dadosexternosBMF_1!B237,"")))</f>
        <v>#REF!</v>
      </c>
      <c r="D234" s="222" t="e">
        <f>IF(C234&lt;&gt;"",dadosexternosBMF_1!C237,"")</f>
        <v>#REF!</v>
      </c>
      <c r="E234" s="222" t="e">
        <f>IF(C234&lt;&gt;"",dadosexternosBMF_1!D237,"")</f>
        <v>#REF!</v>
      </c>
      <c r="G234" s="219" t="e">
        <f t="shared" si="37"/>
        <v>#REF!</v>
      </c>
      <c r="H234" s="219" t="e">
        <f t="shared" si="38"/>
        <v>#REF!</v>
      </c>
      <c r="I234" s="219" t="e">
        <f t="shared" si="39"/>
        <v>#REF!</v>
      </c>
      <c r="J234" s="219" t="e">
        <f>IF(I234="","",VLOOKUP(LEFT(C234,1),dadosexternosBMF_1!$L$2:$M$13,2,FALSE))</f>
        <v>#REF!</v>
      </c>
      <c r="K234" s="219" t="e">
        <f t="shared" si="40"/>
        <v>#REF!</v>
      </c>
      <c r="L234" s="422" t="e">
        <f t="shared" si="41"/>
        <v>#REF!</v>
      </c>
      <c r="M234" s="422" t="e">
        <f>IF(I234="","",WORKDAY(L234-1,1,FERIADOS!$A$2:$A$831))</f>
        <v>#REF!</v>
      </c>
      <c r="N234" s="219" t="e">
        <f>IF(I234="","",NETWORKDAYS(Curva!$M$2,M234,FERIADOS!$A$2:$A$831)-1)</f>
        <v>#REF!</v>
      </c>
      <c r="O234" s="423" t="e">
        <f>IF(C234&lt;&gt;"",IF(ISERROR((100000/E234)^(252/N234)-1),Curva!$B$2,((100000/E234)^(252/N234)-1)),"")</f>
        <v>#REF!</v>
      </c>
      <c r="P234" s="219" t="e">
        <f>IF(OR(G234=1,G234=2),dadosexternosBMF_1!B237,"")</f>
        <v>#REF!</v>
      </c>
      <c r="Q234" s="219" t="e">
        <f>IF(OR(G234=1,G234=2),dadosexternosBMF_1!D237,"")</f>
        <v>#REF!</v>
      </c>
    </row>
    <row r="235" spans="1:17" x14ac:dyDescent="0.2">
      <c r="A235" s="222" t="e">
        <f t="shared" si="36"/>
        <v>#REF!</v>
      </c>
      <c r="B235" s="222" t="str">
        <f>IF(dadosexternosBMF_1!A238="DI1 - DI de 1 dia","DI1 - DI de 1 dia","")</f>
        <v/>
      </c>
      <c r="C235" s="222" t="e">
        <f>IF(dadosexternosBMF_1!A238="DOL - Dólar comercial","",IF(C234&lt;&gt;"",dadosexternosBMF_1!B238,IF(dadosexternosBMF_1!A238="DI1 - DI de 1 dia",dadosexternosBMF_1!B238,"")))</f>
        <v>#REF!</v>
      </c>
      <c r="D235" s="222" t="e">
        <f>IF(C235&lt;&gt;"",dadosexternosBMF_1!C238,"")</f>
        <v>#REF!</v>
      </c>
      <c r="E235" s="222" t="e">
        <f>IF(C235&lt;&gt;"",dadosexternosBMF_1!D238,"")</f>
        <v>#REF!</v>
      </c>
      <c r="G235" s="219" t="e">
        <f t="shared" si="37"/>
        <v>#REF!</v>
      </c>
      <c r="H235" s="219" t="e">
        <f t="shared" si="38"/>
        <v>#REF!</v>
      </c>
      <c r="I235" s="219" t="e">
        <f t="shared" si="39"/>
        <v>#REF!</v>
      </c>
      <c r="J235" s="219" t="e">
        <f>IF(I235="","",VLOOKUP(LEFT(C235,1),dadosexternosBMF_1!$L$2:$M$13,2,FALSE))</f>
        <v>#REF!</v>
      </c>
      <c r="K235" s="219" t="e">
        <f t="shared" si="40"/>
        <v>#REF!</v>
      </c>
      <c r="L235" s="422" t="e">
        <f t="shared" si="41"/>
        <v>#REF!</v>
      </c>
      <c r="M235" s="422" t="e">
        <f>IF(I235="","",WORKDAY(L235-1,1,FERIADOS!$A$2:$A$831))</f>
        <v>#REF!</v>
      </c>
      <c r="N235" s="219" t="e">
        <f>IF(I235="","",NETWORKDAYS(Curva!$M$2,M235,FERIADOS!$A$2:$A$831)-1)</f>
        <v>#REF!</v>
      </c>
      <c r="O235" s="423" t="e">
        <f>IF(C235&lt;&gt;"",IF(ISERROR((100000/E235)^(252/N235)-1),Curva!$B$2,((100000/E235)^(252/N235)-1)),"")</f>
        <v>#REF!</v>
      </c>
      <c r="P235" s="219" t="e">
        <f>IF(OR(G235=1,G235=2),dadosexternosBMF_1!B238,"")</f>
        <v>#REF!</v>
      </c>
      <c r="Q235" s="219" t="e">
        <f>IF(OR(G235=1,G235=2),dadosexternosBMF_1!D238,"")</f>
        <v>#REF!</v>
      </c>
    </row>
    <row r="236" spans="1:17" x14ac:dyDescent="0.2">
      <c r="A236" s="222" t="e">
        <f t="shared" si="36"/>
        <v>#REF!</v>
      </c>
      <c r="B236" s="222" t="str">
        <f>IF(dadosexternosBMF_1!A239="DI1 - DI de 1 dia","DI1 - DI de 1 dia","")</f>
        <v/>
      </c>
      <c r="C236" s="222" t="e">
        <f>IF(dadosexternosBMF_1!A239="DOL - Dólar comercial","",IF(C235&lt;&gt;"",dadosexternosBMF_1!B239,IF(dadosexternosBMF_1!A239="DI1 - DI de 1 dia",dadosexternosBMF_1!B239,"")))</f>
        <v>#REF!</v>
      </c>
      <c r="D236" s="222" t="e">
        <f>IF(C236&lt;&gt;"",dadosexternosBMF_1!C239,"")</f>
        <v>#REF!</v>
      </c>
      <c r="E236" s="222" t="e">
        <f>IF(C236&lt;&gt;"",dadosexternosBMF_1!D239,"")</f>
        <v>#REF!</v>
      </c>
      <c r="G236" s="219" t="e">
        <f t="shared" si="37"/>
        <v>#REF!</v>
      </c>
      <c r="H236" s="219" t="e">
        <f t="shared" si="38"/>
        <v>#REF!</v>
      </c>
      <c r="I236" s="219" t="e">
        <f t="shared" si="39"/>
        <v>#REF!</v>
      </c>
      <c r="J236" s="219" t="e">
        <f>IF(I236="","",VLOOKUP(LEFT(C236,1),dadosexternosBMF_1!$L$2:$M$13,2,FALSE))</f>
        <v>#REF!</v>
      </c>
      <c r="K236" s="219" t="e">
        <f t="shared" si="40"/>
        <v>#REF!</v>
      </c>
      <c r="L236" s="422" t="e">
        <f t="shared" si="41"/>
        <v>#REF!</v>
      </c>
      <c r="M236" s="422" t="e">
        <f>IF(I236="","",WORKDAY(L236-1,1,FERIADOS!$A$2:$A$831))</f>
        <v>#REF!</v>
      </c>
      <c r="N236" s="219" t="e">
        <f>IF(I236="","",NETWORKDAYS(Curva!$M$2,M236,FERIADOS!$A$2:$A$831)-1)</f>
        <v>#REF!</v>
      </c>
      <c r="O236" s="423" t="e">
        <f>IF(C236&lt;&gt;"",IF(ISERROR((100000/E236)^(252/N236)-1),Curva!$B$2,((100000/E236)^(252/N236)-1)),"")</f>
        <v>#REF!</v>
      </c>
      <c r="P236" s="219" t="e">
        <f>IF(OR(G236=1,G236=2),dadosexternosBMF_1!B239,"")</f>
        <v>#REF!</v>
      </c>
      <c r="Q236" s="219" t="e">
        <f>IF(OR(G236=1,G236=2),dadosexternosBMF_1!D239,"")</f>
        <v>#REF!</v>
      </c>
    </row>
    <row r="237" spans="1:17" x14ac:dyDescent="0.2">
      <c r="A237" s="222" t="e">
        <f t="shared" si="36"/>
        <v>#REF!</v>
      </c>
      <c r="B237" s="222" t="str">
        <f>IF(dadosexternosBMF_1!A240="DI1 - DI de 1 dia","DI1 - DI de 1 dia","")</f>
        <v/>
      </c>
      <c r="C237" s="222" t="e">
        <f>IF(dadosexternosBMF_1!A240="DOL - Dólar comercial","",IF(C236&lt;&gt;"",dadosexternosBMF_1!B240,IF(dadosexternosBMF_1!A240="DI1 - DI de 1 dia",dadosexternosBMF_1!B240,"")))</f>
        <v>#REF!</v>
      </c>
      <c r="D237" s="222" t="e">
        <f>IF(C237&lt;&gt;"",dadosexternosBMF_1!C240,"")</f>
        <v>#REF!</v>
      </c>
      <c r="E237" s="222" t="e">
        <f>IF(C237&lt;&gt;"",dadosexternosBMF_1!D240,"")</f>
        <v>#REF!</v>
      </c>
      <c r="G237" s="219" t="e">
        <f t="shared" si="37"/>
        <v>#REF!</v>
      </c>
      <c r="H237" s="219" t="e">
        <f t="shared" si="38"/>
        <v>#REF!</v>
      </c>
      <c r="I237" s="219" t="e">
        <f t="shared" si="39"/>
        <v>#REF!</v>
      </c>
      <c r="J237" s="219" t="e">
        <f>IF(I237="","",VLOOKUP(LEFT(C237,1),dadosexternosBMF_1!$L$2:$M$13,2,FALSE))</f>
        <v>#REF!</v>
      </c>
      <c r="K237" s="219" t="e">
        <f t="shared" si="40"/>
        <v>#REF!</v>
      </c>
      <c r="L237" s="422" t="e">
        <f t="shared" si="41"/>
        <v>#REF!</v>
      </c>
      <c r="M237" s="422" t="e">
        <f>IF(I237="","",WORKDAY(L237-1,1,FERIADOS!$A$2:$A$831))</f>
        <v>#REF!</v>
      </c>
      <c r="N237" s="219" t="e">
        <f>IF(I237="","",NETWORKDAYS(Curva!$M$2,M237,FERIADOS!$A$2:$A$831)-1)</f>
        <v>#REF!</v>
      </c>
      <c r="O237" s="423" t="e">
        <f>IF(C237&lt;&gt;"",IF(ISERROR((100000/E237)^(252/N237)-1),Curva!$B$2,((100000/E237)^(252/N237)-1)),"")</f>
        <v>#REF!</v>
      </c>
      <c r="P237" s="219" t="e">
        <f>IF(OR(G237=1,G237=2),dadosexternosBMF_1!B240,"")</f>
        <v>#REF!</v>
      </c>
      <c r="Q237" s="219" t="e">
        <f>IF(OR(G237=1,G237=2),dadosexternosBMF_1!D240,"")</f>
        <v>#REF!</v>
      </c>
    </row>
    <row r="238" spans="1:17" x14ac:dyDescent="0.2">
      <c r="A238" s="222" t="e">
        <f t="shared" si="36"/>
        <v>#REF!</v>
      </c>
      <c r="B238" s="222" t="str">
        <f>IF(dadosexternosBMF_1!A241="DI1 - DI de 1 dia","DI1 - DI de 1 dia","")</f>
        <v/>
      </c>
      <c r="C238" s="222" t="e">
        <f>IF(dadosexternosBMF_1!A241="DOL - Dólar comercial","",IF(C237&lt;&gt;"",dadosexternosBMF_1!B241,IF(dadosexternosBMF_1!A241="DI1 - DI de 1 dia",dadosexternosBMF_1!B241,"")))</f>
        <v>#REF!</v>
      </c>
      <c r="D238" s="222" t="e">
        <f>IF(C238&lt;&gt;"",dadosexternosBMF_1!C241,"")</f>
        <v>#REF!</v>
      </c>
      <c r="E238" s="222" t="e">
        <f>IF(C238&lt;&gt;"",dadosexternosBMF_1!D241,"")</f>
        <v>#REF!</v>
      </c>
      <c r="G238" s="219" t="e">
        <f t="shared" si="37"/>
        <v>#REF!</v>
      </c>
      <c r="H238" s="219" t="e">
        <f t="shared" si="38"/>
        <v>#REF!</v>
      </c>
      <c r="I238" s="219" t="e">
        <f t="shared" si="39"/>
        <v>#REF!</v>
      </c>
      <c r="J238" s="219" t="e">
        <f>IF(I238="","",VLOOKUP(LEFT(C238,1),dadosexternosBMF_1!$L$2:$M$13,2,FALSE))</f>
        <v>#REF!</v>
      </c>
      <c r="K238" s="219" t="e">
        <f t="shared" si="40"/>
        <v>#REF!</v>
      </c>
      <c r="L238" s="422" t="e">
        <f t="shared" si="41"/>
        <v>#REF!</v>
      </c>
      <c r="M238" s="422" t="e">
        <f>IF(I238="","",WORKDAY(L238-1,1,FERIADOS!$A$2:$A$831))</f>
        <v>#REF!</v>
      </c>
      <c r="N238" s="219" t="e">
        <f>IF(I238="","",NETWORKDAYS(Curva!$M$2,M238,FERIADOS!$A$2:$A$831)-1)</f>
        <v>#REF!</v>
      </c>
      <c r="O238" s="423" t="e">
        <f>IF(C238&lt;&gt;"",IF(ISERROR((100000/E238)^(252/N238)-1),Curva!$B$2,((100000/E238)^(252/N238)-1)),"")</f>
        <v>#REF!</v>
      </c>
      <c r="P238" s="219" t="e">
        <f>IF(OR(G238=1,G238=2),dadosexternosBMF_1!B241,"")</f>
        <v>#REF!</v>
      </c>
      <c r="Q238" s="219" t="e">
        <f>IF(OR(G238=1,G238=2),dadosexternosBMF_1!D241,"")</f>
        <v>#REF!</v>
      </c>
    </row>
    <row r="239" spans="1:17" x14ac:dyDescent="0.2">
      <c r="A239" s="222" t="e">
        <f t="shared" si="36"/>
        <v>#REF!</v>
      </c>
      <c r="B239" s="222" t="str">
        <f>IF(dadosexternosBMF_1!A242="DI1 - DI de 1 dia","DI1 - DI de 1 dia","")</f>
        <v/>
      </c>
      <c r="C239" s="222" t="e">
        <f>IF(dadosexternosBMF_1!A242="DOL - Dólar comercial","",IF(C238&lt;&gt;"",dadosexternosBMF_1!B242,IF(dadosexternosBMF_1!A242="DI1 - DI de 1 dia",dadosexternosBMF_1!B242,"")))</f>
        <v>#REF!</v>
      </c>
      <c r="D239" s="222" t="e">
        <f>IF(C239&lt;&gt;"",dadosexternosBMF_1!C242,"")</f>
        <v>#REF!</v>
      </c>
      <c r="E239" s="222" t="e">
        <f>IF(C239&lt;&gt;"",dadosexternosBMF_1!D242,"")</f>
        <v>#REF!</v>
      </c>
      <c r="G239" s="219" t="e">
        <f t="shared" si="37"/>
        <v>#REF!</v>
      </c>
      <c r="H239" s="219" t="e">
        <f t="shared" si="38"/>
        <v>#REF!</v>
      </c>
      <c r="I239" s="219" t="e">
        <f t="shared" si="39"/>
        <v>#REF!</v>
      </c>
      <c r="J239" s="219" t="e">
        <f>IF(I239="","",VLOOKUP(LEFT(C239,1),dadosexternosBMF_1!$L$2:$M$13,2,FALSE))</f>
        <v>#REF!</v>
      </c>
      <c r="K239" s="219" t="e">
        <f t="shared" si="40"/>
        <v>#REF!</v>
      </c>
      <c r="L239" s="422" t="e">
        <f t="shared" si="41"/>
        <v>#REF!</v>
      </c>
      <c r="M239" s="422" t="e">
        <f>IF(I239="","",WORKDAY(L239-1,1,FERIADOS!$A$2:$A$831))</f>
        <v>#REF!</v>
      </c>
      <c r="N239" s="219" t="e">
        <f>IF(I239="","",NETWORKDAYS(Curva!$M$2,M239,FERIADOS!$A$2:$A$831)-1)</f>
        <v>#REF!</v>
      </c>
      <c r="O239" s="423" t="e">
        <f>IF(C239&lt;&gt;"",IF(ISERROR((100000/E239)^(252/N239)-1),Curva!$B$2,((100000/E239)^(252/N239)-1)),"")</f>
        <v>#REF!</v>
      </c>
      <c r="P239" s="219" t="e">
        <f>IF(OR(G239=1,G239=2),dadosexternosBMF_1!B242,"")</f>
        <v>#REF!</v>
      </c>
      <c r="Q239" s="219" t="e">
        <f>IF(OR(G239=1,G239=2),dadosexternosBMF_1!D242,"")</f>
        <v>#REF!</v>
      </c>
    </row>
    <row r="240" spans="1:17" x14ac:dyDescent="0.2">
      <c r="A240" s="222" t="e">
        <f t="shared" si="36"/>
        <v>#REF!</v>
      </c>
      <c r="B240" s="222" t="str">
        <f>IF(dadosexternosBMF_1!A243="DI1 - DI de 1 dia","DI1 - DI de 1 dia","")</f>
        <v/>
      </c>
      <c r="C240" s="222" t="e">
        <f>IF(dadosexternosBMF_1!A243="DOL - Dólar comercial","",IF(C239&lt;&gt;"",dadosexternosBMF_1!B243,IF(dadosexternosBMF_1!A243="DI1 - DI de 1 dia",dadosexternosBMF_1!B243,"")))</f>
        <v>#REF!</v>
      </c>
      <c r="D240" s="222" t="e">
        <f>IF(C240&lt;&gt;"",dadosexternosBMF_1!C243,"")</f>
        <v>#REF!</v>
      </c>
      <c r="E240" s="222" t="e">
        <f>IF(C240&lt;&gt;"",dadosexternosBMF_1!D243,"")</f>
        <v>#REF!</v>
      </c>
      <c r="G240" s="219" t="e">
        <f t="shared" si="37"/>
        <v>#REF!</v>
      </c>
      <c r="H240" s="219" t="e">
        <f t="shared" si="38"/>
        <v>#REF!</v>
      </c>
      <c r="I240" s="219" t="e">
        <f t="shared" si="39"/>
        <v>#REF!</v>
      </c>
      <c r="J240" s="219" t="e">
        <f>IF(I240="","",VLOOKUP(LEFT(C240,1),dadosexternosBMF_1!$L$2:$M$13,2,FALSE))</f>
        <v>#REF!</v>
      </c>
      <c r="K240" s="219" t="e">
        <f t="shared" si="40"/>
        <v>#REF!</v>
      </c>
      <c r="L240" s="422" t="e">
        <f t="shared" si="41"/>
        <v>#REF!</v>
      </c>
      <c r="M240" s="422" t="e">
        <f>IF(I240="","",WORKDAY(L240-1,1,FERIADOS!$A$2:$A$831))</f>
        <v>#REF!</v>
      </c>
      <c r="N240" s="219" t="e">
        <f>IF(I240="","",NETWORKDAYS(Curva!$M$2,M240,FERIADOS!$A$2:$A$831)-1)</f>
        <v>#REF!</v>
      </c>
      <c r="O240" s="423" t="e">
        <f>IF(C240&lt;&gt;"",IF(ISERROR((100000/E240)^(252/N240)-1),Curva!$B$2,((100000/E240)^(252/N240)-1)),"")</f>
        <v>#REF!</v>
      </c>
      <c r="P240" s="219" t="e">
        <f>IF(OR(G240=1,G240=2),dadosexternosBMF_1!B243,"")</f>
        <v>#REF!</v>
      </c>
      <c r="Q240" s="219" t="e">
        <f>IF(OR(G240=1,G240=2),dadosexternosBMF_1!D243,"")</f>
        <v>#REF!</v>
      </c>
    </row>
    <row r="241" spans="1:17" x14ac:dyDescent="0.2">
      <c r="A241" s="222" t="e">
        <f t="shared" si="36"/>
        <v>#REF!</v>
      </c>
      <c r="B241" s="222" t="str">
        <f>IF(dadosexternosBMF_1!A244="DI1 - DI de 1 dia","DI1 - DI de 1 dia","")</f>
        <v/>
      </c>
      <c r="C241" s="222" t="e">
        <f>IF(dadosexternosBMF_1!A244="DOL - Dólar comercial","",IF(C240&lt;&gt;"",dadosexternosBMF_1!B244,IF(dadosexternosBMF_1!A244="DI1 - DI de 1 dia",dadosexternosBMF_1!B244,"")))</f>
        <v>#REF!</v>
      </c>
      <c r="D241" s="222" t="e">
        <f>IF(C241&lt;&gt;"",dadosexternosBMF_1!C244,"")</f>
        <v>#REF!</v>
      </c>
      <c r="E241" s="222" t="e">
        <f>IF(C241&lt;&gt;"",dadosexternosBMF_1!D244,"")</f>
        <v>#REF!</v>
      </c>
      <c r="G241" s="219" t="e">
        <f t="shared" si="37"/>
        <v>#REF!</v>
      </c>
      <c r="H241" s="219" t="e">
        <f t="shared" si="38"/>
        <v>#REF!</v>
      </c>
      <c r="I241" s="219" t="e">
        <f t="shared" si="39"/>
        <v>#REF!</v>
      </c>
      <c r="J241" s="219" t="e">
        <f>IF(I241="","",VLOOKUP(LEFT(C241,1),dadosexternosBMF_1!$L$2:$M$13,2,FALSE))</f>
        <v>#REF!</v>
      </c>
      <c r="K241" s="219" t="e">
        <f t="shared" si="40"/>
        <v>#REF!</v>
      </c>
      <c r="L241" s="422" t="e">
        <f t="shared" si="41"/>
        <v>#REF!</v>
      </c>
      <c r="M241" s="422" t="e">
        <f>IF(I241="","",WORKDAY(L241-1,1,FERIADOS!$A$2:$A$831))</f>
        <v>#REF!</v>
      </c>
      <c r="N241" s="219" t="e">
        <f>IF(I241="","",NETWORKDAYS(Curva!$M$2,M241,FERIADOS!$A$2:$A$831)-1)</f>
        <v>#REF!</v>
      </c>
      <c r="O241" s="423" t="e">
        <f>IF(C241&lt;&gt;"",IF(ISERROR((100000/E241)^(252/N241)-1),Curva!$B$2,((100000/E241)^(252/N241)-1)),"")</f>
        <v>#REF!</v>
      </c>
      <c r="P241" s="219" t="e">
        <f>IF(OR(G241=1,G241=2),dadosexternosBMF_1!B244,"")</f>
        <v>#REF!</v>
      </c>
      <c r="Q241" s="219" t="e">
        <f>IF(OR(G241=1,G241=2),dadosexternosBMF_1!D244,"")</f>
        <v>#REF!</v>
      </c>
    </row>
    <row r="242" spans="1:17" x14ac:dyDescent="0.2">
      <c r="A242" s="222" t="e">
        <f t="shared" si="36"/>
        <v>#REF!</v>
      </c>
      <c r="B242" s="222" t="str">
        <f>IF(dadosexternosBMF_1!A245="DI1 - DI de 1 dia","DI1 - DI de 1 dia","")</f>
        <v/>
      </c>
      <c r="C242" s="222" t="e">
        <f>IF(dadosexternosBMF_1!A245="DOL - Dólar comercial","",IF(C241&lt;&gt;"",dadosexternosBMF_1!B245,IF(dadosexternosBMF_1!A245="DI1 - DI de 1 dia",dadosexternosBMF_1!B245,"")))</f>
        <v>#REF!</v>
      </c>
      <c r="D242" s="222" t="e">
        <f>IF(C242&lt;&gt;"",dadosexternosBMF_1!C245,"")</f>
        <v>#REF!</v>
      </c>
      <c r="E242" s="222" t="e">
        <f>IF(C242&lt;&gt;"",dadosexternosBMF_1!D245,"")</f>
        <v>#REF!</v>
      </c>
      <c r="G242" s="219" t="e">
        <f t="shared" si="37"/>
        <v>#REF!</v>
      </c>
      <c r="H242" s="219" t="e">
        <f t="shared" si="38"/>
        <v>#REF!</v>
      </c>
      <c r="I242" s="219" t="e">
        <f t="shared" si="39"/>
        <v>#REF!</v>
      </c>
      <c r="J242" s="219" t="e">
        <f>IF(I242="","",VLOOKUP(LEFT(C242,1),dadosexternosBMF_1!$L$2:$M$13,2,FALSE))</f>
        <v>#REF!</v>
      </c>
      <c r="K242" s="219" t="e">
        <f t="shared" si="40"/>
        <v>#REF!</v>
      </c>
      <c r="L242" s="422" t="e">
        <f t="shared" si="41"/>
        <v>#REF!</v>
      </c>
      <c r="M242" s="422" t="e">
        <f>IF(I242="","",WORKDAY(L242-1,1,FERIADOS!$A$2:$A$831))</f>
        <v>#REF!</v>
      </c>
      <c r="N242" s="219" t="e">
        <f>IF(I242="","",NETWORKDAYS(Curva!$M$2,M242,FERIADOS!$A$2:$A$831)-1)</f>
        <v>#REF!</v>
      </c>
      <c r="O242" s="423" t="e">
        <f>IF(C242&lt;&gt;"",IF(ISERROR((100000/E242)^(252/N242)-1),Curva!$B$2,((100000/E242)^(252/N242)-1)),"")</f>
        <v>#REF!</v>
      </c>
      <c r="P242" s="219" t="e">
        <f>IF(OR(G242=1,G242=2),dadosexternosBMF_1!B245,"")</f>
        <v>#REF!</v>
      </c>
      <c r="Q242" s="219" t="e">
        <f>IF(OR(G242=1,G242=2),dadosexternosBMF_1!D245,"")</f>
        <v>#REF!</v>
      </c>
    </row>
    <row r="243" spans="1:17" x14ac:dyDescent="0.2">
      <c r="A243" s="222" t="e">
        <f t="shared" si="36"/>
        <v>#REF!</v>
      </c>
      <c r="B243" s="222" t="str">
        <f>IF(dadosexternosBMF_1!A246="DI1 - DI de 1 dia","DI1 - DI de 1 dia","")</f>
        <v/>
      </c>
      <c r="C243" s="222" t="e">
        <f>IF(dadosexternosBMF_1!A246="DOL - Dólar comercial","",IF(C242&lt;&gt;"",dadosexternosBMF_1!B246,IF(dadosexternosBMF_1!A246="DI1 - DI de 1 dia",dadosexternosBMF_1!B246,"")))</f>
        <v>#REF!</v>
      </c>
      <c r="D243" s="222" t="e">
        <f>IF(C243&lt;&gt;"",dadosexternosBMF_1!C246,"")</f>
        <v>#REF!</v>
      </c>
      <c r="E243" s="222" t="e">
        <f>IF(C243&lt;&gt;"",dadosexternosBMF_1!D246,"")</f>
        <v>#REF!</v>
      </c>
      <c r="G243" s="219" t="e">
        <f t="shared" si="37"/>
        <v>#REF!</v>
      </c>
      <c r="H243" s="219" t="e">
        <f t="shared" si="38"/>
        <v>#REF!</v>
      </c>
      <c r="I243" s="219" t="e">
        <f t="shared" si="39"/>
        <v>#REF!</v>
      </c>
      <c r="J243" s="219" t="e">
        <f>IF(I243="","",VLOOKUP(LEFT(C243,1),dadosexternosBMF_1!$L$2:$M$13,2,FALSE))</f>
        <v>#REF!</v>
      </c>
      <c r="K243" s="219" t="e">
        <f t="shared" si="40"/>
        <v>#REF!</v>
      </c>
      <c r="L243" s="422" t="e">
        <f t="shared" si="41"/>
        <v>#REF!</v>
      </c>
      <c r="M243" s="422" t="e">
        <f>IF(I243="","",WORKDAY(L243-1,1,FERIADOS!$A$2:$A$831))</f>
        <v>#REF!</v>
      </c>
      <c r="N243" s="219" t="e">
        <f>IF(I243="","",NETWORKDAYS(Curva!$M$2,M243,FERIADOS!$A$2:$A$831)-1)</f>
        <v>#REF!</v>
      </c>
      <c r="O243" s="423" t="e">
        <f>IF(C243&lt;&gt;"",IF(ISERROR((100000/E243)^(252/N243)-1),Curva!$B$2,((100000/E243)^(252/N243)-1)),"")</f>
        <v>#REF!</v>
      </c>
      <c r="P243" s="219" t="e">
        <f>IF(OR(G243=1,G243=2),dadosexternosBMF_1!B246,"")</f>
        <v>#REF!</v>
      </c>
      <c r="Q243" s="219" t="e">
        <f>IF(OR(G243=1,G243=2),dadosexternosBMF_1!D246,"")</f>
        <v>#REF!</v>
      </c>
    </row>
    <row r="244" spans="1:17" x14ac:dyDescent="0.2">
      <c r="A244" s="222" t="e">
        <f t="shared" si="36"/>
        <v>#REF!</v>
      </c>
      <c r="B244" s="222" t="str">
        <f>IF(dadosexternosBMF_1!A247="DI1 - DI de 1 dia","DI1 - DI de 1 dia","")</f>
        <v/>
      </c>
      <c r="C244" s="222" t="e">
        <f>IF(dadosexternosBMF_1!A247="DOL - Dólar comercial","",IF(C243&lt;&gt;"",dadosexternosBMF_1!B247,IF(dadosexternosBMF_1!A247="DI1 - DI de 1 dia",dadosexternosBMF_1!B247,"")))</f>
        <v>#REF!</v>
      </c>
      <c r="D244" s="222" t="e">
        <f>IF(C244&lt;&gt;"",dadosexternosBMF_1!C247,"")</f>
        <v>#REF!</v>
      </c>
      <c r="E244" s="222" t="e">
        <f>IF(C244&lt;&gt;"",dadosexternosBMF_1!D247,"")</f>
        <v>#REF!</v>
      </c>
      <c r="G244" s="219" t="e">
        <f t="shared" si="37"/>
        <v>#REF!</v>
      </c>
      <c r="H244" s="219" t="e">
        <f t="shared" si="38"/>
        <v>#REF!</v>
      </c>
      <c r="I244" s="219" t="e">
        <f t="shared" si="39"/>
        <v>#REF!</v>
      </c>
      <c r="J244" s="219" t="e">
        <f>IF(I244="","",VLOOKUP(LEFT(C244,1),dadosexternosBMF_1!$L$2:$M$13,2,FALSE))</f>
        <v>#REF!</v>
      </c>
      <c r="K244" s="219" t="e">
        <f t="shared" si="40"/>
        <v>#REF!</v>
      </c>
      <c r="L244" s="422" t="e">
        <f t="shared" si="41"/>
        <v>#REF!</v>
      </c>
      <c r="M244" s="422" t="e">
        <f>IF(I244="","",WORKDAY(L244-1,1,FERIADOS!$A$2:$A$831))</f>
        <v>#REF!</v>
      </c>
      <c r="N244" s="219" t="e">
        <f>IF(I244="","",NETWORKDAYS(Curva!$M$2,M244,FERIADOS!$A$2:$A$831)-1)</f>
        <v>#REF!</v>
      </c>
      <c r="O244" s="423" t="e">
        <f>IF(C244&lt;&gt;"",IF(ISERROR((100000/E244)^(252/N244)-1),Curva!$B$2,((100000/E244)^(252/N244)-1)),"")</f>
        <v>#REF!</v>
      </c>
      <c r="P244" s="219" t="e">
        <f>IF(OR(G244=1,G244=2),dadosexternosBMF_1!B247,"")</f>
        <v>#REF!</v>
      </c>
      <c r="Q244" s="219" t="e">
        <f>IF(OR(G244=1,G244=2),dadosexternosBMF_1!D247,"")</f>
        <v>#REF!</v>
      </c>
    </row>
    <row r="245" spans="1:17" x14ac:dyDescent="0.2">
      <c r="A245" s="222" t="e">
        <f t="shared" si="36"/>
        <v>#REF!</v>
      </c>
      <c r="B245" s="222" t="str">
        <f>IF(dadosexternosBMF_1!A248="DI1 - DI de 1 dia","DI1 - DI de 1 dia","")</f>
        <v/>
      </c>
      <c r="C245" s="222" t="e">
        <f>IF(dadosexternosBMF_1!A248="DOL - Dólar comercial","",IF(C244&lt;&gt;"",dadosexternosBMF_1!B248,IF(dadosexternosBMF_1!A248="DI1 - DI de 1 dia",dadosexternosBMF_1!B248,"")))</f>
        <v>#REF!</v>
      </c>
      <c r="D245" s="222" t="e">
        <f>IF(C245&lt;&gt;"",dadosexternosBMF_1!C248,"")</f>
        <v>#REF!</v>
      </c>
      <c r="E245" s="222" t="e">
        <f>IF(C245&lt;&gt;"",dadosexternosBMF_1!D248,"")</f>
        <v>#REF!</v>
      </c>
      <c r="G245" s="219" t="e">
        <f t="shared" si="37"/>
        <v>#REF!</v>
      </c>
      <c r="H245" s="219" t="e">
        <f t="shared" si="38"/>
        <v>#REF!</v>
      </c>
      <c r="I245" s="219" t="e">
        <f t="shared" si="39"/>
        <v>#REF!</v>
      </c>
      <c r="J245" s="219" t="e">
        <f>IF(I245="","",VLOOKUP(LEFT(C245,1),dadosexternosBMF_1!$L$2:$M$13,2,FALSE))</f>
        <v>#REF!</v>
      </c>
      <c r="K245" s="219" t="e">
        <f t="shared" si="40"/>
        <v>#REF!</v>
      </c>
      <c r="L245" s="422" t="e">
        <f t="shared" si="41"/>
        <v>#REF!</v>
      </c>
      <c r="M245" s="422" t="e">
        <f>IF(I245="","",WORKDAY(L245-1,1,FERIADOS!$A$2:$A$831))</f>
        <v>#REF!</v>
      </c>
      <c r="N245" s="219" t="e">
        <f>IF(I245="","",NETWORKDAYS(Curva!$M$2,M245,FERIADOS!$A$2:$A$831)-1)</f>
        <v>#REF!</v>
      </c>
      <c r="O245" s="423" t="e">
        <f>IF(C245&lt;&gt;"",IF(ISERROR((100000/E245)^(252/N245)-1),Curva!$B$2,((100000/E245)^(252/N245)-1)),"")</f>
        <v>#REF!</v>
      </c>
      <c r="P245" s="219" t="e">
        <f>IF(OR(G245=1,G245=2),dadosexternosBMF_1!B248,"")</f>
        <v>#REF!</v>
      </c>
      <c r="Q245" s="219" t="e">
        <f>IF(OR(G245=1,G245=2),dadosexternosBMF_1!D248,"")</f>
        <v>#REF!</v>
      </c>
    </row>
    <row r="246" spans="1:17" x14ac:dyDescent="0.2">
      <c r="A246" s="222" t="e">
        <f t="shared" si="36"/>
        <v>#REF!</v>
      </c>
      <c r="B246" s="222" t="str">
        <f>IF(dadosexternosBMF_1!A249="DI1 - DI de 1 dia","DI1 - DI de 1 dia","")</f>
        <v/>
      </c>
      <c r="C246" s="222" t="e">
        <f>IF(dadosexternosBMF_1!A249="DOL - Dólar comercial","",IF(C245&lt;&gt;"",dadosexternosBMF_1!B249,IF(dadosexternosBMF_1!A249="DI1 - DI de 1 dia",dadosexternosBMF_1!B249,"")))</f>
        <v>#REF!</v>
      </c>
      <c r="D246" s="222" t="e">
        <f>IF(C246&lt;&gt;"",dadosexternosBMF_1!C249,"")</f>
        <v>#REF!</v>
      </c>
      <c r="E246" s="222" t="e">
        <f>IF(C246&lt;&gt;"",dadosexternosBMF_1!D249,"")</f>
        <v>#REF!</v>
      </c>
      <c r="G246" s="219" t="e">
        <f t="shared" si="37"/>
        <v>#REF!</v>
      </c>
      <c r="H246" s="219" t="e">
        <f t="shared" si="38"/>
        <v>#REF!</v>
      </c>
      <c r="I246" s="219" t="e">
        <f t="shared" si="39"/>
        <v>#REF!</v>
      </c>
      <c r="J246" s="219" t="e">
        <f>IF(I246="","",VLOOKUP(LEFT(C246,1),dadosexternosBMF_1!$L$2:$M$13,2,FALSE))</f>
        <v>#REF!</v>
      </c>
      <c r="K246" s="219" t="e">
        <f t="shared" si="40"/>
        <v>#REF!</v>
      </c>
      <c r="L246" s="422" t="e">
        <f t="shared" si="41"/>
        <v>#REF!</v>
      </c>
      <c r="M246" s="422" t="e">
        <f>IF(I246="","",WORKDAY(L246-1,1,FERIADOS!$A$2:$A$831))</f>
        <v>#REF!</v>
      </c>
      <c r="N246" s="219" t="e">
        <f>IF(I246="","",NETWORKDAYS(Curva!$M$2,M246,FERIADOS!$A$2:$A$831)-1)</f>
        <v>#REF!</v>
      </c>
      <c r="O246" s="423" t="e">
        <f>IF(C246&lt;&gt;"",IF(ISERROR((100000/E246)^(252/N246)-1),Curva!$B$2,((100000/E246)^(252/N246)-1)),"")</f>
        <v>#REF!</v>
      </c>
      <c r="P246" s="219" t="e">
        <f>IF(OR(G246=1,G246=2),dadosexternosBMF_1!B249,"")</f>
        <v>#REF!</v>
      </c>
      <c r="Q246" s="219" t="e">
        <f>IF(OR(G246=1,G246=2),dadosexternosBMF_1!D249,"")</f>
        <v>#REF!</v>
      </c>
    </row>
    <row r="247" spans="1:17" x14ac:dyDescent="0.2">
      <c r="A247" s="222" t="e">
        <f t="shared" si="36"/>
        <v>#REF!</v>
      </c>
      <c r="B247" s="222" t="str">
        <f>IF(dadosexternosBMF_1!A250="DI1 - DI de 1 dia","DI1 - DI de 1 dia","")</f>
        <v/>
      </c>
      <c r="C247" s="222" t="e">
        <f>IF(dadosexternosBMF_1!A250="DOL - Dólar comercial","",IF(C246&lt;&gt;"",dadosexternosBMF_1!B250,IF(dadosexternosBMF_1!A250="DI1 - DI de 1 dia",dadosexternosBMF_1!B250,"")))</f>
        <v>#REF!</v>
      </c>
      <c r="D247" s="222" t="e">
        <f>IF(C247&lt;&gt;"",dadosexternosBMF_1!C250,"")</f>
        <v>#REF!</v>
      </c>
      <c r="E247" s="222" t="e">
        <f>IF(C247&lt;&gt;"",dadosexternosBMF_1!D250,"")</f>
        <v>#REF!</v>
      </c>
      <c r="G247" s="219" t="e">
        <f t="shared" si="37"/>
        <v>#REF!</v>
      </c>
      <c r="H247" s="219" t="e">
        <f t="shared" si="38"/>
        <v>#REF!</v>
      </c>
      <c r="I247" s="219" t="e">
        <f t="shared" si="39"/>
        <v>#REF!</v>
      </c>
      <c r="J247" s="219" t="e">
        <f>IF(I247="","",VLOOKUP(LEFT(C247,1),dadosexternosBMF_1!$L$2:$M$13,2,FALSE))</f>
        <v>#REF!</v>
      </c>
      <c r="K247" s="219" t="e">
        <f t="shared" si="40"/>
        <v>#REF!</v>
      </c>
      <c r="L247" s="422" t="e">
        <f t="shared" si="41"/>
        <v>#REF!</v>
      </c>
      <c r="M247" s="422" t="e">
        <f>IF(I247="","",WORKDAY(L247-1,1,FERIADOS!$A$2:$A$831))</f>
        <v>#REF!</v>
      </c>
      <c r="N247" s="219" t="e">
        <f>IF(I247="","",NETWORKDAYS(Curva!$M$2,M247,FERIADOS!$A$2:$A$831)-1)</f>
        <v>#REF!</v>
      </c>
      <c r="O247" s="423" t="e">
        <f>IF(C247&lt;&gt;"",IF(ISERROR((100000/E247)^(252/N247)-1),Curva!$B$2,((100000/E247)^(252/N247)-1)),"")</f>
        <v>#REF!</v>
      </c>
      <c r="P247" s="219" t="e">
        <f>IF(OR(G247=1,G247=2),dadosexternosBMF_1!B250,"")</f>
        <v>#REF!</v>
      </c>
      <c r="Q247" s="219" t="e">
        <f>IF(OR(G247=1,G247=2),dadosexternosBMF_1!D250,"")</f>
        <v>#REF!</v>
      </c>
    </row>
    <row r="248" spans="1:17" x14ac:dyDescent="0.2">
      <c r="A248" s="222" t="e">
        <f t="shared" si="36"/>
        <v>#REF!</v>
      </c>
      <c r="B248" s="222" t="str">
        <f>IF(dadosexternosBMF_1!A251="DI1 - DI de 1 dia","DI1 - DI de 1 dia","")</f>
        <v/>
      </c>
      <c r="C248" s="222" t="e">
        <f>IF(dadosexternosBMF_1!A251="DOL - Dólar comercial","",IF(C247&lt;&gt;"",dadosexternosBMF_1!B251,IF(dadosexternosBMF_1!A251="DI1 - DI de 1 dia",dadosexternosBMF_1!B251,"")))</f>
        <v>#REF!</v>
      </c>
      <c r="D248" s="222" t="e">
        <f>IF(C248&lt;&gt;"",dadosexternosBMF_1!C251,"")</f>
        <v>#REF!</v>
      </c>
      <c r="E248" s="222" t="e">
        <f>IF(C248&lt;&gt;"",dadosexternosBMF_1!D251,"")</f>
        <v>#REF!</v>
      </c>
      <c r="G248" s="219" t="e">
        <f t="shared" si="37"/>
        <v>#REF!</v>
      </c>
      <c r="H248" s="219" t="e">
        <f t="shared" si="38"/>
        <v>#REF!</v>
      </c>
      <c r="I248" s="219" t="e">
        <f t="shared" si="39"/>
        <v>#REF!</v>
      </c>
      <c r="J248" s="219" t="e">
        <f>IF(I248="","",VLOOKUP(LEFT(C248,1),dadosexternosBMF_1!$L$2:$M$13,2,FALSE))</f>
        <v>#REF!</v>
      </c>
      <c r="K248" s="219" t="e">
        <f t="shared" si="40"/>
        <v>#REF!</v>
      </c>
      <c r="L248" s="422" t="e">
        <f t="shared" si="41"/>
        <v>#REF!</v>
      </c>
      <c r="M248" s="422" t="e">
        <f>IF(I248="","",WORKDAY(L248-1,1,FERIADOS!$A$2:$A$831))</f>
        <v>#REF!</v>
      </c>
      <c r="N248" s="219" t="e">
        <f>IF(I248="","",NETWORKDAYS(Curva!$M$2,M248,FERIADOS!$A$2:$A$831)-1)</f>
        <v>#REF!</v>
      </c>
      <c r="O248" s="423" t="e">
        <f>IF(C248&lt;&gt;"",IF(ISERROR((100000/E248)^(252/N248)-1),Curva!$B$2,((100000/E248)^(252/N248)-1)),"")</f>
        <v>#REF!</v>
      </c>
      <c r="P248" s="219" t="e">
        <f>IF(OR(G248=1,G248=2),dadosexternosBMF_1!B251,"")</f>
        <v>#REF!</v>
      </c>
      <c r="Q248" s="219" t="e">
        <f>IF(OR(G248=1,G248=2),dadosexternosBMF_1!D251,"")</f>
        <v>#REF!</v>
      </c>
    </row>
    <row r="249" spans="1:17" x14ac:dyDescent="0.2">
      <c r="A249" s="222" t="e">
        <f t="shared" si="36"/>
        <v>#REF!</v>
      </c>
      <c r="B249" s="222" t="str">
        <f>IF(dadosexternosBMF_1!A252="DI1 - DI de 1 dia","DI1 - DI de 1 dia","")</f>
        <v/>
      </c>
      <c r="C249" s="222" t="e">
        <f>IF(dadosexternosBMF_1!A252="DOL - Dólar comercial","",IF(C248&lt;&gt;"",dadosexternosBMF_1!B252,IF(dadosexternosBMF_1!A252="DI1 - DI de 1 dia",dadosexternosBMF_1!B252,"")))</f>
        <v>#REF!</v>
      </c>
      <c r="D249" s="222" t="e">
        <f>IF(C249&lt;&gt;"",dadosexternosBMF_1!C252,"")</f>
        <v>#REF!</v>
      </c>
      <c r="E249" s="222" t="e">
        <f>IF(C249&lt;&gt;"",dadosexternosBMF_1!D252,"")</f>
        <v>#REF!</v>
      </c>
      <c r="G249" s="219" t="e">
        <f t="shared" si="37"/>
        <v>#REF!</v>
      </c>
      <c r="H249" s="219" t="e">
        <f t="shared" si="38"/>
        <v>#REF!</v>
      </c>
      <c r="I249" s="219" t="e">
        <f t="shared" si="39"/>
        <v>#REF!</v>
      </c>
      <c r="J249" s="219" t="e">
        <f>IF(I249="","",VLOOKUP(LEFT(C249,1),dadosexternosBMF_1!$L$2:$M$13,2,FALSE))</f>
        <v>#REF!</v>
      </c>
      <c r="K249" s="219" t="e">
        <f t="shared" si="40"/>
        <v>#REF!</v>
      </c>
      <c r="L249" s="422" t="e">
        <f t="shared" si="41"/>
        <v>#REF!</v>
      </c>
      <c r="M249" s="422" t="e">
        <f>IF(I249="","",WORKDAY(L249-1,1,FERIADOS!$A$2:$A$831))</f>
        <v>#REF!</v>
      </c>
      <c r="N249" s="219" t="e">
        <f>IF(I249="","",NETWORKDAYS(Curva!$M$2,M249,FERIADOS!$A$2:$A$831)-1)</f>
        <v>#REF!</v>
      </c>
      <c r="O249" s="423" t="e">
        <f>IF(C249&lt;&gt;"",IF(ISERROR((100000/E249)^(252/N249)-1),Curva!$B$2,((100000/E249)^(252/N249)-1)),"")</f>
        <v>#REF!</v>
      </c>
      <c r="P249" s="219" t="e">
        <f>IF(OR(G249=1,G249=2),dadosexternosBMF_1!B252,"")</f>
        <v>#REF!</v>
      </c>
      <c r="Q249" s="219" t="e">
        <f>IF(OR(G249=1,G249=2),dadosexternosBMF_1!D252,"")</f>
        <v>#REF!</v>
      </c>
    </row>
    <row r="250" spans="1:17" x14ac:dyDescent="0.2">
      <c r="A250" s="222" t="e">
        <f t="shared" si="36"/>
        <v>#REF!</v>
      </c>
      <c r="B250" s="222" t="str">
        <f>IF(dadosexternosBMF_1!A253="DI1 - DI de 1 dia","DI1 - DI de 1 dia","")</f>
        <v/>
      </c>
      <c r="C250" s="222" t="e">
        <f>IF(dadosexternosBMF_1!A253="DOL - Dólar comercial","",IF(C249&lt;&gt;"",dadosexternosBMF_1!B253,IF(dadosexternosBMF_1!A253="DI1 - DI de 1 dia",dadosexternosBMF_1!B253,"")))</f>
        <v>#REF!</v>
      </c>
      <c r="D250" s="222" t="e">
        <f>IF(C250&lt;&gt;"",dadosexternosBMF_1!C253,"")</f>
        <v>#REF!</v>
      </c>
      <c r="E250" s="222" t="e">
        <f>IF(C250&lt;&gt;"",dadosexternosBMF_1!D253,"")</f>
        <v>#REF!</v>
      </c>
      <c r="G250" s="219" t="e">
        <f t="shared" si="37"/>
        <v>#REF!</v>
      </c>
      <c r="H250" s="219" t="e">
        <f t="shared" si="38"/>
        <v>#REF!</v>
      </c>
      <c r="I250" s="219" t="e">
        <f t="shared" si="39"/>
        <v>#REF!</v>
      </c>
      <c r="J250" s="219" t="e">
        <f>IF(I250="","",VLOOKUP(LEFT(C250,1),dadosexternosBMF_1!$L$2:$M$13,2,FALSE))</f>
        <v>#REF!</v>
      </c>
      <c r="K250" s="219" t="e">
        <f t="shared" si="40"/>
        <v>#REF!</v>
      </c>
      <c r="L250" s="422" t="e">
        <f t="shared" si="41"/>
        <v>#REF!</v>
      </c>
      <c r="M250" s="422" t="e">
        <f>IF(I250="","",WORKDAY(L250-1,1,FERIADOS!$A$2:$A$831))</f>
        <v>#REF!</v>
      </c>
      <c r="N250" s="219" t="e">
        <f>IF(I250="","",NETWORKDAYS(Curva!$M$2,M250,FERIADOS!$A$2:$A$831)-1)</f>
        <v>#REF!</v>
      </c>
      <c r="O250" s="423" t="e">
        <f>IF(C250&lt;&gt;"",IF(ISERROR((100000/E250)^(252/N250)-1),Curva!$B$2,((100000/E250)^(252/N250)-1)),"")</f>
        <v>#REF!</v>
      </c>
      <c r="P250" s="219" t="e">
        <f>IF(OR(G250=1,G250=2),dadosexternosBMF_1!B253,"")</f>
        <v>#REF!</v>
      </c>
      <c r="Q250" s="219" t="e">
        <f>IF(OR(G250=1,G250=2),dadosexternosBMF_1!D253,"")</f>
        <v>#REF!</v>
      </c>
    </row>
    <row r="251" spans="1:17" x14ac:dyDescent="0.2">
      <c r="A251" s="222" t="e">
        <f t="shared" si="36"/>
        <v>#REF!</v>
      </c>
      <c r="B251" s="222" t="str">
        <f>IF(dadosexternosBMF_1!A254="DI1 - DI de 1 dia","DI1 - DI de 1 dia","")</f>
        <v/>
      </c>
      <c r="C251" s="222" t="e">
        <f>IF(dadosexternosBMF_1!A254="DOL - Dólar comercial","",IF(C250&lt;&gt;"",dadosexternosBMF_1!B254,IF(dadosexternosBMF_1!A254="DI1 - DI de 1 dia",dadosexternosBMF_1!B254,"")))</f>
        <v>#REF!</v>
      </c>
      <c r="D251" s="222" t="e">
        <f>IF(C251&lt;&gt;"",dadosexternosBMF_1!C254,"")</f>
        <v>#REF!</v>
      </c>
      <c r="E251" s="222" t="e">
        <f>IF(C251&lt;&gt;"",dadosexternosBMF_1!D254,"")</f>
        <v>#REF!</v>
      </c>
      <c r="G251" s="219" t="e">
        <f t="shared" si="37"/>
        <v>#REF!</v>
      </c>
      <c r="H251" s="219" t="e">
        <f t="shared" si="38"/>
        <v>#REF!</v>
      </c>
      <c r="I251" s="219" t="e">
        <f t="shared" si="39"/>
        <v>#REF!</v>
      </c>
      <c r="J251" s="219" t="e">
        <f>IF(I251="","",VLOOKUP(LEFT(C251,1),dadosexternosBMF_1!$L$2:$M$13,2,FALSE))</f>
        <v>#REF!</v>
      </c>
      <c r="K251" s="219" t="e">
        <f t="shared" si="40"/>
        <v>#REF!</v>
      </c>
      <c r="L251" s="422" t="e">
        <f t="shared" si="41"/>
        <v>#REF!</v>
      </c>
      <c r="M251" s="422" t="e">
        <f>IF(I251="","",WORKDAY(L251-1,1,FERIADOS!$A$2:$A$831))</f>
        <v>#REF!</v>
      </c>
      <c r="N251" s="219" t="e">
        <f>IF(I251="","",NETWORKDAYS(Curva!$M$2,M251,FERIADOS!$A$2:$A$831)-1)</f>
        <v>#REF!</v>
      </c>
      <c r="O251" s="423" t="e">
        <f>IF(C251&lt;&gt;"",IF(ISERROR((100000/E251)^(252/N251)-1),Curva!$B$2,((100000/E251)^(252/N251)-1)),"")</f>
        <v>#REF!</v>
      </c>
      <c r="P251" s="219" t="e">
        <f>IF(OR(G251=1,G251=2),dadosexternosBMF_1!B254,"")</f>
        <v>#REF!</v>
      </c>
      <c r="Q251" s="219" t="e">
        <f>IF(OR(G251=1,G251=2),dadosexternosBMF_1!D254,"")</f>
        <v>#REF!</v>
      </c>
    </row>
    <row r="252" spans="1:17" x14ac:dyDescent="0.2">
      <c r="A252" s="222" t="e">
        <f t="shared" si="36"/>
        <v>#REF!</v>
      </c>
      <c r="B252" s="222" t="str">
        <f>IF(dadosexternosBMF_1!A255="DI1 - DI de 1 dia","DI1 - DI de 1 dia","")</f>
        <v/>
      </c>
      <c r="C252" s="222" t="e">
        <f>IF(dadosexternosBMF_1!A255="DOL - Dólar comercial","",IF(C251&lt;&gt;"",dadosexternosBMF_1!B255,IF(dadosexternosBMF_1!A255="DI1 - DI de 1 dia",dadosexternosBMF_1!B255,"")))</f>
        <v>#REF!</v>
      </c>
      <c r="D252" s="222" t="e">
        <f>IF(C252&lt;&gt;"",dadosexternosBMF_1!C255,"")</f>
        <v>#REF!</v>
      </c>
      <c r="E252" s="222" t="e">
        <f>IF(C252&lt;&gt;"",dadosexternosBMF_1!D255,"")</f>
        <v>#REF!</v>
      </c>
      <c r="G252" s="219" t="e">
        <f t="shared" si="37"/>
        <v>#REF!</v>
      </c>
      <c r="H252" s="219" t="e">
        <f t="shared" si="38"/>
        <v>#REF!</v>
      </c>
      <c r="I252" s="219" t="e">
        <f t="shared" si="39"/>
        <v>#REF!</v>
      </c>
      <c r="J252" s="219" t="e">
        <f>IF(I252="","",VLOOKUP(LEFT(C252,1),dadosexternosBMF_1!$L$2:$M$13,2,FALSE))</f>
        <v>#REF!</v>
      </c>
      <c r="K252" s="219" t="e">
        <f t="shared" si="40"/>
        <v>#REF!</v>
      </c>
      <c r="L252" s="422" t="e">
        <f t="shared" si="41"/>
        <v>#REF!</v>
      </c>
      <c r="M252" s="422" t="e">
        <f>IF(I252="","",WORKDAY(L252-1,1,FERIADOS!$A$2:$A$831))</f>
        <v>#REF!</v>
      </c>
      <c r="N252" s="219" t="e">
        <f>IF(I252="","",NETWORKDAYS(Curva!$M$2,M252,FERIADOS!$A$2:$A$831)-1)</f>
        <v>#REF!</v>
      </c>
      <c r="O252" s="423" t="e">
        <f>IF(C252&lt;&gt;"",IF(ISERROR((100000/E252)^(252/N252)-1),Curva!$B$2,((100000/E252)^(252/N252)-1)),"")</f>
        <v>#REF!</v>
      </c>
      <c r="P252" s="219" t="e">
        <f>IF(OR(G252=1,G252=2),dadosexternosBMF_1!B255,"")</f>
        <v>#REF!</v>
      </c>
      <c r="Q252" s="219" t="e">
        <f>IF(OR(G252=1,G252=2),dadosexternosBMF_1!D255,"")</f>
        <v>#REF!</v>
      </c>
    </row>
    <row r="253" spans="1:17" x14ac:dyDescent="0.2">
      <c r="A253" s="222" t="e">
        <f t="shared" si="36"/>
        <v>#REF!</v>
      </c>
      <c r="B253" s="222" t="str">
        <f>IF(dadosexternosBMF_1!A256="DI1 - DI de 1 dia","DI1 - DI de 1 dia","")</f>
        <v/>
      </c>
      <c r="C253" s="222" t="e">
        <f>IF(dadosexternosBMF_1!A256="DOL - Dólar comercial","",IF(C252&lt;&gt;"",dadosexternosBMF_1!B256,IF(dadosexternosBMF_1!A256="DI1 - DI de 1 dia",dadosexternosBMF_1!B256,"")))</f>
        <v>#REF!</v>
      </c>
      <c r="D253" s="222" t="e">
        <f>IF(C253&lt;&gt;"",dadosexternosBMF_1!C256,"")</f>
        <v>#REF!</v>
      </c>
      <c r="E253" s="222" t="e">
        <f>IF(C253&lt;&gt;"",dadosexternosBMF_1!D256,"")</f>
        <v>#REF!</v>
      </c>
      <c r="G253" s="219" t="e">
        <f t="shared" si="37"/>
        <v>#REF!</v>
      </c>
      <c r="H253" s="219" t="e">
        <f t="shared" si="38"/>
        <v>#REF!</v>
      </c>
      <c r="I253" s="219" t="e">
        <f t="shared" si="39"/>
        <v>#REF!</v>
      </c>
      <c r="J253" s="219" t="e">
        <f>IF(I253="","",VLOOKUP(LEFT(C253,1),dadosexternosBMF_1!$L$2:$M$13,2,FALSE))</f>
        <v>#REF!</v>
      </c>
      <c r="K253" s="219" t="e">
        <f t="shared" si="40"/>
        <v>#REF!</v>
      </c>
      <c r="L253" s="422" t="e">
        <f t="shared" si="41"/>
        <v>#REF!</v>
      </c>
      <c r="M253" s="422" t="e">
        <f>IF(I253="","",WORKDAY(L253-1,1,FERIADOS!$A$2:$A$831))</f>
        <v>#REF!</v>
      </c>
      <c r="N253" s="219" t="e">
        <f>IF(I253="","",NETWORKDAYS(Curva!$M$2,M253,FERIADOS!$A$2:$A$831)-1)</f>
        <v>#REF!</v>
      </c>
      <c r="O253" s="423" t="e">
        <f>IF(C253&lt;&gt;"",IF(ISERROR((100000/E253)^(252/N253)-1),Curva!$B$2,((100000/E253)^(252/N253)-1)),"")</f>
        <v>#REF!</v>
      </c>
      <c r="P253" s="219" t="e">
        <f>IF(OR(G253=1,G253=2),dadosexternosBMF_1!B256,"")</f>
        <v>#REF!</v>
      </c>
      <c r="Q253" s="219" t="e">
        <f>IF(OR(G253=1,G253=2),dadosexternosBMF_1!D256,"")</f>
        <v>#REF!</v>
      </c>
    </row>
    <row r="254" spans="1:17" x14ac:dyDescent="0.2">
      <c r="A254" s="222" t="e">
        <f t="shared" si="36"/>
        <v>#REF!</v>
      </c>
      <c r="B254" s="222" t="str">
        <f>IF(dadosexternosBMF_1!A257="DI1 - DI de 1 dia","DI1 - DI de 1 dia","")</f>
        <v/>
      </c>
      <c r="C254" s="222" t="e">
        <f>IF(dadosexternosBMF_1!A257="DOL - Dólar comercial","",IF(C253&lt;&gt;"",dadosexternosBMF_1!B257,IF(dadosexternosBMF_1!A257="DI1 - DI de 1 dia",dadosexternosBMF_1!B257,"")))</f>
        <v>#REF!</v>
      </c>
      <c r="D254" s="222" t="e">
        <f>IF(C254&lt;&gt;"",dadosexternosBMF_1!C257,"")</f>
        <v>#REF!</v>
      </c>
      <c r="E254" s="222" t="e">
        <f>IF(C254&lt;&gt;"",dadosexternosBMF_1!D257,"")</f>
        <v>#REF!</v>
      </c>
      <c r="G254" s="219" t="e">
        <f t="shared" si="37"/>
        <v>#REF!</v>
      </c>
      <c r="H254" s="219" t="e">
        <f t="shared" si="38"/>
        <v>#REF!</v>
      </c>
      <c r="I254" s="219" t="e">
        <f t="shared" si="39"/>
        <v>#REF!</v>
      </c>
      <c r="J254" s="219" t="e">
        <f>IF(I254="","",VLOOKUP(LEFT(C254,1),dadosexternosBMF_1!$L$2:$M$13,2,FALSE))</f>
        <v>#REF!</v>
      </c>
      <c r="K254" s="219" t="e">
        <f t="shared" si="40"/>
        <v>#REF!</v>
      </c>
      <c r="L254" s="422" t="e">
        <f t="shared" si="41"/>
        <v>#REF!</v>
      </c>
      <c r="M254" s="422" t="e">
        <f>IF(I254="","",WORKDAY(L254-1,1,FERIADOS!$A$2:$A$831))</f>
        <v>#REF!</v>
      </c>
      <c r="N254" s="219" t="e">
        <f>IF(I254="","",NETWORKDAYS(Curva!$M$2,M254,FERIADOS!$A$2:$A$831)-1)</f>
        <v>#REF!</v>
      </c>
      <c r="O254" s="423" t="e">
        <f>IF(C254&lt;&gt;"",IF(ISERROR((100000/E254)^(252/N254)-1),Curva!$B$2,((100000/E254)^(252/N254)-1)),"")</f>
        <v>#REF!</v>
      </c>
      <c r="P254" s="219" t="e">
        <f>IF(OR(G254=1,G254=2),dadosexternosBMF_1!B257,"")</f>
        <v>#REF!</v>
      </c>
      <c r="Q254" s="219" t="e">
        <f>IF(OR(G254=1,G254=2),dadosexternosBMF_1!D257,"")</f>
        <v>#REF!</v>
      </c>
    </row>
    <row r="255" spans="1:17" x14ac:dyDescent="0.2">
      <c r="A255" s="222" t="e">
        <f t="shared" si="36"/>
        <v>#REF!</v>
      </c>
      <c r="B255" s="222" t="str">
        <f>IF(dadosexternosBMF_1!A258="DI1 - DI de 1 dia","DI1 - DI de 1 dia","")</f>
        <v/>
      </c>
      <c r="C255" s="222" t="e">
        <f>IF(dadosexternosBMF_1!A258="DOL - Dólar comercial","",IF(C254&lt;&gt;"",dadosexternosBMF_1!B258,IF(dadosexternosBMF_1!A258="DI1 - DI de 1 dia",dadosexternosBMF_1!B258,"")))</f>
        <v>#REF!</v>
      </c>
      <c r="D255" s="222" t="e">
        <f>IF(C255&lt;&gt;"",dadosexternosBMF_1!C258,"")</f>
        <v>#REF!</v>
      </c>
      <c r="E255" s="222" t="e">
        <f>IF(C255&lt;&gt;"",dadosexternosBMF_1!D258,"")</f>
        <v>#REF!</v>
      </c>
      <c r="G255" s="219" t="e">
        <f t="shared" si="37"/>
        <v>#REF!</v>
      </c>
      <c r="H255" s="219" t="e">
        <f t="shared" si="38"/>
        <v>#REF!</v>
      </c>
      <c r="I255" s="219" t="e">
        <f t="shared" si="39"/>
        <v>#REF!</v>
      </c>
      <c r="J255" s="219" t="e">
        <f>IF(I255="","",VLOOKUP(LEFT(C255,1),dadosexternosBMF_1!$L$2:$M$13,2,FALSE))</f>
        <v>#REF!</v>
      </c>
      <c r="K255" s="219" t="e">
        <f t="shared" si="40"/>
        <v>#REF!</v>
      </c>
      <c r="L255" s="422" t="e">
        <f t="shared" si="41"/>
        <v>#REF!</v>
      </c>
      <c r="M255" s="422" t="e">
        <f>IF(I255="","",WORKDAY(L255-1,1,FERIADOS!$A$2:$A$831))</f>
        <v>#REF!</v>
      </c>
      <c r="N255" s="219" t="e">
        <f>IF(I255="","",NETWORKDAYS(Curva!$M$2,M255,FERIADOS!$A$2:$A$831)-1)</f>
        <v>#REF!</v>
      </c>
      <c r="O255" s="423" t="e">
        <f>IF(C255&lt;&gt;"",IF(ISERROR((100000/E255)^(252/N255)-1),Curva!$B$2,((100000/E255)^(252/N255)-1)),"")</f>
        <v>#REF!</v>
      </c>
      <c r="P255" s="219" t="e">
        <f>IF(OR(G255=1,G255=2),dadosexternosBMF_1!B258,"")</f>
        <v>#REF!</v>
      </c>
      <c r="Q255" s="219" t="e">
        <f>IF(OR(G255=1,G255=2),dadosexternosBMF_1!D258,"")</f>
        <v>#REF!</v>
      </c>
    </row>
    <row r="256" spans="1:17" x14ac:dyDescent="0.2">
      <c r="A256" s="222" t="e">
        <f t="shared" si="36"/>
        <v>#REF!</v>
      </c>
      <c r="B256" s="222" t="str">
        <f>IF(dadosexternosBMF_1!A259="DI1 - DI de 1 dia","DI1 - DI de 1 dia","")</f>
        <v/>
      </c>
      <c r="C256" s="222" t="e">
        <f>IF(dadosexternosBMF_1!A259="DOL - Dólar comercial","",IF(C255&lt;&gt;"",dadosexternosBMF_1!B259,IF(dadosexternosBMF_1!A259="DI1 - DI de 1 dia",dadosexternosBMF_1!B259,"")))</f>
        <v>#REF!</v>
      </c>
      <c r="D256" s="222" t="e">
        <f>IF(C256&lt;&gt;"",dadosexternosBMF_1!C259,"")</f>
        <v>#REF!</v>
      </c>
      <c r="E256" s="222" t="e">
        <f>IF(C256&lt;&gt;"",dadosexternosBMF_1!D259,"")</f>
        <v>#REF!</v>
      </c>
      <c r="G256" s="219" t="e">
        <f t="shared" si="37"/>
        <v>#REF!</v>
      </c>
      <c r="H256" s="219" t="e">
        <f t="shared" si="38"/>
        <v>#REF!</v>
      </c>
      <c r="I256" s="219" t="e">
        <f t="shared" si="39"/>
        <v>#REF!</v>
      </c>
      <c r="J256" s="219" t="e">
        <f>IF(I256="","",VLOOKUP(LEFT(C256,1),dadosexternosBMF_1!$L$2:$M$13,2,FALSE))</f>
        <v>#REF!</v>
      </c>
      <c r="K256" s="219" t="e">
        <f t="shared" si="40"/>
        <v>#REF!</v>
      </c>
      <c r="L256" s="422" t="e">
        <f t="shared" si="41"/>
        <v>#REF!</v>
      </c>
      <c r="M256" s="422" t="e">
        <f>IF(I256="","",WORKDAY(L256-1,1,FERIADOS!$A$2:$A$831))</f>
        <v>#REF!</v>
      </c>
      <c r="N256" s="219" t="e">
        <f>IF(I256="","",NETWORKDAYS(Curva!$M$2,M256,FERIADOS!$A$2:$A$831)-1)</f>
        <v>#REF!</v>
      </c>
      <c r="O256" s="423" t="e">
        <f>IF(C256&lt;&gt;"",IF(ISERROR((100000/E256)^(252/N256)-1),Curva!$B$2,((100000/E256)^(252/N256)-1)),"")</f>
        <v>#REF!</v>
      </c>
      <c r="P256" s="219" t="e">
        <f>IF(OR(G256=1,G256=2),dadosexternosBMF_1!B259,"")</f>
        <v>#REF!</v>
      </c>
      <c r="Q256" s="219" t="e">
        <f>IF(OR(G256=1,G256=2),dadosexternosBMF_1!D259,"")</f>
        <v>#REF!</v>
      </c>
    </row>
    <row r="257" spans="1:17" x14ac:dyDescent="0.2">
      <c r="A257" s="222" t="e">
        <f t="shared" si="36"/>
        <v>#REF!</v>
      </c>
      <c r="B257" s="222" t="str">
        <f>IF(dadosexternosBMF_1!A260="DI1 - DI de 1 dia","DI1 - DI de 1 dia","")</f>
        <v/>
      </c>
      <c r="C257" s="222" t="e">
        <f>IF(dadosexternosBMF_1!A260="DOL - Dólar comercial","",IF(C256&lt;&gt;"",dadosexternosBMF_1!B260,IF(dadosexternosBMF_1!A260="DI1 - DI de 1 dia",dadosexternosBMF_1!B260,"")))</f>
        <v>#REF!</v>
      </c>
      <c r="D257" s="222" t="e">
        <f>IF(C257&lt;&gt;"",dadosexternosBMF_1!C260,"")</f>
        <v>#REF!</v>
      </c>
      <c r="E257" s="222" t="e">
        <f>IF(C257&lt;&gt;"",dadosexternosBMF_1!D260,"")</f>
        <v>#REF!</v>
      </c>
      <c r="G257" s="219" t="e">
        <f t="shared" si="37"/>
        <v>#REF!</v>
      </c>
      <c r="H257" s="219" t="e">
        <f t="shared" si="38"/>
        <v>#REF!</v>
      </c>
      <c r="I257" s="219" t="e">
        <f t="shared" si="39"/>
        <v>#REF!</v>
      </c>
      <c r="J257" s="219" t="e">
        <f>IF(I257="","",VLOOKUP(LEFT(C257,1),dadosexternosBMF_1!$L$2:$M$13,2,FALSE))</f>
        <v>#REF!</v>
      </c>
      <c r="K257" s="219" t="e">
        <f t="shared" si="40"/>
        <v>#REF!</v>
      </c>
      <c r="L257" s="422" t="e">
        <f t="shared" si="41"/>
        <v>#REF!</v>
      </c>
      <c r="M257" s="422" t="e">
        <f>IF(I257="","",WORKDAY(L257-1,1,FERIADOS!$A$2:$A$831))</f>
        <v>#REF!</v>
      </c>
      <c r="N257" s="219" t="e">
        <f>IF(I257="","",NETWORKDAYS(Curva!$M$2,M257,FERIADOS!$A$2:$A$831)-1)</f>
        <v>#REF!</v>
      </c>
      <c r="O257" s="423" t="e">
        <f>IF(C257&lt;&gt;"",IF(ISERROR((100000/E257)^(252/N257)-1),Curva!$B$2,((100000/E257)^(252/N257)-1)),"")</f>
        <v>#REF!</v>
      </c>
      <c r="P257" s="219" t="e">
        <f>IF(OR(G257=1,G257=2),dadosexternosBMF_1!B260,"")</f>
        <v>#REF!</v>
      </c>
      <c r="Q257" s="219" t="e">
        <f>IF(OR(G257=1,G257=2),dadosexternosBMF_1!D260,"")</f>
        <v>#REF!</v>
      </c>
    </row>
    <row r="258" spans="1:17" x14ac:dyDescent="0.2">
      <c r="A258" s="222" t="e">
        <f t="shared" si="36"/>
        <v>#REF!</v>
      </c>
      <c r="B258" s="222" t="str">
        <f>IF(dadosexternosBMF_1!A261="DI1 - DI de 1 dia","DI1 - DI de 1 dia","")</f>
        <v/>
      </c>
      <c r="C258" s="222" t="e">
        <f>IF(dadosexternosBMF_1!A261="DOL - Dólar comercial","",IF(C257&lt;&gt;"",dadosexternosBMF_1!B261,IF(dadosexternosBMF_1!A261="DI1 - DI de 1 dia",dadosexternosBMF_1!B261,"")))</f>
        <v>#REF!</v>
      </c>
      <c r="D258" s="222" t="e">
        <f>IF(C258&lt;&gt;"",dadosexternosBMF_1!C261,"")</f>
        <v>#REF!</v>
      </c>
      <c r="E258" s="222" t="e">
        <f>IF(C258&lt;&gt;"",dadosexternosBMF_1!D261,"")</f>
        <v>#REF!</v>
      </c>
      <c r="G258" s="219" t="e">
        <f t="shared" si="37"/>
        <v>#REF!</v>
      </c>
      <c r="H258" s="219" t="e">
        <f t="shared" si="38"/>
        <v>#REF!</v>
      </c>
      <c r="I258" s="219" t="e">
        <f t="shared" si="39"/>
        <v>#REF!</v>
      </c>
      <c r="J258" s="219" t="e">
        <f>IF(I258="","",VLOOKUP(LEFT(C258,1),dadosexternosBMF_1!$L$2:$M$13,2,FALSE))</f>
        <v>#REF!</v>
      </c>
      <c r="K258" s="219" t="e">
        <f t="shared" si="40"/>
        <v>#REF!</v>
      </c>
      <c r="L258" s="422" t="e">
        <f t="shared" si="41"/>
        <v>#REF!</v>
      </c>
      <c r="M258" s="422" t="e">
        <f>IF(I258="","",WORKDAY(L258-1,1,FERIADOS!$A$2:$A$831))</f>
        <v>#REF!</v>
      </c>
      <c r="N258" s="219" t="e">
        <f>IF(I258="","",NETWORKDAYS(Curva!$M$2,M258,FERIADOS!$A$2:$A$831)-1)</f>
        <v>#REF!</v>
      </c>
      <c r="O258" s="423" t="e">
        <f>IF(C258&lt;&gt;"",IF(ISERROR((100000/E258)^(252/N258)-1),Curva!$B$2,((100000/E258)^(252/N258)-1)),"")</f>
        <v>#REF!</v>
      </c>
      <c r="P258" s="219" t="e">
        <f>IF(OR(G258=1,G258=2),dadosexternosBMF_1!B261,"")</f>
        <v>#REF!</v>
      </c>
      <c r="Q258" s="219" t="e">
        <f>IF(OR(G258=1,G258=2),dadosexternosBMF_1!D261,"")</f>
        <v>#REF!</v>
      </c>
    </row>
    <row r="259" spans="1:17" x14ac:dyDescent="0.2">
      <c r="A259" s="222" t="e">
        <f t="shared" si="36"/>
        <v>#REF!</v>
      </c>
      <c r="B259" s="222" t="str">
        <f>IF(dadosexternosBMF_1!A262="DI1 - DI de 1 dia","DI1 - DI de 1 dia","")</f>
        <v/>
      </c>
      <c r="C259" s="222" t="e">
        <f>IF(dadosexternosBMF_1!A262="DOL - Dólar comercial","",IF(C258&lt;&gt;"",dadosexternosBMF_1!B262,IF(dadosexternosBMF_1!A262="DI1 - DI de 1 dia",dadosexternosBMF_1!B262,"")))</f>
        <v>#REF!</v>
      </c>
      <c r="D259" s="222" t="e">
        <f>IF(C259&lt;&gt;"",dadosexternosBMF_1!C262,"")</f>
        <v>#REF!</v>
      </c>
      <c r="E259" s="222" t="e">
        <f>IF(C259&lt;&gt;"",dadosexternosBMF_1!D262,"")</f>
        <v>#REF!</v>
      </c>
      <c r="G259" s="219" t="e">
        <f t="shared" si="37"/>
        <v>#REF!</v>
      </c>
      <c r="H259" s="219" t="e">
        <f t="shared" si="38"/>
        <v>#REF!</v>
      </c>
      <c r="I259" s="219" t="e">
        <f t="shared" si="39"/>
        <v>#REF!</v>
      </c>
      <c r="J259" s="219" t="e">
        <f>IF(I259="","",VLOOKUP(LEFT(C259,1),dadosexternosBMF_1!$L$2:$M$13,2,FALSE))</f>
        <v>#REF!</v>
      </c>
      <c r="K259" s="219" t="e">
        <f t="shared" si="40"/>
        <v>#REF!</v>
      </c>
      <c r="L259" s="422" t="e">
        <f t="shared" si="41"/>
        <v>#REF!</v>
      </c>
      <c r="M259" s="422" t="e">
        <f>IF(I259="","",WORKDAY(L259-1,1,FERIADOS!$A$2:$A$831))</f>
        <v>#REF!</v>
      </c>
      <c r="N259" s="219" t="e">
        <f>IF(I259="","",NETWORKDAYS(Curva!$M$2,M259,FERIADOS!$A$2:$A$831)-1)</f>
        <v>#REF!</v>
      </c>
      <c r="O259" s="423" t="e">
        <f>IF(C259&lt;&gt;"",IF(ISERROR((100000/E259)^(252/N259)-1),Curva!$B$2,((100000/E259)^(252/N259)-1)),"")</f>
        <v>#REF!</v>
      </c>
      <c r="P259" s="219" t="e">
        <f>IF(OR(G259=1,G259=2),dadosexternosBMF_1!B262,"")</f>
        <v>#REF!</v>
      </c>
      <c r="Q259" s="219" t="e">
        <f>IF(OR(G259=1,G259=2),dadosexternosBMF_1!D262,"")</f>
        <v>#REF!</v>
      </c>
    </row>
    <row r="260" spans="1:17" x14ac:dyDescent="0.2">
      <c r="A260" s="222" t="e">
        <f t="shared" si="36"/>
        <v>#REF!</v>
      </c>
      <c r="B260" s="222" t="str">
        <f>IF(dadosexternosBMF_1!A263="DI1 - DI de 1 dia","DI1 - DI de 1 dia","")</f>
        <v/>
      </c>
      <c r="C260" s="222" t="e">
        <f>IF(dadosexternosBMF_1!A263="DOL - Dólar comercial","",IF(C259&lt;&gt;"",dadosexternosBMF_1!B263,IF(dadosexternosBMF_1!A263="DI1 - DI de 1 dia",dadosexternosBMF_1!B263,"")))</f>
        <v>#REF!</v>
      </c>
      <c r="D260" s="222" t="e">
        <f>IF(C260&lt;&gt;"",dadosexternosBMF_1!C263,"")</f>
        <v>#REF!</v>
      </c>
      <c r="E260" s="222" t="e">
        <f>IF(C260&lt;&gt;"",dadosexternosBMF_1!D263,"")</f>
        <v>#REF!</v>
      </c>
      <c r="G260" s="219" t="e">
        <f t="shared" si="37"/>
        <v>#REF!</v>
      </c>
      <c r="H260" s="219" t="e">
        <f t="shared" si="38"/>
        <v>#REF!</v>
      </c>
      <c r="I260" s="219" t="e">
        <f t="shared" si="39"/>
        <v>#REF!</v>
      </c>
      <c r="J260" s="219" t="e">
        <f>IF(I260="","",VLOOKUP(LEFT(C260,1),dadosexternosBMF_1!$L$2:$M$13,2,FALSE))</f>
        <v>#REF!</v>
      </c>
      <c r="K260" s="219" t="e">
        <f t="shared" si="40"/>
        <v>#REF!</v>
      </c>
      <c r="L260" s="422" t="e">
        <f t="shared" si="41"/>
        <v>#REF!</v>
      </c>
      <c r="M260" s="422" t="e">
        <f>IF(I260="","",WORKDAY(L260-1,1,FERIADOS!$A$2:$A$831))</f>
        <v>#REF!</v>
      </c>
      <c r="N260" s="219" t="e">
        <f>IF(I260="","",NETWORKDAYS(Curva!$M$2,M260,FERIADOS!$A$2:$A$831)-1)</f>
        <v>#REF!</v>
      </c>
      <c r="O260" s="423" t="e">
        <f>IF(C260&lt;&gt;"",IF(ISERROR((100000/E260)^(252/N260)-1),Curva!$B$2,((100000/E260)^(252/N260)-1)),"")</f>
        <v>#REF!</v>
      </c>
      <c r="P260" s="219" t="e">
        <f>IF(OR(G260=1,G260=2),dadosexternosBMF_1!B263,"")</f>
        <v>#REF!</v>
      </c>
      <c r="Q260" s="219" t="e">
        <f>IF(OR(G260=1,G260=2),dadosexternosBMF_1!D263,"")</f>
        <v>#REF!</v>
      </c>
    </row>
    <row r="261" spans="1:17" x14ac:dyDescent="0.2">
      <c r="A261" s="222" t="e">
        <f t="shared" si="36"/>
        <v>#REF!</v>
      </c>
      <c r="B261" s="222" t="str">
        <f>IF(dadosexternosBMF_1!A264="DI1 - DI de 1 dia","DI1 - DI de 1 dia","")</f>
        <v/>
      </c>
      <c r="C261" s="222" t="e">
        <f>IF(dadosexternosBMF_1!A264="DOL - Dólar comercial","",IF(C260&lt;&gt;"",dadosexternosBMF_1!B264,IF(dadosexternosBMF_1!A264="DI1 - DI de 1 dia",dadosexternosBMF_1!B264,"")))</f>
        <v>#REF!</v>
      </c>
      <c r="D261" s="222" t="e">
        <f>IF(C261&lt;&gt;"",dadosexternosBMF_1!C264,"")</f>
        <v>#REF!</v>
      </c>
      <c r="E261" s="222" t="e">
        <f>IF(C261&lt;&gt;"",dadosexternosBMF_1!D264,"")</f>
        <v>#REF!</v>
      </c>
      <c r="G261" s="219" t="e">
        <f t="shared" si="37"/>
        <v>#REF!</v>
      </c>
      <c r="H261" s="219" t="e">
        <f t="shared" si="38"/>
        <v>#REF!</v>
      </c>
      <c r="I261" s="219" t="e">
        <f t="shared" si="39"/>
        <v>#REF!</v>
      </c>
      <c r="J261" s="219" t="e">
        <f>IF(I261="","",VLOOKUP(LEFT(C261,1),dadosexternosBMF_1!$L$2:$M$13,2,FALSE))</f>
        <v>#REF!</v>
      </c>
      <c r="K261" s="219" t="e">
        <f t="shared" si="40"/>
        <v>#REF!</v>
      </c>
      <c r="L261" s="422" t="e">
        <f t="shared" si="41"/>
        <v>#REF!</v>
      </c>
      <c r="M261" s="422" t="e">
        <f>IF(I261="","",WORKDAY(L261-1,1,FERIADOS!$A$2:$A$831))</f>
        <v>#REF!</v>
      </c>
      <c r="N261" s="219" t="e">
        <f>IF(I261="","",NETWORKDAYS(Curva!$M$2,M261,FERIADOS!$A$2:$A$831)-1)</f>
        <v>#REF!</v>
      </c>
      <c r="O261" s="423" t="e">
        <f>IF(C261&lt;&gt;"",IF(ISERROR((100000/E261)^(252/N261)-1),Curva!$B$2,((100000/E261)^(252/N261)-1)),"")</f>
        <v>#REF!</v>
      </c>
      <c r="P261" s="219" t="e">
        <f>IF(OR(G261=1,G261=2),dadosexternosBMF_1!B264,"")</f>
        <v>#REF!</v>
      </c>
      <c r="Q261" s="219" t="e">
        <f>IF(OR(G261=1,G261=2),dadosexternosBMF_1!D264,"")</f>
        <v>#REF!</v>
      </c>
    </row>
    <row r="262" spans="1:17" x14ac:dyDescent="0.2">
      <c r="A262" s="222" t="e">
        <f t="shared" si="36"/>
        <v>#REF!</v>
      </c>
      <c r="B262" s="222" t="str">
        <f>IF(dadosexternosBMF_1!A265="DI1 - DI de 1 dia","DI1 - DI de 1 dia","")</f>
        <v/>
      </c>
      <c r="C262" s="222" t="e">
        <f>IF(dadosexternosBMF_1!A265="DOL - Dólar comercial","",IF(C261&lt;&gt;"",dadosexternosBMF_1!B265,IF(dadosexternosBMF_1!A265="DI1 - DI de 1 dia",dadosexternosBMF_1!B265,"")))</f>
        <v>#REF!</v>
      </c>
      <c r="D262" s="222" t="e">
        <f>IF(C262&lt;&gt;"",dadosexternosBMF_1!C265,"")</f>
        <v>#REF!</v>
      </c>
      <c r="E262" s="222" t="e">
        <f>IF(C262&lt;&gt;"",dadosexternosBMF_1!D265,"")</f>
        <v>#REF!</v>
      </c>
      <c r="G262" s="219" t="e">
        <f t="shared" si="37"/>
        <v>#REF!</v>
      </c>
      <c r="H262" s="219" t="e">
        <f t="shared" si="38"/>
        <v>#REF!</v>
      </c>
      <c r="I262" s="219" t="e">
        <f t="shared" si="39"/>
        <v>#REF!</v>
      </c>
      <c r="J262" s="219" t="e">
        <f>IF(I262="","",VLOOKUP(LEFT(C262,1),dadosexternosBMF_1!$L$2:$M$13,2,FALSE))</f>
        <v>#REF!</v>
      </c>
      <c r="K262" s="219" t="e">
        <f t="shared" si="40"/>
        <v>#REF!</v>
      </c>
      <c r="L262" s="422" t="e">
        <f t="shared" si="41"/>
        <v>#REF!</v>
      </c>
      <c r="M262" s="422" t="e">
        <f>IF(I262="","",WORKDAY(L262-1,1,FERIADOS!$A$2:$A$831))</f>
        <v>#REF!</v>
      </c>
      <c r="N262" s="219" t="e">
        <f>IF(I262="","",NETWORKDAYS(Curva!$M$2,M262,FERIADOS!$A$2:$A$831)-1)</f>
        <v>#REF!</v>
      </c>
      <c r="O262" s="423" t="e">
        <f>IF(C262&lt;&gt;"",IF(ISERROR((100000/E262)^(252/N262)-1),Curva!$B$2,((100000/E262)^(252/N262)-1)),"")</f>
        <v>#REF!</v>
      </c>
      <c r="P262" s="219" t="e">
        <f>IF(OR(G262=1,G262=2),dadosexternosBMF_1!B265,"")</f>
        <v>#REF!</v>
      </c>
      <c r="Q262" s="219" t="e">
        <f>IF(OR(G262=1,G262=2),dadosexternosBMF_1!D265,"")</f>
        <v>#REF!</v>
      </c>
    </row>
    <row r="263" spans="1:17" x14ac:dyDescent="0.2">
      <c r="A263" s="222" t="e">
        <f t="shared" si="36"/>
        <v>#REF!</v>
      </c>
      <c r="B263" s="222" t="str">
        <f>IF(dadosexternosBMF_1!A266="DI1 - DI de 1 dia","DI1 - DI de 1 dia","")</f>
        <v/>
      </c>
      <c r="C263" s="222" t="e">
        <f>IF(dadosexternosBMF_1!A266="DOL - Dólar comercial","",IF(C262&lt;&gt;"",dadosexternosBMF_1!B266,IF(dadosexternosBMF_1!A266="DI1 - DI de 1 dia",dadosexternosBMF_1!B266,"")))</f>
        <v>#REF!</v>
      </c>
      <c r="D263" s="222" t="e">
        <f>IF(C263&lt;&gt;"",dadosexternosBMF_1!C266,"")</f>
        <v>#REF!</v>
      </c>
      <c r="E263" s="222" t="e">
        <f>IF(C263&lt;&gt;"",dadosexternosBMF_1!D266,"")</f>
        <v>#REF!</v>
      </c>
      <c r="G263" s="219" t="e">
        <f t="shared" si="37"/>
        <v>#REF!</v>
      </c>
      <c r="H263" s="219" t="e">
        <f t="shared" si="38"/>
        <v>#REF!</v>
      </c>
      <c r="I263" s="219" t="e">
        <f t="shared" si="39"/>
        <v>#REF!</v>
      </c>
      <c r="J263" s="219" t="e">
        <f>IF(I263="","",VLOOKUP(LEFT(C263,1),dadosexternosBMF_1!$L$2:$M$13,2,FALSE))</f>
        <v>#REF!</v>
      </c>
      <c r="K263" s="219" t="e">
        <f t="shared" si="40"/>
        <v>#REF!</v>
      </c>
      <c r="L263" s="422" t="e">
        <f t="shared" si="41"/>
        <v>#REF!</v>
      </c>
      <c r="M263" s="422" t="e">
        <f>IF(I263="","",WORKDAY(L263-1,1,FERIADOS!$A$2:$A$831))</f>
        <v>#REF!</v>
      </c>
      <c r="N263" s="219" t="e">
        <f>IF(I263="","",NETWORKDAYS(Curva!$M$2,M263,FERIADOS!$A$2:$A$831)-1)</f>
        <v>#REF!</v>
      </c>
      <c r="O263" s="423" t="e">
        <f>IF(C263&lt;&gt;"",IF(ISERROR((100000/E263)^(252/N263)-1),Curva!$B$2,((100000/E263)^(252/N263)-1)),"")</f>
        <v>#REF!</v>
      </c>
      <c r="P263" s="219" t="e">
        <f>IF(OR(G263=1,G263=2),dadosexternosBMF_1!B266,"")</f>
        <v>#REF!</v>
      </c>
      <c r="Q263" s="219" t="e">
        <f>IF(OR(G263=1,G263=2),dadosexternosBMF_1!D266,"")</f>
        <v>#REF!</v>
      </c>
    </row>
    <row r="264" spans="1:17" x14ac:dyDescent="0.2">
      <c r="A264" s="222" t="e">
        <f t="shared" si="36"/>
        <v>#REF!</v>
      </c>
      <c r="B264" s="222" t="str">
        <f>IF(dadosexternosBMF_1!A267="DI1 - DI de 1 dia","DI1 - DI de 1 dia","")</f>
        <v/>
      </c>
      <c r="C264" s="222" t="e">
        <f>IF(dadosexternosBMF_1!A267="DOL - Dólar comercial","",IF(C263&lt;&gt;"",dadosexternosBMF_1!B267,IF(dadosexternosBMF_1!A267="DI1 - DI de 1 dia",dadosexternosBMF_1!B267,"")))</f>
        <v>#REF!</v>
      </c>
      <c r="D264" s="222" t="e">
        <f>IF(C264&lt;&gt;"",dadosexternosBMF_1!C267,"")</f>
        <v>#REF!</v>
      </c>
      <c r="E264" s="222" t="e">
        <f>IF(C264&lt;&gt;"",dadosexternosBMF_1!D267,"")</f>
        <v>#REF!</v>
      </c>
      <c r="G264" s="219" t="e">
        <f t="shared" si="37"/>
        <v>#REF!</v>
      </c>
      <c r="H264" s="219" t="e">
        <f t="shared" si="38"/>
        <v>#REF!</v>
      </c>
      <c r="I264" s="219" t="e">
        <f t="shared" si="39"/>
        <v>#REF!</v>
      </c>
      <c r="J264" s="219" t="e">
        <f>IF(I264="","",VLOOKUP(LEFT(C264,1),dadosexternosBMF_1!$L$2:$M$13,2,FALSE))</f>
        <v>#REF!</v>
      </c>
      <c r="K264" s="219" t="e">
        <f t="shared" si="40"/>
        <v>#REF!</v>
      </c>
      <c r="L264" s="422" t="e">
        <f t="shared" si="41"/>
        <v>#REF!</v>
      </c>
      <c r="M264" s="422" t="e">
        <f>IF(I264="","",WORKDAY(L264-1,1,FERIADOS!$A$2:$A$831))</f>
        <v>#REF!</v>
      </c>
      <c r="N264" s="219" t="e">
        <f>IF(I264="","",NETWORKDAYS(Curva!$M$2,M264,FERIADOS!$A$2:$A$831)-1)</f>
        <v>#REF!</v>
      </c>
      <c r="O264" s="423" t="e">
        <f>IF(C264&lt;&gt;"",IF(ISERROR((100000/E264)^(252/N264)-1),Curva!$B$2,((100000/E264)^(252/N264)-1)),"")</f>
        <v>#REF!</v>
      </c>
      <c r="P264" s="219" t="e">
        <f>IF(OR(G264=1,G264=2),dadosexternosBMF_1!B267,"")</f>
        <v>#REF!</v>
      </c>
      <c r="Q264" s="219" t="e">
        <f>IF(OR(G264=1,G264=2),dadosexternosBMF_1!D267,"")</f>
        <v>#REF!</v>
      </c>
    </row>
    <row r="265" spans="1:17" x14ac:dyDescent="0.2">
      <c r="A265" s="222" t="e">
        <f t="shared" si="36"/>
        <v>#REF!</v>
      </c>
      <c r="B265" s="222" t="str">
        <f>IF(dadosexternosBMF_1!A268="DI1 - DI de 1 dia","DI1 - DI de 1 dia","")</f>
        <v/>
      </c>
      <c r="C265" s="222" t="e">
        <f>IF(dadosexternosBMF_1!A268="DOL - Dólar comercial","",IF(C264&lt;&gt;"",dadosexternosBMF_1!B268,IF(dadosexternosBMF_1!A268="DI1 - DI de 1 dia",dadosexternosBMF_1!B268,"")))</f>
        <v>#REF!</v>
      </c>
      <c r="D265" s="222" t="e">
        <f>IF(C265&lt;&gt;"",dadosexternosBMF_1!C268,"")</f>
        <v>#REF!</v>
      </c>
      <c r="E265" s="222" t="e">
        <f>IF(C265&lt;&gt;"",dadosexternosBMF_1!D268,"")</f>
        <v>#REF!</v>
      </c>
      <c r="G265" s="219" t="e">
        <f t="shared" si="37"/>
        <v>#REF!</v>
      </c>
      <c r="H265" s="219" t="e">
        <f t="shared" si="38"/>
        <v>#REF!</v>
      </c>
      <c r="I265" s="219" t="e">
        <f t="shared" si="39"/>
        <v>#REF!</v>
      </c>
      <c r="J265" s="219" t="e">
        <f>IF(I265="","",VLOOKUP(LEFT(C265,1),dadosexternosBMF_1!$L$2:$M$13,2,FALSE))</f>
        <v>#REF!</v>
      </c>
      <c r="K265" s="219" t="e">
        <f t="shared" si="40"/>
        <v>#REF!</v>
      </c>
      <c r="L265" s="422" t="e">
        <f t="shared" si="41"/>
        <v>#REF!</v>
      </c>
      <c r="M265" s="422" t="e">
        <f>IF(I265="","",WORKDAY(L265-1,1,FERIADOS!$A$2:$A$831))</f>
        <v>#REF!</v>
      </c>
      <c r="N265" s="219" t="e">
        <f>IF(I265="","",NETWORKDAYS(Curva!$M$2,M265,FERIADOS!$A$2:$A$831)-1)</f>
        <v>#REF!</v>
      </c>
      <c r="O265" s="423" t="e">
        <f>IF(C265&lt;&gt;"",IF(ISERROR((100000/E265)^(252/N265)-1),Curva!$B$2,((100000/E265)^(252/N265)-1)),"")</f>
        <v>#REF!</v>
      </c>
      <c r="P265" s="219" t="e">
        <f>IF(OR(G265=1,G265=2),dadosexternosBMF_1!B268,"")</f>
        <v>#REF!</v>
      </c>
      <c r="Q265" s="219" t="e">
        <f>IF(OR(G265=1,G265=2),dadosexternosBMF_1!D268,"")</f>
        <v>#REF!</v>
      </c>
    </row>
    <row r="266" spans="1:17" x14ac:dyDescent="0.2">
      <c r="A266" s="222" t="e">
        <f t="shared" si="36"/>
        <v>#REF!</v>
      </c>
      <c r="B266" s="222" t="str">
        <f>IF(dadosexternosBMF_1!A269="DI1 - DI de 1 dia","DI1 - DI de 1 dia","")</f>
        <v/>
      </c>
      <c r="C266" s="222" t="e">
        <f>IF(dadosexternosBMF_1!A269="DOL - Dólar comercial","",IF(C265&lt;&gt;"",dadosexternosBMF_1!B269,IF(dadosexternosBMF_1!A269="DI1 - DI de 1 dia",dadosexternosBMF_1!B269,"")))</f>
        <v>#REF!</v>
      </c>
      <c r="D266" s="222" t="e">
        <f>IF(C266&lt;&gt;"",dadosexternosBMF_1!C269,"")</f>
        <v>#REF!</v>
      </c>
      <c r="E266" s="222" t="e">
        <f>IF(C266&lt;&gt;"",dadosexternosBMF_1!D269,"")</f>
        <v>#REF!</v>
      </c>
      <c r="G266" s="219" t="e">
        <f t="shared" si="37"/>
        <v>#REF!</v>
      </c>
      <c r="H266" s="219" t="e">
        <f t="shared" si="38"/>
        <v>#REF!</v>
      </c>
      <c r="I266" s="219" t="e">
        <f t="shared" si="39"/>
        <v>#REF!</v>
      </c>
      <c r="J266" s="219" t="e">
        <f>IF(I266="","",VLOOKUP(LEFT(C266,1),dadosexternosBMF_1!$L$2:$M$13,2,FALSE))</f>
        <v>#REF!</v>
      </c>
      <c r="K266" s="219" t="e">
        <f t="shared" si="40"/>
        <v>#REF!</v>
      </c>
      <c r="L266" s="422" t="e">
        <f t="shared" si="41"/>
        <v>#REF!</v>
      </c>
      <c r="M266" s="422" t="e">
        <f>IF(I266="","",WORKDAY(L266-1,1,FERIADOS!$A$2:$A$831))</f>
        <v>#REF!</v>
      </c>
      <c r="N266" s="219" t="e">
        <f>IF(I266="","",NETWORKDAYS(Curva!$M$2,M266,FERIADOS!$A$2:$A$831)-1)</f>
        <v>#REF!</v>
      </c>
      <c r="O266" s="423" t="e">
        <f>IF(C266&lt;&gt;"",IF(ISERROR((100000/E266)^(252/N266)-1),Curva!$B$2,((100000/E266)^(252/N266)-1)),"")</f>
        <v>#REF!</v>
      </c>
      <c r="P266" s="219" t="e">
        <f>IF(OR(G266=1,G266=2),dadosexternosBMF_1!B269,"")</f>
        <v>#REF!</v>
      </c>
      <c r="Q266" s="219" t="e">
        <f>IF(OR(G266=1,G266=2),dadosexternosBMF_1!D269,"")</f>
        <v>#REF!</v>
      </c>
    </row>
    <row r="267" spans="1:17" x14ac:dyDescent="0.2">
      <c r="A267" s="222" t="e">
        <f t="shared" si="36"/>
        <v>#REF!</v>
      </c>
      <c r="B267" s="222" t="str">
        <f>IF(dadosexternosBMF_1!A270="DI1 - DI de 1 dia","DI1 - DI de 1 dia","")</f>
        <v/>
      </c>
      <c r="C267" s="222" t="e">
        <f>IF(dadosexternosBMF_1!A270="DOL - Dólar comercial","",IF(C266&lt;&gt;"",dadosexternosBMF_1!B270,IF(dadosexternosBMF_1!A270="DI1 - DI de 1 dia",dadosexternosBMF_1!B270,"")))</f>
        <v>#REF!</v>
      </c>
      <c r="D267" s="222" t="e">
        <f>IF(C267&lt;&gt;"",dadosexternosBMF_1!C270,"")</f>
        <v>#REF!</v>
      </c>
      <c r="E267" s="222" t="e">
        <f>IF(C267&lt;&gt;"",dadosexternosBMF_1!D270,"")</f>
        <v>#REF!</v>
      </c>
      <c r="G267" s="219" t="e">
        <f t="shared" si="37"/>
        <v>#REF!</v>
      </c>
      <c r="H267" s="219" t="e">
        <f t="shared" si="38"/>
        <v>#REF!</v>
      </c>
      <c r="I267" s="219" t="e">
        <f t="shared" si="39"/>
        <v>#REF!</v>
      </c>
      <c r="J267" s="219" t="e">
        <f>IF(I267="","",VLOOKUP(LEFT(C267,1),dadosexternosBMF_1!$L$2:$M$13,2,FALSE))</f>
        <v>#REF!</v>
      </c>
      <c r="K267" s="219" t="e">
        <f t="shared" si="40"/>
        <v>#REF!</v>
      </c>
      <c r="L267" s="422" t="e">
        <f t="shared" si="41"/>
        <v>#REF!</v>
      </c>
      <c r="M267" s="422" t="e">
        <f>IF(I267="","",WORKDAY(L267-1,1,FERIADOS!$A$2:$A$831))</f>
        <v>#REF!</v>
      </c>
      <c r="N267" s="219" t="e">
        <f>IF(I267="","",NETWORKDAYS(Curva!$M$2,M267,FERIADOS!$A$2:$A$831)-1)</f>
        <v>#REF!</v>
      </c>
      <c r="O267" s="423" t="e">
        <f>IF(C267&lt;&gt;"",IF(ISERROR((100000/E267)^(252/N267)-1),Curva!$B$2,((100000/E267)^(252/N267)-1)),"")</f>
        <v>#REF!</v>
      </c>
      <c r="P267" s="219" t="e">
        <f>IF(OR(G267=1,G267=2),dadosexternosBMF_1!B270,"")</f>
        <v>#REF!</v>
      </c>
      <c r="Q267" s="219" t="e">
        <f>IF(OR(G267=1,G267=2),dadosexternosBMF_1!D270,"")</f>
        <v>#REF!</v>
      </c>
    </row>
    <row r="268" spans="1:17" x14ac:dyDescent="0.2">
      <c r="A268" s="222" t="e">
        <f t="shared" si="36"/>
        <v>#REF!</v>
      </c>
      <c r="B268" s="222" t="str">
        <f>IF(dadosexternosBMF_1!A271="DI1 - DI de 1 dia","DI1 - DI de 1 dia","")</f>
        <v/>
      </c>
      <c r="C268" s="222" t="e">
        <f>IF(dadosexternosBMF_1!A271="DOL - Dólar comercial","",IF(C267&lt;&gt;"",dadosexternosBMF_1!B271,IF(dadosexternosBMF_1!A271="DI1 - DI de 1 dia",dadosexternosBMF_1!B271,"")))</f>
        <v>#REF!</v>
      </c>
      <c r="D268" s="222" t="e">
        <f>IF(C268&lt;&gt;"",dadosexternosBMF_1!C271,"")</f>
        <v>#REF!</v>
      </c>
      <c r="E268" s="222" t="e">
        <f>IF(C268&lt;&gt;"",dadosexternosBMF_1!D271,"")</f>
        <v>#REF!</v>
      </c>
      <c r="G268" s="219" t="e">
        <f t="shared" si="37"/>
        <v>#REF!</v>
      </c>
      <c r="H268" s="219" t="e">
        <f t="shared" si="38"/>
        <v>#REF!</v>
      </c>
      <c r="I268" s="219" t="e">
        <f t="shared" si="39"/>
        <v>#REF!</v>
      </c>
      <c r="J268" s="219" t="e">
        <f>IF(I268="","",VLOOKUP(LEFT(C268,1),dadosexternosBMF_1!$L$2:$M$13,2,FALSE))</f>
        <v>#REF!</v>
      </c>
      <c r="K268" s="219" t="e">
        <f t="shared" si="40"/>
        <v>#REF!</v>
      </c>
      <c r="L268" s="422" t="e">
        <f t="shared" si="41"/>
        <v>#REF!</v>
      </c>
      <c r="M268" s="422" t="e">
        <f>IF(I268="","",WORKDAY(L268-1,1,FERIADOS!$A$2:$A$831))</f>
        <v>#REF!</v>
      </c>
      <c r="N268" s="219" t="e">
        <f>IF(I268="","",NETWORKDAYS(Curva!$M$2,M268,FERIADOS!$A$2:$A$831)-1)</f>
        <v>#REF!</v>
      </c>
      <c r="O268" s="423" t="e">
        <f>IF(C268&lt;&gt;"",IF(ISERROR((100000/E268)^(252/N268)-1),Curva!$B$2,((100000/E268)^(252/N268)-1)),"")</f>
        <v>#REF!</v>
      </c>
      <c r="P268" s="219" t="e">
        <f>IF(OR(G268=1,G268=2),dadosexternosBMF_1!B271,"")</f>
        <v>#REF!</v>
      </c>
      <c r="Q268" s="219" t="e">
        <f>IF(OR(G268=1,G268=2),dadosexternosBMF_1!D271,"")</f>
        <v>#REF!</v>
      </c>
    </row>
    <row r="269" spans="1:17" x14ac:dyDescent="0.2">
      <c r="A269" s="222" t="e">
        <f t="shared" si="36"/>
        <v>#REF!</v>
      </c>
      <c r="B269" s="222" t="str">
        <f>IF(dadosexternosBMF_1!A272="DI1 - DI de 1 dia","DI1 - DI de 1 dia","")</f>
        <v/>
      </c>
      <c r="C269" s="222" t="e">
        <f>IF(dadosexternosBMF_1!A272="DOL - Dólar comercial","",IF(C268&lt;&gt;"",dadosexternosBMF_1!B272,IF(dadosexternosBMF_1!A272="DI1 - DI de 1 dia",dadosexternosBMF_1!B272,"")))</f>
        <v>#REF!</v>
      </c>
      <c r="D269" s="222" t="e">
        <f>IF(C269&lt;&gt;"",dadosexternosBMF_1!C272,"")</f>
        <v>#REF!</v>
      </c>
      <c r="E269" s="222" t="e">
        <f>IF(C269&lt;&gt;"",dadosexternosBMF_1!D272,"")</f>
        <v>#REF!</v>
      </c>
      <c r="G269" s="219" t="e">
        <f t="shared" si="37"/>
        <v>#REF!</v>
      </c>
      <c r="H269" s="219" t="e">
        <f t="shared" si="38"/>
        <v>#REF!</v>
      </c>
      <c r="I269" s="219" t="e">
        <f t="shared" si="39"/>
        <v>#REF!</v>
      </c>
      <c r="J269" s="219" t="e">
        <f>IF(I269="","",VLOOKUP(LEFT(C269,1),dadosexternosBMF_1!$L$2:$M$13,2,FALSE))</f>
        <v>#REF!</v>
      </c>
      <c r="K269" s="219" t="e">
        <f t="shared" si="40"/>
        <v>#REF!</v>
      </c>
      <c r="L269" s="422" t="e">
        <f t="shared" si="41"/>
        <v>#REF!</v>
      </c>
      <c r="M269" s="422" t="e">
        <f>IF(I269="","",WORKDAY(L269-1,1,FERIADOS!$A$2:$A$831))</f>
        <v>#REF!</v>
      </c>
      <c r="N269" s="219" t="e">
        <f>IF(I269="","",NETWORKDAYS(Curva!$M$2,M269,FERIADOS!$A$2:$A$831)-1)</f>
        <v>#REF!</v>
      </c>
      <c r="O269" s="423" t="e">
        <f>IF(C269&lt;&gt;"",IF(ISERROR((100000/E269)^(252/N269)-1),Curva!$B$2,((100000/E269)^(252/N269)-1)),"")</f>
        <v>#REF!</v>
      </c>
      <c r="P269" s="219" t="e">
        <f>IF(OR(G269=1,G269=2),dadosexternosBMF_1!B272,"")</f>
        <v>#REF!</v>
      </c>
      <c r="Q269" s="219" t="e">
        <f>IF(OR(G269=1,G269=2),dadosexternosBMF_1!D272,"")</f>
        <v>#REF!</v>
      </c>
    </row>
    <row r="270" spans="1:17" x14ac:dyDescent="0.2">
      <c r="A270" s="222" t="e">
        <f t="shared" si="36"/>
        <v>#REF!</v>
      </c>
      <c r="B270" s="222" t="str">
        <f>IF(dadosexternosBMF_1!A273="DI1 - DI de 1 dia","DI1 - DI de 1 dia","")</f>
        <v/>
      </c>
      <c r="C270" s="222" t="e">
        <f>IF(dadosexternosBMF_1!A273="DOL - Dólar comercial","",IF(C269&lt;&gt;"",dadosexternosBMF_1!B273,IF(dadosexternosBMF_1!A273="DI1 - DI de 1 dia",dadosexternosBMF_1!B273,"")))</f>
        <v>#REF!</v>
      </c>
      <c r="D270" s="222" t="e">
        <f>IF(C270&lt;&gt;"",dadosexternosBMF_1!C273,"")</f>
        <v>#REF!</v>
      </c>
      <c r="E270" s="222" t="e">
        <f>IF(C270&lt;&gt;"",dadosexternosBMF_1!D273,"")</f>
        <v>#REF!</v>
      </c>
      <c r="G270" s="219" t="e">
        <f t="shared" si="37"/>
        <v>#REF!</v>
      </c>
      <c r="H270" s="219" t="e">
        <f t="shared" si="38"/>
        <v>#REF!</v>
      </c>
      <c r="I270" s="219" t="e">
        <f t="shared" si="39"/>
        <v>#REF!</v>
      </c>
      <c r="J270" s="219" t="e">
        <f>IF(I270="","",VLOOKUP(LEFT(C270,1),dadosexternosBMF_1!$L$2:$M$13,2,FALSE))</f>
        <v>#REF!</v>
      </c>
      <c r="K270" s="219" t="e">
        <f t="shared" si="40"/>
        <v>#REF!</v>
      </c>
      <c r="L270" s="422" t="e">
        <f t="shared" si="41"/>
        <v>#REF!</v>
      </c>
      <c r="M270" s="422" t="e">
        <f>IF(I270="","",WORKDAY(L270-1,1,FERIADOS!$A$2:$A$831))</f>
        <v>#REF!</v>
      </c>
      <c r="N270" s="219" t="e">
        <f>IF(I270="","",NETWORKDAYS(Curva!$M$2,M270,FERIADOS!$A$2:$A$831)-1)</f>
        <v>#REF!</v>
      </c>
      <c r="O270" s="423" t="e">
        <f>IF(C270&lt;&gt;"",IF(ISERROR((100000/E270)^(252/N270)-1),Curva!$B$2,((100000/E270)^(252/N270)-1)),"")</f>
        <v>#REF!</v>
      </c>
      <c r="P270" s="219" t="e">
        <f>IF(OR(G270=1,G270=2),dadosexternosBMF_1!B273,"")</f>
        <v>#REF!</v>
      </c>
      <c r="Q270" s="219" t="e">
        <f>IF(OR(G270=1,G270=2),dadosexternosBMF_1!D273,"")</f>
        <v>#REF!</v>
      </c>
    </row>
    <row r="271" spans="1:17" x14ac:dyDescent="0.2">
      <c r="A271" s="222" t="e">
        <f t="shared" si="36"/>
        <v>#REF!</v>
      </c>
      <c r="B271" s="222" t="str">
        <f>IF(dadosexternosBMF_1!A274="DI1 - DI de 1 dia","DI1 - DI de 1 dia","")</f>
        <v/>
      </c>
      <c r="C271" s="222" t="e">
        <f>IF(dadosexternosBMF_1!A274="DOL - Dólar comercial","",IF(C270&lt;&gt;"",dadosexternosBMF_1!B274,IF(dadosexternosBMF_1!A274="DI1 - DI de 1 dia",dadosexternosBMF_1!B274,"")))</f>
        <v>#REF!</v>
      </c>
      <c r="D271" s="222" t="e">
        <f>IF(C271&lt;&gt;"",dadosexternosBMF_1!C274,"")</f>
        <v>#REF!</v>
      </c>
      <c r="E271" s="222" t="e">
        <f>IF(C271&lt;&gt;"",dadosexternosBMF_1!D274,"")</f>
        <v>#REF!</v>
      </c>
      <c r="G271" s="219" t="e">
        <f t="shared" si="37"/>
        <v>#REF!</v>
      </c>
      <c r="H271" s="219" t="e">
        <f t="shared" si="38"/>
        <v>#REF!</v>
      </c>
      <c r="I271" s="219" t="e">
        <f t="shared" si="39"/>
        <v>#REF!</v>
      </c>
      <c r="J271" s="219" t="e">
        <f>IF(I271="","",VLOOKUP(LEFT(C271,1),dadosexternosBMF_1!$L$2:$M$13,2,FALSE))</f>
        <v>#REF!</v>
      </c>
      <c r="K271" s="219" t="e">
        <f t="shared" si="40"/>
        <v>#REF!</v>
      </c>
      <c r="L271" s="422" t="e">
        <f t="shared" si="41"/>
        <v>#REF!</v>
      </c>
      <c r="M271" s="422" t="e">
        <f>IF(I271="","",WORKDAY(L271-1,1,FERIADOS!$A$2:$A$831))</f>
        <v>#REF!</v>
      </c>
      <c r="N271" s="219" t="e">
        <f>IF(I271="","",NETWORKDAYS(Curva!$M$2,M271,FERIADOS!$A$2:$A$831)-1)</f>
        <v>#REF!</v>
      </c>
      <c r="O271" s="423" t="e">
        <f>IF(C271&lt;&gt;"",IF(ISERROR((100000/E271)^(252/N271)-1),Curva!$B$2,((100000/E271)^(252/N271)-1)),"")</f>
        <v>#REF!</v>
      </c>
      <c r="P271" s="219" t="e">
        <f>IF(OR(G271=1,G271=2),dadosexternosBMF_1!B274,"")</f>
        <v>#REF!</v>
      </c>
      <c r="Q271" s="219" t="e">
        <f>IF(OR(G271=1,G271=2),dadosexternosBMF_1!D274,"")</f>
        <v>#REF!</v>
      </c>
    </row>
    <row r="272" spans="1:17" x14ac:dyDescent="0.2">
      <c r="A272" s="222" t="e">
        <f t="shared" si="36"/>
        <v>#REF!</v>
      </c>
      <c r="B272" s="222" t="str">
        <f>IF(dadosexternosBMF_1!A275="DI1 - DI de 1 dia","DI1 - DI de 1 dia","")</f>
        <v/>
      </c>
      <c r="C272" s="222" t="e">
        <f>IF(dadosexternosBMF_1!A275="DOL - Dólar comercial","",IF(C271&lt;&gt;"",dadosexternosBMF_1!B275,IF(dadosexternosBMF_1!A275="DI1 - DI de 1 dia",dadosexternosBMF_1!B275,"")))</f>
        <v>#REF!</v>
      </c>
      <c r="D272" s="222" t="e">
        <f>IF(C272&lt;&gt;"",dadosexternosBMF_1!C275,"")</f>
        <v>#REF!</v>
      </c>
      <c r="E272" s="222" t="e">
        <f>IF(C272&lt;&gt;"",dadosexternosBMF_1!D275,"")</f>
        <v>#REF!</v>
      </c>
      <c r="G272" s="219" t="e">
        <f t="shared" si="37"/>
        <v>#REF!</v>
      </c>
      <c r="H272" s="219" t="e">
        <f t="shared" si="38"/>
        <v>#REF!</v>
      </c>
      <c r="I272" s="219" t="e">
        <f t="shared" si="39"/>
        <v>#REF!</v>
      </c>
      <c r="J272" s="219" t="e">
        <f>IF(I272="","",VLOOKUP(LEFT(C272,1),dadosexternosBMF_1!$L$2:$M$13,2,FALSE))</f>
        <v>#REF!</v>
      </c>
      <c r="K272" s="219" t="e">
        <f t="shared" si="40"/>
        <v>#REF!</v>
      </c>
      <c r="L272" s="422" t="e">
        <f t="shared" si="41"/>
        <v>#REF!</v>
      </c>
      <c r="M272" s="422" t="e">
        <f>IF(I272="","",WORKDAY(L272-1,1,FERIADOS!$A$2:$A$831))</f>
        <v>#REF!</v>
      </c>
      <c r="N272" s="219" t="e">
        <f>IF(I272="","",NETWORKDAYS(Curva!$M$2,M272,FERIADOS!$A$2:$A$831)-1)</f>
        <v>#REF!</v>
      </c>
      <c r="O272" s="423" t="e">
        <f>IF(C272&lt;&gt;"",IF(ISERROR((100000/E272)^(252/N272)-1),Curva!$B$2,((100000/E272)^(252/N272)-1)),"")</f>
        <v>#REF!</v>
      </c>
      <c r="P272" s="219" t="e">
        <f>IF(OR(G272=1,G272=2),dadosexternosBMF_1!B275,"")</f>
        <v>#REF!</v>
      </c>
      <c r="Q272" s="219" t="e">
        <f>IF(OR(G272=1,G272=2),dadosexternosBMF_1!D275,"")</f>
        <v>#REF!</v>
      </c>
    </row>
    <row r="273" spans="1:17" x14ac:dyDescent="0.2">
      <c r="A273" s="222" t="e">
        <f t="shared" si="36"/>
        <v>#REF!</v>
      </c>
      <c r="B273" s="222" t="str">
        <f>IF(dadosexternosBMF_1!A276="DI1 - DI de 1 dia","DI1 - DI de 1 dia","")</f>
        <v/>
      </c>
      <c r="C273" s="222" t="e">
        <f>IF(dadosexternosBMF_1!A276="DOL - Dólar comercial","",IF(C272&lt;&gt;"",dadosexternosBMF_1!B276,IF(dadosexternosBMF_1!A276="DI1 - DI de 1 dia",dadosexternosBMF_1!B276,"")))</f>
        <v>#REF!</v>
      </c>
      <c r="D273" s="222" t="e">
        <f>IF(C273&lt;&gt;"",dadosexternosBMF_1!C276,"")</f>
        <v>#REF!</v>
      </c>
      <c r="E273" s="222" t="e">
        <f>IF(C273&lt;&gt;"",dadosexternosBMF_1!D276,"")</f>
        <v>#REF!</v>
      </c>
      <c r="G273" s="219" t="e">
        <f t="shared" si="37"/>
        <v>#REF!</v>
      </c>
      <c r="H273" s="219" t="e">
        <f t="shared" si="38"/>
        <v>#REF!</v>
      </c>
      <c r="I273" s="219" t="e">
        <f t="shared" si="39"/>
        <v>#REF!</v>
      </c>
      <c r="J273" s="219" t="e">
        <f>IF(I273="","",VLOOKUP(LEFT(C273,1),dadosexternosBMF_1!$L$2:$M$13,2,FALSE))</f>
        <v>#REF!</v>
      </c>
      <c r="K273" s="219" t="e">
        <f t="shared" si="40"/>
        <v>#REF!</v>
      </c>
      <c r="L273" s="422" t="e">
        <f t="shared" si="41"/>
        <v>#REF!</v>
      </c>
      <c r="M273" s="422" t="e">
        <f>IF(I273="","",WORKDAY(L273-1,1,FERIADOS!$A$2:$A$831))</f>
        <v>#REF!</v>
      </c>
      <c r="N273" s="219" t="e">
        <f>IF(I273="","",NETWORKDAYS(Curva!$M$2,M273,FERIADOS!$A$2:$A$831)-1)</f>
        <v>#REF!</v>
      </c>
      <c r="O273" s="423" t="e">
        <f>IF(C273&lt;&gt;"",IF(ISERROR((100000/E273)^(252/N273)-1),Curva!$B$2,((100000/E273)^(252/N273)-1)),"")</f>
        <v>#REF!</v>
      </c>
      <c r="P273" s="219" t="e">
        <f>IF(OR(G273=1,G273=2),dadosexternosBMF_1!B276,"")</f>
        <v>#REF!</v>
      </c>
      <c r="Q273" s="219" t="e">
        <f>IF(OR(G273=1,G273=2),dadosexternosBMF_1!D276,"")</f>
        <v>#REF!</v>
      </c>
    </row>
    <row r="274" spans="1:17" x14ac:dyDescent="0.2">
      <c r="A274" s="222" t="e">
        <f t="shared" si="36"/>
        <v>#REF!</v>
      </c>
      <c r="B274" s="222" t="str">
        <f>IF(dadosexternosBMF_1!A277="DI1 - DI de 1 dia","DI1 - DI de 1 dia","")</f>
        <v/>
      </c>
      <c r="C274" s="222" t="e">
        <f>IF(dadosexternosBMF_1!A277="DOL - Dólar comercial","",IF(C273&lt;&gt;"",dadosexternosBMF_1!B277,IF(dadosexternosBMF_1!A277="DI1 - DI de 1 dia",dadosexternosBMF_1!B277,"")))</f>
        <v>#REF!</v>
      </c>
      <c r="D274" s="222" t="e">
        <f>IF(C274&lt;&gt;"",dadosexternosBMF_1!C277,"")</f>
        <v>#REF!</v>
      </c>
      <c r="E274" s="222" t="e">
        <f>IF(C274&lt;&gt;"",dadosexternosBMF_1!D277,"")</f>
        <v>#REF!</v>
      </c>
      <c r="G274" s="219" t="e">
        <f t="shared" si="37"/>
        <v>#REF!</v>
      </c>
      <c r="H274" s="219" t="e">
        <f t="shared" si="38"/>
        <v>#REF!</v>
      </c>
      <c r="I274" s="219" t="e">
        <f t="shared" si="39"/>
        <v>#REF!</v>
      </c>
      <c r="J274" s="219" t="e">
        <f>IF(I274="","",VLOOKUP(LEFT(C274,1),dadosexternosBMF_1!$L$2:$M$13,2,FALSE))</f>
        <v>#REF!</v>
      </c>
      <c r="K274" s="219" t="e">
        <f t="shared" si="40"/>
        <v>#REF!</v>
      </c>
      <c r="L274" s="422" t="e">
        <f t="shared" si="41"/>
        <v>#REF!</v>
      </c>
      <c r="M274" s="422" t="e">
        <f>IF(I274="","",WORKDAY(L274-1,1,FERIADOS!$A$2:$A$831))</f>
        <v>#REF!</v>
      </c>
      <c r="N274" s="219" t="e">
        <f>IF(I274="","",NETWORKDAYS(Curva!$M$2,M274,FERIADOS!$A$2:$A$831)-1)</f>
        <v>#REF!</v>
      </c>
      <c r="O274" s="423" t="e">
        <f>IF(C274&lt;&gt;"",IF(ISERROR((100000/E274)^(252/N274)-1),Curva!$B$2,((100000/E274)^(252/N274)-1)),"")</f>
        <v>#REF!</v>
      </c>
      <c r="P274" s="219" t="e">
        <f>IF(OR(G274=1,G274=2),dadosexternosBMF_1!B277,"")</f>
        <v>#REF!</v>
      </c>
      <c r="Q274" s="219" t="e">
        <f>IF(OR(G274=1,G274=2),dadosexternosBMF_1!D277,"")</f>
        <v>#REF!</v>
      </c>
    </row>
    <row r="275" spans="1:17" x14ac:dyDescent="0.2">
      <c r="A275" s="222" t="e">
        <f t="shared" si="36"/>
        <v>#REF!</v>
      </c>
      <c r="B275" s="222" t="str">
        <f>IF(dadosexternosBMF_1!A278="DI1 - DI de 1 dia","DI1 - DI de 1 dia","")</f>
        <v/>
      </c>
      <c r="C275" s="222" t="e">
        <f>IF(dadosexternosBMF_1!A278="DOL - Dólar comercial","",IF(C274&lt;&gt;"",dadosexternosBMF_1!B278,IF(dadosexternosBMF_1!A278="DI1 - DI de 1 dia",dadosexternosBMF_1!B278,"")))</f>
        <v>#REF!</v>
      </c>
      <c r="D275" s="222" t="e">
        <f>IF(C275&lt;&gt;"",dadosexternosBMF_1!C278,"")</f>
        <v>#REF!</v>
      </c>
      <c r="E275" s="222" t="e">
        <f>IF(C275&lt;&gt;"",dadosexternosBMF_1!D278,"")</f>
        <v>#REF!</v>
      </c>
      <c r="G275" s="219" t="e">
        <f t="shared" si="37"/>
        <v>#REF!</v>
      </c>
      <c r="H275" s="219" t="e">
        <f t="shared" si="38"/>
        <v>#REF!</v>
      </c>
      <c r="I275" s="219" t="e">
        <f t="shared" si="39"/>
        <v>#REF!</v>
      </c>
      <c r="J275" s="219" t="e">
        <f>IF(I275="","",VLOOKUP(LEFT(C275,1),dadosexternosBMF_1!$L$2:$M$13,2,FALSE))</f>
        <v>#REF!</v>
      </c>
      <c r="K275" s="219" t="e">
        <f t="shared" si="40"/>
        <v>#REF!</v>
      </c>
      <c r="L275" s="422" t="e">
        <f t="shared" si="41"/>
        <v>#REF!</v>
      </c>
      <c r="M275" s="422" t="e">
        <f>IF(I275="","",WORKDAY(L275-1,1,FERIADOS!$A$2:$A$831))</f>
        <v>#REF!</v>
      </c>
      <c r="N275" s="219" t="e">
        <f>IF(I275="","",NETWORKDAYS(Curva!$M$2,M275,FERIADOS!$A$2:$A$831)-1)</f>
        <v>#REF!</v>
      </c>
      <c r="O275" s="423" t="e">
        <f>IF(C275&lt;&gt;"",IF(ISERROR((100000/E275)^(252/N275)-1),Curva!$B$2,((100000/E275)^(252/N275)-1)),"")</f>
        <v>#REF!</v>
      </c>
      <c r="P275" s="219" t="e">
        <f>IF(OR(G275=1,G275=2),dadosexternosBMF_1!B278,"")</f>
        <v>#REF!</v>
      </c>
      <c r="Q275" s="219" t="e">
        <f>IF(OR(G275=1,G275=2),dadosexternosBMF_1!D278,"")</f>
        <v>#REF!</v>
      </c>
    </row>
    <row r="276" spans="1:17" x14ac:dyDescent="0.2">
      <c r="A276" s="222" t="e">
        <f t="shared" si="36"/>
        <v>#REF!</v>
      </c>
      <c r="B276" s="222" t="str">
        <f>IF(dadosexternosBMF_1!A279="DI1 - DI de 1 dia","DI1 - DI de 1 dia","")</f>
        <v/>
      </c>
      <c r="C276" s="222" t="e">
        <f>IF(dadosexternosBMF_1!A279="DOL - Dólar comercial","",IF(C275&lt;&gt;"",dadosexternosBMF_1!B279,IF(dadosexternosBMF_1!A279="DI1 - DI de 1 dia",dadosexternosBMF_1!B279,"")))</f>
        <v>#REF!</v>
      </c>
      <c r="D276" s="222" t="e">
        <f>IF(C276&lt;&gt;"",dadosexternosBMF_1!C279,"")</f>
        <v>#REF!</v>
      </c>
      <c r="E276" s="222" t="e">
        <f>IF(C276&lt;&gt;"",dadosexternosBMF_1!D279,"")</f>
        <v>#REF!</v>
      </c>
      <c r="G276" s="219" t="e">
        <f t="shared" si="37"/>
        <v>#REF!</v>
      </c>
      <c r="H276" s="219" t="e">
        <f t="shared" si="38"/>
        <v>#REF!</v>
      </c>
      <c r="I276" s="219" t="e">
        <f t="shared" si="39"/>
        <v>#REF!</v>
      </c>
      <c r="J276" s="219" t="e">
        <f>IF(I276="","",VLOOKUP(LEFT(C276,1),dadosexternosBMF_1!$L$2:$M$13,2,FALSE))</f>
        <v>#REF!</v>
      </c>
      <c r="K276" s="219" t="e">
        <f t="shared" si="40"/>
        <v>#REF!</v>
      </c>
      <c r="L276" s="422" t="e">
        <f t="shared" si="41"/>
        <v>#REF!</v>
      </c>
      <c r="M276" s="422" t="e">
        <f>IF(I276="","",WORKDAY(L276-1,1,FERIADOS!$A$2:$A$831))</f>
        <v>#REF!</v>
      </c>
      <c r="N276" s="219" t="e">
        <f>IF(I276="","",NETWORKDAYS(Curva!$M$2,M276,FERIADOS!$A$2:$A$831)-1)</f>
        <v>#REF!</v>
      </c>
      <c r="O276" s="423" t="e">
        <f>IF(C276&lt;&gt;"",IF(ISERROR((100000/E276)^(252/N276)-1),Curva!$B$2,((100000/E276)^(252/N276)-1)),"")</f>
        <v>#REF!</v>
      </c>
      <c r="P276" s="219" t="e">
        <f>IF(OR(G276=1,G276=2),dadosexternosBMF_1!B279,"")</f>
        <v>#REF!</v>
      </c>
      <c r="Q276" s="219" t="e">
        <f>IF(OR(G276=1,G276=2),dadosexternosBMF_1!D279,"")</f>
        <v>#REF!</v>
      </c>
    </row>
    <row r="277" spans="1:17" x14ac:dyDescent="0.2">
      <c r="A277" s="222" t="e">
        <f t="shared" si="36"/>
        <v>#REF!</v>
      </c>
      <c r="B277" s="222" t="str">
        <f>IF(dadosexternosBMF_1!A280="DI1 - DI de 1 dia","DI1 - DI de 1 dia","")</f>
        <v/>
      </c>
      <c r="C277" s="222" t="e">
        <f>IF(dadosexternosBMF_1!A280="DOL - Dólar comercial","",IF(C276&lt;&gt;"",dadosexternosBMF_1!B280,IF(dadosexternosBMF_1!A280="DI1 - DI de 1 dia",dadosexternosBMF_1!B280,"")))</f>
        <v>#REF!</v>
      </c>
      <c r="D277" s="222" t="e">
        <f>IF(C277&lt;&gt;"",dadosexternosBMF_1!C280,"")</f>
        <v>#REF!</v>
      </c>
      <c r="E277" s="222" t="e">
        <f>IF(C277&lt;&gt;"",dadosexternosBMF_1!D280,"")</f>
        <v>#REF!</v>
      </c>
      <c r="G277" s="219" t="e">
        <f t="shared" si="37"/>
        <v>#REF!</v>
      </c>
      <c r="H277" s="219" t="e">
        <f t="shared" si="38"/>
        <v>#REF!</v>
      </c>
      <c r="I277" s="219" t="e">
        <f t="shared" si="39"/>
        <v>#REF!</v>
      </c>
      <c r="J277" s="219" t="e">
        <f>IF(I277="","",VLOOKUP(LEFT(C277,1),dadosexternosBMF_1!$L$2:$M$13,2,FALSE))</f>
        <v>#REF!</v>
      </c>
      <c r="K277" s="219" t="e">
        <f t="shared" si="40"/>
        <v>#REF!</v>
      </c>
      <c r="L277" s="422" t="e">
        <f t="shared" si="41"/>
        <v>#REF!</v>
      </c>
      <c r="M277" s="422" t="e">
        <f>IF(I277="","",WORKDAY(L277-1,1,FERIADOS!$A$2:$A$831))</f>
        <v>#REF!</v>
      </c>
      <c r="N277" s="219" t="e">
        <f>IF(I277="","",NETWORKDAYS(Curva!$M$2,M277,FERIADOS!$A$2:$A$831)-1)</f>
        <v>#REF!</v>
      </c>
      <c r="O277" s="423" t="e">
        <f>IF(C277&lt;&gt;"",IF(ISERROR((100000/E277)^(252/N277)-1),Curva!$B$2,((100000/E277)^(252/N277)-1)),"")</f>
        <v>#REF!</v>
      </c>
      <c r="P277" s="219" t="e">
        <f>IF(OR(G277=1,G277=2),dadosexternosBMF_1!B280,"")</f>
        <v>#REF!</v>
      </c>
      <c r="Q277" s="219" t="e">
        <f>IF(OR(G277=1,G277=2),dadosexternosBMF_1!D280,"")</f>
        <v>#REF!</v>
      </c>
    </row>
    <row r="278" spans="1:17" x14ac:dyDescent="0.2">
      <c r="A278" s="222" t="e">
        <f t="shared" si="36"/>
        <v>#REF!</v>
      </c>
      <c r="B278" s="222" t="str">
        <f>IF(dadosexternosBMF_1!A281="DI1 - DI de 1 dia","DI1 - DI de 1 dia","")</f>
        <v/>
      </c>
      <c r="C278" s="222" t="e">
        <f>IF(dadosexternosBMF_1!A281="DOL - Dólar comercial","",IF(C277&lt;&gt;"",dadosexternosBMF_1!B281,IF(dadosexternosBMF_1!A281="DI1 - DI de 1 dia",dadosexternosBMF_1!B281,"")))</f>
        <v>#REF!</v>
      </c>
      <c r="D278" s="222" t="e">
        <f>IF(C278&lt;&gt;"",dadosexternosBMF_1!C281,"")</f>
        <v>#REF!</v>
      </c>
      <c r="E278" s="222" t="e">
        <f>IF(C278&lt;&gt;"",dadosexternosBMF_1!D281,"")</f>
        <v>#REF!</v>
      </c>
      <c r="G278" s="219" t="e">
        <f t="shared" si="37"/>
        <v>#REF!</v>
      </c>
      <c r="H278" s="219" t="e">
        <f t="shared" si="38"/>
        <v>#REF!</v>
      </c>
      <c r="I278" s="219" t="e">
        <f t="shared" si="39"/>
        <v>#REF!</v>
      </c>
      <c r="J278" s="219" t="e">
        <f>IF(I278="","",VLOOKUP(LEFT(C278,1),dadosexternosBMF_1!$L$2:$M$13,2,FALSE))</f>
        <v>#REF!</v>
      </c>
      <c r="K278" s="219" t="e">
        <f t="shared" si="40"/>
        <v>#REF!</v>
      </c>
      <c r="L278" s="422" t="e">
        <f t="shared" si="41"/>
        <v>#REF!</v>
      </c>
      <c r="M278" s="422" t="e">
        <f>IF(I278="","",WORKDAY(L278-1,1,FERIADOS!$A$2:$A$831))</f>
        <v>#REF!</v>
      </c>
      <c r="N278" s="219" t="e">
        <f>IF(I278="","",NETWORKDAYS(Curva!$M$2,M278,FERIADOS!$A$2:$A$831)-1)</f>
        <v>#REF!</v>
      </c>
      <c r="O278" s="423" t="e">
        <f>IF(C278&lt;&gt;"",IF(ISERROR((100000/E278)^(252/N278)-1),Curva!$B$2,((100000/E278)^(252/N278)-1)),"")</f>
        <v>#REF!</v>
      </c>
      <c r="P278" s="219" t="e">
        <f>IF(OR(G278=1,G278=2),dadosexternosBMF_1!B281,"")</f>
        <v>#REF!</v>
      </c>
      <c r="Q278" s="219" t="e">
        <f>IF(OR(G278=1,G278=2),dadosexternosBMF_1!D281,"")</f>
        <v>#REF!</v>
      </c>
    </row>
    <row r="279" spans="1:17" x14ac:dyDescent="0.2">
      <c r="A279" s="222" t="e">
        <f t="shared" si="36"/>
        <v>#REF!</v>
      </c>
      <c r="B279" s="222" t="str">
        <f>IF(dadosexternosBMF_1!A282="DI1 - DI de 1 dia","DI1 - DI de 1 dia","")</f>
        <v/>
      </c>
      <c r="C279" s="222" t="e">
        <f>IF(dadosexternosBMF_1!A282="DOL - Dólar comercial","",IF(C278&lt;&gt;"",dadosexternosBMF_1!B282,IF(dadosexternosBMF_1!A282="DI1 - DI de 1 dia",dadosexternosBMF_1!B282,"")))</f>
        <v>#REF!</v>
      </c>
      <c r="D279" s="222" t="e">
        <f>IF(C279&lt;&gt;"",dadosexternosBMF_1!C282,"")</f>
        <v>#REF!</v>
      </c>
      <c r="E279" s="222" t="e">
        <f>IF(C279&lt;&gt;"",dadosexternosBMF_1!D282,"")</f>
        <v>#REF!</v>
      </c>
      <c r="G279" s="219" t="e">
        <f t="shared" si="37"/>
        <v>#REF!</v>
      </c>
      <c r="H279" s="219" t="e">
        <f t="shared" si="38"/>
        <v>#REF!</v>
      </c>
      <c r="I279" s="219" t="e">
        <f t="shared" si="39"/>
        <v>#REF!</v>
      </c>
      <c r="J279" s="219" t="e">
        <f>IF(I279="","",VLOOKUP(LEFT(C279,1),dadosexternosBMF_1!$L$2:$M$13,2,FALSE))</f>
        <v>#REF!</v>
      </c>
      <c r="K279" s="219" t="e">
        <f t="shared" si="40"/>
        <v>#REF!</v>
      </c>
      <c r="L279" s="422" t="e">
        <f t="shared" si="41"/>
        <v>#REF!</v>
      </c>
      <c r="M279" s="422" t="e">
        <f>IF(I279="","",WORKDAY(L279-1,1,FERIADOS!$A$2:$A$831))</f>
        <v>#REF!</v>
      </c>
      <c r="N279" s="219" t="e">
        <f>IF(I279="","",NETWORKDAYS(Curva!$M$2,M279,FERIADOS!$A$2:$A$831)-1)</f>
        <v>#REF!</v>
      </c>
      <c r="O279" s="423" t="e">
        <f>IF(C279&lt;&gt;"",IF(ISERROR((100000/E279)^(252/N279)-1),Curva!$B$2,((100000/E279)^(252/N279)-1)),"")</f>
        <v>#REF!</v>
      </c>
      <c r="P279" s="219" t="e">
        <f>IF(OR(G279=1,G279=2),dadosexternosBMF_1!B282,"")</f>
        <v>#REF!</v>
      </c>
      <c r="Q279" s="219" t="e">
        <f>IF(OR(G279=1,G279=2),dadosexternosBMF_1!D282,"")</f>
        <v>#REF!</v>
      </c>
    </row>
    <row r="280" spans="1:17" x14ac:dyDescent="0.2">
      <c r="A280" s="222" t="e">
        <f t="shared" si="36"/>
        <v>#REF!</v>
      </c>
      <c r="B280" s="222" t="str">
        <f>IF(dadosexternosBMF_1!A283="DI1 - DI de 1 dia","DI1 - DI de 1 dia","")</f>
        <v/>
      </c>
      <c r="C280" s="222" t="e">
        <f>IF(dadosexternosBMF_1!A283="DOL - Dólar comercial","",IF(C279&lt;&gt;"",dadosexternosBMF_1!B283,IF(dadosexternosBMF_1!A283="DI1 - DI de 1 dia",dadosexternosBMF_1!B283,"")))</f>
        <v>#REF!</v>
      </c>
      <c r="D280" s="222" t="e">
        <f>IF(C280&lt;&gt;"",dadosexternosBMF_1!C283,"")</f>
        <v>#REF!</v>
      </c>
      <c r="E280" s="222" t="e">
        <f>IF(C280&lt;&gt;"",dadosexternosBMF_1!D283,"")</f>
        <v>#REF!</v>
      </c>
      <c r="G280" s="219" t="e">
        <f t="shared" si="37"/>
        <v>#REF!</v>
      </c>
      <c r="H280" s="219" t="e">
        <f t="shared" si="38"/>
        <v>#REF!</v>
      </c>
      <c r="I280" s="219" t="e">
        <f t="shared" si="39"/>
        <v>#REF!</v>
      </c>
      <c r="J280" s="219" t="e">
        <f>IF(I280="","",VLOOKUP(LEFT(C280,1),dadosexternosBMF_1!$L$2:$M$13,2,FALSE))</f>
        <v>#REF!</v>
      </c>
      <c r="K280" s="219" t="e">
        <f t="shared" si="40"/>
        <v>#REF!</v>
      </c>
      <c r="L280" s="422" t="e">
        <f t="shared" si="41"/>
        <v>#REF!</v>
      </c>
      <c r="M280" s="422" t="e">
        <f>IF(I280="","",WORKDAY(L280-1,1,FERIADOS!$A$2:$A$831))</f>
        <v>#REF!</v>
      </c>
      <c r="N280" s="219" t="e">
        <f>IF(I280="","",NETWORKDAYS(Curva!$M$2,M280,FERIADOS!$A$2:$A$831)-1)</f>
        <v>#REF!</v>
      </c>
      <c r="O280" s="423" t="e">
        <f>IF(C280&lt;&gt;"",IF(ISERROR((100000/E280)^(252/N280)-1),Curva!$B$2,((100000/E280)^(252/N280)-1)),"")</f>
        <v>#REF!</v>
      </c>
      <c r="P280" s="219" t="e">
        <f>IF(OR(G280=1,G280=2),dadosexternosBMF_1!B283,"")</f>
        <v>#REF!</v>
      </c>
      <c r="Q280" s="219" t="e">
        <f>IF(OR(G280=1,G280=2),dadosexternosBMF_1!D283,"")</f>
        <v>#REF!</v>
      </c>
    </row>
    <row r="281" spans="1:17" x14ac:dyDescent="0.2">
      <c r="A281" s="222" t="e">
        <f t="shared" si="36"/>
        <v>#REF!</v>
      </c>
      <c r="B281" s="222" t="str">
        <f>IF(dadosexternosBMF_1!A284="DI1 - DI de 1 dia","DI1 - DI de 1 dia","")</f>
        <v/>
      </c>
      <c r="C281" s="222" t="e">
        <f>IF(dadosexternosBMF_1!A284="DOL - Dólar comercial","",IF(C280&lt;&gt;"",dadosexternosBMF_1!B284,IF(dadosexternosBMF_1!A284="DI1 - DI de 1 dia",dadosexternosBMF_1!B284,"")))</f>
        <v>#REF!</v>
      </c>
      <c r="D281" s="222" t="e">
        <f>IF(C281&lt;&gt;"",dadosexternosBMF_1!C284,"")</f>
        <v>#REF!</v>
      </c>
      <c r="E281" s="222" t="e">
        <f>IF(C281&lt;&gt;"",dadosexternosBMF_1!D284,"")</f>
        <v>#REF!</v>
      </c>
      <c r="G281" s="219" t="e">
        <f t="shared" si="37"/>
        <v>#REF!</v>
      </c>
      <c r="H281" s="219" t="e">
        <f t="shared" si="38"/>
        <v>#REF!</v>
      </c>
      <c r="I281" s="219" t="e">
        <f t="shared" si="39"/>
        <v>#REF!</v>
      </c>
      <c r="J281" s="219" t="e">
        <f>IF(I281="","",VLOOKUP(LEFT(C281,1),dadosexternosBMF_1!$L$2:$M$13,2,FALSE))</f>
        <v>#REF!</v>
      </c>
      <c r="K281" s="219" t="e">
        <f t="shared" si="40"/>
        <v>#REF!</v>
      </c>
      <c r="L281" s="422" t="e">
        <f t="shared" si="41"/>
        <v>#REF!</v>
      </c>
      <c r="M281" s="422" t="e">
        <f>IF(I281="","",WORKDAY(L281-1,1,FERIADOS!$A$2:$A$831))</f>
        <v>#REF!</v>
      </c>
      <c r="N281" s="219" t="e">
        <f>IF(I281="","",NETWORKDAYS(Curva!$M$2,M281,FERIADOS!$A$2:$A$831)-1)</f>
        <v>#REF!</v>
      </c>
      <c r="O281" s="423" t="e">
        <f>IF(C281&lt;&gt;"",IF(ISERROR((100000/E281)^(252/N281)-1),Curva!$B$2,((100000/E281)^(252/N281)-1)),"")</f>
        <v>#REF!</v>
      </c>
      <c r="P281" s="219" t="e">
        <f>IF(OR(G281=1,G281=2),dadosexternosBMF_1!B284,"")</f>
        <v>#REF!</v>
      </c>
      <c r="Q281" s="219" t="e">
        <f>IF(OR(G281=1,G281=2),dadosexternosBMF_1!D284,"")</f>
        <v>#REF!</v>
      </c>
    </row>
    <row r="282" spans="1:17" x14ac:dyDescent="0.2">
      <c r="A282" s="222" t="e">
        <f t="shared" si="36"/>
        <v>#REF!</v>
      </c>
      <c r="B282" s="222" t="str">
        <f>IF(dadosexternosBMF_1!A285="DI1 - DI de 1 dia","DI1 - DI de 1 dia","")</f>
        <v/>
      </c>
      <c r="C282" s="222" t="e">
        <f>IF(dadosexternosBMF_1!A285="DOL - Dólar comercial","",IF(C281&lt;&gt;"",dadosexternosBMF_1!B285,IF(dadosexternosBMF_1!A285="DI1 - DI de 1 dia",dadosexternosBMF_1!B285,"")))</f>
        <v>#REF!</v>
      </c>
      <c r="D282" s="222" t="e">
        <f>IF(C282&lt;&gt;"",dadosexternosBMF_1!C285,"")</f>
        <v>#REF!</v>
      </c>
      <c r="E282" s="222" t="e">
        <f>IF(C282&lt;&gt;"",dadosexternosBMF_1!D285,"")</f>
        <v>#REF!</v>
      </c>
      <c r="G282" s="219" t="e">
        <f t="shared" si="37"/>
        <v>#REF!</v>
      </c>
      <c r="H282" s="219" t="e">
        <f t="shared" si="38"/>
        <v>#REF!</v>
      </c>
      <c r="I282" s="219" t="e">
        <f t="shared" si="39"/>
        <v>#REF!</v>
      </c>
      <c r="J282" s="219" t="e">
        <f>IF(I282="","",VLOOKUP(LEFT(C282,1),dadosexternosBMF_1!$L$2:$M$13,2,FALSE))</f>
        <v>#REF!</v>
      </c>
      <c r="K282" s="219" t="e">
        <f t="shared" si="40"/>
        <v>#REF!</v>
      </c>
      <c r="L282" s="422" t="e">
        <f t="shared" si="41"/>
        <v>#REF!</v>
      </c>
      <c r="M282" s="422" t="e">
        <f>IF(I282="","",WORKDAY(L282-1,1,FERIADOS!$A$2:$A$831))</f>
        <v>#REF!</v>
      </c>
      <c r="N282" s="219" t="e">
        <f>IF(I282="","",NETWORKDAYS(Curva!$M$2,M282,FERIADOS!$A$2:$A$831)-1)</f>
        <v>#REF!</v>
      </c>
      <c r="O282" s="423" t="e">
        <f>IF(C282&lt;&gt;"",IF(ISERROR((100000/E282)^(252/N282)-1),Curva!$B$2,((100000/E282)^(252/N282)-1)),"")</f>
        <v>#REF!</v>
      </c>
      <c r="P282" s="219" t="e">
        <f>IF(OR(G282=1,G282=2),dadosexternosBMF_1!B285,"")</f>
        <v>#REF!</v>
      </c>
      <c r="Q282" s="219" t="e">
        <f>IF(OR(G282=1,G282=2),dadosexternosBMF_1!D285,"")</f>
        <v>#REF!</v>
      </c>
    </row>
    <row r="283" spans="1:17" x14ac:dyDescent="0.2">
      <c r="A283" s="222" t="e">
        <f t="shared" ref="A283:A346" si="42">IF(AND(A282&lt;&gt;"",C283&lt;&gt;""),A282+1,IF(B283="DI1 - DI de 1 dia",1,""))</f>
        <v>#REF!</v>
      </c>
      <c r="B283" s="222" t="str">
        <f>IF(dadosexternosBMF_1!A286="DI1 - DI de 1 dia","DI1 - DI de 1 dia","")</f>
        <v/>
      </c>
      <c r="C283" s="222" t="e">
        <f>IF(dadosexternosBMF_1!A286="DOL - Dólar comercial","",IF(C282&lt;&gt;"",dadosexternosBMF_1!B286,IF(dadosexternosBMF_1!A286="DI1 - DI de 1 dia",dadosexternosBMF_1!B286,"")))</f>
        <v>#REF!</v>
      </c>
      <c r="D283" s="222" t="e">
        <f>IF(C283&lt;&gt;"",dadosexternosBMF_1!C286,"")</f>
        <v>#REF!</v>
      </c>
      <c r="E283" s="222" t="e">
        <f>IF(C283&lt;&gt;"",dadosexternosBMF_1!D286,"")</f>
        <v>#REF!</v>
      </c>
      <c r="G283" s="219" t="e">
        <f t="shared" ref="G283:G346" si="43">IF(G282=1,2,IF(AND(H283="",H282&lt;&gt;""),1,""))</f>
        <v>#REF!</v>
      </c>
      <c r="H283" s="219" t="e">
        <f t="shared" ref="H283:H346" si="44">IF(A283&lt;&gt;"",A283,"")</f>
        <v>#REF!</v>
      </c>
      <c r="I283" s="219" t="e">
        <f t="shared" ref="I283:I346" si="45">IF(A283&lt;&gt;"",(CONCATENATE("DI1",C283)),"")</f>
        <v>#REF!</v>
      </c>
      <c r="J283" s="219" t="e">
        <f>IF(I283="","",VLOOKUP(LEFT(C283,1),dadosexternosBMF_1!$L$2:$M$13,2,FALSE))</f>
        <v>#REF!</v>
      </c>
      <c r="K283" s="219" t="e">
        <f t="shared" ref="K283:K346" si="46">IF(I283="","",1+CONCATENATE(20,RIGHT(C283,2))-1)</f>
        <v>#REF!</v>
      </c>
      <c r="L283" s="422" t="e">
        <f t="shared" ref="L283:L346" si="47">IF(I283="","",CONCATENATE(1,"/",J283,"/",K283)+1-1)</f>
        <v>#REF!</v>
      </c>
      <c r="M283" s="422" t="e">
        <f>IF(I283="","",WORKDAY(L283-1,1,FERIADOS!$A$2:$A$831))</f>
        <v>#REF!</v>
      </c>
      <c r="N283" s="219" t="e">
        <f>IF(I283="","",NETWORKDAYS(Curva!$M$2,M283,FERIADOS!$A$2:$A$831)-1)</f>
        <v>#REF!</v>
      </c>
      <c r="O283" s="423" t="e">
        <f>IF(C283&lt;&gt;"",IF(ISERROR((100000/E283)^(252/N283)-1),Curva!$B$2,((100000/E283)^(252/N283)-1)),"")</f>
        <v>#REF!</v>
      </c>
      <c r="P283" s="219" t="e">
        <f>IF(OR(G283=1,G283=2),dadosexternosBMF_1!B286,"")</f>
        <v>#REF!</v>
      </c>
      <c r="Q283" s="219" t="e">
        <f>IF(OR(G283=1,G283=2),dadosexternosBMF_1!D286,"")</f>
        <v>#REF!</v>
      </c>
    </row>
    <row r="284" spans="1:17" x14ac:dyDescent="0.2">
      <c r="A284" s="222" t="e">
        <f t="shared" si="42"/>
        <v>#REF!</v>
      </c>
      <c r="B284" s="222" t="str">
        <f>IF(dadosexternosBMF_1!A287="DI1 - DI de 1 dia","DI1 - DI de 1 dia","")</f>
        <v/>
      </c>
      <c r="C284" s="222" t="e">
        <f>IF(dadosexternosBMF_1!A287="DOL - Dólar comercial","",IF(C283&lt;&gt;"",dadosexternosBMF_1!B287,IF(dadosexternosBMF_1!A287="DI1 - DI de 1 dia",dadosexternosBMF_1!B287,"")))</f>
        <v>#REF!</v>
      </c>
      <c r="D284" s="222" t="e">
        <f>IF(C284&lt;&gt;"",dadosexternosBMF_1!C287,"")</f>
        <v>#REF!</v>
      </c>
      <c r="E284" s="222" t="e">
        <f>IF(C284&lt;&gt;"",dadosexternosBMF_1!D287,"")</f>
        <v>#REF!</v>
      </c>
      <c r="G284" s="219" t="e">
        <f t="shared" si="43"/>
        <v>#REF!</v>
      </c>
      <c r="H284" s="219" t="e">
        <f t="shared" si="44"/>
        <v>#REF!</v>
      </c>
      <c r="I284" s="219" t="e">
        <f t="shared" si="45"/>
        <v>#REF!</v>
      </c>
      <c r="J284" s="219" t="e">
        <f>IF(I284="","",VLOOKUP(LEFT(C284,1),dadosexternosBMF_1!$L$2:$M$13,2,FALSE))</f>
        <v>#REF!</v>
      </c>
      <c r="K284" s="219" t="e">
        <f t="shared" si="46"/>
        <v>#REF!</v>
      </c>
      <c r="L284" s="422" t="e">
        <f t="shared" si="47"/>
        <v>#REF!</v>
      </c>
      <c r="M284" s="422" t="e">
        <f>IF(I284="","",WORKDAY(L284-1,1,FERIADOS!$A$2:$A$831))</f>
        <v>#REF!</v>
      </c>
      <c r="N284" s="219" t="e">
        <f>IF(I284="","",NETWORKDAYS(Curva!$M$2,M284,FERIADOS!$A$2:$A$831)-1)</f>
        <v>#REF!</v>
      </c>
      <c r="O284" s="423" t="e">
        <f>IF(C284&lt;&gt;"",IF(ISERROR((100000/E284)^(252/N284)-1),Curva!$B$2,((100000/E284)^(252/N284)-1)),"")</f>
        <v>#REF!</v>
      </c>
      <c r="P284" s="219" t="e">
        <f>IF(OR(G284=1,G284=2),dadosexternosBMF_1!B287,"")</f>
        <v>#REF!</v>
      </c>
      <c r="Q284" s="219" t="e">
        <f>IF(OR(G284=1,G284=2),dadosexternosBMF_1!D287,"")</f>
        <v>#REF!</v>
      </c>
    </row>
    <row r="285" spans="1:17" x14ac:dyDescent="0.2">
      <c r="A285" s="222" t="e">
        <f t="shared" si="42"/>
        <v>#REF!</v>
      </c>
      <c r="B285" s="222" t="str">
        <f>IF(dadosexternosBMF_1!A288="DI1 - DI de 1 dia","DI1 - DI de 1 dia","")</f>
        <v/>
      </c>
      <c r="C285" s="222" t="e">
        <f>IF(dadosexternosBMF_1!A288="DOL - Dólar comercial","",IF(C284&lt;&gt;"",dadosexternosBMF_1!B288,IF(dadosexternosBMF_1!A288="DI1 - DI de 1 dia",dadosexternosBMF_1!B288,"")))</f>
        <v>#REF!</v>
      </c>
      <c r="D285" s="222" t="e">
        <f>IF(C285&lt;&gt;"",dadosexternosBMF_1!C288,"")</f>
        <v>#REF!</v>
      </c>
      <c r="E285" s="222" t="e">
        <f>IF(C285&lt;&gt;"",dadosexternosBMF_1!D288,"")</f>
        <v>#REF!</v>
      </c>
      <c r="G285" s="219" t="e">
        <f t="shared" si="43"/>
        <v>#REF!</v>
      </c>
      <c r="H285" s="219" t="e">
        <f t="shared" si="44"/>
        <v>#REF!</v>
      </c>
      <c r="I285" s="219" t="e">
        <f t="shared" si="45"/>
        <v>#REF!</v>
      </c>
      <c r="J285" s="219" t="e">
        <f>IF(I285="","",VLOOKUP(LEFT(C285,1),dadosexternosBMF_1!$L$2:$M$13,2,FALSE))</f>
        <v>#REF!</v>
      </c>
      <c r="K285" s="219" t="e">
        <f t="shared" si="46"/>
        <v>#REF!</v>
      </c>
      <c r="L285" s="422" t="e">
        <f t="shared" si="47"/>
        <v>#REF!</v>
      </c>
      <c r="M285" s="422" t="e">
        <f>IF(I285="","",WORKDAY(L285-1,1,FERIADOS!$A$2:$A$831))</f>
        <v>#REF!</v>
      </c>
      <c r="N285" s="219" t="e">
        <f>IF(I285="","",NETWORKDAYS(Curva!$M$2,M285,FERIADOS!$A$2:$A$831)-1)</f>
        <v>#REF!</v>
      </c>
      <c r="O285" s="423" t="e">
        <f>IF(C285&lt;&gt;"",IF(ISERROR((100000/E285)^(252/N285)-1),Curva!$B$2,((100000/E285)^(252/N285)-1)),"")</f>
        <v>#REF!</v>
      </c>
      <c r="P285" s="219" t="e">
        <f>IF(OR(G285=1,G285=2),dadosexternosBMF_1!B288,"")</f>
        <v>#REF!</v>
      </c>
      <c r="Q285" s="219" t="e">
        <f>IF(OR(G285=1,G285=2),dadosexternosBMF_1!D288,"")</f>
        <v>#REF!</v>
      </c>
    </row>
    <row r="286" spans="1:17" x14ac:dyDescent="0.2">
      <c r="A286" s="222" t="e">
        <f t="shared" si="42"/>
        <v>#REF!</v>
      </c>
      <c r="B286" s="222" t="str">
        <f>IF(dadosexternosBMF_1!A289="DI1 - DI de 1 dia","DI1 - DI de 1 dia","")</f>
        <v/>
      </c>
      <c r="C286" s="222" t="e">
        <f>IF(dadosexternosBMF_1!A289="DOL - Dólar comercial","",IF(C285&lt;&gt;"",dadosexternosBMF_1!B289,IF(dadosexternosBMF_1!A289="DI1 - DI de 1 dia",dadosexternosBMF_1!B289,"")))</f>
        <v>#REF!</v>
      </c>
      <c r="D286" s="222" t="e">
        <f>IF(C286&lt;&gt;"",dadosexternosBMF_1!C289,"")</f>
        <v>#REF!</v>
      </c>
      <c r="E286" s="222" t="e">
        <f>IF(C286&lt;&gt;"",dadosexternosBMF_1!D289,"")</f>
        <v>#REF!</v>
      </c>
      <c r="G286" s="219" t="e">
        <f t="shared" si="43"/>
        <v>#REF!</v>
      </c>
      <c r="H286" s="219" t="e">
        <f t="shared" si="44"/>
        <v>#REF!</v>
      </c>
      <c r="I286" s="219" t="e">
        <f t="shared" si="45"/>
        <v>#REF!</v>
      </c>
      <c r="J286" s="219" t="e">
        <f>IF(I286="","",VLOOKUP(LEFT(C286,1),dadosexternosBMF_1!$L$2:$M$13,2,FALSE))</f>
        <v>#REF!</v>
      </c>
      <c r="K286" s="219" t="e">
        <f t="shared" si="46"/>
        <v>#REF!</v>
      </c>
      <c r="L286" s="422" t="e">
        <f t="shared" si="47"/>
        <v>#REF!</v>
      </c>
      <c r="M286" s="422" t="e">
        <f>IF(I286="","",WORKDAY(L286-1,1,FERIADOS!$A$2:$A$831))</f>
        <v>#REF!</v>
      </c>
      <c r="N286" s="219" t="e">
        <f>IF(I286="","",NETWORKDAYS(Curva!$M$2,M286,FERIADOS!$A$2:$A$831)-1)</f>
        <v>#REF!</v>
      </c>
      <c r="O286" s="423" t="e">
        <f>IF(C286&lt;&gt;"",IF(ISERROR((100000/E286)^(252/N286)-1),Curva!$B$2,((100000/E286)^(252/N286)-1)),"")</f>
        <v>#REF!</v>
      </c>
      <c r="P286" s="219" t="e">
        <f>IF(OR(G286=1,G286=2),dadosexternosBMF_1!B289,"")</f>
        <v>#REF!</v>
      </c>
      <c r="Q286" s="219" t="e">
        <f>IF(OR(G286=1,G286=2),dadosexternosBMF_1!D289,"")</f>
        <v>#REF!</v>
      </c>
    </row>
    <row r="287" spans="1:17" x14ac:dyDescent="0.2">
      <c r="A287" s="222" t="e">
        <f t="shared" si="42"/>
        <v>#REF!</v>
      </c>
      <c r="B287" s="222" t="str">
        <f>IF(dadosexternosBMF_1!A290="DI1 - DI de 1 dia","DI1 - DI de 1 dia","")</f>
        <v/>
      </c>
      <c r="C287" s="222" t="e">
        <f>IF(dadosexternosBMF_1!A290="DOL - Dólar comercial","",IF(C286&lt;&gt;"",dadosexternosBMF_1!B290,IF(dadosexternosBMF_1!A290="DI1 - DI de 1 dia",dadosexternosBMF_1!B290,"")))</f>
        <v>#REF!</v>
      </c>
      <c r="D287" s="222" t="e">
        <f>IF(C287&lt;&gt;"",dadosexternosBMF_1!C290,"")</f>
        <v>#REF!</v>
      </c>
      <c r="E287" s="222" t="e">
        <f>IF(C287&lt;&gt;"",dadosexternosBMF_1!D290,"")</f>
        <v>#REF!</v>
      </c>
      <c r="G287" s="219" t="e">
        <f t="shared" si="43"/>
        <v>#REF!</v>
      </c>
      <c r="H287" s="219" t="e">
        <f t="shared" si="44"/>
        <v>#REF!</v>
      </c>
      <c r="I287" s="219" t="e">
        <f t="shared" si="45"/>
        <v>#REF!</v>
      </c>
      <c r="J287" s="219" t="e">
        <f>IF(I287="","",VLOOKUP(LEFT(C287,1),dadosexternosBMF_1!$L$2:$M$13,2,FALSE))</f>
        <v>#REF!</v>
      </c>
      <c r="K287" s="219" t="e">
        <f t="shared" si="46"/>
        <v>#REF!</v>
      </c>
      <c r="L287" s="422" t="e">
        <f t="shared" si="47"/>
        <v>#REF!</v>
      </c>
      <c r="M287" s="422" t="e">
        <f>IF(I287="","",WORKDAY(L287-1,1,FERIADOS!$A$2:$A$831))</f>
        <v>#REF!</v>
      </c>
      <c r="N287" s="219" t="e">
        <f>IF(I287="","",NETWORKDAYS(Curva!$M$2,M287,FERIADOS!$A$2:$A$831)-1)</f>
        <v>#REF!</v>
      </c>
      <c r="O287" s="423" t="e">
        <f>IF(C287&lt;&gt;"",IF(ISERROR((100000/E287)^(252/N287)-1),Curva!$B$2,((100000/E287)^(252/N287)-1)),"")</f>
        <v>#REF!</v>
      </c>
      <c r="P287" s="219" t="e">
        <f>IF(OR(G287=1,G287=2),dadosexternosBMF_1!B290,"")</f>
        <v>#REF!</v>
      </c>
      <c r="Q287" s="219" t="e">
        <f>IF(OR(G287=1,G287=2),dadosexternosBMF_1!D290,"")</f>
        <v>#REF!</v>
      </c>
    </row>
    <row r="288" spans="1:17" x14ac:dyDescent="0.2">
      <c r="A288" s="222" t="e">
        <f t="shared" si="42"/>
        <v>#REF!</v>
      </c>
      <c r="B288" s="222" t="str">
        <f>IF(dadosexternosBMF_1!A291="DI1 - DI de 1 dia","DI1 - DI de 1 dia","")</f>
        <v/>
      </c>
      <c r="C288" s="222" t="e">
        <f>IF(dadosexternosBMF_1!A291="DOL - Dólar comercial","",IF(C287&lt;&gt;"",dadosexternosBMF_1!B291,IF(dadosexternosBMF_1!A291="DI1 - DI de 1 dia",dadosexternosBMF_1!B291,"")))</f>
        <v>#REF!</v>
      </c>
      <c r="D288" s="222" t="e">
        <f>IF(C288&lt;&gt;"",dadosexternosBMF_1!C291,"")</f>
        <v>#REF!</v>
      </c>
      <c r="E288" s="222" t="e">
        <f>IF(C288&lt;&gt;"",dadosexternosBMF_1!D291,"")</f>
        <v>#REF!</v>
      </c>
      <c r="G288" s="219" t="e">
        <f t="shared" si="43"/>
        <v>#REF!</v>
      </c>
      <c r="H288" s="219" t="e">
        <f t="shared" si="44"/>
        <v>#REF!</v>
      </c>
      <c r="I288" s="219" t="e">
        <f t="shared" si="45"/>
        <v>#REF!</v>
      </c>
      <c r="J288" s="219" t="e">
        <f>IF(I288="","",VLOOKUP(LEFT(C288,1),dadosexternosBMF_1!$L$2:$M$13,2,FALSE))</f>
        <v>#REF!</v>
      </c>
      <c r="K288" s="219" t="e">
        <f t="shared" si="46"/>
        <v>#REF!</v>
      </c>
      <c r="L288" s="422" t="e">
        <f t="shared" si="47"/>
        <v>#REF!</v>
      </c>
      <c r="M288" s="422" t="e">
        <f>IF(I288="","",WORKDAY(L288-1,1,FERIADOS!$A$2:$A$831))</f>
        <v>#REF!</v>
      </c>
      <c r="N288" s="219" t="e">
        <f>IF(I288="","",NETWORKDAYS(Curva!$M$2,M288,FERIADOS!$A$2:$A$831)-1)</f>
        <v>#REF!</v>
      </c>
      <c r="O288" s="423" t="e">
        <f>IF(C288&lt;&gt;"",IF(ISERROR((100000/E288)^(252/N288)-1),Curva!$B$2,((100000/E288)^(252/N288)-1)),"")</f>
        <v>#REF!</v>
      </c>
      <c r="P288" s="219" t="e">
        <f>IF(OR(G288=1,G288=2),dadosexternosBMF_1!B291,"")</f>
        <v>#REF!</v>
      </c>
      <c r="Q288" s="219" t="e">
        <f>IF(OR(G288=1,G288=2),dadosexternosBMF_1!D291,"")</f>
        <v>#REF!</v>
      </c>
    </row>
    <row r="289" spans="1:17" x14ac:dyDescent="0.2">
      <c r="A289" s="222" t="e">
        <f t="shared" si="42"/>
        <v>#REF!</v>
      </c>
      <c r="B289" s="222" t="str">
        <f>IF(dadosexternosBMF_1!A292="DI1 - DI de 1 dia","DI1 - DI de 1 dia","")</f>
        <v/>
      </c>
      <c r="C289" s="222" t="e">
        <f>IF(dadosexternosBMF_1!A292="DOL - Dólar comercial","",IF(C288&lt;&gt;"",dadosexternosBMF_1!B292,IF(dadosexternosBMF_1!A292="DI1 - DI de 1 dia",dadosexternosBMF_1!B292,"")))</f>
        <v>#REF!</v>
      </c>
      <c r="D289" s="222" t="e">
        <f>IF(C289&lt;&gt;"",dadosexternosBMF_1!C292,"")</f>
        <v>#REF!</v>
      </c>
      <c r="E289" s="222" t="e">
        <f>IF(C289&lt;&gt;"",dadosexternosBMF_1!D292,"")</f>
        <v>#REF!</v>
      </c>
      <c r="G289" s="219" t="e">
        <f t="shared" si="43"/>
        <v>#REF!</v>
      </c>
      <c r="H289" s="219" t="e">
        <f t="shared" si="44"/>
        <v>#REF!</v>
      </c>
      <c r="I289" s="219" t="e">
        <f t="shared" si="45"/>
        <v>#REF!</v>
      </c>
      <c r="J289" s="219" t="e">
        <f>IF(I289="","",VLOOKUP(LEFT(C289,1),dadosexternosBMF_1!$L$2:$M$13,2,FALSE))</f>
        <v>#REF!</v>
      </c>
      <c r="K289" s="219" t="e">
        <f t="shared" si="46"/>
        <v>#REF!</v>
      </c>
      <c r="L289" s="422" t="e">
        <f t="shared" si="47"/>
        <v>#REF!</v>
      </c>
      <c r="M289" s="422" t="e">
        <f>IF(I289="","",WORKDAY(L289-1,1,FERIADOS!$A$2:$A$831))</f>
        <v>#REF!</v>
      </c>
      <c r="N289" s="219" t="e">
        <f>IF(I289="","",NETWORKDAYS(Curva!$M$2,M289,FERIADOS!$A$2:$A$831)-1)</f>
        <v>#REF!</v>
      </c>
      <c r="O289" s="423" t="e">
        <f>IF(C289&lt;&gt;"",IF(ISERROR((100000/E289)^(252/N289)-1),Curva!$B$2,((100000/E289)^(252/N289)-1)),"")</f>
        <v>#REF!</v>
      </c>
      <c r="P289" s="219" t="e">
        <f>IF(OR(G289=1,G289=2),dadosexternosBMF_1!B292,"")</f>
        <v>#REF!</v>
      </c>
      <c r="Q289" s="219" t="e">
        <f>IF(OR(G289=1,G289=2),dadosexternosBMF_1!D292,"")</f>
        <v>#REF!</v>
      </c>
    </row>
    <row r="290" spans="1:17" x14ac:dyDescent="0.2">
      <c r="A290" s="222" t="e">
        <f t="shared" si="42"/>
        <v>#REF!</v>
      </c>
      <c r="B290" s="222" t="str">
        <f>IF(dadosexternosBMF_1!A293="DI1 - DI de 1 dia","DI1 - DI de 1 dia","")</f>
        <v/>
      </c>
      <c r="C290" s="222" t="e">
        <f>IF(dadosexternosBMF_1!A293="DOL - Dólar comercial","",IF(C289&lt;&gt;"",dadosexternosBMF_1!B293,IF(dadosexternosBMF_1!A293="DI1 - DI de 1 dia",dadosexternosBMF_1!B293,"")))</f>
        <v>#REF!</v>
      </c>
      <c r="D290" s="222" t="e">
        <f>IF(C290&lt;&gt;"",dadosexternosBMF_1!C293,"")</f>
        <v>#REF!</v>
      </c>
      <c r="E290" s="222" t="e">
        <f>IF(C290&lt;&gt;"",dadosexternosBMF_1!D293,"")</f>
        <v>#REF!</v>
      </c>
      <c r="G290" s="219" t="e">
        <f t="shared" si="43"/>
        <v>#REF!</v>
      </c>
      <c r="H290" s="219" t="e">
        <f t="shared" si="44"/>
        <v>#REF!</v>
      </c>
      <c r="I290" s="219" t="e">
        <f t="shared" si="45"/>
        <v>#REF!</v>
      </c>
      <c r="J290" s="219" t="e">
        <f>IF(I290="","",VLOOKUP(LEFT(C290,1),dadosexternosBMF_1!$L$2:$M$13,2,FALSE))</f>
        <v>#REF!</v>
      </c>
      <c r="K290" s="219" t="e">
        <f t="shared" si="46"/>
        <v>#REF!</v>
      </c>
      <c r="L290" s="422" t="e">
        <f t="shared" si="47"/>
        <v>#REF!</v>
      </c>
      <c r="M290" s="422" t="e">
        <f>IF(I290="","",WORKDAY(L290-1,1,FERIADOS!$A$2:$A$831))</f>
        <v>#REF!</v>
      </c>
      <c r="N290" s="219" t="e">
        <f>IF(I290="","",NETWORKDAYS(Curva!$M$2,M290,FERIADOS!$A$2:$A$831)-1)</f>
        <v>#REF!</v>
      </c>
      <c r="O290" s="423" t="e">
        <f>IF(C290&lt;&gt;"",IF(ISERROR((100000/E290)^(252/N290)-1),Curva!$B$2,((100000/E290)^(252/N290)-1)),"")</f>
        <v>#REF!</v>
      </c>
      <c r="P290" s="219" t="e">
        <f>IF(OR(G290=1,G290=2),dadosexternosBMF_1!B293,"")</f>
        <v>#REF!</v>
      </c>
      <c r="Q290" s="219" t="e">
        <f>IF(OR(G290=1,G290=2),dadosexternosBMF_1!D293,"")</f>
        <v>#REF!</v>
      </c>
    </row>
    <row r="291" spans="1:17" x14ac:dyDescent="0.2">
      <c r="A291" s="222" t="e">
        <f t="shared" si="42"/>
        <v>#REF!</v>
      </c>
      <c r="B291" s="222" t="str">
        <f>IF(dadosexternosBMF_1!A294="DI1 - DI de 1 dia","DI1 - DI de 1 dia","")</f>
        <v/>
      </c>
      <c r="C291" s="222" t="e">
        <f>IF(dadosexternosBMF_1!A294="DOL - Dólar comercial","",IF(C290&lt;&gt;"",dadosexternosBMF_1!B294,IF(dadosexternosBMF_1!A294="DI1 - DI de 1 dia",dadosexternosBMF_1!B294,"")))</f>
        <v>#REF!</v>
      </c>
      <c r="D291" s="222" t="e">
        <f>IF(C291&lt;&gt;"",dadosexternosBMF_1!C294,"")</f>
        <v>#REF!</v>
      </c>
      <c r="E291" s="222" t="e">
        <f>IF(C291&lt;&gt;"",dadosexternosBMF_1!D294,"")</f>
        <v>#REF!</v>
      </c>
      <c r="G291" s="219" t="e">
        <f t="shared" si="43"/>
        <v>#REF!</v>
      </c>
      <c r="H291" s="219" t="e">
        <f t="shared" si="44"/>
        <v>#REF!</v>
      </c>
      <c r="I291" s="219" t="e">
        <f t="shared" si="45"/>
        <v>#REF!</v>
      </c>
      <c r="J291" s="219" t="e">
        <f>IF(I291="","",VLOOKUP(LEFT(C291,1),dadosexternosBMF_1!$L$2:$M$13,2,FALSE))</f>
        <v>#REF!</v>
      </c>
      <c r="K291" s="219" t="e">
        <f t="shared" si="46"/>
        <v>#REF!</v>
      </c>
      <c r="L291" s="422" t="e">
        <f t="shared" si="47"/>
        <v>#REF!</v>
      </c>
      <c r="M291" s="422" t="e">
        <f>IF(I291="","",WORKDAY(L291-1,1,FERIADOS!$A$2:$A$831))</f>
        <v>#REF!</v>
      </c>
      <c r="N291" s="219" t="e">
        <f>IF(I291="","",NETWORKDAYS(Curva!$M$2,M291,FERIADOS!$A$2:$A$831)-1)</f>
        <v>#REF!</v>
      </c>
      <c r="O291" s="423" t="e">
        <f>IF(C291&lt;&gt;"",IF(ISERROR((100000/E291)^(252/N291)-1),Curva!$B$2,((100000/E291)^(252/N291)-1)),"")</f>
        <v>#REF!</v>
      </c>
      <c r="P291" s="219" t="e">
        <f>IF(OR(G291=1,G291=2),dadosexternosBMF_1!B294,"")</f>
        <v>#REF!</v>
      </c>
      <c r="Q291" s="219" t="e">
        <f>IF(OR(G291=1,G291=2),dadosexternosBMF_1!D294,"")</f>
        <v>#REF!</v>
      </c>
    </row>
    <row r="292" spans="1:17" x14ac:dyDescent="0.2">
      <c r="A292" s="222" t="e">
        <f t="shared" si="42"/>
        <v>#REF!</v>
      </c>
      <c r="B292" s="222" t="str">
        <f>IF(dadosexternosBMF_1!A295="DI1 - DI de 1 dia","DI1 - DI de 1 dia","")</f>
        <v/>
      </c>
      <c r="C292" s="222" t="e">
        <f>IF(dadosexternosBMF_1!A295="DOL - Dólar comercial","",IF(C291&lt;&gt;"",dadosexternosBMF_1!B295,IF(dadosexternosBMF_1!A295="DI1 - DI de 1 dia",dadosexternosBMF_1!B295,"")))</f>
        <v>#REF!</v>
      </c>
      <c r="D292" s="222" t="e">
        <f>IF(C292&lt;&gt;"",dadosexternosBMF_1!C295,"")</f>
        <v>#REF!</v>
      </c>
      <c r="E292" s="222" t="e">
        <f>IF(C292&lt;&gt;"",dadosexternosBMF_1!D295,"")</f>
        <v>#REF!</v>
      </c>
      <c r="G292" s="219" t="e">
        <f t="shared" si="43"/>
        <v>#REF!</v>
      </c>
      <c r="H292" s="219" t="e">
        <f t="shared" si="44"/>
        <v>#REF!</v>
      </c>
      <c r="I292" s="219" t="e">
        <f t="shared" si="45"/>
        <v>#REF!</v>
      </c>
      <c r="J292" s="219" t="e">
        <f>IF(I292="","",VLOOKUP(LEFT(C292,1),dadosexternosBMF_1!$L$2:$M$13,2,FALSE))</f>
        <v>#REF!</v>
      </c>
      <c r="K292" s="219" t="e">
        <f t="shared" si="46"/>
        <v>#REF!</v>
      </c>
      <c r="L292" s="422" t="e">
        <f t="shared" si="47"/>
        <v>#REF!</v>
      </c>
      <c r="M292" s="422" t="e">
        <f>IF(I292="","",WORKDAY(L292-1,1,FERIADOS!$A$2:$A$831))</f>
        <v>#REF!</v>
      </c>
      <c r="N292" s="219" t="e">
        <f>IF(I292="","",NETWORKDAYS(Curva!$M$2,M292,FERIADOS!$A$2:$A$831)-1)</f>
        <v>#REF!</v>
      </c>
      <c r="O292" s="423" t="e">
        <f>IF(C292&lt;&gt;"",IF(ISERROR((100000/E292)^(252/N292)-1),Curva!$B$2,((100000/E292)^(252/N292)-1)),"")</f>
        <v>#REF!</v>
      </c>
      <c r="P292" s="219" t="e">
        <f>IF(OR(G292=1,G292=2),dadosexternosBMF_1!B295,"")</f>
        <v>#REF!</v>
      </c>
      <c r="Q292" s="219" t="e">
        <f>IF(OR(G292=1,G292=2),dadosexternosBMF_1!D295,"")</f>
        <v>#REF!</v>
      </c>
    </row>
    <row r="293" spans="1:17" x14ac:dyDescent="0.2">
      <c r="A293" s="222" t="e">
        <f t="shared" si="42"/>
        <v>#REF!</v>
      </c>
      <c r="B293" s="222" t="str">
        <f>IF(dadosexternosBMF_1!A296="DI1 - DI de 1 dia","DI1 - DI de 1 dia","")</f>
        <v/>
      </c>
      <c r="C293" s="222" t="e">
        <f>IF(dadosexternosBMF_1!A296="DOL - Dólar comercial","",IF(C292&lt;&gt;"",dadosexternosBMF_1!B296,IF(dadosexternosBMF_1!A296="DI1 - DI de 1 dia",dadosexternosBMF_1!B296,"")))</f>
        <v>#REF!</v>
      </c>
      <c r="D293" s="222" t="e">
        <f>IF(C293&lt;&gt;"",dadosexternosBMF_1!C296,"")</f>
        <v>#REF!</v>
      </c>
      <c r="E293" s="222" t="e">
        <f>IF(C293&lt;&gt;"",dadosexternosBMF_1!D296,"")</f>
        <v>#REF!</v>
      </c>
      <c r="G293" s="219" t="e">
        <f t="shared" si="43"/>
        <v>#REF!</v>
      </c>
      <c r="H293" s="219" t="e">
        <f t="shared" si="44"/>
        <v>#REF!</v>
      </c>
      <c r="I293" s="219" t="e">
        <f t="shared" si="45"/>
        <v>#REF!</v>
      </c>
      <c r="J293" s="219" t="e">
        <f>IF(I293="","",VLOOKUP(LEFT(C293,1),dadosexternosBMF_1!$L$2:$M$13,2,FALSE))</f>
        <v>#REF!</v>
      </c>
      <c r="K293" s="219" t="e">
        <f t="shared" si="46"/>
        <v>#REF!</v>
      </c>
      <c r="L293" s="422" t="e">
        <f t="shared" si="47"/>
        <v>#REF!</v>
      </c>
      <c r="M293" s="422" t="e">
        <f>IF(I293="","",WORKDAY(L293-1,1,FERIADOS!$A$2:$A$831))</f>
        <v>#REF!</v>
      </c>
      <c r="N293" s="219" t="e">
        <f>IF(I293="","",NETWORKDAYS(Curva!$M$2,M293,FERIADOS!$A$2:$A$831)-1)</f>
        <v>#REF!</v>
      </c>
      <c r="O293" s="423" t="e">
        <f>IF(C293&lt;&gt;"",IF(ISERROR((100000/E293)^(252/N293)-1),Curva!$B$2,((100000/E293)^(252/N293)-1)),"")</f>
        <v>#REF!</v>
      </c>
      <c r="P293" s="219" t="e">
        <f>IF(OR(G293=1,G293=2),dadosexternosBMF_1!B296,"")</f>
        <v>#REF!</v>
      </c>
      <c r="Q293" s="219" t="e">
        <f>IF(OR(G293=1,G293=2),dadosexternosBMF_1!D296,"")</f>
        <v>#REF!</v>
      </c>
    </row>
    <row r="294" spans="1:17" x14ac:dyDescent="0.2">
      <c r="A294" s="222" t="e">
        <f t="shared" si="42"/>
        <v>#REF!</v>
      </c>
      <c r="B294" s="222" t="str">
        <f>IF(dadosexternosBMF_1!A297="DI1 - DI de 1 dia","DI1 - DI de 1 dia","")</f>
        <v/>
      </c>
      <c r="C294" s="222" t="e">
        <f>IF(dadosexternosBMF_1!A297="DOL - Dólar comercial","",IF(C293&lt;&gt;"",dadosexternosBMF_1!B297,IF(dadosexternosBMF_1!A297="DI1 - DI de 1 dia",dadosexternosBMF_1!B297,"")))</f>
        <v>#REF!</v>
      </c>
      <c r="D294" s="222" t="e">
        <f>IF(C294&lt;&gt;"",dadosexternosBMF_1!C297,"")</f>
        <v>#REF!</v>
      </c>
      <c r="E294" s="222" t="e">
        <f>IF(C294&lt;&gt;"",dadosexternosBMF_1!D297,"")</f>
        <v>#REF!</v>
      </c>
      <c r="G294" s="219" t="e">
        <f t="shared" si="43"/>
        <v>#REF!</v>
      </c>
      <c r="H294" s="219" t="e">
        <f t="shared" si="44"/>
        <v>#REF!</v>
      </c>
      <c r="I294" s="219" t="e">
        <f t="shared" si="45"/>
        <v>#REF!</v>
      </c>
      <c r="J294" s="219" t="e">
        <f>IF(I294="","",VLOOKUP(LEFT(C294,1),dadosexternosBMF_1!$L$2:$M$13,2,FALSE))</f>
        <v>#REF!</v>
      </c>
      <c r="K294" s="219" t="e">
        <f t="shared" si="46"/>
        <v>#REF!</v>
      </c>
      <c r="L294" s="422" t="e">
        <f t="shared" si="47"/>
        <v>#REF!</v>
      </c>
      <c r="M294" s="422" t="e">
        <f>IF(I294="","",WORKDAY(L294-1,1,FERIADOS!$A$2:$A$831))</f>
        <v>#REF!</v>
      </c>
      <c r="N294" s="219" t="e">
        <f>IF(I294="","",NETWORKDAYS(Curva!$M$2,M294,FERIADOS!$A$2:$A$831)-1)</f>
        <v>#REF!</v>
      </c>
      <c r="O294" s="423" t="e">
        <f>IF(C294&lt;&gt;"",IF(ISERROR((100000/E294)^(252/N294)-1),Curva!$B$2,((100000/E294)^(252/N294)-1)),"")</f>
        <v>#REF!</v>
      </c>
      <c r="P294" s="219" t="e">
        <f>IF(OR(G294=1,G294=2),dadosexternosBMF_1!B297,"")</f>
        <v>#REF!</v>
      </c>
      <c r="Q294" s="219" t="e">
        <f>IF(OR(G294=1,G294=2),dadosexternosBMF_1!D297,"")</f>
        <v>#REF!</v>
      </c>
    </row>
    <row r="295" spans="1:17" x14ac:dyDescent="0.2">
      <c r="A295" s="222" t="e">
        <f t="shared" si="42"/>
        <v>#REF!</v>
      </c>
      <c r="B295" s="222" t="str">
        <f>IF(dadosexternosBMF_1!A298="DI1 - DI de 1 dia","DI1 - DI de 1 dia","")</f>
        <v/>
      </c>
      <c r="C295" s="222" t="e">
        <f>IF(dadosexternosBMF_1!A298="DOL - Dólar comercial","",IF(C294&lt;&gt;"",dadosexternosBMF_1!B298,IF(dadosexternosBMF_1!A298="DI1 - DI de 1 dia",dadosexternosBMF_1!B298,"")))</f>
        <v>#REF!</v>
      </c>
      <c r="D295" s="222" t="e">
        <f>IF(C295&lt;&gt;"",dadosexternosBMF_1!C298,"")</f>
        <v>#REF!</v>
      </c>
      <c r="E295" s="222" t="e">
        <f>IF(C295&lt;&gt;"",dadosexternosBMF_1!D298,"")</f>
        <v>#REF!</v>
      </c>
      <c r="G295" s="219" t="e">
        <f t="shared" si="43"/>
        <v>#REF!</v>
      </c>
      <c r="H295" s="219" t="e">
        <f t="shared" si="44"/>
        <v>#REF!</v>
      </c>
      <c r="I295" s="219" t="e">
        <f t="shared" si="45"/>
        <v>#REF!</v>
      </c>
      <c r="J295" s="219" t="e">
        <f>IF(I295="","",VLOOKUP(LEFT(C295,1),dadosexternosBMF_1!$L$2:$M$13,2,FALSE))</f>
        <v>#REF!</v>
      </c>
      <c r="K295" s="219" t="e">
        <f t="shared" si="46"/>
        <v>#REF!</v>
      </c>
      <c r="L295" s="422" t="e">
        <f t="shared" si="47"/>
        <v>#REF!</v>
      </c>
      <c r="M295" s="422" t="e">
        <f>IF(I295="","",WORKDAY(L295-1,1,FERIADOS!$A$2:$A$831))</f>
        <v>#REF!</v>
      </c>
      <c r="N295" s="219" t="e">
        <f>IF(I295="","",NETWORKDAYS(Curva!$M$2,M295,FERIADOS!$A$2:$A$831)-1)</f>
        <v>#REF!</v>
      </c>
      <c r="O295" s="423" t="e">
        <f>IF(C295&lt;&gt;"",IF(ISERROR((100000/E295)^(252/N295)-1),Curva!$B$2,((100000/E295)^(252/N295)-1)),"")</f>
        <v>#REF!</v>
      </c>
      <c r="P295" s="219" t="e">
        <f>IF(OR(G295=1,G295=2),dadosexternosBMF_1!B298,"")</f>
        <v>#REF!</v>
      </c>
      <c r="Q295" s="219" t="e">
        <f>IF(OR(G295=1,G295=2),dadosexternosBMF_1!D298,"")</f>
        <v>#REF!</v>
      </c>
    </row>
    <row r="296" spans="1:17" x14ac:dyDescent="0.2">
      <c r="A296" s="222" t="e">
        <f t="shared" si="42"/>
        <v>#REF!</v>
      </c>
      <c r="B296" s="222" t="str">
        <f>IF(dadosexternosBMF_1!A299="DI1 - DI de 1 dia","DI1 - DI de 1 dia","")</f>
        <v/>
      </c>
      <c r="C296" s="222" t="e">
        <f>IF(dadosexternosBMF_1!A299="DOL - Dólar comercial","",IF(C295&lt;&gt;"",dadosexternosBMF_1!B299,IF(dadosexternosBMF_1!A299="DI1 - DI de 1 dia",dadosexternosBMF_1!B299,"")))</f>
        <v>#REF!</v>
      </c>
      <c r="D296" s="222" t="e">
        <f>IF(C296&lt;&gt;"",dadosexternosBMF_1!C299,"")</f>
        <v>#REF!</v>
      </c>
      <c r="E296" s="222" t="e">
        <f>IF(C296&lt;&gt;"",dadosexternosBMF_1!D299,"")</f>
        <v>#REF!</v>
      </c>
      <c r="G296" s="219" t="e">
        <f t="shared" si="43"/>
        <v>#REF!</v>
      </c>
      <c r="H296" s="219" t="e">
        <f t="shared" si="44"/>
        <v>#REF!</v>
      </c>
      <c r="I296" s="219" t="e">
        <f t="shared" si="45"/>
        <v>#REF!</v>
      </c>
      <c r="J296" s="219" t="e">
        <f>IF(I296="","",VLOOKUP(LEFT(C296,1),dadosexternosBMF_1!$L$2:$M$13,2,FALSE))</f>
        <v>#REF!</v>
      </c>
      <c r="K296" s="219" t="e">
        <f t="shared" si="46"/>
        <v>#REF!</v>
      </c>
      <c r="L296" s="422" t="e">
        <f t="shared" si="47"/>
        <v>#REF!</v>
      </c>
      <c r="M296" s="422" t="e">
        <f>IF(I296="","",WORKDAY(L296-1,1,FERIADOS!$A$2:$A$831))</f>
        <v>#REF!</v>
      </c>
      <c r="N296" s="219" t="e">
        <f>IF(I296="","",NETWORKDAYS(Curva!$M$2,M296,FERIADOS!$A$2:$A$831)-1)</f>
        <v>#REF!</v>
      </c>
      <c r="O296" s="423" t="e">
        <f>IF(C296&lt;&gt;"",IF(ISERROR((100000/E296)^(252/N296)-1),Curva!$B$2,((100000/E296)^(252/N296)-1)),"")</f>
        <v>#REF!</v>
      </c>
      <c r="P296" s="219" t="e">
        <f>IF(OR(G296=1,G296=2),dadosexternosBMF_1!B299,"")</f>
        <v>#REF!</v>
      </c>
      <c r="Q296" s="219" t="e">
        <f>IF(OR(G296=1,G296=2),dadosexternosBMF_1!D299,"")</f>
        <v>#REF!</v>
      </c>
    </row>
    <row r="297" spans="1:17" x14ac:dyDescent="0.2">
      <c r="A297" s="222" t="e">
        <f t="shared" si="42"/>
        <v>#REF!</v>
      </c>
      <c r="B297" s="222" t="str">
        <f>IF(dadosexternosBMF_1!A300="DI1 - DI de 1 dia","DI1 - DI de 1 dia","")</f>
        <v/>
      </c>
      <c r="C297" s="222" t="e">
        <f>IF(dadosexternosBMF_1!A300="DOL - Dólar comercial","",IF(C296&lt;&gt;"",dadosexternosBMF_1!B300,IF(dadosexternosBMF_1!A300="DI1 - DI de 1 dia",dadosexternosBMF_1!B300,"")))</f>
        <v>#REF!</v>
      </c>
      <c r="D297" s="222" t="e">
        <f>IF(C297&lt;&gt;"",dadosexternosBMF_1!C300,"")</f>
        <v>#REF!</v>
      </c>
      <c r="E297" s="222" t="e">
        <f>IF(C297&lt;&gt;"",dadosexternosBMF_1!D300,"")</f>
        <v>#REF!</v>
      </c>
      <c r="G297" s="219" t="e">
        <f t="shared" si="43"/>
        <v>#REF!</v>
      </c>
      <c r="H297" s="219" t="e">
        <f t="shared" si="44"/>
        <v>#REF!</v>
      </c>
      <c r="I297" s="219" t="e">
        <f t="shared" si="45"/>
        <v>#REF!</v>
      </c>
      <c r="J297" s="219" t="e">
        <f>IF(I297="","",VLOOKUP(LEFT(C297,1),dadosexternosBMF_1!$L$2:$M$13,2,FALSE))</f>
        <v>#REF!</v>
      </c>
      <c r="K297" s="219" t="e">
        <f t="shared" si="46"/>
        <v>#REF!</v>
      </c>
      <c r="L297" s="422" t="e">
        <f t="shared" si="47"/>
        <v>#REF!</v>
      </c>
      <c r="M297" s="422" t="e">
        <f>IF(I297="","",WORKDAY(L297-1,1,FERIADOS!$A$2:$A$831))</f>
        <v>#REF!</v>
      </c>
      <c r="N297" s="219" t="e">
        <f>IF(I297="","",NETWORKDAYS(Curva!$M$2,M297,FERIADOS!$A$2:$A$831)-1)</f>
        <v>#REF!</v>
      </c>
      <c r="O297" s="423" t="e">
        <f>IF(C297&lt;&gt;"",IF(ISERROR((100000/E297)^(252/N297)-1),Curva!$B$2,((100000/E297)^(252/N297)-1)),"")</f>
        <v>#REF!</v>
      </c>
      <c r="P297" s="219" t="e">
        <f>IF(OR(G297=1,G297=2),dadosexternosBMF_1!B300,"")</f>
        <v>#REF!</v>
      </c>
      <c r="Q297" s="219" t="e">
        <f>IF(OR(G297=1,G297=2),dadosexternosBMF_1!D300,"")</f>
        <v>#REF!</v>
      </c>
    </row>
    <row r="298" spans="1:17" x14ac:dyDescent="0.2">
      <c r="A298" s="222" t="e">
        <f t="shared" si="42"/>
        <v>#REF!</v>
      </c>
      <c r="B298" s="222" t="str">
        <f>IF(dadosexternosBMF_1!A301="DI1 - DI de 1 dia","DI1 - DI de 1 dia","")</f>
        <v/>
      </c>
      <c r="C298" s="222" t="e">
        <f>IF(dadosexternosBMF_1!A301="DOL - Dólar comercial","",IF(C297&lt;&gt;"",dadosexternosBMF_1!B301,IF(dadosexternosBMF_1!A301="DI1 - DI de 1 dia",dadosexternosBMF_1!B301,"")))</f>
        <v>#REF!</v>
      </c>
      <c r="D298" s="222" t="e">
        <f>IF(C298&lt;&gt;"",dadosexternosBMF_1!C301,"")</f>
        <v>#REF!</v>
      </c>
      <c r="E298" s="222" t="e">
        <f>IF(C298&lt;&gt;"",dadosexternosBMF_1!D301,"")</f>
        <v>#REF!</v>
      </c>
      <c r="G298" s="219" t="e">
        <f t="shared" si="43"/>
        <v>#REF!</v>
      </c>
      <c r="H298" s="219" t="e">
        <f t="shared" si="44"/>
        <v>#REF!</v>
      </c>
      <c r="I298" s="219" t="e">
        <f t="shared" si="45"/>
        <v>#REF!</v>
      </c>
      <c r="J298" s="219" t="e">
        <f>IF(I298="","",VLOOKUP(LEFT(C298,1),dadosexternosBMF_1!$L$2:$M$13,2,FALSE))</f>
        <v>#REF!</v>
      </c>
      <c r="K298" s="219" t="e">
        <f t="shared" si="46"/>
        <v>#REF!</v>
      </c>
      <c r="L298" s="422" t="e">
        <f t="shared" si="47"/>
        <v>#REF!</v>
      </c>
      <c r="M298" s="422" t="e">
        <f>IF(I298="","",WORKDAY(L298-1,1,FERIADOS!$A$2:$A$831))</f>
        <v>#REF!</v>
      </c>
      <c r="N298" s="219" t="e">
        <f>IF(I298="","",NETWORKDAYS(Curva!$M$2,M298,FERIADOS!$A$2:$A$831)-1)</f>
        <v>#REF!</v>
      </c>
      <c r="O298" s="423" t="e">
        <f>IF(C298&lt;&gt;"",IF(ISERROR((100000/E298)^(252/N298)-1),Curva!$B$2,((100000/E298)^(252/N298)-1)),"")</f>
        <v>#REF!</v>
      </c>
      <c r="P298" s="219" t="e">
        <f>IF(OR(G298=1,G298=2),dadosexternosBMF_1!B301,"")</f>
        <v>#REF!</v>
      </c>
      <c r="Q298" s="219" t="e">
        <f>IF(OR(G298=1,G298=2),dadosexternosBMF_1!D301,"")</f>
        <v>#REF!</v>
      </c>
    </row>
    <row r="299" spans="1:17" x14ac:dyDescent="0.2">
      <c r="A299" s="222" t="e">
        <f t="shared" si="42"/>
        <v>#REF!</v>
      </c>
      <c r="B299" s="222" t="str">
        <f>IF(dadosexternosBMF_1!A302="DI1 - DI de 1 dia","DI1 - DI de 1 dia","")</f>
        <v/>
      </c>
      <c r="C299" s="222" t="e">
        <f>IF(dadosexternosBMF_1!A302="DOL - Dólar comercial","",IF(C298&lt;&gt;"",dadosexternosBMF_1!B302,IF(dadosexternosBMF_1!A302="DI1 - DI de 1 dia",dadosexternosBMF_1!B302,"")))</f>
        <v>#REF!</v>
      </c>
      <c r="D299" s="222" t="e">
        <f>IF(C299&lt;&gt;"",dadosexternosBMF_1!C302,"")</f>
        <v>#REF!</v>
      </c>
      <c r="E299" s="222" t="e">
        <f>IF(C299&lt;&gt;"",dadosexternosBMF_1!D302,"")</f>
        <v>#REF!</v>
      </c>
      <c r="G299" s="219" t="e">
        <f t="shared" si="43"/>
        <v>#REF!</v>
      </c>
      <c r="H299" s="219" t="e">
        <f t="shared" si="44"/>
        <v>#REF!</v>
      </c>
      <c r="I299" s="219" t="e">
        <f t="shared" si="45"/>
        <v>#REF!</v>
      </c>
      <c r="J299" s="219" t="e">
        <f>IF(I299="","",VLOOKUP(LEFT(C299,1),dadosexternosBMF_1!$L$2:$M$13,2,FALSE))</f>
        <v>#REF!</v>
      </c>
      <c r="K299" s="219" t="e">
        <f t="shared" si="46"/>
        <v>#REF!</v>
      </c>
      <c r="L299" s="422" t="e">
        <f t="shared" si="47"/>
        <v>#REF!</v>
      </c>
      <c r="M299" s="422" t="e">
        <f>IF(I299="","",WORKDAY(L299-1,1,FERIADOS!$A$2:$A$831))</f>
        <v>#REF!</v>
      </c>
      <c r="N299" s="219" t="e">
        <f>IF(I299="","",NETWORKDAYS(Curva!$M$2,M299,FERIADOS!$A$2:$A$831)-1)</f>
        <v>#REF!</v>
      </c>
      <c r="O299" s="423" t="e">
        <f>IF(C299&lt;&gt;"",IF(ISERROR((100000/E299)^(252/N299)-1),Curva!$B$2,((100000/E299)^(252/N299)-1)),"")</f>
        <v>#REF!</v>
      </c>
      <c r="P299" s="219" t="e">
        <f>IF(OR(G299=1,G299=2),dadosexternosBMF_1!B302,"")</f>
        <v>#REF!</v>
      </c>
      <c r="Q299" s="219" t="e">
        <f>IF(OR(G299=1,G299=2),dadosexternosBMF_1!D302,"")</f>
        <v>#REF!</v>
      </c>
    </row>
    <row r="300" spans="1:17" x14ac:dyDescent="0.2">
      <c r="A300" s="222" t="e">
        <f t="shared" si="42"/>
        <v>#REF!</v>
      </c>
      <c r="B300" s="222" t="str">
        <f>IF(dadosexternosBMF_1!A303="DI1 - DI de 1 dia","DI1 - DI de 1 dia","")</f>
        <v/>
      </c>
      <c r="C300" s="222" t="e">
        <f>IF(dadosexternosBMF_1!A303="DOL - Dólar comercial","",IF(C299&lt;&gt;"",dadosexternosBMF_1!B303,IF(dadosexternosBMF_1!A303="DI1 - DI de 1 dia",dadosexternosBMF_1!B303,"")))</f>
        <v>#REF!</v>
      </c>
      <c r="D300" s="222" t="e">
        <f>IF(C300&lt;&gt;"",dadosexternosBMF_1!C303,"")</f>
        <v>#REF!</v>
      </c>
      <c r="E300" s="222" t="e">
        <f>IF(C300&lt;&gt;"",dadosexternosBMF_1!D303,"")</f>
        <v>#REF!</v>
      </c>
      <c r="G300" s="219" t="e">
        <f t="shared" si="43"/>
        <v>#REF!</v>
      </c>
      <c r="H300" s="219" t="e">
        <f t="shared" si="44"/>
        <v>#REF!</v>
      </c>
      <c r="I300" s="219" t="e">
        <f t="shared" si="45"/>
        <v>#REF!</v>
      </c>
      <c r="J300" s="219" t="e">
        <f>IF(I300="","",VLOOKUP(LEFT(C300,1),dadosexternosBMF_1!$L$2:$M$13,2,FALSE))</f>
        <v>#REF!</v>
      </c>
      <c r="K300" s="219" t="e">
        <f t="shared" si="46"/>
        <v>#REF!</v>
      </c>
      <c r="L300" s="422" t="e">
        <f t="shared" si="47"/>
        <v>#REF!</v>
      </c>
      <c r="M300" s="422" t="e">
        <f>IF(I300="","",WORKDAY(L300-1,1,FERIADOS!$A$2:$A$831))</f>
        <v>#REF!</v>
      </c>
      <c r="N300" s="219" t="e">
        <f>IF(I300="","",NETWORKDAYS(Curva!$M$2,M300,FERIADOS!$A$2:$A$831)-1)</f>
        <v>#REF!</v>
      </c>
      <c r="O300" s="423" t="e">
        <f>IF(C300&lt;&gt;"",IF(ISERROR((100000/E300)^(252/N300)-1),Curva!$B$2,((100000/E300)^(252/N300)-1)),"")</f>
        <v>#REF!</v>
      </c>
      <c r="P300" s="219" t="e">
        <f>IF(OR(G300=1,G300=2),dadosexternosBMF_1!B303,"")</f>
        <v>#REF!</v>
      </c>
      <c r="Q300" s="219" t="e">
        <f>IF(OR(G300=1,G300=2),dadosexternosBMF_1!D303,"")</f>
        <v>#REF!</v>
      </c>
    </row>
    <row r="301" spans="1:17" x14ac:dyDescent="0.2">
      <c r="A301" s="222" t="e">
        <f t="shared" si="42"/>
        <v>#REF!</v>
      </c>
      <c r="B301" s="222" t="str">
        <f>IF(dadosexternosBMF_1!A304="DI1 - DI de 1 dia","DI1 - DI de 1 dia","")</f>
        <v/>
      </c>
      <c r="C301" s="222" t="e">
        <f>IF(dadosexternosBMF_1!A304="DOL - Dólar comercial","",IF(C300&lt;&gt;"",dadosexternosBMF_1!B304,IF(dadosexternosBMF_1!A304="DI1 - DI de 1 dia",dadosexternosBMF_1!B304,"")))</f>
        <v>#REF!</v>
      </c>
      <c r="D301" s="222" t="e">
        <f>IF(C301&lt;&gt;"",dadosexternosBMF_1!C304,"")</f>
        <v>#REF!</v>
      </c>
      <c r="E301" s="222" t="e">
        <f>IF(C301&lt;&gt;"",dadosexternosBMF_1!D304,"")</f>
        <v>#REF!</v>
      </c>
      <c r="G301" s="219" t="e">
        <f t="shared" si="43"/>
        <v>#REF!</v>
      </c>
      <c r="H301" s="219" t="e">
        <f t="shared" si="44"/>
        <v>#REF!</v>
      </c>
      <c r="I301" s="219" t="e">
        <f t="shared" si="45"/>
        <v>#REF!</v>
      </c>
      <c r="J301" s="219" t="e">
        <f>IF(I301="","",VLOOKUP(LEFT(C301,1),dadosexternosBMF_1!$L$2:$M$13,2,FALSE))</f>
        <v>#REF!</v>
      </c>
      <c r="K301" s="219" t="e">
        <f t="shared" si="46"/>
        <v>#REF!</v>
      </c>
      <c r="L301" s="422" t="e">
        <f t="shared" si="47"/>
        <v>#REF!</v>
      </c>
      <c r="M301" s="422" t="e">
        <f>IF(I301="","",WORKDAY(L301-1,1,FERIADOS!$A$2:$A$831))</f>
        <v>#REF!</v>
      </c>
      <c r="N301" s="219" t="e">
        <f>IF(I301="","",NETWORKDAYS(Curva!$M$2,M301,FERIADOS!$A$2:$A$831)-1)</f>
        <v>#REF!</v>
      </c>
      <c r="O301" s="423" t="e">
        <f>IF(C301&lt;&gt;"",IF(ISERROR((100000/E301)^(252/N301)-1),Curva!$B$2,((100000/E301)^(252/N301)-1)),"")</f>
        <v>#REF!</v>
      </c>
      <c r="P301" s="219" t="e">
        <f>IF(OR(G301=1,G301=2),dadosexternosBMF_1!B304,"")</f>
        <v>#REF!</v>
      </c>
      <c r="Q301" s="219" t="e">
        <f>IF(OR(G301=1,G301=2),dadosexternosBMF_1!D304,"")</f>
        <v>#REF!</v>
      </c>
    </row>
    <row r="302" spans="1:17" x14ac:dyDescent="0.2">
      <c r="A302" s="222" t="e">
        <f t="shared" si="42"/>
        <v>#REF!</v>
      </c>
      <c r="B302" s="222" t="str">
        <f>IF(dadosexternosBMF_1!A305="DI1 - DI de 1 dia","DI1 - DI de 1 dia","")</f>
        <v/>
      </c>
      <c r="C302" s="222" t="e">
        <f>IF(dadosexternosBMF_1!A305="DOL - Dólar comercial","",IF(C301&lt;&gt;"",dadosexternosBMF_1!B305,IF(dadosexternosBMF_1!A305="DI1 - DI de 1 dia",dadosexternosBMF_1!B305,"")))</f>
        <v>#REF!</v>
      </c>
      <c r="D302" s="222" t="e">
        <f>IF(C302&lt;&gt;"",dadosexternosBMF_1!C305,"")</f>
        <v>#REF!</v>
      </c>
      <c r="E302" s="222" t="e">
        <f>IF(C302&lt;&gt;"",dadosexternosBMF_1!D305,"")</f>
        <v>#REF!</v>
      </c>
      <c r="G302" s="219" t="e">
        <f t="shared" si="43"/>
        <v>#REF!</v>
      </c>
      <c r="H302" s="219" t="e">
        <f t="shared" si="44"/>
        <v>#REF!</v>
      </c>
      <c r="I302" s="219" t="e">
        <f t="shared" si="45"/>
        <v>#REF!</v>
      </c>
      <c r="J302" s="219" t="e">
        <f>IF(I302="","",VLOOKUP(LEFT(C302,1),dadosexternosBMF_1!$L$2:$M$13,2,FALSE))</f>
        <v>#REF!</v>
      </c>
      <c r="K302" s="219" t="e">
        <f t="shared" si="46"/>
        <v>#REF!</v>
      </c>
      <c r="L302" s="422" t="e">
        <f t="shared" si="47"/>
        <v>#REF!</v>
      </c>
      <c r="M302" s="422" t="e">
        <f>IF(I302="","",WORKDAY(L302-1,1,FERIADOS!$A$2:$A$831))</f>
        <v>#REF!</v>
      </c>
      <c r="N302" s="219" t="e">
        <f>IF(I302="","",NETWORKDAYS(Curva!$M$2,M302,FERIADOS!$A$2:$A$831)-1)</f>
        <v>#REF!</v>
      </c>
      <c r="O302" s="423" t="e">
        <f>IF(C302&lt;&gt;"",IF(ISERROR((100000/E302)^(252/N302)-1),Curva!$B$2,((100000/E302)^(252/N302)-1)),"")</f>
        <v>#REF!</v>
      </c>
      <c r="P302" s="219" t="e">
        <f>IF(OR(G302=1,G302=2),dadosexternosBMF_1!B305,"")</f>
        <v>#REF!</v>
      </c>
      <c r="Q302" s="219" t="e">
        <f>IF(OR(G302=1,G302=2),dadosexternosBMF_1!D305,"")</f>
        <v>#REF!</v>
      </c>
    </row>
    <row r="303" spans="1:17" x14ac:dyDescent="0.2">
      <c r="A303" s="222" t="e">
        <f t="shared" si="42"/>
        <v>#REF!</v>
      </c>
      <c r="B303" s="222" t="str">
        <f>IF(dadosexternosBMF_1!A306="DI1 - DI de 1 dia","DI1 - DI de 1 dia","")</f>
        <v/>
      </c>
      <c r="C303" s="222" t="e">
        <f>IF(dadosexternosBMF_1!A306="DOL - Dólar comercial","",IF(C302&lt;&gt;"",dadosexternosBMF_1!B306,IF(dadosexternosBMF_1!A306="DI1 - DI de 1 dia",dadosexternosBMF_1!B306,"")))</f>
        <v>#REF!</v>
      </c>
      <c r="D303" s="222" t="e">
        <f>IF(C303&lt;&gt;"",dadosexternosBMF_1!C306,"")</f>
        <v>#REF!</v>
      </c>
      <c r="E303" s="222" t="e">
        <f>IF(C303&lt;&gt;"",dadosexternosBMF_1!D306,"")</f>
        <v>#REF!</v>
      </c>
      <c r="G303" s="219" t="e">
        <f t="shared" si="43"/>
        <v>#REF!</v>
      </c>
      <c r="H303" s="219" t="e">
        <f t="shared" si="44"/>
        <v>#REF!</v>
      </c>
      <c r="I303" s="219" t="e">
        <f t="shared" si="45"/>
        <v>#REF!</v>
      </c>
      <c r="J303" s="219" t="e">
        <f>IF(I303="","",VLOOKUP(LEFT(C303,1),dadosexternosBMF_1!$L$2:$M$13,2,FALSE))</f>
        <v>#REF!</v>
      </c>
      <c r="K303" s="219" t="e">
        <f t="shared" si="46"/>
        <v>#REF!</v>
      </c>
      <c r="L303" s="422" t="e">
        <f t="shared" si="47"/>
        <v>#REF!</v>
      </c>
      <c r="M303" s="422" t="e">
        <f>IF(I303="","",WORKDAY(L303-1,1,FERIADOS!$A$2:$A$831))</f>
        <v>#REF!</v>
      </c>
      <c r="N303" s="219" t="e">
        <f>IF(I303="","",NETWORKDAYS(Curva!$M$2,M303,FERIADOS!$A$2:$A$831)-1)</f>
        <v>#REF!</v>
      </c>
      <c r="O303" s="423" t="e">
        <f>IF(C303&lt;&gt;"",IF(ISERROR((100000/E303)^(252/N303)-1),Curva!$B$2,((100000/E303)^(252/N303)-1)),"")</f>
        <v>#REF!</v>
      </c>
      <c r="P303" s="219" t="e">
        <f>IF(OR(G303=1,G303=2),dadosexternosBMF_1!B306,"")</f>
        <v>#REF!</v>
      </c>
      <c r="Q303" s="219" t="e">
        <f>IF(OR(G303=1,G303=2),dadosexternosBMF_1!D306,"")</f>
        <v>#REF!</v>
      </c>
    </row>
    <row r="304" spans="1:17" x14ac:dyDescent="0.2">
      <c r="A304" s="222" t="e">
        <f t="shared" si="42"/>
        <v>#REF!</v>
      </c>
      <c r="B304" s="222" t="str">
        <f>IF(dadosexternosBMF_1!A307="DI1 - DI de 1 dia","DI1 - DI de 1 dia","")</f>
        <v/>
      </c>
      <c r="C304" s="222" t="e">
        <f>IF(dadosexternosBMF_1!A307="DOL - Dólar comercial","",IF(C303&lt;&gt;"",dadosexternosBMF_1!B307,IF(dadosexternosBMF_1!A307="DI1 - DI de 1 dia",dadosexternosBMF_1!B307,"")))</f>
        <v>#REF!</v>
      </c>
      <c r="D304" s="222" t="e">
        <f>IF(C304&lt;&gt;"",dadosexternosBMF_1!C307,"")</f>
        <v>#REF!</v>
      </c>
      <c r="E304" s="222" t="e">
        <f>IF(C304&lt;&gt;"",dadosexternosBMF_1!D307,"")</f>
        <v>#REF!</v>
      </c>
      <c r="G304" s="219" t="e">
        <f t="shared" si="43"/>
        <v>#REF!</v>
      </c>
      <c r="H304" s="219" t="e">
        <f t="shared" si="44"/>
        <v>#REF!</v>
      </c>
      <c r="I304" s="219" t="e">
        <f t="shared" si="45"/>
        <v>#REF!</v>
      </c>
      <c r="J304" s="219" t="e">
        <f>IF(I304="","",VLOOKUP(LEFT(C304,1),dadosexternosBMF_1!$L$2:$M$13,2,FALSE))</f>
        <v>#REF!</v>
      </c>
      <c r="K304" s="219" t="e">
        <f t="shared" si="46"/>
        <v>#REF!</v>
      </c>
      <c r="L304" s="422" t="e">
        <f t="shared" si="47"/>
        <v>#REF!</v>
      </c>
      <c r="M304" s="422" t="e">
        <f>IF(I304="","",WORKDAY(L304-1,1,FERIADOS!$A$2:$A$831))</f>
        <v>#REF!</v>
      </c>
      <c r="N304" s="219" t="e">
        <f>IF(I304="","",NETWORKDAYS(Curva!$M$2,M304,FERIADOS!$A$2:$A$831)-1)</f>
        <v>#REF!</v>
      </c>
      <c r="O304" s="423" t="e">
        <f>IF(C304&lt;&gt;"",IF(ISERROR((100000/E304)^(252/N304)-1),Curva!$B$2,((100000/E304)^(252/N304)-1)),"")</f>
        <v>#REF!</v>
      </c>
      <c r="P304" s="219" t="e">
        <f>IF(OR(G304=1,G304=2),dadosexternosBMF_1!B307,"")</f>
        <v>#REF!</v>
      </c>
      <c r="Q304" s="219" t="e">
        <f>IF(OR(G304=1,G304=2),dadosexternosBMF_1!D307,"")</f>
        <v>#REF!</v>
      </c>
    </row>
    <row r="305" spans="1:17" x14ac:dyDescent="0.2">
      <c r="A305" s="222" t="e">
        <f t="shared" si="42"/>
        <v>#REF!</v>
      </c>
      <c r="B305" s="222" t="str">
        <f>IF(dadosexternosBMF_1!A308="DI1 - DI de 1 dia","DI1 - DI de 1 dia","")</f>
        <v/>
      </c>
      <c r="C305" s="222" t="e">
        <f>IF(dadosexternosBMF_1!A308="DOL - Dólar comercial","",IF(C304&lt;&gt;"",dadosexternosBMF_1!B308,IF(dadosexternosBMF_1!A308="DI1 - DI de 1 dia",dadosexternosBMF_1!B308,"")))</f>
        <v>#REF!</v>
      </c>
      <c r="D305" s="222" t="e">
        <f>IF(C305&lt;&gt;"",dadosexternosBMF_1!C308,"")</f>
        <v>#REF!</v>
      </c>
      <c r="E305" s="222" t="e">
        <f>IF(C305&lt;&gt;"",dadosexternosBMF_1!D308,"")</f>
        <v>#REF!</v>
      </c>
      <c r="G305" s="219" t="e">
        <f t="shared" si="43"/>
        <v>#REF!</v>
      </c>
      <c r="H305" s="219" t="e">
        <f t="shared" si="44"/>
        <v>#REF!</v>
      </c>
      <c r="I305" s="219" t="e">
        <f t="shared" si="45"/>
        <v>#REF!</v>
      </c>
      <c r="J305" s="219" t="e">
        <f>IF(I305="","",VLOOKUP(LEFT(C305,1),dadosexternosBMF_1!$L$2:$M$13,2,FALSE))</f>
        <v>#REF!</v>
      </c>
      <c r="K305" s="219" t="e">
        <f t="shared" si="46"/>
        <v>#REF!</v>
      </c>
      <c r="L305" s="422" t="e">
        <f t="shared" si="47"/>
        <v>#REF!</v>
      </c>
      <c r="M305" s="422" t="e">
        <f>IF(I305="","",WORKDAY(L305-1,1,FERIADOS!$A$2:$A$831))</f>
        <v>#REF!</v>
      </c>
      <c r="N305" s="219" t="e">
        <f>IF(I305="","",NETWORKDAYS(Curva!$M$2,M305,FERIADOS!$A$2:$A$831)-1)</f>
        <v>#REF!</v>
      </c>
      <c r="O305" s="423" t="e">
        <f>IF(C305&lt;&gt;"",IF(ISERROR((100000/E305)^(252/N305)-1),Curva!$B$2,((100000/E305)^(252/N305)-1)),"")</f>
        <v>#REF!</v>
      </c>
      <c r="P305" s="219" t="e">
        <f>IF(OR(G305=1,G305=2),dadosexternosBMF_1!B308,"")</f>
        <v>#REF!</v>
      </c>
      <c r="Q305" s="219" t="e">
        <f>IF(OR(G305=1,G305=2),dadosexternosBMF_1!D308,"")</f>
        <v>#REF!</v>
      </c>
    </row>
    <row r="306" spans="1:17" x14ac:dyDescent="0.2">
      <c r="A306" s="222" t="e">
        <f t="shared" si="42"/>
        <v>#REF!</v>
      </c>
      <c r="B306" s="222" t="str">
        <f>IF(dadosexternosBMF_1!A309="DI1 - DI de 1 dia","DI1 - DI de 1 dia","")</f>
        <v/>
      </c>
      <c r="C306" s="222" t="e">
        <f>IF(dadosexternosBMF_1!A309="DOL - Dólar comercial","",IF(C305&lt;&gt;"",dadosexternosBMF_1!B309,IF(dadosexternosBMF_1!A309="DI1 - DI de 1 dia",dadosexternosBMF_1!B309,"")))</f>
        <v>#REF!</v>
      </c>
      <c r="D306" s="222" t="e">
        <f>IF(C306&lt;&gt;"",dadosexternosBMF_1!C309,"")</f>
        <v>#REF!</v>
      </c>
      <c r="E306" s="222" t="e">
        <f>IF(C306&lt;&gt;"",dadosexternosBMF_1!D309,"")</f>
        <v>#REF!</v>
      </c>
      <c r="G306" s="219" t="e">
        <f t="shared" si="43"/>
        <v>#REF!</v>
      </c>
      <c r="H306" s="219" t="e">
        <f t="shared" si="44"/>
        <v>#REF!</v>
      </c>
      <c r="I306" s="219" t="e">
        <f t="shared" si="45"/>
        <v>#REF!</v>
      </c>
      <c r="J306" s="219" t="e">
        <f>IF(I306="","",VLOOKUP(LEFT(C306,1),dadosexternosBMF_1!$L$2:$M$13,2,FALSE))</f>
        <v>#REF!</v>
      </c>
      <c r="K306" s="219" t="e">
        <f t="shared" si="46"/>
        <v>#REF!</v>
      </c>
      <c r="L306" s="422" t="e">
        <f t="shared" si="47"/>
        <v>#REF!</v>
      </c>
      <c r="M306" s="422" t="e">
        <f>IF(I306="","",WORKDAY(L306-1,1,FERIADOS!$A$2:$A$831))</f>
        <v>#REF!</v>
      </c>
      <c r="N306" s="219" t="e">
        <f>IF(I306="","",NETWORKDAYS(Curva!$M$2,M306,FERIADOS!$A$2:$A$831)-1)</f>
        <v>#REF!</v>
      </c>
      <c r="O306" s="423" t="e">
        <f>IF(C306&lt;&gt;"",IF(ISERROR((100000/E306)^(252/N306)-1),Curva!$B$2,((100000/E306)^(252/N306)-1)),"")</f>
        <v>#REF!</v>
      </c>
      <c r="P306" s="219" t="e">
        <f>IF(OR(G306=1,G306=2),dadosexternosBMF_1!B309,"")</f>
        <v>#REF!</v>
      </c>
      <c r="Q306" s="219" t="e">
        <f>IF(OR(G306=1,G306=2),dadosexternosBMF_1!D309,"")</f>
        <v>#REF!</v>
      </c>
    </row>
    <row r="307" spans="1:17" x14ac:dyDescent="0.2">
      <c r="A307" s="222" t="e">
        <f t="shared" si="42"/>
        <v>#REF!</v>
      </c>
      <c r="B307" s="222" t="str">
        <f>IF(dadosexternosBMF_1!A310="DI1 - DI de 1 dia","DI1 - DI de 1 dia","")</f>
        <v/>
      </c>
      <c r="C307" s="222" t="e">
        <f>IF(dadosexternosBMF_1!A310="DOL - Dólar comercial","",IF(C306&lt;&gt;"",dadosexternosBMF_1!B310,IF(dadosexternosBMF_1!A310="DI1 - DI de 1 dia",dadosexternosBMF_1!B310,"")))</f>
        <v>#REF!</v>
      </c>
      <c r="D307" s="222" t="e">
        <f>IF(C307&lt;&gt;"",dadosexternosBMF_1!C310,"")</f>
        <v>#REF!</v>
      </c>
      <c r="E307" s="222" t="e">
        <f>IF(C307&lt;&gt;"",dadosexternosBMF_1!D310,"")</f>
        <v>#REF!</v>
      </c>
      <c r="G307" s="219" t="e">
        <f t="shared" si="43"/>
        <v>#REF!</v>
      </c>
      <c r="H307" s="219" t="e">
        <f t="shared" si="44"/>
        <v>#REF!</v>
      </c>
      <c r="I307" s="219" t="e">
        <f t="shared" si="45"/>
        <v>#REF!</v>
      </c>
      <c r="J307" s="219" t="e">
        <f>IF(I307="","",VLOOKUP(LEFT(C307,1),dadosexternosBMF_1!$L$2:$M$13,2,FALSE))</f>
        <v>#REF!</v>
      </c>
      <c r="K307" s="219" t="e">
        <f t="shared" si="46"/>
        <v>#REF!</v>
      </c>
      <c r="L307" s="422" t="e">
        <f t="shared" si="47"/>
        <v>#REF!</v>
      </c>
      <c r="M307" s="422" t="e">
        <f>IF(I307="","",WORKDAY(L307-1,1,FERIADOS!$A$2:$A$831))</f>
        <v>#REF!</v>
      </c>
      <c r="N307" s="219" t="e">
        <f>IF(I307="","",NETWORKDAYS(Curva!$M$2,M307,FERIADOS!$A$2:$A$831)-1)</f>
        <v>#REF!</v>
      </c>
      <c r="O307" s="423" t="e">
        <f>IF(C307&lt;&gt;"",IF(ISERROR((100000/E307)^(252/N307)-1),Curva!$B$2,((100000/E307)^(252/N307)-1)),"")</f>
        <v>#REF!</v>
      </c>
      <c r="P307" s="219" t="e">
        <f>IF(OR(G307=1,G307=2),dadosexternosBMF_1!B310,"")</f>
        <v>#REF!</v>
      </c>
      <c r="Q307" s="219" t="e">
        <f>IF(OR(G307=1,G307=2),dadosexternosBMF_1!D310,"")</f>
        <v>#REF!</v>
      </c>
    </row>
    <row r="308" spans="1:17" x14ac:dyDescent="0.2">
      <c r="A308" s="222" t="e">
        <f t="shared" si="42"/>
        <v>#REF!</v>
      </c>
      <c r="B308" s="222" t="str">
        <f>IF(dadosexternosBMF_1!A311="DI1 - DI de 1 dia","DI1 - DI de 1 dia","")</f>
        <v/>
      </c>
      <c r="C308" s="222" t="e">
        <f>IF(dadosexternosBMF_1!A311="DOL - Dólar comercial","",IF(C307&lt;&gt;"",dadosexternosBMF_1!B311,IF(dadosexternosBMF_1!A311="DI1 - DI de 1 dia",dadosexternosBMF_1!B311,"")))</f>
        <v>#REF!</v>
      </c>
      <c r="D308" s="222" t="e">
        <f>IF(C308&lt;&gt;"",dadosexternosBMF_1!C311,"")</f>
        <v>#REF!</v>
      </c>
      <c r="E308" s="222" t="e">
        <f>IF(C308&lt;&gt;"",dadosexternosBMF_1!D311,"")</f>
        <v>#REF!</v>
      </c>
      <c r="G308" s="219" t="e">
        <f t="shared" si="43"/>
        <v>#REF!</v>
      </c>
      <c r="H308" s="219" t="e">
        <f t="shared" si="44"/>
        <v>#REF!</v>
      </c>
      <c r="I308" s="219" t="e">
        <f t="shared" si="45"/>
        <v>#REF!</v>
      </c>
      <c r="J308" s="219" t="e">
        <f>IF(I308="","",VLOOKUP(LEFT(C308,1),dadosexternosBMF_1!$L$2:$M$13,2,FALSE))</f>
        <v>#REF!</v>
      </c>
      <c r="K308" s="219" t="e">
        <f t="shared" si="46"/>
        <v>#REF!</v>
      </c>
      <c r="L308" s="422" t="e">
        <f t="shared" si="47"/>
        <v>#REF!</v>
      </c>
      <c r="M308" s="422" t="e">
        <f>IF(I308="","",WORKDAY(L308-1,1,FERIADOS!$A$2:$A$831))</f>
        <v>#REF!</v>
      </c>
      <c r="N308" s="219" t="e">
        <f>IF(I308="","",NETWORKDAYS(Curva!$M$2,M308,FERIADOS!$A$2:$A$831)-1)</f>
        <v>#REF!</v>
      </c>
      <c r="O308" s="423" t="e">
        <f>IF(C308&lt;&gt;"",IF(ISERROR((100000/E308)^(252/N308)-1),Curva!$B$2,((100000/E308)^(252/N308)-1)),"")</f>
        <v>#REF!</v>
      </c>
      <c r="P308" s="219" t="e">
        <f>IF(OR(G308=1,G308=2),dadosexternosBMF_1!B311,"")</f>
        <v>#REF!</v>
      </c>
      <c r="Q308" s="219" t="e">
        <f>IF(OR(G308=1,G308=2),dadosexternosBMF_1!D311,"")</f>
        <v>#REF!</v>
      </c>
    </row>
    <row r="309" spans="1:17" x14ac:dyDescent="0.2">
      <c r="A309" s="222" t="e">
        <f t="shared" si="42"/>
        <v>#REF!</v>
      </c>
      <c r="B309" s="222" t="str">
        <f>IF(dadosexternosBMF_1!A312="DI1 - DI de 1 dia","DI1 - DI de 1 dia","")</f>
        <v/>
      </c>
      <c r="C309" s="222" t="e">
        <f>IF(dadosexternosBMF_1!A312="DOL - Dólar comercial","",IF(C308&lt;&gt;"",dadosexternosBMF_1!B312,IF(dadosexternosBMF_1!A312="DI1 - DI de 1 dia",dadosexternosBMF_1!B312,"")))</f>
        <v>#REF!</v>
      </c>
      <c r="D309" s="222" t="e">
        <f>IF(C309&lt;&gt;"",dadosexternosBMF_1!C312,"")</f>
        <v>#REF!</v>
      </c>
      <c r="E309" s="222" t="e">
        <f>IF(C309&lt;&gt;"",dadosexternosBMF_1!D312,"")</f>
        <v>#REF!</v>
      </c>
      <c r="G309" s="219" t="e">
        <f t="shared" si="43"/>
        <v>#REF!</v>
      </c>
      <c r="H309" s="219" t="e">
        <f t="shared" si="44"/>
        <v>#REF!</v>
      </c>
      <c r="I309" s="219" t="e">
        <f t="shared" si="45"/>
        <v>#REF!</v>
      </c>
      <c r="J309" s="219" t="e">
        <f>IF(I309="","",VLOOKUP(LEFT(C309,1),dadosexternosBMF_1!$L$2:$M$13,2,FALSE))</f>
        <v>#REF!</v>
      </c>
      <c r="K309" s="219" t="e">
        <f t="shared" si="46"/>
        <v>#REF!</v>
      </c>
      <c r="L309" s="422" t="e">
        <f t="shared" si="47"/>
        <v>#REF!</v>
      </c>
      <c r="M309" s="422" t="e">
        <f>IF(I309="","",WORKDAY(L309-1,1,FERIADOS!$A$2:$A$831))</f>
        <v>#REF!</v>
      </c>
      <c r="N309" s="219" t="e">
        <f>IF(I309="","",NETWORKDAYS(Curva!$M$2,M309,FERIADOS!$A$2:$A$831)-1)</f>
        <v>#REF!</v>
      </c>
      <c r="O309" s="423" t="e">
        <f>IF(C309&lt;&gt;"",IF(ISERROR((100000/E309)^(252/N309)-1),Curva!$B$2,((100000/E309)^(252/N309)-1)),"")</f>
        <v>#REF!</v>
      </c>
      <c r="P309" s="219" t="e">
        <f>IF(OR(G309=1,G309=2),dadosexternosBMF_1!B312,"")</f>
        <v>#REF!</v>
      </c>
      <c r="Q309" s="219" t="e">
        <f>IF(OR(G309=1,G309=2),dadosexternosBMF_1!D312,"")</f>
        <v>#REF!</v>
      </c>
    </row>
    <row r="310" spans="1:17" x14ac:dyDescent="0.2">
      <c r="A310" s="222" t="e">
        <f t="shared" si="42"/>
        <v>#REF!</v>
      </c>
      <c r="B310" s="222" t="str">
        <f>IF(dadosexternosBMF_1!A313="DI1 - DI de 1 dia","DI1 - DI de 1 dia","")</f>
        <v/>
      </c>
      <c r="C310" s="222" t="e">
        <f>IF(dadosexternosBMF_1!A313="DOL - Dólar comercial","",IF(C309&lt;&gt;"",dadosexternosBMF_1!B313,IF(dadosexternosBMF_1!A313="DI1 - DI de 1 dia",dadosexternosBMF_1!B313,"")))</f>
        <v>#REF!</v>
      </c>
      <c r="D310" s="222" t="e">
        <f>IF(C310&lt;&gt;"",dadosexternosBMF_1!C313,"")</f>
        <v>#REF!</v>
      </c>
      <c r="E310" s="222" t="e">
        <f>IF(C310&lt;&gt;"",dadosexternosBMF_1!D313,"")</f>
        <v>#REF!</v>
      </c>
      <c r="G310" s="219" t="e">
        <f t="shared" si="43"/>
        <v>#REF!</v>
      </c>
      <c r="H310" s="219" t="e">
        <f t="shared" si="44"/>
        <v>#REF!</v>
      </c>
      <c r="I310" s="219" t="e">
        <f t="shared" si="45"/>
        <v>#REF!</v>
      </c>
      <c r="J310" s="219" t="e">
        <f>IF(I310="","",VLOOKUP(LEFT(C310,1),dadosexternosBMF_1!$L$2:$M$13,2,FALSE))</f>
        <v>#REF!</v>
      </c>
      <c r="K310" s="219" t="e">
        <f t="shared" si="46"/>
        <v>#REF!</v>
      </c>
      <c r="L310" s="422" t="e">
        <f t="shared" si="47"/>
        <v>#REF!</v>
      </c>
      <c r="M310" s="422" t="e">
        <f>IF(I310="","",WORKDAY(L310-1,1,FERIADOS!$A$2:$A$831))</f>
        <v>#REF!</v>
      </c>
      <c r="N310" s="219" t="e">
        <f>IF(I310="","",NETWORKDAYS(Curva!$M$2,M310,FERIADOS!$A$2:$A$831)-1)</f>
        <v>#REF!</v>
      </c>
      <c r="O310" s="423" t="e">
        <f>IF(C310&lt;&gt;"",IF(ISERROR((100000/E310)^(252/N310)-1),Curva!$B$2,((100000/E310)^(252/N310)-1)),"")</f>
        <v>#REF!</v>
      </c>
      <c r="P310" s="219" t="e">
        <f>IF(OR(G310=1,G310=2),dadosexternosBMF_1!B313,"")</f>
        <v>#REF!</v>
      </c>
      <c r="Q310" s="219" t="e">
        <f>IF(OR(G310=1,G310=2),dadosexternosBMF_1!D313,"")</f>
        <v>#REF!</v>
      </c>
    </row>
    <row r="311" spans="1:17" x14ac:dyDescent="0.2">
      <c r="A311" s="222" t="e">
        <f t="shared" si="42"/>
        <v>#REF!</v>
      </c>
      <c r="B311" s="222" t="str">
        <f>IF(dadosexternosBMF_1!A314="DI1 - DI de 1 dia","DI1 - DI de 1 dia","")</f>
        <v/>
      </c>
      <c r="C311" s="222" t="e">
        <f>IF(dadosexternosBMF_1!A314="DOL - Dólar comercial","",IF(C310&lt;&gt;"",dadosexternosBMF_1!B314,IF(dadosexternosBMF_1!A314="DI1 - DI de 1 dia",dadosexternosBMF_1!B314,"")))</f>
        <v>#REF!</v>
      </c>
      <c r="D311" s="222" t="e">
        <f>IF(C311&lt;&gt;"",dadosexternosBMF_1!C314,"")</f>
        <v>#REF!</v>
      </c>
      <c r="E311" s="222" t="e">
        <f>IF(C311&lt;&gt;"",dadosexternosBMF_1!D314,"")</f>
        <v>#REF!</v>
      </c>
      <c r="G311" s="219" t="e">
        <f t="shared" si="43"/>
        <v>#REF!</v>
      </c>
      <c r="H311" s="219" t="e">
        <f t="shared" si="44"/>
        <v>#REF!</v>
      </c>
      <c r="I311" s="219" t="e">
        <f t="shared" si="45"/>
        <v>#REF!</v>
      </c>
      <c r="J311" s="219" t="e">
        <f>IF(I311="","",VLOOKUP(LEFT(C311,1),dadosexternosBMF_1!$L$2:$M$13,2,FALSE))</f>
        <v>#REF!</v>
      </c>
      <c r="K311" s="219" t="e">
        <f t="shared" si="46"/>
        <v>#REF!</v>
      </c>
      <c r="L311" s="422" t="e">
        <f t="shared" si="47"/>
        <v>#REF!</v>
      </c>
      <c r="M311" s="422" t="e">
        <f>IF(I311="","",WORKDAY(L311-1,1,FERIADOS!$A$2:$A$831))</f>
        <v>#REF!</v>
      </c>
      <c r="N311" s="219" t="e">
        <f>IF(I311="","",NETWORKDAYS(Curva!$M$2,M311,FERIADOS!$A$2:$A$831)-1)</f>
        <v>#REF!</v>
      </c>
      <c r="O311" s="423" t="e">
        <f>IF(C311&lt;&gt;"",IF(ISERROR((100000/E311)^(252/N311)-1),Curva!$B$2,((100000/E311)^(252/N311)-1)),"")</f>
        <v>#REF!</v>
      </c>
      <c r="P311" s="219" t="e">
        <f>IF(OR(G311=1,G311=2),dadosexternosBMF_1!B314,"")</f>
        <v>#REF!</v>
      </c>
      <c r="Q311" s="219" t="e">
        <f>IF(OR(G311=1,G311=2),dadosexternosBMF_1!D314,"")</f>
        <v>#REF!</v>
      </c>
    </row>
    <row r="312" spans="1:17" x14ac:dyDescent="0.2">
      <c r="A312" s="222" t="e">
        <f t="shared" si="42"/>
        <v>#REF!</v>
      </c>
      <c r="B312" s="222" t="str">
        <f>IF(dadosexternosBMF_1!A315="DI1 - DI de 1 dia","DI1 - DI de 1 dia","")</f>
        <v/>
      </c>
      <c r="C312" s="222" t="e">
        <f>IF(dadosexternosBMF_1!A315="DOL - Dólar comercial","",IF(C311&lt;&gt;"",dadosexternosBMF_1!B315,IF(dadosexternosBMF_1!A315="DI1 - DI de 1 dia",dadosexternosBMF_1!B315,"")))</f>
        <v>#REF!</v>
      </c>
      <c r="D312" s="222" t="e">
        <f>IF(C312&lt;&gt;"",dadosexternosBMF_1!C315,"")</f>
        <v>#REF!</v>
      </c>
      <c r="E312" s="222" t="e">
        <f>IF(C312&lt;&gt;"",dadosexternosBMF_1!D315,"")</f>
        <v>#REF!</v>
      </c>
      <c r="G312" s="219" t="e">
        <f t="shared" si="43"/>
        <v>#REF!</v>
      </c>
      <c r="H312" s="219" t="e">
        <f t="shared" si="44"/>
        <v>#REF!</v>
      </c>
      <c r="I312" s="219" t="e">
        <f t="shared" si="45"/>
        <v>#REF!</v>
      </c>
      <c r="J312" s="219" t="e">
        <f>IF(I312="","",VLOOKUP(LEFT(C312,1),dadosexternosBMF_1!$L$2:$M$13,2,FALSE))</f>
        <v>#REF!</v>
      </c>
      <c r="K312" s="219" t="e">
        <f t="shared" si="46"/>
        <v>#REF!</v>
      </c>
      <c r="L312" s="422" t="e">
        <f t="shared" si="47"/>
        <v>#REF!</v>
      </c>
      <c r="M312" s="422" t="e">
        <f>IF(I312="","",WORKDAY(L312-1,1,FERIADOS!$A$2:$A$831))</f>
        <v>#REF!</v>
      </c>
      <c r="N312" s="219" t="e">
        <f>IF(I312="","",NETWORKDAYS(Curva!$M$2,M312,FERIADOS!$A$2:$A$831)-1)</f>
        <v>#REF!</v>
      </c>
      <c r="O312" s="423" t="e">
        <f>IF(C312&lt;&gt;"",IF(ISERROR((100000/E312)^(252/N312)-1),Curva!$B$2,((100000/E312)^(252/N312)-1)),"")</f>
        <v>#REF!</v>
      </c>
      <c r="P312" s="219" t="e">
        <f>IF(OR(G312=1,G312=2),dadosexternosBMF_1!B315,"")</f>
        <v>#REF!</v>
      </c>
      <c r="Q312" s="219" t="e">
        <f>IF(OR(G312=1,G312=2),dadosexternosBMF_1!D315,"")</f>
        <v>#REF!</v>
      </c>
    </row>
    <row r="313" spans="1:17" x14ac:dyDescent="0.2">
      <c r="A313" s="222" t="e">
        <f t="shared" si="42"/>
        <v>#REF!</v>
      </c>
      <c r="B313" s="222" t="str">
        <f>IF(dadosexternosBMF_1!A316="DI1 - DI de 1 dia","DI1 - DI de 1 dia","")</f>
        <v/>
      </c>
      <c r="C313" s="222" t="e">
        <f>IF(dadosexternosBMF_1!A316="DOL - Dólar comercial","",IF(C312&lt;&gt;"",dadosexternosBMF_1!B316,IF(dadosexternosBMF_1!A316="DI1 - DI de 1 dia",dadosexternosBMF_1!B316,"")))</f>
        <v>#REF!</v>
      </c>
      <c r="D313" s="222" t="e">
        <f>IF(C313&lt;&gt;"",dadosexternosBMF_1!C316,"")</f>
        <v>#REF!</v>
      </c>
      <c r="E313" s="222" t="e">
        <f>IF(C313&lt;&gt;"",dadosexternosBMF_1!D316,"")</f>
        <v>#REF!</v>
      </c>
      <c r="G313" s="219" t="e">
        <f t="shared" si="43"/>
        <v>#REF!</v>
      </c>
      <c r="H313" s="219" t="e">
        <f t="shared" si="44"/>
        <v>#REF!</v>
      </c>
      <c r="I313" s="219" t="e">
        <f t="shared" si="45"/>
        <v>#REF!</v>
      </c>
      <c r="J313" s="219" t="e">
        <f>IF(I313="","",VLOOKUP(LEFT(C313,1),dadosexternosBMF_1!$L$2:$M$13,2,FALSE))</f>
        <v>#REF!</v>
      </c>
      <c r="K313" s="219" t="e">
        <f t="shared" si="46"/>
        <v>#REF!</v>
      </c>
      <c r="L313" s="422" t="e">
        <f t="shared" si="47"/>
        <v>#REF!</v>
      </c>
      <c r="M313" s="422" t="e">
        <f>IF(I313="","",WORKDAY(L313-1,1,FERIADOS!$A$2:$A$831))</f>
        <v>#REF!</v>
      </c>
      <c r="N313" s="219" t="e">
        <f>IF(I313="","",NETWORKDAYS(Curva!$M$2,M313,FERIADOS!$A$2:$A$831)-1)</f>
        <v>#REF!</v>
      </c>
      <c r="O313" s="423" t="e">
        <f>IF(C313&lt;&gt;"",IF(ISERROR((100000/E313)^(252/N313)-1),Curva!$B$2,((100000/E313)^(252/N313)-1)),"")</f>
        <v>#REF!</v>
      </c>
      <c r="P313" s="219" t="e">
        <f>IF(OR(G313=1,G313=2),dadosexternosBMF_1!B316,"")</f>
        <v>#REF!</v>
      </c>
      <c r="Q313" s="219" t="e">
        <f>IF(OR(G313=1,G313=2),dadosexternosBMF_1!D316,"")</f>
        <v>#REF!</v>
      </c>
    </row>
    <row r="314" spans="1:17" x14ac:dyDescent="0.2">
      <c r="A314" s="222" t="e">
        <f t="shared" si="42"/>
        <v>#REF!</v>
      </c>
      <c r="B314" s="222" t="str">
        <f>IF(dadosexternosBMF_1!A317="DI1 - DI de 1 dia","DI1 - DI de 1 dia","")</f>
        <v/>
      </c>
      <c r="C314" s="222" t="e">
        <f>IF(dadosexternosBMF_1!A317="DOL - Dólar comercial","",IF(C313&lt;&gt;"",dadosexternosBMF_1!B317,IF(dadosexternosBMF_1!A317="DI1 - DI de 1 dia",dadosexternosBMF_1!B317,"")))</f>
        <v>#REF!</v>
      </c>
      <c r="D314" s="222" t="e">
        <f>IF(C314&lt;&gt;"",dadosexternosBMF_1!C317,"")</f>
        <v>#REF!</v>
      </c>
      <c r="E314" s="222" t="e">
        <f>IF(C314&lt;&gt;"",dadosexternosBMF_1!D317,"")</f>
        <v>#REF!</v>
      </c>
      <c r="G314" s="219" t="e">
        <f t="shared" si="43"/>
        <v>#REF!</v>
      </c>
      <c r="H314" s="219" t="e">
        <f t="shared" si="44"/>
        <v>#REF!</v>
      </c>
      <c r="I314" s="219" t="e">
        <f t="shared" si="45"/>
        <v>#REF!</v>
      </c>
      <c r="J314" s="219" t="e">
        <f>IF(I314="","",VLOOKUP(LEFT(C314,1),dadosexternosBMF_1!$L$2:$M$13,2,FALSE))</f>
        <v>#REF!</v>
      </c>
      <c r="K314" s="219" t="e">
        <f t="shared" si="46"/>
        <v>#REF!</v>
      </c>
      <c r="L314" s="422" t="e">
        <f t="shared" si="47"/>
        <v>#REF!</v>
      </c>
      <c r="M314" s="422" t="e">
        <f>IF(I314="","",WORKDAY(L314-1,1,FERIADOS!$A$2:$A$831))</f>
        <v>#REF!</v>
      </c>
      <c r="N314" s="219" t="e">
        <f>IF(I314="","",NETWORKDAYS(Curva!$M$2,M314,FERIADOS!$A$2:$A$831)-1)</f>
        <v>#REF!</v>
      </c>
      <c r="O314" s="423" t="e">
        <f>IF(C314&lt;&gt;"",IF(ISERROR((100000/E314)^(252/N314)-1),Curva!$B$2,((100000/E314)^(252/N314)-1)),"")</f>
        <v>#REF!</v>
      </c>
      <c r="P314" s="219" t="e">
        <f>IF(OR(G314=1,G314=2),dadosexternosBMF_1!B317,"")</f>
        <v>#REF!</v>
      </c>
      <c r="Q314" s="219" t="e">
        <f>IF(OR(G314=1,G314=2),dadosexternosBMF_1!D317,"")</f>
        <v>#REF!</v>
      </c>
    </row>
    <row r="315" spans="1:17" x14ac:dyDescent="0.2">
      <c r="A315" s="222" t="e">
        <f t="shared" si="42"/>
        <v>#REF!</v>
      </c>
      <c r="B315" s="222" t="str">
        <f>IF(dadosexternosBMF_1!A318="DI1 - DI de 1 dia","DI1 - DI de 1 dia","")</f>
        <v/>
      </c>
      <c r="C315" s="222" t="e">
        <f>IF(dadosexternosBMF_1!A318="DOL - Dólar comercial","",IF(C314&lt;&gt;"",dadosexternosBMF_1!B318,IF(dadosexternosBMF_1!A318="DI1 - DI de 1 dia",dadosexternosBMF_1!B318,"")))</f>
        <v>#REF!</v>
      </c>
      <c r="D315" s="222" t="e">
        <f>IF(C315&lt;&gt;"",dadosexternosBMF_1!C318,"")</f>
        <v>#REF!</v>
      </c>
      <c r="E315" s="222" t="e">
        <f>IF(C315&lt;&gt;"",dadosexternosBMF_1!D318,"")</f>
        <v>#REF!</v>
      </c>
      <c r="G315" s="219" t="e">
        <f t="shared" si="43"/>
        <v>#REF!</v>
      </c>
      <c r="H315" s="219" t="e">
        <f t="shared" si="44"/>
        <v>#REF!</v>
      </c>
      <c r="I315" s="219" t="e">
        <f t="shared" si="45"/>
        <v>#REF!</v>
      </c>
      <c r="J315" s="219" t="e">
        <f>IF(I315="","",VLOOKUP(LEFT(C315,1),dadosexternosBMF_1!$L$2:$M$13,2,FALSE))</f>
        <v>#REF!</v>
      </c>
      <c r="K315" s="219" t="e">
        <f t="shared" si="46"/>
        <v>#REF!</v>
      </c>
      <c r="L315" s="422" t="e">
        <f t="shared" si="47"/>
        <v>#REF!</v>
      </c>
      <c r="M315" s="422" t="e">
        <f>IF(I315="","",WORKDAY(L315-1,1,FERIADOS!$A$2:$A$831))</f>
        <v>#REF!</v>
      </c>
      <c r="N315" s="219" t="e">
        <f>IF(I315="","",NETWORKDAYS(Curva!$M$2,M315,FERIADOS!$A$2:$A$831)-1)</f>
        <v>#REF!</v>
      </c>
      <c r="O315" s="423" t="e">
        <f>IF(C315&lt;&gt;"",IF(ISERROR((100000/E315)^(252/N315)-1),Curva!$B$2,((100000/E315)^(252/N315)-1)),"")</f>
        <v>#REF!</v>
      </c>
      <c r="P315" s="219" t="e">
        <f>IF(OR(G315=1,G315=2),dadosexternosBMF_1!B318,"")</f>
        <v>#REF!</v>
      </c>
      <c r="Q315" s="219" t="e">
        <f>IF(OR(G315=1,G315=2),dadosexternosBMF_1!D318,"")</f>
        <v>#REF!</v>
      </c>
    </row>
    <row r="316" spans="1:17" x14ac:dyDescent="0.2">
      <c r="A316" s="222" t="e">
        <f t="shared" si="42"/>
        <v>#REF!</v>
      </c>
      <c r="B316" s="222" t="str">
        <f>IF(dadosexternosBMF_1!A319="DI1 - DI de 1 dia","DI1 - DI de 1 dia","")</f>
        <v/>
      </c>
      <c r="C316" s="222" t="e">
        <f>IF(dadosexternosBMF_1!A319="DOL - Dólar comercial","",IF(C315&lt;&gt;"",dadosexternosBMF_1!B319,IF(dadosexternosBMF_1!A319="DI1 - DI de 1 dia",dadosexternosBMF_1!B319,"")))</f>
        <v>#REF!</v>
      </c>
      <c r="D316" s="222" t="e">
        <f>IF(C316&lt;&gt;"",dadosexternosBMF_1!C319,"")</f>
        <v>#REF!</v>
      </c>
      <c r="E316" s="222" t="e">
        <f>IF(C316&lt;&gt;"",dadosexternosBMF_1!D319,"")</f>
        <v>#REF!</v>
      </c>
      <c r="G316" s="219" t="e">
        <f t="shared" si="43"/>
        <v>#REF!</v>
      </c>
      <c r="H316" s="219" t="e">
        <f t="shared" si="44"/>
        <v>#REF!</v>
      </c>
      <c r="I316" s="219" t="e">
        <f t="shared" si="45"/>
        <v>#REF!</v>
      </c>
      <c r="J316" s="219" t="e">
        <f>IF(I316="","",VLOOKUP(LEFT(C316,1),dadosexternosBMF_1!$L$2:$M$13,2,FALSE))</f>
        <v>#REF!</v>
      </c>
      <c r="K316" s="219" t="e">
        <f t="shared" si="46"/>
        <v>#REF!</v>
      </c>
      <c r="L316" s="422" t="e">
        <f t="shared" si="47"/>
        <v>#REF!</v>
      </c>
      <c r="M316" s="422" t="e">
        <f>IF(I316="","",WORKDAY(L316-1,1,FERIADOS!$A$2:$A$831))</f>
        <v>#REF!</v>
      </c>
      <c r="N316" s="219" t="e">
        <f>IF(I316="","",NETWORKDAYS(Curva!$M$2,M316,FERIADOS!$A$2:$A$831)-1)</f>
        <v>#REF!</v>
      </c>
      <c r="O316" s="423" t="e">
        <f>IF(C316&lt;&gt;"",IF(ISERROR((100000/E316)^(252/N316)-1),Curva!$B$2,((100000/E316)^(252/N316)-1)),"")</f>
        <v>#REF!</v>
      </c>
      <c r="P316" s="219" t="e">
        <f>IF(OR(G316=1,G316=2),dadosexternosBMF_1!B319,"")</f>
        <v>#REF!</v>
      </c>
      <c r="Q316" s="219" t="e">
        <f>IF(OR(G316=1,G316=2),dadosexternosBMF_1!D319,"")</f>
        <v>#REF!</v>
      </c>
    </row>
    <row r="317" spans="1:17" x14ac:dyDescent="0.2">
      <c r="A317" s="222" t="e">
        <f t="shared" si="42"/>
        <v>#REF!</v>
      </c>
      <c r="B317" s="222" t="str">
        <f>IF(dadosexternosBMF_1!A320="DI1 - DI de 1 dia","DI1 - DI de 1 dia","")</f>
        <v/>
      </c>
      <c r="C317" s="222" t="e">
        <f>IF(dadosexternosBMF_1!A320="DOL - Dólar comercial","",IF(C316&lt;&gt;"",dadosexternosBMF_1!B320,IF(dadosexternosBMF_1!A320="DI1 - DI de 1 dia",dadosexternosBMF_1!B320,"")))</f>
        <v>#REF!</v>
      </c>
      <c r="D317" s="222" t="e">
        <f>IF(C317&lt;&gt;"",dadosexternosBMF_1!C320,"")</f>
        <v>#REF!</v>
      </c>
      <c r="E317" s="222" t="e">
        <f>IF(C317&lt;&gt;"",dadosexternosBMF_1!D320,"")</f>
        <v>#REF!</v>
      </c>
      <c r="G317" s="219" t="e">
        <f t="shared" si="43"/>
        <v>#REF!</v>
      </c>
      <c r="H317" s="219" t="e">
        <f t="shared" si="44"/>
        <v>#REF!</v>
      </c>
      <c r="I317" s="219" t="e">
        <f t="shared" si="45"/>
        <v>#REF!</v>
      </c>
      <c r="J317" s="219" t="e">
        <f>IF(I317="","",VLOOKUP(LEFT(C317,1),dadosexternosBMF_1!$L$2:$M$13,2,FALSE))</f>
        <v>#REF!</v>
      </c>
      <c r="K317" s="219" t="e">
        <f t="shared" si="46"/>
        <v>#REF!</v>
      </c>
      <c r="L317" s="422" t="e">
        <f t="shared" si="47"/>
        <v>#REF!</v>
      </c>
      <c r="M317" s="422" t="e">
        <f>IF(I317="","",WORKDAY(L317-1,1,FERIADOS!$A$2:$A$831))</f>
        <v>#REF!</v>
      </c>
      <c r="N317" s="219" t="e">
        <f>IF(I317="","",NETWORKDAYS(Curva!$M$2,M317,FERIADOS!$A$2:$A$831)-1)</f>
        <v>#REF!</v>
      </c>
      <c r="O317" s="423" t="e">
        <f>IF(C317&lt;&gt;"",IF(ISERROR((100000/E317)^(252/N317)-1),Curva!$B$2,((100000/E317)^(252/N317)-1)),"")</f>
        <v>#REF!</v>
      </c>
      <c r="P317" s="219" t="e">
        <f>IF(OR(G317=1,G317=2),dadosexternosBMF_1!B320,"")</f>
        <v>#REF!</v>
      </c>
      <c r="Q317" s="219" t="e">
        <f>IF(OR(G317=1,G317=2),dadosexternosBMF_1!D320,"")</f>
        <v>#REF!</v>
      </c>
    </row>
    <row r="318" spans="1:17" x14ac:dyDescent="0.2">
      <c r="A318" s="222" t="e">
        <f t="shared" si="42"/>
        <v>#REF!</v>
      </c>
      <c r="B318" s="222" t="str">
        <f>IF(dadosexternosBMF_1!A321="DI1 - DI de 1 dia","DI1 - DI de 1 dia","")</f>
        <v/>
      </c>
      <c r="C318" s="222" t="e">
        <f>IF(dadosexternosBMF_1!A321="DOL - Dólar comercial","",IF(C317&lt;&gt;"",dadosexternosBMF_1!B321,IF(dadosexternosBMF_1!A321="DI1 - DI de 1 dia",dadosexternosBMF_1!B321,"")))</f>
        <v>#REF!</v>
      </c>
      <c r="D318" s="222" t="e">
        <f>IF(C318&lt;&gt;"",dadosexternosBMF_1!C321,"")</f>
        <v>#REF!</v>
      </c>
      <c r="E318" s="222" t="e">
        <f>IF(C318&lt;&gt;"",dadosexternosBMF_1!D321,"")</f>
        <v>#REF!</v>
      </c>
      <c r="G318" s="219" t="e">
        <f t="shared" si="43"/>
        <v>#REF!</v>
      </c>
      <c r="H318" s="219" t="e">
        <f t="shared" si="44"/>
        <v>#REF!</v>
      </c>
      <c r="I318" s="219" t="e">
        <f t="shared" si="45"/>
        <v>#REF!</v>
      </c>
      <c r="J318" s="219" t="e">
        <f>IF(I318="","",VLOOKUP(LEFT(C318,1),dadosexternosBMF_1!$L$2:$M$13,2,FALSE))</f>
        <v>#REF!</v>
      </c>
      <c r="K318" s="219" t="e">
        <f t="shared" si="46"/>
        <v>#REF!</v>
      </c>
      <c r="L318" s="422" t="e">
        <f t="shared" si="47"/>
        <v>#REF!</v>
      </c>
      <c r="M318" s="422" t="e">
        <f>IF(I318="","",WORKDAY(L318-1,1,FERIADOS!$A$2:$A$831))</f>
        <v>#REF!</v>
      </c>
      <c r="N318" s="219" t="e">
        <f>IF(I318="","",NETWORKDAYS(Curva!$M$2,M318,FERIADOS!$A$2:$A$831)-1)</f>
        <v>#REF!</v>
      </c>
      <c r="O318" s="423" t="e">
        <f>IF(C318&lt;&gt;"",IF(ISERROR((100000/E318)^(252/N318)-1),Curva!$B$2,((100000/E318)^(252/N318)-1)),"")</f>
        <v>#REF!</v>
      </c>
      <c r="P318" s="219" t="e">
        <f>IF(OR(G318=1,G318=2),dadosexternosBMF_1!B321,"")</f>
        <v>#REF!</v>
      </c>
      <c r="Q318" s="219" t="e">
        <f>IF(OR(G318=1,G318=2),dadosexternosBMF_1!D321,"")</f>
        <v>#REF!</v>
      </c>
    </row>
    <row r="319" spans="1:17" x14ac:dyDescent="0.2">
      <c r="A319" s="222" t="e">
        <f t="shared" si="42"/>
        <v>#REF!</v>
      </c>
      <c r="B319" s="222" t="str">
        <f>IF(dadosexternosBMF_1!A322="DI1 - DI de 1 dia","DI1 - DI de 1 dia","")</f>
        <v/>
      </c>
      <c r="C319" s="222" t="e">
        <f>IF(dadosexternosBMF_1!A322="DOL - Dólar comercial","",IF(C318&lt;&gt;"",dadosexternosBMF_1!B322,IF(dadosexternosBMF_1!A322="DI1 - DI de 1 dia",dadosexternosBMF_1!B322,"")))</f>
        <v>#REF!</v>
      </c>
      <c r="D319" s="222" t="e">
        <f>IF(C319&lt;&gt;"",dadosexternosBMF_1!C322,"")</f>
        <v>#REF!</v>
      </c>
      <c r="E319" s="222" t="e">
        <f>IF(C319&lt;&gt;"",dadosexternosBMF_1!D322,"")</f>
        <v>#REF!</v>
      </c>
      <c r="G319" s="219" t="e">
        <f t="shared" si="43"/>
        <v>#REF!</v>
      </c>
      <c r="H319" s="219" t="e">
        <f t="shared" si="44"/>
        <v>#REF!</v>
      </c>
      <c r="I319" s="219" t="e">
        <f t="shared" si="45"/>
        <v>#REF!</v>
      </c>
      <c r="J319" s="219" t="e">
        <f>IF(I319="","",VLOOKUP(LEFT(C319,1),dadosexternosBMF_1!$L$2:$M$13,2,FALSE))</f>
        <v>#REF!</v>
      </c>
      <c r="K319" s="219" t="e">
        <f t="shared" si="46"/>
        <v>#REF!</v>
      </c>
      <c r="L319" s="422" t="e">
        <f t="shared" si="47"/>
        <v>#REF!</v>
      </c>
      <c r="M319" s="422" t="e">
        <f>IF(I319="","",WORKDAY(L319-1,1,FERIADOS!$A$2:$A$831))</f>
        <v>#REF!</v>
      </c>
      <c r="N319" s="219" t="e">
        <f>IF(I319="","",NETWORKDAYS(Curva!$M$2,M319,FERIADOS!$A$2:$A$831)-1)</f>
        <v>#REF!</v>
      </c>
      <c r="O319" s="423" t="e">
        <f>IF(C319&lt;&gt;"",IF(ISERROR((100000/E319)^(252/N319)-1),Curva!$B$2,((100000/E319)^(252/N319)-1)),"")</f>
        <v>#REF!</v>
      </c>
      <c r="P319" s="219" t="e">
        <f>IF(OR(G319=1,G319=2),dadosexternosBMF_1!B322,"")</f>
        <v>#REF!</v>
      </c>
      <c r="Q319" s="219" t="e">
        <f>IF(OR(G319=1,G319=2),dadosexternosBMF_1!D322,"")</f>
        <v>#REF!</v>
      </c>
    </row>
    <row r="320" spans="1:17" x14ac:dyDescent="0.2">
      <c r="A320" s="222" t="e">
        <f t="shared" si="42"/>
        <v>#REF!</v>
      </c>
      <c r="B320" s="222" t="str">
        <f>IF(dadosexternosBMF_1!A323="DI1 - DI de 1 dia","DI1 - DI de 1 dia","")</f>
        <v/>
      </c>
      <c r="C320" s="222" t="e">
        <f>IF(dadosexternosBMF_1!A323="DOL - Dólar comercial","",IF(C319&lt;&gt;"",dadosexternosBMF_1!B323,IF(dadosexternosBMF_1!A323="DI1 - DI de 1 dia",dadosexternosBMF_1!B323,"")))</f>
        <v>#REF!</v>
      </c>
      <c r="D320" s="222" t="e">
        <f>IF(C320&lt;&gt;"",dadosexternosBMF_1!C323,"")</f>
        <v>#REF!</v>
      </c>
      <c r="E320" s="222" t="e">
        <f>IF(C320&lt;&gt;"",dadosexternosBMF_1!D323,"")</f>
        <v>#REF!</v>
      </c>
      <c r="G320" s="219" t="e">
        <f t="shared" si="43"/>
        <v>#REF!</v>
      </c>
      <c r="H320" s="219" t="e">
        <f t="shared" si="44"/>
        <v>#REF!</v>
      </c>
      <c r="I320" s="219" t="e">
        <f t="shared" si="45"/>
        <v>#REF!</v>
      </c>
      <c r="J320" s="219" t="e">
        <f>IF(I320="","",VLOOKUP(LEFT(C320,1),dadosexternosBMF_1!$L$2:$M$13,2,FALSE))</f>
        <v>#REF!</v>
      </c>
      <c r="K320" s="219" t="e">
        <f t="shared" si="46"/>
        <v>#REF!</v>
      </c>
      <c r="L320" s="422" t="e">
        <f t="shared" si="47"/>
        <v>#REF!</v>
      </c>
      <c r="M320" s="422" t="e">
        <f>IF(I320="","",WORKDAY(L320-1,1,FERIADOS!$A$2:$A$831))</f>
        <v>#REF!</v>
      </c>
      <c r="N320" s="219" t="e">
        <f>IF(I320="","",NETWORKDAYS(Curva!$M$2,M320,FERIADOS!$A$2:$A$831)-1)</f>
        <v>#REF!</v>
      </c>
      <c r="O320" s="423" t="e">
        <f>IF(C320&lt;&gt;"",IF(ISERROR((100000/E320)^(252/N320)-1),Curva!$B$2,((100000/E320)^(252/N320)-1)),"")</f>
        <v>#REF!</v>
      </c>
      <c r="P320" s="219" t="e">
        <f>IF(OR(G320=1,G320=2),dadosexternosBMF_1!B323,"")</f>
        <v>#REF!</v>
      </c>
      <c r="Q320" s="219" t="e">
        <f>IF(OR(G320=1,G320=2),dadosexternosBMF_1!D323,"")</f>
        <v>#REF!</v>
      </c>
    </row>
    <row r="321" spans="1:17" x14ac:dyDescent="0.2">
      <c r="A321" s="222" t="e">
        <f t="shared" si="42"/>
        <v>#REF!</v>
      </c>
      <c r="B321" s="222" t="str">
        <f>IF(dadosexternosBMF_1!A324="DI1 - DI de 1 dia","DI1 - DI de 1 dia","")</f>
        <v/>
      </c>
      <c r="C321" s="222" t="e">
        <f>IF(dadosexternosBMF_1!A324="DOL - Dólar comercial","",IF(C320&lt;&gt;"",dadosexternosBMF_1!B324,IF(dadosexternosBMF_1!A324="DI1 - DI de 1 dia",dadosexternosBMF_1!B324,"")))</f>
        <v>#REF!</v>
      </c>
      <c r="D321" s="222" t="e">
        <f>IF(C321&lt;&gt;"",dadosexternosBMF_1!C324,"")</f>
        <v>#REF!</v>
      </c>
      <c r="E321" s="222" t="e">
        <f>IF(C321&lt;&gt;"",dadosexternosBMF_1!D324,"")</f>
        <v>#REF!</v>
      </c>
      <c r="G321" s="219" t="e">
        <f t="shared" si="43"/>
        <v>#REF!</v>
      </c>
      <c r="H321" s="219" t="e">
        <f t="shared" si="44"/>
        <v>#REF!</v>
      </c>
      <c r="I321" s="219" t="e">
        <f t="shared" si="45"/>
        <v>#REF!</v>
      </c>
      <c r="J321" s="219" t="e">
        <f>IF(I321="","",VLOOKUP(LEFT(C321,1),dadosexternosBMF_1!$L$2:$M$13,2,FALSE))</f>
        <v>#REF!</v>
      </c>
      <c r="K321" s="219" t="e">
        <f t="shared" si="46"/>
        <v>#REF!</v>
      </c>
      <c r="L321" s="422" t="e">
        <f t="shared" si="47"/>
        <v>#REF!</v>
      </c>
      <c r="M321" s="422" t="e">
        <f>IF(I321="","",WORKDAY(L321-1,1,FERIADOS!$A$2:$A$831))</f>
        <v>#REF!</v>
      </c>
      <c r="N321" s="219" t="e">
        <f>IF(I321="","",NETWORKDAYS(Curva!$M$2,M321,FERIADOS!$A$2:$A$831)-1)</f>
        <v>#REF!</v>
      </c>
      <c r="O321" s="423" t="e">
        <f>IF(C321&lt;&gt;"",IF(ISERROR((100000/E321)^(252/N321)-1),Curva!$B$2,((100000/E321)^(252/N321)-1)),"")</f>
        <v>#REF!</v>
      </c>
      <c r="P321" s="219" t="e">
        <f>IF(OR(G321=1,G321=2),dadosexternosBMF_1!B324,"")</f>
        <v>#REF!</v>
      </c>
      <c r="Q321" s="219" t="e">
        <f>IF(OR(G321=1,G321=2),dadosexternosBMF_1!D324,"")</f>
        <v>#REF!</v>
      </c>
    </row>
    <row r="322" spans="1:17" x14ac:dyDescent="0.2">
      <c r="A322" s="222" t="e">
        <f t="shared" si="42"/>
        <v>#REF!</v>
      </c>
      <c r="B322" s="222" t="str">
        <f>IF(dadosexternosBMF_1!A325="DI1 - DI de 1 dia","DI1 - DI de 1 dia","")</f>
        <v/>
      </c>
      <c r="C322" s="222" t="e">
        <f>IF(dadosexternosBMF_1!A325="DOL - Dólar comercial","",IF(C321&lt;&gt;"",dadosexternosBMF_1!B325,IF(dadosexternosBMF_1!A325="DI1 - DI de 1 dia",dadosexternosBMF_1!B325,"")))</f>
        <v>#REF!</v>
      </c>
      <c r="D322" s="222" t="e">
        <f>IF(C322&lt;&gt;"",dadosexternosBMF_1!C325,"")</f>
        <v>#REF!</v>
      </c>
      <c r="E322" s="222" t="e">
        <f>IF(C322&lt;&gt;"",dadosexternosBMF_1!D325,"")</f>
        <v>#REF!</v>
      </c>
      <c r="G322" s="219" t="e">
        <f t="shared" si="43"/>
        <v>#REF!</v>
      </c>
      <c r="H322" s="219" t="e">
        <f t="shared" si="44"/>
        <v>#REF!</v>
      </c>
      <c r="I322" s="219" t="e">
        <f t="shared" si="45"/>
        <v>#REF!</v>
      </c>
      <c r="J322" s="219" t="e">
        <f>IF(I322="","",VLOOKUP(LEFT(C322,1),dadosexternosBMF_1!$L$2:$M$13,2,FALSE))</f>
        <v>#REF!</v>
      </c>
      <c r="K322" s="219" t="e">
        <f t="shared" si="46"/>
        <v>#REF!</v>
      </c>
      <c r="L322" s="422" t="e">
        <f t="shared" si="47"/>
        <v>#REF!</v>
      </c>
      <c r="M322" s="422" t="e">
        <f>IF(I322="","",WORKDAY(L322-1,1,FERIADOS!$A$2:$A$831))</f>
        <v>#REF!</v>
      </c>
      <c r="N322" s="219" t="e">
        <f>IF(I322="","",NETWORKDAYS(Curva!$M$2,M322,FERIADOS!$A$2:$A$831)-1)</f>
        <v>#REF!</v>
      </c>
      <c r="O322" s="423" t="e">
        <f>IF(C322&lt;&gt;"",IF(ISERROR((100000/E322)^(252/N322)-1),Curva!$B$2,((100000/E322)^(252/N322)-1)),"")</f>
        <v>#REF!</v>
      </c>
      <c r="P322" s="219" t="e">
        <f>IF(OR(G322=1,G322=2),dadosexternosBMF_1!B325,"")</f>
        <v>#REF!</v>
      </c>
      <c r="Q322" s="219" t="e">
        <f>IF(OR(G322=1,G322=2),dadosexternosBMF_1!D325,"")</f>
        <v>#REF!</v>
      </c>
    </row>
    <row r="323" spans="1:17" x14ac:dyDescent="0.2">
      <c r="A323" s="222" t="e">
        <f t="shared" si="42"/>
        <v>#REF!</v>
      </c>
      <c r="B323" s="222" t="str">
        <f>IF(dadosexternosBMF_1!A326="DI1 - DI de 1 dia","DI1 - DI de 1 dia","")</f>
        <v/>
      </c>
      <c r="C323" s="222" t="e">
        <f>IF(dadosexternosBMF_1!A326="DOL - Dólar comercial","",IF(C322&lt;&gt;"",dadosexternosBMF_1!B326,IF(dadosexternosBMF_1!A326="DI1 - DI de 1 dia",dadosexternosBMF_1!B326,"")))</f>
        <v>#REF!</v>
      </c>
      <c r="D323" s="222" t="e">
        <f>IF(C323&lt;&gt;"",dadosexternosBMF_1!C326,"")</f>
        <v>#REF!</v>
      </c>
      <c r="E323" s="222" t="e">
        <f>IF(C323&lt;&gt;"",dadosexternosBMF_1!D326,"")</f>
        <v>#REF!</v>
      </c>
      <c r="G323" s="219" t="e">
        <f t="shared" si="43"/>
        <v>#REF!</v>
      </c>
      <c r="H323" s="219" t="e">
        <f t="shared" si="44"/>
        <v>#REF!</v>
      </c>
      <c r="I323" s="219" t="e">
        <f t="shared" si="45"/>
        <v>#REF!</v>
      </c>
      <c r="J323" s="219" t="e">
        <f>IF(I323="","",VLOOKUP(LEFT(C323,1),dadosexternosBMF_1!$L$2:$M$13,2,FALSE))</f>
        <v>#REF!</v>
      </c>
      <c r="K323" s="219" t="e">
        <f t="shared" si="46"/>
        <v>#REF!</v>
      </c>
      <c r="L323" s="422" t="e">
        <f t="shared" si="47"/>
        <v>#REF!</v>
      </c>
      <c r="M323" s="422" t="e">
        <f>IF(I323="","",WORKDAY(L323-1,1,FERIADOS!$A$2:$A$831))</f>
        <v>#REF!</v>
      </c>
      <c r="N323" s="219" t="e">
        <f>IF(I323="","",NETWORKDAYS(Curva!$M$2,M323,FERIADOS!$A$2:$A$831)-1)</f>
        <v>#REF!</v>
      </c>
      <c r="O323" s="423" t="e">
        <f>IF(C323&lt;&gt;"",IF(ISERROR((100000/E323)^(252/N323)-1),Curva!$B$2,((100000/E323)^(252/N323)-1)),"")</f>
        <v>#REF!</v>
      </c>
      <c r="P323" s="219" t="e">
        <f>IF(OR(G323=1,G323=2),dadosexternosBMF_1!B326,"")</f>
        <v>#REF!</v>
      </c>
      <c r="Q323" s="219" t="e">
        <f>IF(OR(G323=1,G323=2),dadosexternosBMF_1!D326,"")</f>
        <v>#REF!</v>
      </c>
    </row>
    <row r="324" spans="1:17" x14ac:dyDescent="0.2">
      <c r="A324" s="222" t="e">
        <f t="shared" si="42"/>
        <v>#REF!</v>
      </c>
      <c r="B324" s="222" t="str">
        <f>IF(dadosexternosBMF_1!A327="DI1 - DI de 1 dia","DI1 - DI de 1 dia","")</f>
        <v/>
      </c>
      <c r="C324" s="222" t="e">
        <f>IF(dadosexternosBMF_1!A327="DOL - Dólar comercial","",IF(C323&lt;&gt;"",dadosexternosBMF_1!B327,IF(dadosexternosBMF_1!A327="DI1 - DI de 1 dia",dadosexternosBMF_1!B327,"")))</f>
        <v>#REF!</v>
      </c>
      <c r="D324" s="222" t="e">
        <f>IF(C324&lt;&gt;"",dadosexternosBMF_1!C327,"")</f>
        <v>#REF!</v>
      </c>
      <c r="E324" s="222" t="e">
        <f>IF(C324&lt;&gt;"",dadosexternosBMF_1!D327,"")</f>
        <v>#REF!</v>
      </c>
      <c r="G324" s="219" t="e">
        <f t="shared" si="43"/>
        <v>#REF!</v>
      </c>
      <c r="H324" s="219" t="e">
        <f t="shared" si="44"/>
        <v>#REF!</v>
      </c>
      <c r="I324" s="219" t="e">
        <f t="shared" si="45"/>
        <v>#REF!</v>
      </c>
      <c r="J324" s="219" t="e">
        <f>IF(I324="","",VLOOKUP(LEFT(C324,1),dadosexternosBMF_1!$L$2:$M$13,2,FALSE))</f>
        <v>#REF!</v>
      </c>
      <c r="K324" s="219" t="e">
        <f t="shared" si="46"/>
        <v>#REF!</v>
      </c>
      <c r="L324" s="422" t="e">
        <f t="shared" si="47"/>
        <v>#REF!</v>
      </c>
      <c r="M324" s="422" t="e">
        <f>IF(I324="","",WORKDAY(L324-1,1,FERIADOS!$A$2:$A$831))</f>
        <v>#REF!</v>
      </c>
      <c r="N324" s="219" t="e">
        <f>IF(I324="","",NETWORKDAYS(Curva!$M$2,M324,FERIADOS!$A$2:$A$831)-1)</f>
        <v>#REF!</v>
      </c>
      <c r="O324" s="423" t="e">
        <f>IF(C324&lt;&gt;"",IF(ISERROR((100000/E324)^(252/N324)-1),Curva!$B$2,((100000/E324)^(252/N324)-1)),"")</f>
        <v>#REF!</v>
      </c>
      <c r="P324" s="219" t="e">
        <f>IF(OR(G324=1,G324=2),dadosexternosBMF_1!B327,"")</f>
        <v>#REF!</v>
      </c>
      <c r="Q324" s="219" t="e">
        <f>IF(OR(G324=1,G324=2),dadosexternosBMF_1!D327,"")</f>
        <v>#REF!</v>
      </c>
    </row>
    <row r="325" spans="1:17" x14ac:dyDescent="0.2">
      <c r="A325" s="222" t="e">
        <f t="shared" si="42"/>
        <v>#REF!</v>
      </c>
      <c r="B325" s="222" t="str">
        <f>IF(dadosexternosBMF_1!A328="DI1 - DI de 1 dia","DI1 - DI de 1 dia","")</f>
        <v/>
      </c>
      <c r="C325" s="222" t="e">
        <f>IF(dadosexternosBMF_1!A328="DOL - Dólar comercial","",IF(C324&lt;&gt;"",dadosexternosBMF_1!B328,IF(dadosexternosBMF_1!A328="DI1 - DI de 1 dia",dadosexternosBMF_1!B328,"")))</f>
        <v>#REF!</v>
      </c>
      <c r="D325" s="222" t="e">
        <f>IF(C325&lt;&gt;"",dadosexternosBMF_1!C328,"")</f>
        <v>#REF!</v>
      </c>
      <c r="E325" s="222" t="e">
        <f>IF(C325&lt;&gt;"",dadosexternosBMF_1!D328,"")</f>
        <v>#REF!</v>
      </c>
      <c r="G325" s="219" t="e">
        <f t="shared" si="43"/>
        <v>#REF!</v>
      </c>
      <c r="H325" s="219" t="e">
        <f t="shared" si="44"/>
        <v>#REF!</v>
      </c>
      <c r="I325" s="219" t="e">
        <f t="shared" si="45"/>
        <v>#REF!</v>
      </c>
      <c r="J325" s="219" t="e">
        <f>IF(I325="","",VLOOKUP(LEFT(C325,1),dadosexternosBMF_1!$L$2:$M$13,2,FALSE))</f>
        <v>#REF!</v>
      </c>
      <c r="K325" s="219" t="e">
        <f t="shared" si="46"/>
        <v>#REF!</v>
      </c>
      <c r="L325" s="422" t="e">
        <f t="shared" si="47"/>
        <v>#REF!</v>
      </c>
      <c r="M325" s="422" t="e">
        <f>IF(I325="","",WORKDAY(L325-1,1,FERIADOS!$A$2:$A$831))</f>
        <v>#REF!</v>
      </c>
      <c r="N325" s="219" t="e">
        <f>IF(I325="","",NETWORKDAYS(Curva!$M$2,M325,FERIADOS!$A$2:$A$831)-1)</f>
        <v>#REF!</v>
      </c>
      <c r="O325" s="423" t="e">
        <f>IF(C325&lt;&gt;"",IF(ISERROR((100000/E325)^(252/N325)-1),Curva!$B$2,((100000/E325)^(252/N325)-1)),"")</f>
        <v>#REF!</v>
      </c>
      <c r="P325" s="219" t="e">
        <f>IF(OR(G325=1,G325=2),dadosexternosBMF_1!B328,"")</f>
        <v>#REF!</v>
      </c>
      <c r="Q325" s="219" t="e">
        <f>IF(OR(G325=1,G325=2),dadosexternosBMF_1!D328,"")</f>
        <v>#REF!</v>
      </c>
    </row>
    <row r="326" spans="1:17" x14ac:dyDescent="0.2">
      <c r="A326" s="222" t="e">
        <f t="shared" si="42"/>
        <v>#REF!</v>
      </c>
      <c r="B326" s="222" t="str">
        <f>IF(dadosexternosBMF_1!A329="DI1 - DI de 1 dia","DI1 - DI de 1 dia","")</f>
        <v/>
      </c>
      <c r="C326" s="222" t="e">
        <f>IF(dadosexternosBMF_1!A329="DOL - Dólar comercial","",IF(C325&lt;&gt;"",dadosexternosBMF_1!B329,IF(dadosexternosBMF_1!A329="DI1 - DI de 1 dia",dadosexternosBMF_1!B329,"")))</f>
        <v>#REF!</v>
      </c>
      <c r="D326" s="222" t="e">
        <f>IF(C326&lt;&gt;"",dadosexternosBMF_1!C329,"")</f>
        <v>#REF!</v>
      </c>
      <c r="E326" s="222" t="e">
        <f>IF(C326&lt;&gt;"",dadosexternosBMF_1!D329,"")</f>
        <v>#REF!</v>
      </c>
      <c r="G326" s="219" t="e">
        <f t="shared" si="43"/>
        <v>#REF!</v>
      </c>
      <c r="H326" s="219" t="e">
        <f t="shared" si="44"/>
        <v>#REF!</v>
      </c>
      <c r="I326" s="219" t="e">
        <f t="shared" si="45"/>
        <v>#REF!</v>
      </c>
      <c r="J326" s="219" t="e">
        <f>IF(I326="","",VLOOKUP(LEFT(C326,1),dadosexternosBMF_1!$L$2:$M$13,2,FALSE))</f>
        <v>#REF!</v>
      </c>
      <c r="K326" s="219" t="e">
        <f t="shared" si="46"/>
        <v>#REF!</v>
      </c>
      <c r="L326" s="422" t="e">
        <f t="shared" si="47"/>
        <v>#REF!</v>
      </c>
      <c r="M326" s="422" t="e">
        <f>IF(I326="","",WORKDAY(L326-1,1,FERIADOS!$A$2:$A$831))</f>
        <v>#REF!</v>
      </c>
      <c r="N326" s="219" t="e">
        <f>IF(I326="","",NETWORKDAYS(Curva!$M$2,M326,FERIADOS!$A$2:$A$831)-1)</f>
        <v>#REF!</v>
      </c>
      <c r="O326" s="423" t="e">
        <f>IF(C326&lt;&gt;"",IF(ISERROR((100000/E326)^(252/N326)-1),Curva!$B$2,((100000/E326)^(252/N326)-1)),"")</f>
        <v>#REF!</v>
      </c>
      <c r="P326" s="219" t="e">
        <f>IF(OR(G326=1,G326=2),dadosexternosBMF_1!B329,"")</f>
        <v>#REF!</v>
      </c>
      <c r="Q326" s="219" t="e">
        <f>IF(OR(G326=1,G326=2),dadosexternosBMF_1!D329,"")</f>
        <v>#REF!</v>
      </c>
    </row>
    <row r="327" spans="1:17" x14ac:dyDescent="0.2">
      <c r="A327" s="222" t="e">
        <f t="shared" si="42"/>
        <v>#REF!</v>
      </c>
      <c r="B327" s="222" t="str">
        <f>IF(dadosexternosBMF_1!A330="DI1 - DI de 1 dia","DI1 - DI de 1 dia","")</f>
        <v/>
      </c>
      <c r="C327" s="222" t="e">
        <f>IF(dadosexternosBMF_1!A330="DOL - Dólar comercial","",IF(C326&lt;&gt;"",dadosexternosBMF_1!B330,IF(dadosexternosBMF_1!A330="DI1 - DI de 1 dia",dadosexternosBMF_1!B330,"")))</f>
        <v>#REF!</v>
      </c>
      <c r="D327" s="222" t="e">
        <f>IF(C327&lt;&gt;"",dadosexternosBMF_1!C330,"")</f>
        <v>#REF!</v>
      </c>
      <c r="E327" s="222" t="e">
        <f>IF(C327&lt;&gt;"",dadosexternosBMF_1!D330,"")</f>
        <v>#REF!</v>
      </c>
      <c r="G327" s="219" t="e">
        <f t="shared" si="43"/>
        <v>#REF!</v>
      </c>
      <c r="H327" s="219" t="e">
        <f t="shared" si="44"/>
        <v>#REF!</v>
      </c>
      <c r="I327" s="219" t="e">
        <f t="shared" si="45"/>
        <v>#REF!</v>
      </c>
      <c r="J327" s="219" t="e">
        <f>IF(I327="","",VLOOKUP(LEFT(C327,1),dadosexternosBMF_1!$L$2:$M$13,2,FALSE))</f>
        <v>#REF!</v>
      </c>
      <c r="K327" s="219" t="e">
        <f t="shared" si="46"/>
        <v>#REF!</v>
      </c>
      <c r="L327" s="422" t="e">
        <f t="shared" si="47"/>
        <v>#REF!</v>
      </c>
      <c r="M327" s="422" t="e">
        <f>IF(I327="","",WORKDAY(L327-1,1,FERIADOS!$A$2:$A$831))</f>
        <v>#REF!</v>
      </c>
      <c r="N327" s="219" t="e">
        <f>IF(I327="","",NETWORKDAYS(Curva!$M$2,M327,FERIADOS!$A$2:$A$831)-1)</f>
        <v>#REF!</v>
      </c>
      <c r="O327" s="423" t="e">
        <f>IF(C327&lt;&gt;"",IF(ISERROR((100000/E327)^(252/N327)-1),Curva!$B$2,((100000/E327)^(252/N327)-1)),"")</f>
        <v>#REF!</v>
      </c>
      <c r="P327" s="219" t="e">
        <f>IF(OR(G327=1,G327=2),dadosexternosBMF_1!B330,"")</f>
        <v>#REF!</v>
      </c>
      <c r="Q327" s="219" t="e">
        <f>IF(OR(G327=1,G327=2),dadosexternosBMF_1!D330,"")</f>
        <v>#REF!</v>
      </c>
    </row>
    <row r="328" spans="1:17" x14ac:dyDescent="0.2">
      <c r="A328" s="222" t="e">
        <f t="shared" si="42"/>
        <v>#REF!</v>
      </c>
      <c r="B328" s="222" t="str">
        <f>IF(dadosexternosBMF_1!A331="DI1 - DI de 1 dia","DI1 - DI de 1 dia","")</f>
        <v/>
      </c>
      <c r="C328" s="222" t="e">
        <f>IF(dadosexternosBMF_1!A331="DOL - Dólar comercial","",IF(C327&lt;&gt;"",dadosexternosBMF_1!B331,IF(dadosexternosBMF_1!A331="DI1 - DI de 1 dia",dadosexternosBMF_1!B331,"")))</f>
        <v>#REF!</v>
      </c>
      <c r="D328" s="222" t="e">
        <f>IF(C328&lt;&gt;"",dadosexternosBMF_1!C331,"")</f>
        <v>#REF!</v>
      </c>
      <c r="E328" s="222" t="e">
        <f>IF(C328&lt;&gt;"",dadosexternosBMF_1!D331,"")</f>
        <v>#REF!</v>
      </c>
      <c r="G328" s="219" t="e">
        <f t="shared" si="43"/>
        <v>#REF!</v>
      </c>
      <c r="H328" s="219" t="e">
        <f t="shared" si="44"/>
        <v>#REF!</v>
      </c>
      <c r="I328" s="219" t="e">
        <f t="shared" si="45"/>
        <v>#REF!</v>
      </c>
      <c r="J328" s="219" t="e">
        <f>IF(I328="","",VLOOKUP(LEFT(C328,1),dadosexternosBMF_1!$L$2:$M$13,2,FALSE))</f>
        <v>#REF!</v>
      </c>
      <c r="K328" s="219" t="e">
        <f t="shared" si="46"/>
        <v>#REF!</v>
      </c>
      <c r="L328" s="422" t="e">
        <f t="shared" si="47"/>
        <v>#REF!</v>
      </c>
      <c r="M328" s="422" t="e">
        <f>IF(I328="","",WORKDAY(L328-1,1,FERIADOS!$A$2:$A$831))</f>
        <v>#REF!</v>
      </c>
      <c r="N328" s="219" t="e">
        <f>IF(I328="","",NETWORKDAYS(Curva!$M$2,M328,FERIADOS!$A$2:$A$831)-1)</f>
        <v>#REF!</v>
      </c>
      <c r="O328" s="423" t="e">
        <f>IF(C328&lt;&gt;"",IF(ISERROR((100000/E328)^(252/N328)-1),Curva!$B$2,((100000/E328)^(252/N328)-1)),"")</f>
        <v>#REF!</v>
      </c>
      <c r="P328" s="219" t="e">
        <f>IF(OR(G328=1,G328=2),dadosexternosBMF_1!B331,"")</f>
        <v>#REF!</v>
      </c>
      <c r="Q328" s="219" t="e">
        <f>IF(OR(G328=1,G328=2),dadosexternosBMF_1!D331,"")</f>
        <v>#REF!</v>
      </c>
    </row>
    <row r="329" spans="1:17" x14ac:dyDescent="0.2">
      <c r="A329" s="222" t="e">
        <f t="shared" si="42"/>
        <v>#REF!</v>
      </c>
      <c r="B329" s="222" t="str">
        <f>IF(dadosexternosBMF_1!A332="DI1 - DI de 1 dia","DI1 - DI de 1 dia","")</f>
        <v/>
      </c>
      <c r="C329" s="222" t="e">
        <f>IF(dadosexternosBMF_1!A332="DOL - Dólar comercial","",IF(C328&lt;&gt;"",dadosexternosBMF_1!B332,IF(dadosexternosBMF_1!A332="DI1 - DI de 1 dia",dadosexternosBMF_1!B332,"")))</f>
        <v>#REF!</v>
      </c>
      <c r="D329" s="222" t="e">
        <f>IF(C329&lt;&gt;"",dadosexternosBMF_1!C332,"")</f>
        <v>#REF!</v>
      </c>
      <c r="E329" s="222" t="e">
        <f>IF(C329&lt;&gt;"",dadosexternosBMF_1!D332,"")</f>
        <v>#REF!</v>
      </c>
      <c r="G329" s="219" t="e">
        <f t="shared" si="43"/>
        <v>#REF!</v>
      </c>
      <c r="H329" s="219" t="e">
        <f t="shared" si="44"/>
        <v>#REF!</v>
      </c>
      <c r="I329" s="219" t="e">
        <f t="shared" si="45"/>
        <v>#REF!</v>
      </c>
      <c r="J329" s="219" t="e">
        <f>IF(I329="","",VLOOKUP(LEFT(C329,1),dadosexternosBMF_1!$L$2:$M$13,2,FALSE))</f>
        <v>#REF!</v>
      </c>
      <c r="K329" s="219" t="e">
        <f t="shared" si="46"/>
        <v>#REF!</v>
      </c>
      <c r="L329" s="422" t="e">
        <f t="shared" si="47"/>
        <v>#REF!</v>
      </c>
      <c r="M329" s="422" t="e">
        <f>IF(I329="","",WORKDAY(L329-1,1,FERIADOS!$A$2:$A$831))</f>
        <v>#REF!</v>
      </c>
      <c r="N329" s="219" t="e">
        <f>IF(I329="","",NETWORKDAYS(Curva!$M$2,M329,FERIADOS!$A$2:$A$831)-1)</f>
        <v>#REF!</v>
      </c>
      <c r="O329" s="423" t="e">
        <f>IF(C329&lt;&gt;"",IF(ISERROR((100000/E329)^(252/N329)-1),Curva!$B$2,((100000/E329)^(252/N329)-1)),"")</f>
        <v>#REF!</v>
      </c>
      <c r="P329" s="219" t="e">
        <f>IF(OR(G329=1,G329=2),dadosexternosBMF_1!B332,"")</f>
        <v>#REF!</v>
      </c>
      <c r="Q329" s="219" t="e">
        <f>IF(OR(G329=1,G329=2),dadosexternosBMF_1!D332,"")</f>
        <v>#REF!</v>
      </c>
    </row>
    <row r="330" spans="1:17" x14ac:dyDescent="0.2">
      <c r="A330" s="222" t="e">
        <f t="shared" si="42"/>
        <v>#REF!</v>
      </c>
      <c r="B330" s="222" t="str">
        <f>IF(dadosexternosBMF_1!A333="DI1 - DI de 1 dia","DI1 - DI de 1 dia","")</f>
        <v/>
      </c>
      <c r="C330" s="222" t="e">
        <f>IF(dadosexternosBMF_1!A333="DOL - Dólar comercial","",IF(C329&lt;&gt;"",dadosexternosBMF_1!B333,IF(dadosexternosBMF_1!A333="DI1 - DI de 1 dia",dadosexternosBMF_1!B333,"")))</f>
        <v>#REF!</v>
      </c>
      <c r="D330" s="222" t="e">
        <f>IF(C330&lt;&gt;"",dadosexternosBMF_1!C333,"")</f>
        <v>#REF!</v>
      </c>
      <c r="E330" s="222" t="e">
        <f>IF(C330&lt;&gt;"",dadosexternosBMF_1!D333,"")</f>
        <v>#REF!</v>
      </c>
      <c r="G330" s="219" t="e">
        <f t="shared" si="43"/>
        <v>#REF!</v>
      </c>
      <c r="H330" s="219" t="e">
        <f t="shared" si="44"/>
        <v>#REF!</v>
      </c>
      <c r="I330" s="219" t="e">
        <f t="shared" si="45"/>
        <v>#REF!</v>
      </c>
      <c r="J330" s="219" t="e">
        <f>IF(I330="","",VLOOKUP(LEFT(C330,1),dadosexternosBMF_1!$L$2:$M$13,2,FALSE))</f>
        <v>#REF!</v>
      </c>
      <c r="K330" s="219" t="e">
        <f t="shared" si="46"/>
        <v>#REF!</v>
      </c>
      <c r="L330" s="422" t="e">
        <f t="shared" si="47"/>
        <v>#REF!</v>
      </c>
      <c r="M330" s="422" t="e">
        <f>IF(I330="","",WORKDAY(L330-1,1,FERIADOS!$A$2:$A$831))</f>
        <v>#REF!</v>
      </c>
      <c r="N330" s="219" t="e">
        <f>IF(I330="","",NETWORKDAYS(Curva!$M$2,M330,FERIADOS!$A$2:$A$831)-1)</f>
        <v>#REF!</v>
      </c>
      <c r="O330" s="423" t="e">
        <f>IF(C330&lt;&gt;"",IF(ISERROR((100000/E330)^(252/N330)-1),Curva!$B$2,((100000/E330)^(252/N330)-1)),"")</f>
        <v>#REF!</v>
      </c>
      <c r="P330" s="219" t="e">
        <f>IF(OR(G330=1,G330=2),dadosexternosBMF_1!B333,"")</f>
        <v>#REF!</v>
      </c>
      <c r="Q330" s="219" t="e">
        <f>IF(OR(G330=1,G330=2),dadosexternosBMF_1!D333,"")</f>
        <v>#REF!</v>
      </c>
    </row>
    <row r="331" spans="1:17" x14ac:dyDescent="0.2">
      <c r="A331" s="222" t="e">
        <f t="shared" si="42"/>
        <v>#REF!</v>
      </c>
      <c r="B331" s="222" t="str">
        <f>IF(dadosexternosBMF_1!A334="DI1 - DI de 1 dia","DI1 - DI de 1 dia","")</f>
        <v/>
      </c>
      <c r="C331" s="222" t="e">
        <f>IF(dadosexternosBMF_1!A334="DOL - Dólar comercial","",IF(C330&lt;&gt;"",dadosexternosBMF_1!B334,IF(dadosexternosBMF_1!A334="DI1 - DI de 1 dia",dadosexternosBMF_1!B334,"")))</f>
        <v>#REF!</v>
      </c>
      <c r="D331" s="222" t="e">
        <f>IF(C331&lt;&gt;"",dadosexternosBMF_1!C334,"")</f>
        <v>#REF!</v>
      </c>
      <c r="E331" s="222" t="e">
        <f>IF(C331&lt;&gt;"",dadosexternosBMF_1!D334,"")</f>
        <v>#REF!</v>
      </c>
      <c r="G331" s="219" t="e">
        <f t="shared" si="43"/>
        <v>#REF!</v>
      </c>
      <c r="H331" s="219" t="e">
        <f t="shared" si="44"/>
        <v>#REF!</v>
      </c>
      <c r="I331" s="219" t="e">
        <f t="shared" si="45"/>
        <v>#REF!</v>
      </c>
      <c r="J331" s="219" t="e">
        <f>IF(I331="","",VLOOKUP(LEFT(C331,1),dadosexternosBMF_1!$L$2:$M$13,2,FALSE))</f>
        <v>#REF!</v>
      </c>
      <c r="K331" s="219" t="e">
        <f t="shared" si="46"/>
        <v>#REF!</v>
      </c>
      <c r="L331" s="422" t="e">
        <f t="shared" si="47"/>
        <v>#REF!</v>
      </c>
      <c r="M331" s="422" t="e">
        <f>IF(I331="","",WORKDAY(L331-1,1,FERIADOS!$A$2:$A$831))</f>
        <v>#REF!</v>
      </c>
      <c r="N331" s="219" t="e">
        <f>IF(I331="","",NETWORKDAYS(Curva!$M$2,M331,FERIADOS!$A$2:$A$831)-1)</f>
        <v>#REF!</v>
      </c>
      <c r="O331" s="423" t="e">
        <f>IF(C331&lt;&gt;"",IF(ISERROR((100000/E331)^(252/N331)-1),Curva!$B$2,((100000/E331)^(252/N331)-1)),"")</f>
        <v>#REF!</v>
      </c>
      <c r="P331" s="219" t="e">
        <f>IF(OR(G331=1,G331=2),dadosexternosBMF_1!B334,"")</f>
        <v>#REF!</v>
      </c>
      <c r="Q331" s="219" t="e">
        <f>IF(OR(G331=1,G331=2),dadosexternosBMF_1!D334,"")</f>
        <v>#REF!</v>
      </c>
    </row>
    <row r="332" spans="1:17" x14ac:dyDescent="0.2">
      <c r="A332" s="222" t="e">
        <f t="shared" si="42"/>
        <v>#REF!</v>
      </c>
      <c r="B332" s="222" t="str">
        <f>IF(dadosexternosBMF_1!A335="DI1 - DI de 1 dia","DI1 - DI de 1 dia","")</f>
        <v/>
      </c>
      <c r="C332" s="222" t="e">
        <f>IF(dadosexternosBMF_1!A335="DOL - Dólar comercial","",IF(C331&lt;&gt;"",dadosexternosBMF_1!B335,IF(dadosexternosBMF_1!A335="DI1 - DI de 1 dia",dadosexternosBMF_1!B335,"")))</f>
        <v>#REF!</v>
      </c>
      <c r="D332" s="222" t="e">
        <f>IF(C332&lt;&gt;"",dadosexternosBMF_1!C335,"")</f>
        <v>#REF!</v>
      </c>
      <c r="E332" s="222" t="e">
        <f>IF(C332&lt;&gt;"",dadosexternosBMF_1!D335,"")</f>
        <v>#REF!</v>
      </c>
      <c r="G332" s="219" t="e">
        <f t="shared" si="43"/>
        <v>#REF!</v>
      </c>
      <c r="H332" s="219" t="e">
        <f t="shared" si="44"/>
        <v>#REF!</v>
      </c>
      <c r="I332" s="219" t="e">
        <f t="shared" si="45"/>
        <v>#REF!</v>
      </c>
      <c r="J332" s="219" t="e">
        <f>IF(I332="","",VLOOKUP(LEFT(C332,1),dadosexternosBMF_1!$L$2:$M$13,2,FALSE))</f>
        <v>#REF!</v>
      </c>
      <c r="K332" s="219" t="e">
        <f t="shared" si="46"/>
        <v>#REF!</v>
      </c>
      <c r="L332" s="422" t="e">
        <f t="shared" si="47"/>
        <v>#REF!</v>
      </c>
      <c r="M332" s="422" t="e">
        <f>IF(I332="","",WORKDAY(L332-1,1,FERIADOS!$A$2:$A$831))</f>
        <v>#REF!</v>
      </c>
      <c r="N332" s="219" t="e">
        <f>IF(I332="","",NETWORKDAYS(Curva!$M$2,M332,FERIADOS!$A$2:$A$831)-1)</f>
        <v>#REF!</v>
      </c>
      <c r="O332" s="423" t="e">
        <f>IF(C332&lt;&gt;"",IF(ISERROR((100000/E332)^(252/N332)-1),Curva!$B$2,((100000/E332)^(252/N332)-1)),"")</f>
        <v>#REF!</v>
      </c>
      <c r="P332" s="219" t="e">
        <f>IF(OR(G332=1,G332=2),dadosexternosBMF_1!B335,"")</f>
        <v>#REF!</v>
      </c>
      <c r="Q332" s="219" t="e">
        <f>IF(OR(G332=1,G332=2),dadosexternosBMF_1!D335,"")</f>
        <v>#REF!</v>
      </c>
    </row>
    <row r="333" spans="1:17" x14ac:dyDescent="0.2">
      <c r="A333" s="222" t="e">
        <f t="shared" si="42"/>
        <v>#REF!</v>
      </c>
      <c r="B333" s="222" t="str">
        <f>IF(dadosexternosBMF_1!A336="DI1 - DI de 1 dia","DI1 - DI de 1 dia","")</f>
        <v/>
      </c>
      <c r="C333" s="222" t="e">
        <f>IF(dadosexternosBMF_1!A336="DOL - Dólar comercial","",IF(C332&lt;&gt;"",dadosexternosBMF_1!B336,IF(dadosexternosBMF_1!A336="DI1 - DI de 1 dia",dadosexternosBMF_1!B336,"")))</f>
        <v>#REF!</v>
      </c>
      <c r="D333" s="222" t="e">
        <f>IF(C333&lt;&gt;"",dadosexternosBMF_1!C336,"")</f>
        <v>#REF!</v>
      </c>
      <c r="E333" s="222" t="e">
        <f>IF(C333&lt;&gt;"",dadosexternosBMF_1!D336,"")</f>
        <v>#REF!</v>
      </c>
      <c r="G333" s="219" t="e">
        <f t="shared" si="43"/>
        <v>#REF!</v>
      </c>
      <c r="H333" s="219" t="e">
        <f t="shared" si="44"/>
        <v>#REF!</v>
      </c>
      <c r="I333" s="219" t="e">
        <f t="shared" si="45"/>
        <v>#REF!</v>
      </c>
      <c r="J333" s="219" t="e">
        <f>IF(I333="","",VLOOKUP(LEFT(C333,1),dadosexternosBMF_1!$L$2:$M$13,2,FALSE))</f>
        <v>#REF!</v>
      </c>
      <c r="K333" s="219" t="e">
        <f t="shared" si="46"/>
        <v>#REF!</v>
      </c>
      <c r="L333" s="422" t="e">
        <f t="shared" si="47"/>
        <v>#REF!</v>
      </c>
      <c r="M333" s="422" t="e">
        <f>IF(I333="","",WORKDAY(L333-1,1,FERIADOS!$A$2:$A$831))</f>
        <v>#REF!</v>
      </c>
      <c r="N333" s="219" t="e">
        <f>IF(I333="","",NETWORKDAYS(Curva!$M$2,M333,FERIADOS!$A$2:$A$831)-1)</f>
        <v>#REF!</v>
      </c>
      <c r="O333" s="423" t="e">
        <f>IF(C333&lt;&gt;"",IF(ISERROR((100000/E333)^(252/N333)-1),Curva!$B$2,((100000/E333)^(252/N333)-1)),"")</f>
        <v>#REF!</v>
      </c>
      <c r="P333" s="219" t="e">
        <f>IF(OR(G333=1,G333=2),dadosexternosBMF_1!B336,"")</f>
        <v>#REF!</v>
      </c>
      <c r="Q333" s="219" t="e">
        <f>IF(OR(G333=1,G333=2),dadosexternosBMF_1!D336,"")</f>
        <v>#REF!</v>
      </c>
    </row>
    <row r="334" spans="1:17" x14ac:dyDescent="0.2">
      <c r="A334" s="222" t="e">
        <f t="shared" si="42"/>
        <v>#REF!</v>
      </c>
      <c r="B334" s="222" t="str">
        <f>IF(dadosexternosBMF_1!A337="DI1 - DI de 1 dia","DI1 - DI de 1 dia","")</f>
        <v/>
      </c>
      <c r="C334" s="222" t="e">
        <f>IF(dadosexternosBMF_1!A337="DOL - Dólar comercial","",IF(C333&lt;&gt;"",dadosexternosBMF_1!B337,IF(dadosexternosBMF_1!A337="DI1 - DI de 1 dia",dadosexternosBMF_1!B337,"")))</f>
        <v>#REF!</v>
      </c>
      <c r="D334" s="222" t="e">
        <f>IF(C334&lt;&gt;"",dadosexternosBMF_1!C337,"")</f>
        <v>#REF!</v>
      </c>
      <c r="E334" s="222" t="e">
        <f>IF(C334&lt;&gt;"",dadosexternosBMF_1!D337,"")</f>
        <v>#REF!</v>
      </c>
      <c r="G334" s="219" t="e">
        <f t="shared" si="43"/>
        <v>#REF!</v>
      </c>
      <c r="H334" s="219" t="e">
        <f t="shared" si="44"/>
        <v>#REF!</v>
      </c>
      <c r="I334" s="219" t="e">
        <f t="shared" si="45"/>
        <v>#REF!</v>
      </c>
      <c r="J334" s="219" t="e">
        <f>IF(I334="","",VLOOKUP(LEFT(C334,1),dadosexternosBMF_1!$L$2:$M$13,2,FALSE))</f>
        <v>#REF!</v>
      </c>
      <c r="K334" s="219" t="e">
        <f t="shared" si="46"/>
        <v>#REF!</v>
      </c>
      <c r="L334" s="422" t="e">
        <f t="shared" si="47"/>
        <v>#REF!</v>
      </c>
      <c r="M334" s="422" t="e">
        <f>IF(I334="","",WORKDAY(L334-1,1,FERIADOS!$A$2:$A$831))</f>
        <v>#REF!</v>
      </c>
      <c r="N334" s="219" t="e">
        <f>IF(I334="","",NETWORKDAYS(Curva!$M$2,M334,FERIADOS!$A$2:$A$831)-1)</f>
        <v>#REF!</v>
      </c>
      <c r="O334" s="423" t="e">
        <f>IF(C334&lt;&gt;"",IF(ISERROR((100000/E334)^(252/N334)-1),Curva!$B$2,((100000/E334)^(252/N334)-1)),"")</f>
        <v>#REF!</v>
      </c>
      <c r="P334" s="219" t="e">
        <f>IF(OR(G334=1,G334=2),dadosexternosBMF_1!B337,"")</f>
        <v>#REF!</v>
      </c>
      <c r="Q334" s="219" t="e">
        <f>IF(OR(G334=1,G334=2),dadosexternosBMF_1!D337,"")</f>
        <v>#REF!</v>
      </c>
    </row>
    <row r="335" spans="1:17" x14ac:dyDescent="0.2">
      <c r="A335" s="222" t="e">
        <f t="shared" si="42"/>
        <v>#REF!</v>
      </c>
      <c r="B335" s="222" t="str">
        <f>IF(dadosexternosBMF_1!A338="DI1 - DI de 1 dia","DI1 - DI de 1 dia","")</f>
        <v/>
      </c>
      <c r="C335" s="222" t="e">
        <f>IF(dadosexternosBMF_1!A338="DOL - Dólar comercial","",IF(C334&lt;&gt;"",dadosexternosBMF_1!B338,IF(dadosexternosBMF_1!A338="DI1 - DI de 1 dia",dadosexternosBMF_1!B338,"")))</f>
        <v>#REF!</v>
      </c>
      <c r="D335" s="222" t="e">
        <f>IF(C335&lt;&gt;"",dadosexternosBMF_1!C338,"")</f>
        <v>#REF!</v>
      </c>
      <c r="E335" s="222" t="e">
        <f>IF(C335&lt;&gt;"",dadosexternosBMF_1!D338,"")</f>
        <v>#REF!</v>
      </c>
      <c r="G335" s="219" t="e">
        <f t="shared" si="43"/>
        <v>#REF!</v>
      </c>
      <c r="H335" s="219" t="e">
        <f t="shared" si="44"/>
        <v>#REF!</v>
      </c>
      <c r="I335" s="219" t="e">
        <f t="shared" si="45"/>
        <v>#REF!</v>
      </c>
      <c r="J335" s="219" t="e">
        <f>IF(I335="","",VLOOKUP(LEFT(C335,1),dadosexternosBMF_1!$L$2:$M$13,2,FALSE))</f>
        <v>#REF!</v>
      </c>
      <c r="K335" s="219" t="e">
        <f t="shared" si="46"/>
        <v>#REF!</v>
      </c>
      <c r="L335" s="422" t="e">
        <f t="shared" si="47"/>
        <v>#REF!</v>
      </c>
      <c r="M335" s="422" t="e">
        <f>IF(I335="","",WORKDAY(L335-1,1,FERIADOS!$A$2:$A$831))</f>
        <v>#REF!</v>
      </c>
      <c r="N335" s="219" t="e">
        <f>IF(I335="","",NETWORKDAYS(Curva!$M$2,M335,FERIADOS!$A$2:$A$831)-1)</f>
        <v>#REF!</v>
      </c>
      <c r="O335" s="423" t="e">
        <f>IF(C335&lt;&gt;"",IF(ISERROR((100000/E335)^(252/N335)-1),Curva!$B$2,((100000/E335)^(252/N335)-1)),"")</f>
        <v>#REF!</v>
      </c>
      <c r="P335" s="219" t="e">
        <f>IF(OR(G335=1,G335=2),dadosexternosBMF_1!B338,"")</f>
        <v>#REF!</v>
      </c>
      <c r="Q335" s="219" t="e">
        <f>IF(OR(G335=1,G335=2),dadosexternosBMF_1!D338,"")</f>
        <v>#REF!</v>
      </c>
    </row>
    <row r="336" spans="1:17" x14ac:dyDescent="0.2">
      <c r="A336" s="222" t="e">
        <f t="shared" si="42"/>
        <v>#REF!</v>
      </c>
      <c r="B336" s="222" t="str">
        <f>IF(dadosexternosBMF_1!A339="DI1 - DI de 1 dia","DI1 - DI de 1 dia","")</f>
        <v/>
      </c>
      <c r="C336" s="222" t="e">
        <f>IF(dadosexternosBMF_1!A339="DOL - Dólar comercial","",IF(C335&lt;&gt;"",dadosexternosBMF_1!B339,IF(dadosexternosBMF_1!A339="DI1 - DI de 1 dia",dadosexternosBMF_1!B339,"")))</f>
        <v>#REF!</v>
      </c>
      <c r="D336" s="222" t="e">
        <f>IF(C336&lt;&gt;"",dadosexternosBMF_1!C339,"")</f>
        <v>#REF!</v>
      </c>
      <c r="E336" s="222" t="e">
        <f>IF(C336&lt;&gt;"",dadosexternosBMF_1!D339,"")</f>
        <v>#REF!</v>
      </c>
      <c r="G336" s="219" t="e">
        <f t="shared" si="43"/>
        <v>#REF!</v>
      </c>
      <c r="H336" s="219" t="e">
        <f t="shared" si="44"/>
        <v>#REF!</v>
      </c>
      <c r="I336" s="219" t="e">
        <f t="shared" si="45"/>
        <v>#REF!</v>
      </c>
      <c r="J336" s="219" t="e">
        <f>IF(I336="","",VLOOKUP(LEFT(C336,1),dadosexternosBMF_1!$L$2:$M$13,2,FALSE))</f>
        <v>#REF!</v>
      </c>
      <c r="K336" s="219" t="e">
        <f t="shared" si="46"/>
        <v>#REF!</v>
      </c>
      <c r="L336" s="422" t="e">
        <f t="shared" si="47"/>
        <v>#REF!</v>
      </c>
      <c r="M336" s="422" t="e">
        <f>IF(I336="","",WORKDAY(L336-1,1,FERIADOS!$A$2:$A$831))</f>
        <v>#REF!</v>
      </c>
      <c r="N336" s="219" t="e">
        <f>IF(I336="","",NETWORKDAYS(Curva!$M$2,M336,FERIADOS!$A$2:$A$831)-1)</f>
        <v>#REF!</v>
      </c>
      <c r="O336" s="423" t="e">
        <f>IF(C336&lt;&gt;"",IF(ISERROR((100000/E336)^(252/N336)-1),Curva!$B$2,((100000/E336)^(252/N336)-1)),"")</f>
        <v>#REF!</v>
      </c>
      <c r="P336" s="219" t="e">
        <f>IF(OR(G336=1,G336=2),dadosexternosBMF_1!B339,"")</f>
        <v>#REF!</v>
      </c>
      <c r="Q336" s="219" t="e">
        <f>IF(OR(G336=1,G336=2),dadosexternosBMF_1!D339,"")</f>
        <v>#REF!</v>
      </c>
    </row>
    <row r="337" spans="1:17" x14ac:dyDescent="0.2">
      <c r="A337" s="222" t="e">
        <f t="shared" si="42"/>
        <v>#REF!</v>
      </c>
      <c r="B337" s="222" t="str">
        <f>IF(dadosexternosBMF_1!A340="DI1 - DI de 1 dia","DI1 - DI de 1 dia","")</f>
        <v/>
      </c>
      <c r="C337" s="222" t="e">
        <f>IF(dadosexternosBMF_1!A340="DOL - Dólar comercial","",IF(C336&lt;&gt;"",dadosexternosBMF_1!B340,IF(dadosexternosBMF_1!A340="DI1 - DI de 1 dia",dadosexternosBMF_1!B340,"")))</f>
        <v>#REF!</v>
      </c>
      <c r="D337" s="222" t="e">
        <f>IF(C337&lt;&gt;"",dadosexternosBMF_1!C340,"")</f>
        <v>#REF!</v>
      </c>
      <c r="E337" s="222" t="e">
        <f>IF(C337&lt;&gt;"",dadosexternosBMF_1!D340,"")</f>
        <v>#REF!</v>
      </c>
      <c r="G337" s="219" t="e">
        <f t="shared" si="43"/>
        <v>#REF!</v>
      </c>
      <c r="H337" s="219" t="e">
        <f t="shared" si="44"/>
        <v>#REF!</v>
      </c>
      <c r="I337" s="219" t="e">
        <f t="shared" si="45"/>
        <v>#REF!</v>
      </c>
      <c r="J337" s="219" t="e">
        <f>IF(I337="","",VLOOKUP(LEFT(C337,1),dadosexternosBMF_1!$L$2:$M$13,2,FALSE))</f>
        <v>#REF!</v>
      </c>
      <c r="K337" s="219" t="e">
        <f t="shared" si="46"/>
        <v>#REF!</v>
      </c>
      <c r="L337" s="422" t="e">
        <f t="shared" si="47"/>
        <v>#REF!</v>
      </c>
      <c r="M337" s="422" t="e">
        <f>IF(I337="","",WORKDAY(L337-1,1,FERIADOS!$A$2:$A$831))</f>
        <v>#REF!</v>
      </c>
      <c r="N337" s="219" t="e">
        <f>IF(I337="","",NETWORKDAYS(Curva!$M$2,M337,FERIADOS!$A$2:$A$831)-1)</f>
        <v>#REF!</v>
      </c>
      <c r="O337" s="423" t="e">
        <f>IF(C337&lt;&gt;"",IF(ISERROR((100000/E337)^(252/N337)-1),Curva!$B$2,((100000/E337)^(252/N337)-1)),"")</f>
        <v>#REF!</v>
      </c>
      <c r="P337" s="219" t="e">
        <f>IF(OR(G337=1,G337=2),dadosexternosBMF_1!B340,"")</f>
        <v>#REF!</v>
      </c>
      <c r="Q337" s="219" t="e">
        <f>IF(OR(G337=1,G337=2),dadosexternosBMF_1!D340,"")</f>
        <v>#REF!</v>
      </c>
    </row>
    <row r="338" spans="1:17" x14ac:dyDescent="0.2">
      <c r="A338" s="222" t="e">
        <f t="shared" si="42"/>
        <v>#REF!</v>
      </c>
      <c r="B338" s="222" t="str">
        <f>IF(dadosexternosBMF_1!A341="DI1 - DI de 1 dia","DI1 - DI de 1 dia","")</f>
        <v/>
      </c>
      <c r="C338" s="222" t="e">
        <f>IF(dadosexternosBMF_1!A341="DOL - Dólar comercial","",IF(C337&lt;&gt;"",dadosexternosBMF_1!B341,IF(dadosexternosBMF_1!A341="DI1 - DI de 1 dia",dadosexternosBMF_1!B341,"")))</f>
        <v>#REF!</v>
      </c>
      <c r="D338" s="222" t="e">
        <f>IF(C338&lt;&gt;"",dadosexternosBMF_1!C341,"")</f>
        <v>#REF!</v>
      </c>
      <c r="E338" s="222" t="e">
        <f>IF(C338&lt;&gt;"",dadosexternosBMF_1!D341,"")</f>
        <v>#REF!</v>
      </c>
      <c r="G338" s="219" t="e">
        <f t="shared" si="43"/>
        <v>#REF!</v>
      </c>
      <c r="H338" s="219" t="e">
        <f t="shared" si="44"/>
        <v>#REF!</v>
      </c>
      <c r="I338" s="219" t="e">
        <f t="shared" si="45"/>
        <v>#REF!</v>
      </c>
      <c r="J338" s="219" t="e">
        <f>IF(I338="","",VLOOKUP(LEFT(C338,1),dadosexternosBMF_1!$L$2:$M$13,2,FALSE))</f>
        <v>#REF!</v>
      </c>
      <c r="K338" s="219" t="e">
        <f t="shared" si="46"/>
        <v>#REF!</v>
      </c>
      <c r="L338" s="422" t="e">
        <f t="shared" si="47"/>
        <v>#REF!</v>
      </c>
      <c r="M338" s="422" t="e">
        <f>IF(I338="","",WORKDAY(L338-1,1,FERIADOS!$A$2:$A$831))</f>
        <v>#REF!</v>
      </c>
      <c r="N338" s="219" t="e">
        <f>IF(I338="","",NETWORKDAYS(Curva!$M$2,M338,FERIADOS!$A$2:$A$831)-1)</f>
        <v>#REF!</v>
      </c>
      <c r="O338" s="423" t="e">
        <f>IF(C338&lt;&gt;"",IF(ISERROR((100000/E338)^(252/N338)-1),Curva!$B$2,((100000/E338)^(252/N338)-1)),"")</f>
        <v>#REF!</v>
      </c>
      <c r="P338" s="219" t="e">
        <f>IF(OR(G338=1,G338=2),dadosexternosBMF_1!B341,"")</f>
        <v>#REF!</v>
      </c>
      <c r="Q338" s="219" t="e">
        <f>IF(OR(G338=1,G338=2),dadosexternosBMF_1!D341,"")</f>
        <v>#REF!</v>
      </c>
    </row>
    <row r="339" spans="1:17" x14ac:dyDescent="0.2">
      <c r="A339" s="222" t="e">
        <f t="shared" si="42"/>
        <v>#REF!</v>
      </c>
      <c r="B339" s="222" t="str">
        <f>IF(dadosexternosBMF_1!A342="DI1 - DI de 1 dia","DI1 - DI de 1 dia","")</f>
        <v/>
      </c>
      <c r="C339" s="222" t="e">
        <f>IF(dadosexternosBMF_1!A342="DOL - Dólar comercial","",IF(C338&lt;&gt;"",dadosexternosBMF_1!B342,IF(dadosexternosBMF_1!A342="DI1 - DI de 1 dia",dadosexternosBMF_1!B342,"")))</f>
        <v>#REF!</v>
      </c>
      <c r="D339" s="222" t="e">
        <f>IF(C339&lt;&gt;"",dadosexternosBMF_1!C342,"")</f>
        <v>#REF!</v>
      </c>
      <c r="E339" s="222" t="e">
        <f>IF(C339&lt;&gt;"",dadosexternosBMF_1!D342,"")</f>
        <v>#REF!</v>
      </c>
      <c r="G339" s="219" t="e">
        <f t="shared" si="43"/>
        <v>#REF!</v>
      </c>
      <c r="H339" s="219" t="e">
        <f t="shared" si="44"/>
        <v>#REF!</v>
      </c>
      <c r="I339" s="219" t="e">
        <f t="shared" si="45"/>
        <v>#REF!</v>
      </c>
      <c r="J339" s="219" t="e">
        <f>IF(I339="","",VLOOKUP(LEFT(C339,1),dadosexternosBMF_1!$L$2:$M$13,2,FALSE))</f>
        <v>#REF!</v>
      </c>
      <c r="K339" s="219" t="e">
        <f t="shared" si="46"/>
        <v>#REF!</v>
      </c>
      <c r="L339" s="422" t="e">
        <f t="shared" si="47"/>
        <v>#REF!</v>
      </c>
      <c r="M339" s="422" t="e">
        <f>IF(I339="","",WORKDAY(L339-1,1,FERIADOS!$A$2:$A$831))</f>
        <v>#REF!</v>
      </c>
      <c r="N339" s="219" t="e">
        <f>IF(I339="","",NETWORKDAYS(Curva!$M$2,M339,FERIADOS!$A$2:$A$831)-1)</f>
        <v>#REF!</v>
      </c>
      <c r="O339" s="423" t="e">
        <f>IF(C339&lt;&gt;"",IF(ISERROR((100000/E339)^(252/N339)-1),Curva!$B$2,((100000/E339)^(252/N339)-1)),"")</f>
        <v>#REF!</v>
      </c>
      <c r="P339" s="219" t="e">
        <f>IF(OR(G339=1,G339=2),dadosexternosBMF_1!B342,"")</f>
        <v>#REF!</v>
      </c>
      <c r="Q339" s="219" t="e">
        <f>IF(OR(G339=1,G339=2),dadosexternosBMF_1!D342,"")</f>
        <v>#REF!</v>
      </c>
    </row>
    <row r="340" spans="1:17" x14ac:dyDescent="0.2">
      <c r="A340" s="222" t="e">
        <f t="shared" si="42"/>
        <v>#REF!</v>
      </c>
      <c r="B340" s="222" t="str">
        <f>IF(dadosexternosBMF_1!A343="DI1 - DI de 1 dia","DI1 - DI de 1 dia","")</f>
        <v/>
      </c>
      <c r="C340" s="222" t="e">
        <f>IF(dadosexternosBMF_1!A343="DOL - Dólar comercial","",IF(C339&lt;&gt;"",dadosexternosBMF_1!B343,IF(dadosexternosBMF_1!A343="DI1 - DI de 1 dia",dadosexternosBMF_1!B343,"")))</f>
        <v>#REF!</v>
      </c>
      <c r="D340" s="222" t="e">
        <f>IF(C340&lt;&gt;"",dadosexternosBMF_1!C343,"")</f>
        <v>#REF!</v>
      </c>
      <c r="E340" s="222" t="e">
        <f>IF(C340&lt;&gt;"",dadosexternosBMF_1!D343,"")</f>
        <v>#REF!</v>
      </c>
      <c r="G340" s="219" t="e">
        <f t="shared" si="43"/>
        <v>#REF!</v>
      </c>
      <c r="H340" s="219" t="e">
        <f t="shared" si="44"/>
        <v>#REF!</v>
      </c>
      <c r="I340" s="219" t="e">
        <f t="shared" si="45"/>
        <v>#REF!</v>
      </c>
      <c r="J340" s="219" t="e">
        <f>IF(I340="","",VLOOKUP(LEFT(C340,1),dadosexternosBMF_1!$L$2:$M$13,2,FALSE))</f>
        <v>#REF!</v>
      </c>
      <c r="K340" s="219" t="e">
        <f t="shared" si="46"/>
        <v>#REF!</v>
      </c>
      <c r="L340" s="422" t="e">
        <f t="shared" si="47"/>
        <v>#REF!</v>
      </c>
      <c r="M340" s="422" t="e">
        <f>IF(I340="","",WORKDAY(L340-1,1,FERIADOS!$A$2:$A$831))</f>
        <v>#REF!</v>
      </c>
      <c r="N340" s="219" t="e">
        <f>IF(I340="","",NETWORKDAYS(Curva!$M$2,M340,FERIADOS!$A$2:$A$831)-1)</f>
        <v>#REF!</v>
      </c>
      <c r="O340" s="423" t="e">
        <f>IF(C340&lt;&gt;"",IF(ISERROR((100000/E340)^(252/N340)-1),Curva!$B$2,((100000/E340)^(252/N340)-1)),"")</f>
        <v>#REF!</v>
      </c>
      <c r="P340" s="219" t="e">
        <f>IF(OR(G340=1,G340=2),dadosexternosBMF_1!B343,"")</f>
        <v>#REF!</v>
      </c>
      <c r="Q340" s="219" t="e">
        <f>IF(OR(G340=1,G340=2),dadosexternosBMF_1!D343,"")</f>
        <v>#REF!</v>
      </c>
    </row>
    <row r="341" spans="1:17" x14ac:dyDescent="0.2">
      <c r="A341" s="222" t="e">
        <f t="shared" si="42"/>
        <v>#REF!</v>
      </c>
      <c r="B341" s="222" t="str">
        <f>IF(dadosexternosBMF_1!A344="DI1 - DI de 1 dia","DI1 - DI de 1 dia","")</f>
        <v/>
      </c>
      <c r="C341" s="222" t="e">
        <f>IF(dadosexternosBMF_1!A344="DOL - Dólar comercial","",IF(C340&lt;&gt;"",dadosexternosBMF_1!B344,IF(dadosexternosBMF_1!A344="DI1 - DI de 1 dia",dadosexternosBMF_1!B344,"")))</f>
        <v>#REF!</v>
      </c>
      <c r="D341" s="222" t="e">
        <f>IF(C341&lt;&gt;"",dadosexternosBMF_1!C344,"")</f>
        <v>#REF!</v>
      </c>
      <c r="E341" s="222" t="e">
        <f>IF(C341&lt;&gt;"",dadosexternosBMF_1!D344,"")</f>
        <v>#REF!</v>
      </c>
      <c r="G341" s="219" t="e">
        <f t="shared" si="43"/>
        <v>#REF!</v>
      </c>
      <c r="H341" s="219" t="e">
        <f t="shared" si="44"/>
        <v>#REF!</v>
      </c>
      <c r="I341" s="219" t="e">
        <f t="shared" si="45"/>
        <v>#REF!</v>
      </c>
      <c r="J341" s="219" t="e">
        <f>IF(I341="","",VLOOKUP(LEFT(C341,1),dadosexternosBMF_1!$L$2:$M$13,2,FALSE))</f>
        <v>#REF!</v>
      </c>
      <c r="K341" s="219" t="e">
        <f t="shared" si="46"/>
        <v>#REF!</v>
      </c>
      <c r="L341" s="422" t="e">
        <f t="shared" si="47"/>
        <v>#REF!</v>
      </c>
      <c r="M341" s="422" t="e">
        <f>IF(I341="","",WORKDAY(L341-1,1,FERIADOS!$A$2:$A$831))</f>
        <v>#REF!</v>
      </c>
      <c r="N341" s="219" t="e">
        <f>IF(I341="","",NETWORKDAYS(Curva!$M$2,M341,FERIADOS!$A$2:$A$831)-1)</f>
        <v>#REF!</v>
      </c>
      <c r="O341" s="423" t="e">
        <f>IF(C341&lt;&gt;"",IF(ISERROR((100000/E341)^(252/N341)-1),Curva!$B$2,((100000/E341)^(252/N341)-1)),"")</f>
        <v>#REF!</v>
      </c>
      <c r="P341" s="219" t="e">
        <f>IF(OR(G341=1,G341=2),dadosexternosBMF_1!B344,"")</f>
        <v>#REF!</v>
      </c>
      <c r="Q341" s="219" t="e">
        <f>IF(OR(G341=1,G341=2),dadosexternosBMF_1!D344,"")</f>
        <v>#REF!</v>
      </c>
    </row>
    <row r="342" spans="1:17" x14ac:dyDescent="0.2">
      <c r="A342" s="222" t="e">
        <f t="shared" si="42"/>
        <v>#REF!</v>
      </c>
      <c r="B342" s="222" t="str">
        <f>IF(dadosexternosBMF_1!A345="DI1 - DI de 1 dia","DI1 - DI de 1 dia","")</f>
        <v/>
      </c>
      <c r="C342" s="222" t="e">
        <f>IF(dadosexternosBMF_1!A345="DOL - Dólar comercial","",IF(C341&lt;&gt;"",dadosexternosBMF_1!B345,IF(dadosexternosBMF_1!A345="DI1 - DI de 1 dia",dadosexternosBMF_1!B345,"")))</f>
        <v>#REF!</v>
      </c>
      <c r="D342" s="222" t="e">
        <f>IF(C342&lt;&gt;"",dadosexternosBMF_1!C345,"")</f>
        <v>#REF!</v>
      </c>
      <c r="E342" s="222" t="e">
        <f>IF(C342&lt;&gt;"",dadosexternosBMF_1!D345,"")</f>
        <v>#REF!</v>
      </c>
      <c r="G342" s="219" t="e">
        <f t="shared" si="43"/>
        <v>#REF!</v>
      </c>
      <c r="H342" s="219" t="e">
        <f t="shared" si="44"/>
        <v>#REF!</v>
      </c>
      <c r="I342" s="219" t="e">
        <f t="shared" si="45"/>
        <v>#REF!</v>
      </c>
      <c r="J342" s="219" t="e">
        <f>IF(I342="","",VLOOKUP(LEFT(C342,1),dadosexternosBMF_1!$L$2:$M$13,2,FALSE))</f>
        <v>#REF!</v>
      </c>
      <c r="K342" s="219" t="e">
        <f t="shared" si="46"/>
        <v>#REF!</v>
      </c>
      <c r="L342" s="422" t="e">
        <f t="shared" si="47"/>
        <v>#REF!</v>
      </c>
      <c r="M342" s="422" t="e">
        <f>IF(I342="","",WORKDAY(L342-1,1,FERIADOS!$A$2:$A$831))</f>
        <v>#REF!</v>
      </c>
      <c r="N342" s="219" t="e">
        <f>IF(I342="","",NETWORKDAYS(Curva!$M$2,M342,FERIADOS!$A$2:$A$831)-1)</f>
        <v>#REF!</v>
      </c>
      <c r="O342" s="423" t="e">
        <f>IF(C342&lt;&gt;"",IF(ISERROR((100000/E342)^(252/N342)-1),Curva!$B$2,((100000/E342)^(252/N342)-1)),"")</f>
        <v>#REF!</v>
      </c>
      <c r="P342" s="219" t="e">
        <f>IF(OR(G342=1,G342=2),dadosexternosBMF_1!B345,"")</f>
        <v>#REF!</v>
      </c>
      <c r="Q342" s="219" t="e">
        <f>IF(OR(G342=1,G342=2),dadosexternosBMF_1!D345,"")</f>
        <v>#REF!</v>
      </c>
    </row>
    <row r="343" spans="1:17" x14ac:dyDescent="0.2">
      <c r="A343" s="222" t="e">
        <f t="shared" si="42"/>
        <v>#REF!</v>
      </c>
      <c r="B343" s="222" t="str">
        <f>IF(dadosexternosBMF_1!A346="DI1 - DI de 1 dia","DI1 - DI de 1 dia","")</f>
        <v/>
      </c>
      <c r="C343" s="222" t="e">
        <f>IF(dadosexternosBMF_1!A346="DOL - Dólar comercial","",IF(C342&lt;&gt;"",dadosexternosBMF_1!B346,IF(dadosexternosBMF_1!A346="DI1 - DI de 1 dia",dadosexternosBMF_1!B346,"")))</f>
        <v>#REF!</v>
      </c>
      <c r="D343" s="222" t="e">
        <f>IF(C343&lt;&gt;"",dadosexternosBMF_1!C346,"")</f>
        <v>#REF!</v>
      </c>
      <c r="E343" s="222" t="e">
        <f>IF(C343&lt;&gt;"",dadosexternosBMF_1!D346,"")</f>
        <v>#REF!</v>
      </c>
      <c r="G343" s="219" t="e">
        <f t="shared" si="43"/>
        <v>#REF!</v>
      </c>
      <c r="H343" s="219" t="e">
        <f t="shared" si="44"/>
        <v>#REF!</v>
      </c>
      <c r="I343" s="219" t="e">
        <f t="shared" si="45"/>
        <v>#REF!</v>
      </c>
      <c r="J343" s="219" t="e">
        <f>IF(I343="","",VLOOKUP(LEFT(C343,1),dadosexternosBMF_1!$L$2:$M$13,2,FALSE))</f>
        <v>#REF!</v>
      </c>
      <c r="K343" s="219" t="e">
        <f t="shared" si="46"/>
        <v>#REF!</v>
      </c>
      <c r="L343" s="422" t="e">
        <f t="shared" si="47"/>
        <v>#REF!</v>
      </c>
      <c r="M343" s="422" t="e">
        <f>IF(I343="","",WORKDAY(L343-1,1,FERIADOS!$A$2:$A$831))</f>
        <v>#REF!</v>
      </c>
      <c r="N343" s="219" t="e">
        <f>IF(I343="","",NETWORKDAYS(Curva!$M$2,M343,FERIADOS!$A$2:$A$831)-1)</f>
        <v>#REF!</v>
      </c>
      <c r="O343" s="423" t="e">
        <f>IF(C343&lt;&gt;"",IF(ISERROR((100000/E343)^(252/N343)-1),Curva!$B$2,((100000/E343)^(252/N343)-1)),"")</f>
        <v>#REF!</v>
      </c>
      <c r="P343" s="219" t="e">
        <f>IF(OR(G343=1,G343=2),dadosexternosBMF_1!B346,"")</f>
        <v>#REF!</v>
      </c>
      <c r="Q343" s="219" t="e">
        <f>IF(OR(G343=1,G343=2),dadosexternosBMF_1!D346,"")</f>
        <v>#REF!</v>
      </c>
    </row>
    <row r="344" spans="1:17" x14ac:dyDescent="0.2">
      <c r="A344" s="222" t="e">
        <f t="shared" si="42"/>
        <v>#REF!</v>
      </c>
      <c r="B344" s="222" t="str">
        <f>IF(dadosexternosBMF_1!A347="DI1 - DI de 1 dia","DI1 - DI de 1 dia","")</f>
        <v/>
      </c>
      <c r="C344" s="222" t="e">
        <f>IF(dadosexternosBMF_1!A347="DOL - Dólar comercial","",IF(C343&lt;&gt;"",dadosexternosBMF_1!B347,IF(dadosexternosBMF_1!A347="DI1 - DI de 1 dia",dadosexternosBMF_1!B347,"")))</f>
        <v>#REF!</v>
      </c>
      <c r="D344" s="222" t="e">
        <f>IF(C344&lt;&gt;"",dadosexternosBMF_1!C347,"")</f>
        <v>#REF!</v>
      </c>
      <c r="E344" s="222" t="e">
        <f>IF(C344&lt;&gt;"",dadosexternosBMF_1!D347,"")</f>
        <v>#REF!</v>
      </c>
      <c r="G344" s="219" t="e">
        <f t="shared" si="43"/>
        <v>#REF!</v>
      </c>
      <c r="H344" s="219" t="e">
        <f t="shared" si="44"/>
        <v>#REF!</v>
      </c>
      <c r="I344" s="219" t="e">
        <f t="shared" si="45"/>
        <v>#REF!</v>
      </c>
      <c r="J344" s="219" t="e">
        <f>IF(I344="","",VLOOKUP(LEFT(C344,1),dadosexternosBMF_1!$L$2:$M$13,2,FALSE))</f>
        <v>#REF!</v>
      </c>
      <c r="K344" s="219" t="e">
        <f t="shared" si="46"/>
        <v>#REF!</v>
      </c>
      <c r="L344" s="422" t="e">
        <f t="shared" si="47"/>
        <v>#REF!</v>
      </c>
      <c r="M344" s="422" t="e">
        <f>IF(I344="","",WORKDAY(L344-1,1,FERIADOS!$A$2:$A$831))</f>
        <v>#REF!</v>
      </c>
      <c r="N344" s="219" t="e">
        <f>IF(I344="","",NETWORKDAYS(Curva!$M$2,M344,FERIADOS!$A$2:$A$831)-1)</f>
        <v>#REF!</v>
      </c>
      <c r="O344" s="423" t="e">
        <f>IF(C344&lt;&gt;"",IF(ISERROR((100000/E344)^(252/N344)-1),Curva!$B$2,((100000/E344)^(252/N344)-1)),"")</f>
        <v>#REF!</v>
      </c>
      <c r="P344" s="219" t="e">
        <f>IF(OR(G344=1,G344=2),dadosexternosBMF_1!B347,"")</f>
        <v>#REF!</v>
      </c>
      <c r="Q344" s="219" t="e">
        <f>IF(OR(G344=1,G344=2),dadosexternosBMF_1!D347,"")</f>
        <v>#REF!</v>
      </c>
    </row>
    <row r="345" spans="1:17" x14ac:dyDescent="0.2">
      <c r="A345" s="222" t="e">
        <f t="shared" si="42"/>
        <v>#REF!</v>
      </c>
      <c r="B345" s="222" t="str">
        <f>IF(dadosexternosBMF_1!A348="DI1 - DI de 1 dia","DI1 - DI de 1 dia","")</f>
        <v/>
      </c>
      <c r="C345" s="222" t="e">
        <f>IF(dadosexternosBMF_1!A348="DOL - Dólar comercial","",IF(C344&lt;&gt;"",dadosexternosBMF_1!B348,IF(dadosexternosBMF_1!A348="DI1 - DI de 1 dia",dadosexternosBMF_1!B348,"")))</f>
        <v>#REF!</v>
      </c>
      <c r="D345" s="222" t="e">
        <f>IF(C345&lt;&gt;"",dadosexternosBMF_1!C348,"")</f>
        <v>#REF!</v>
      </c>
      <c r="E345" s="222" t="e">
        <f>IF(C345&lt;&gt;"",dadosexternosBMF_1!D348,"")</f>
        <v>#REF!</v>
      </c>
      <c r="G345" s="219" t="e">
        <f t="shared" si="43"/>
        <v>#REF!</v>
      </c>
      <c r="H345" s="219" t="e">
        <f t="shared" si="44"/>
        <v>#REF!</v>
      </c>
      <c r="I345" s="219" t="e">
        <f t="shared" si="45"/>
        <v>#REF!</v>
      </c>
      <c r="J345" s="219" t="e">
        <f>IF(I345="","",VLOOKUP(LEFT(C345,1),dadosexternosBMF_1!$L$2:$M$13,2,FALSE))</f>
        <v>#REF!</v>
      </c>
      <c r="K345" s="219" t="e">
        <f t="shared" si="46"/>
        <v>#REF!</v>
      </c>
      <c r="L345" s="422" t="e">
        <f t="shared" si="47"/>
        <v>#REF!</v>
      </c>
      <c r="M345" s="422" t="e">
        <f>IF(I345="","",WORKDAY(L345-1,1,FERIADOS!$A$2:$A$831))</f>
        <v>#REF!</v>
      </c>
      <c r="N345" s="219" t="e">
        <f>IF(I345="","",NETWORKDAYS(Curva!$M$2,M345,FERIADOS!$A$2:$A$831)-1)</f>
        <v>#REF!</v>
      </c>
      <c r="O345" s="423" t="e">
        <f>IF(C345&lt;&gt;"",IF(ISERROR((100000/E345)^(252/N345)-1),Curva!$B$2,((100000/E345)^(252/N345)-1)),"")</f>
        <v>#REF!</v>
      </c>
      <c r="P345" s="219" t="e">
        <f>IF(OR(G345=1,G345=2),dadosexternosBMF_1!B348,"")</f>
        <v>#REF!</v>
      </c>
      <c r="Q345" s="219" t="e">
        <f>IF(OR(G345=1,G345=2),dadosexternosBMF_1!D348,"")</f>
        <v>#REF!</v>
      </c>
    </row>
    <row r="346" spans="1:17" x14ac:dyDescent="0.2">
      <c r="A346" s="222" t="e">
        <f t="shared" si="42"/>
        <v>#REF!</v>
      </c>
      <c r="B346" s="222" t="str">
        <f>IF(dadosexternosBMF_1!A349="DI1 - DI de 1 dia","DI1 - DI de 1 dia","")</f>
        <v/>
      </c>
      <c r="C346" s="222" t="e">
        <f>IF(dadosexternosBMF_1!A349="DOL - Dólar comercial","",IF(C345&lt;&gt;"",dadosexternosBMF_1!B349,IF(dadosexternosBMF_1!A349="DI1 - DI de 1 dia",dadosexternosBMF_1!B349,"")))</f>
        <v>#REF!</v>
      </c>
      <c r="D346" s="222" t="e">
        <f>IF(C346&lt;&gt;"",dadosexternosBMF_1!C349,"")</f>
        <v>#REF!</v>
      </c>
      <c r="E346" s="222" t="e">
        <f>IF(C346&lt;&gt;"",dadosexternosBMF_1!D349,"")</f>
        <v>#REF!</v>
      </c>
      <c r="G346" s="219" t="e">
        <f t="shared" si="43"/>
        <v>#REF!</v>
      </c>
      <c r="H346" s="219" t="e">
        <f t="shared" si="44"/>
        <v>#REF!</v>
      </c>
      <c r="I346" s="219" t="e">
        <f t="shared" si="45"/>
        <v>#REF!</v>
      </c>
      <c r="J346" s="219" t="e">
        <f>IF(I346="","",VLOOKUP(LEFT(C346,1),dadosexternosBMF_1!$L$2:$M$13,2,FALSE))</f>
        <v>#REF!</v>
      </c>
      <c r="K346" s="219" t="e">
        <f t="shared" si="46"/>
        <v>#REF!</v>
      </c>
      <c r="L346" s="422" t="e">
        <f t="shared" si="47"/>
        <v>#REF!</v>
      </c>
      <c r="M346" s="422" t="e">
        <f>IF(I346="","",WORKDAY(L346-1,1,FERIADOS!$A$2:$A$831))</f>
        <v>#REF!</v>
      </c>
      <c r="N346" s="219" t="e">
        <f>IF(I346="","",NETWORKDAYS(Curva!$M$2,M346,FERIADOS!$A$2:$A$831)-1)</f>
        <v>#REF!</v>
      </c>
      <c r="O346" s="423" t="e">
        <f>IF(C346&lt;&gt;"",IF(ISERROR((100000/E346)^(252/N346)-1),Curva!$B$2,((100000/E346)^(252/N346)-1)),"")</f>
        <v>#REF!</v>
      </c>
      <c r="P346" s="219" t="e">
        <f>IF(OR(G346=1,G346=2),dadosexternosBMF_1!B349,"")</f>
        <v>#REF!</v>
      </c>
      <c r="Q346" s="219" t="e">
        <f>IF(OR(G346=1,G346=2),dadosexternosBMF_1!D349,"")</f>
        <v>#REF!</v>
      </c>
    </row>
    <row r="347" spans="1:17" x14ac:dyDescent="0.2">
      <c r="A347" s="222" t="e">
        <f t="shared" ref="A347:A410" si="48">IF(AND(A346&lt;&gt;"",C347&lt;&gt;""),A346+1,IF(B347="DI1 - DI de 1 dia",1,""))</f>
        <v>#REF!</v>
      </c>
      <c r="B347" s="222" t="str">
        <f>IF(dadosexternosBMF_1!A350="DI1 - DI de 1 dia","DI1 - DI de 1 dia","")</f>
        <v/>
      </c>
      <c r="C347" s="222" t="e">
        <f>IF(dadosexternosBMF_1!A350="DOL - Dólar comercial","",IF(C346&lt;&gt;"",dadosexternosBMF_1!B350,IF(dadosexternosBMF_1!A350="DI1 - DI de 1 dia",dadosexternosBMF_1!B350,"")))</f>
        <v>#REF!</v>
      </c>
      <c r="D347" s="222" t="e">
        <f>IF(C347&lt;&gt;"",dadosexternosBMF_1!C350,"")</f>
        <v>#REF!</v>
      </c>
      <c r="E347" s="222" t="e">
        <f>IF(C347&lt;&gt;"",dadosexternosBMF_1!D350,"")</f>
        <v>#REF!</v>
      </c>
      <c r="G347" s="219" t="e">
        <f t="shared" ref="G347:G410" si="49">IF(G346=1,2,IF(AND(H347="",H346&lt;&gt;""),1,""))</f>
        <v>#REF!</v>
      </c>
      <c r="H347" s="219" t="e">
        <f t="shared" ref="H347:H410" si="50">IF(A347&lt;&gt;"",A347,"")</f>
        <v>#REF!</v>
      </c>
      <c r="I347" s="219" t="e">
        <f t="shared" ref="I347:I410" si="51">IF(A347&lt;&gt;"",(CONCATENATE("DI1",C347)),"")</f>
        <v>#REF!</v>
      </c>
      <c r="J347" s="219" t="e">
        <f>IF(I347="","",VLOOKUP(LEFT(C347,1),dadosexternosBMF_1!$L$2:$M$13,2,FALSE))</f>
        <v>#REF!</v>
      </c>
      <c r="K347" s="219" t="e">
        <f t="shared" ref="K347:K410" si="52">IF(I347="","",1+CONCATENATE(20,RIGHT(C347,2))-1)</f>
        <v>#REF!</v>
      </c>
      <c r="L347" s="422" t="e">
        <f t="shared" ref="L347:L410" si="53">IF(I347="","",CONCATENATE(1,"/",J347,"/",K347)+1-1)</f>
        <v>#REF!</v>
      </c>
      <c r="M347" s="422" t="e">
        <f>IF(I347="","",WORKDAY(L347-1,1,FERIADOS!$A$2:$A$831))</f>
        <v>#REF!</v>
      </c>
      <c r="N347" s="219" t="e">
        <f>IF(I347="","",NETWORKDAYS(Curva!$M$2,M347,FERIADOS!$A$2:$A$831)-1)</f>
        <v>#REF!</v>
      </c>
      <c r="O347" s="423" t="e">
        <f>IF(C347&lt;&gt;"",IF(ISERROR((100000/E347)^(252/N347)-1),Curva!$B$2,((100000/E347)^(252/N347)-1)),"")</f>
        <v>#REF!</v>
      </c>
      <c r="P347" s="219" t="e">
        <f>IF(OR(G347=1,G347=2),dadosexternosBMF_1!B350,"")</f>
        <v>#REF!</v>
      </c>
      <c r="Q347" s="219" t="e">
        <f>IF(OR(G347=1,G347=2),dadosexternosBMF_1!D350,"")</f>
        <v>#REF!</v>
      </c>
    </row>
    <row r="348" spans="1:17" x14ac:dyDescent="0.2">
      <c r="A348" s="222" t="e">
        <f t="shared" si="48"/>
        <v>#REF!</v>
      </c>
      <c r="B348" s="222" t="str">
        <f>IF(dadosexternosBMF_1!A351="DI1 - DI de 1 dia","DI1 - DI de 1 dia","")</f>
        <v/>
      </c>
      <c r="C348" s="222" t="e">
        <f>IF(dadosexternosBMF_1!A351="DOL - Dólar comercial","",IF(C347&lt;&gt;"",dadosexternosBMF_1!B351,IF(dadosexternosBMF_1!A351="DI1 - DI de 1 dia",dadosexternosBMF_1!B351,"")))</f>
        <v>#REF!</v>
      </c>
      <c r="D348" s="222" t="e">
        <f>IF(C348&lt;&gt;"",dadosexternosBMF_1!C351,"")</f>
        <v>#REF!</v>
      </c>
      <c r="E348" s="222" t="e">
        <f>IF(C348&lt;&gt;"",dadosexternosBMF_1!D351,"")</f>
        <v>#REF!</v>
      </c>
      <c r="G348" s="219" t="e">
        <f t="shared" si="49"/>
        <v>#REF!</v>
      </c>
      <c r="H348" s="219" t="e">
        <f t="shared" si="50"/>
        <v>#REF!</v>
      </c>
      <c r="I348" s="219" t="e">
        <f t="shared" si="51"/>
        <v>#REF!</v>
      </c>
      <c r="J348" s="219" t="e">
        <f>IF(I348="","",VLOOKUP(LEFT(C348,1),dadosexternosBMF_1!$L$2:$M$13,2,FALSE))</f>
        <v>#REF!</v>
      </c>
      <c r="K348" s="219" t="e">
        <f t="shared" si="52"/>
        <v>#REF!</v>
      </c>
      <c r="L348" s="422" t="e">
        <f t="shared" si="53"/>
        <v>#REF!</v>
      </c>
      <c r="M348" s="422" t="e">
        <f>IF(I348="","",WORKDAY(L348-1,1,FERIADOS!$A$2:$A$831))</f>
        <v>#REF!</v>
      </c>
      <c r="N348" s="219" t="e">
        <f>IF(I348="","",NETWORKDAYS(Curva!$M$2,M348,FERIADOS!$A$2:$A$831)-1)</f>
        <v>#REF!</v>
      </c>
      <c r="O348" s="423" t="e">
        <f>IF(C348&lt;&gt;"",IF(ISERROR((100000/E348)^(252/N348)-1),Curva!$B$2,((100000/E348)^(252/N348)-1)),"")</f>
        <v>#REF!</v>
      </c>
      <c r="P348" s="219" t="e">
        <f>IF(OR(G348=1,G348=2),dadosexternosBMF_1!B351,"")</f>
        <v>#REF!</v>
      </c>
      <c r="Q348" s="219" t="e">
        <f>IF(OR(G348=1,G348=2),dadosexternosBMF_1!D351,"")</f>
        <v>#REF!</v>
      </c>
    </row>
    <row r="349" spans="1:17" x14ac:dyDescent="0.2">
      <c r="A349" s="222" t="e">
        <f t="shared" si="48"/>
        <v>#REF!</v>
      </c>
      <c r="B349" s="222" t="str">
        <f>IF(dadosexternosBMF_1!A352="DI1 - DI de 1 dia","DI1 - DI de 1 dia","")</f>
        <v/>
      </c>
      <c r="C349" s="222" t="e">
        <f>IF(dadosexternosBMF_1!A352="DOL - Dólar comercial","",IF(C348&lt;&gt;"",dadosexternosBMF_1!B352,IF(dadosexternosBMF_1!A352="DI1 - DI de 1 dia",dadosexternosBMF_1!B352,"")))</f>
        <v>#REF!</v>
      </c>
      <c r="D349" s="222" t="e">
        <f>IF(C349&lt;&gt;"",dadosexternosBMF_1!C352,"")</f>
        <v>#REF!</v>
      </c>
      <c r="E349" s="222" t="e">
        <f>IF(C349&lt;&gt;"",dadosexternosBMF_1!D352,"")</f>
        <v>#REF!</v>
      </c>
      <c r="G349" s="219" t="e">
        <f t="shared" si="49"/>
        <v>#REF!</v>
      </c>
      <c r="H349" s="219" t="e">
        <f t="shared" si="50"/>
        <v>#REF!</v>
      </c>
      <c r="I349" s="219" t="e">
        <f t="shared" si="51"/>
        <v>#REF!</v>
      </c>
      <c r="J349" s="219" t="e">
        <f>IF(I349="","",VLOOKUP(LEFT(C349,1),dadosexternosBMF_1!$L$2:$M$13,2,FALSE))</f>
        <v>#REF!</v>
      </c>
      <c r="K349" s="219" t="e">
        <f t="shared" si="52"/>
        <v>#REF!</v>
      </c>
      <c r="L349" s="422" t="e">
        <f t="shared" si="53"/>
        <v>#REF!</v>
      </c>
      <c r="M349" s="422" t="e">
        <f>IF(I349="","",WORKDAY(L349-1,1,FERIADOS!$A$2:$A$831))</f>
        <v>#REF!</v>
      </c>
      <c r="N349" s="219" t="e">
        <f>IF(I349="","",NETWORKDAYS(Curva!$M$2,M349,FERIADOS!$A$2:$A$831)-1)</f>
        <v>#REF!</v>
      </c>
      <c r="O349" s="423" t="e">
        <f>IF(C349&lt;&gt;"",IF(ISERROR((100000/E349)^(252/N349)-1),Curva!$B$2,((100000/E349)^(252/N349)-1)),"")</f>
        <v>#REF!</v>
      </c>
      <c r="P349" s="219" t="e">
        <f>IF(OR(G349=1,G349=2),dadosexternosBMF_1!B352,"")</f>
        <v>#REF!</v>
      </c>
      <c r="Q349" s="219" t="e">
        <f>IF(OR(G349=1,G349=2),dadosexternosBMF_1!D352,"")</f>
        <v>#REF!</v>
      </c>
    </row>
    <row r="350" spans="1:17" x14ac:dyDescent="0.2">
      <c r="A350" s="222" t="e">
        <f t="shared" si="48"/>
        <v>#REF!</v>
      </c>
      <c r="B350" s="222" t="str">
        <f>IF(dadosexternosBMF_1!A353="DI1 - DI de 1 dia","DI1 - DI de 1 dia","")</f>
        <v/>
      </c>
      <c r="C350" s="222" t="e">
        <f>IF(dadosexternosBMF_1!A353="DOL - Dólar comercial","",IF(C349&lt;&gt;"",dadosexternosBMF_1!B353,IF(dadosexternosBMF_1!A353="DI1 - DI de 1 dia",dadosexternosBMF_1!B353,"")))</f>
        <v>#REF!</v>
      </c>
      <c r="D350" s="222" t="e">
        <f>IF(C350&lt;&gt;"",dadosexternosBMF_1!C353,"")</f>
        <v>#REF!</v>
      </c>
      <c r="E350" s="222" t="e">
        <f>IF(C350&lt;&gt;"",dadosexternosBMF_1!D353,"")</f>
        <v>#REF!</v>
      </c>
      <c r="G350" s="219" t="e">
        <f t="shared" si="49"/>
        <v>#REF!</v>
      </c>
      <c r="H350" s="219" t="e">
        <f t="shared" si="50"/>
        <v>#REF!</v>
      </c>
      <c r="I350" s="219" t="e">
        <f t="shared" si="51"/>
        <v>#REF!</v>
      </c>
      <c r="J350" s="219" t="e">
        <f>IF(I350="","",VLOOKUP(LEFT(C350,1),dadosexternosBMF_1!$L$2:$M$13,2,FALSE))</f>
        <v>#REF!</v>
      </c>
      <c r="K350" s="219" t="e">
        <f t="shared" si="52"/>
        <v>#REF!</v>
      </c>
      <c r="L350" s="422" t="e">
        <f t="shared" si="53"/>
        <v>#REF!</v>
      </c>
      <c r="M350" s="422" t="e">
        <f>IF(I350="","",WORKDAY(L350-1,1,FERIADOS!$A$2:$A$831))</f>
        <v>#REF!</v>
      </c>
      <c r="N350" s="219" t="e">
        <f>IF(I350="","",NETWORKDAYS(Curva!$M$2,M350,FERIADOS!$A$2:$A$831)-1)</f>
        <v>#REF!</v>
      </c>
      <c r="O350" s="423" t="e">
        <f>IF(C350&lt;&gt;"",IF(ISERROR((100000/E350)^(252/N350)-1),Curva!$B$2,((100000/E350)^(252/N350)-1)),"")</f>
        <v>#REF!</v>
      </c>
      <c r="P350" s="219" t="e">
        <f>IF(OR(G350=1,G350=2),dadosexternosBMF_1!B353,"")</f>
        <v>#REF!</v>
      </c>
      <c r="Q350" s="219" t="e">
        <f>IF(OR(G350=1,G350=2),dadosexternosBMF_1!D353,"")</f>
        <v>#REF!</v>
      </c>
    </row>
    <row r="351" spans="1:17" x14ac:dyDescent="0.2">
      <c r="A351" s="222" t="e">
        <f t="shared" si="48"/>
        <v>#REF!</v>
      </c>
      <c r="B351" s="222" t="str">
        <f>IF(dadosexternosBMF_1!A354="DI1 - DI de 1 dia","DI1 - DI de 1 dia","")</f>
        <v/>
      </c>
      <c r="C351" s="222" t="e">
        <f>IF(dadosexternosBMF_1!A354="DOL - Dólar comercial","",IF(C350&lt;&gt;"",dadosexternosBMF_1!B354,IF(dadosexternosBMF_1!A354="DI1 - DI de 1 dia",dadosexternosBMF_1!B354,"")))</f>
        <v>#REF!</v>
      </c>
      <c r="D351" s="222" t="e">
        <f>IF(C351&lt;&gt;"",dadosexternosBMF_1!C354,"")</f>
        <v>#REF!</v>
      </c>
      <c r="E351" s="222" t="e">
        <f>IF(C351&lt;&gt;"",dadosexternosBMF_1!D354,"")</f>
        <v>#REF!</v>
      </c>
      <c r="G351" s="219" t="e">
        <f t="shared" si="49"/>
        <v>#REF!</v>
      </c>
      <c r="H351" s="219" t="e">
        <f t="shared" si="50"/>
        <v>#REF!</v>
      </c>
      <c r="I351" s="219" t="e">
        <f t="shared" si="51"/>
        <v>#REF!</v>
      </c>
      <c r="J351" s="219" t="e">
        <f>IF(I351="","",VLOOKUP(LEFT(C351,1),dadosexternosBMF_1!$L$2:$M$13,2,FALSE))</f>
        <v>#REF!</v>
      </c>
      <c r="K351" s="219" t="e">
        <f t="shared" si="52"/>
        <v>#REF!</v>
      </c>
      <c r="L351" s="422" t="e">
        <f t="shared" si="53"/>
        <v>#REF!</v>
      </c>
      <c r="M351" s="422" t="e">
        <f>IF(I351="","",WORKDAY(L351-1,1,FERIADOS!$A$2:$A$831))</f>
        <v>#REF!</v>
      </c>
      <c r="N351" s="219" t="e">
        <f>IF(I351="","",NETWORKDAYS(Curva!$M$2,M351,FERIADOS!$A$2:$A$831)-1)</f>
        <v>#REF!</v>
      </c>
      <c r="O351" s="423" t="e">
        <f>IF(C351&lt;&gt;"",IF(ISERROR((100000/E351)^(252/N351)-1),Curva!$B$2,((100000/E351)^(252/N351)-1)),"")</f>
        <v>#REF!</v>
      </c>
      <c r="P351" s="219" t="e">
        <f>IF(OR(G351=1,G351=2),dadosexternosBMF_1!B354,"")</f>
        <v>#REF!</v>
      </c>
      <c r="Q351" s="219" t="e">
        <f>IF(OR(G351=1,G351=2),dadosexternosBMF_1!D354,"")</f>
        <v>#REF!</v>
      </c>
    </row>
    <row r="352" spans="1:17" x14ac:dyDescent="0.2">
      <c r="A352" s="222" t="e">
        <f t="shared" si="48"/>
        <v>#REF!</v>
      </c>
      <c r="B352" s="222" t="str">
        <f>IF(dadosexternosBMF_1!A355="DI1 - DI de 1 dia","DI1 - DI de 1 dia","")</f>
        <v/>
      </c>
      <c r="C352" s="222" t="e">
        <f>IF(dadosexternosBMF_1!A355="DOL - Dólar comercial","",IF(C351&lt;&gt;"",dadosexternosBMF_1!B355,IF(dadosexternosBMF_1!A355="DI1 - DI de 1 dia",dadosexternosBMF_1!B355,"")))</f>
        <v>#REF!</v>
      </c>
      <c r="D352" s="222" t="e">
        <f>IF(C352&lt;&gt;"",dadosexternosBMF_1!C355,"")</f>
        <v>#REF!</v>
      </c>
      <c r="E352" s="222" t="e">
        <f>IF(C352&lt;&gt;"",dadosexternosBMF_1!D355,"")</f>
        <v>#REF!</v>
      </c>
      <c r="G352" s="219" t="e">
        <f t="shared" si="49"/>
        <v>#REF!</v>
      </c>
      <c r="H352" s="219" t="e">
        <f t="shared" si="50"/>
        <v>#REF!</v>
      </c>
      <c r="I352" s="219" t="e">
        <f t="shared" si="51"/>
        <v>#REF!</v>
      </c>
      <c r="J352" s="219" t="e">
        <f>IF(I352="","",VLOOKUP(LEFT(C352,1),dadosexternosBMF_1!$L$2:$M$13,2,FALSE))</f>
        <v>#REF!</v>
      </c>
      <c r="K352" s="219" t="e">
        <f t="shared" si="52"/>
        <v>#REF!</v>
      </c>
      <c r="L352" s="422" t="e">
        <f t="shared" si="53"/>
        <v>#REF!</v>
      </c>
      <c r="M352" s="422" t="e">
        <f>IF(I352="","",WORKDAY(L352-1,1,FERIADOS!$A$2:$A$831))</f>
        <v>#REF!</v>
      </c>
      <c r="N352" s="219" t="e">
        <f>IF(I352="","",NETWORKDAYS(Curva!$M$2,M352,FERIADOS!$A$2:$A$831)-1)</f>
        <v>#REF!</v>
      </c>
      <c r="O352" s="423" t="e">
        <f>IF(C352&lt;&gt;"",IF(ISERROR((100000/E352)^(252/N352)-1),Curva!$B$2,((100000/E352)^(252/N352)-1)),"")</f>
        <v>#REF!</v>
      </c>
      <c r="P352" s="219" t="e">
        <f>IF(OR(G352=1,G352=2),dadosexternosBMF_1!B355,"")</f>
        <v>#REF!</v>
      </c>
      <c r="Q352" s="219" t="e">
        <f>IF(OR(G352=1,G352=2),dadosexternosBMF_1!D355,"")</f>
        <v>#REF!</v>
      </c>
    </row>
    <row r="353" spans="1:17" x14ac:dyDescent="0.2">
      <c r="A353" s="222" t="e">
        <f t="shared" si="48"/>
        <v>#REF!</v>
      </c>
      <c r="B353" s="222" t="str">
        <f>IF(dadosexternosBMF_1!A356="DI1 - DI de 1 dia","DI1 - DI de 1 dia","")</f>
        <v/>
      </c>
      <c r="C353" s="222" t="e">
        <f>IF(dadosexternosBMF_1!A356="DOL - Dólar comercial","",IF(C352&lt;&gt;"",dadosexternosBMF_1!B356,IF(dadosexternosBMF_1!A356="DI1 - DI de 1 dia",dadosexternosBMF_1!B356,"")))</f>
        <v>#REF!</v>
      </c>
      <c r="D353" s="222" t="e">
        <f>IF(C353&lt;&gt;"",dadosexternosBMF_1!C356,"")</f>
        <v>#REF!</v>
      </c>
      <c r="E353" s="222" t="e">
        <f>IF(C353&lt;&gt;"",dadosexternosBMF_1!D356,"")</f>
        <v>#REF!</v>
      </c>
      <c r="G353" s="219" t="e">
        <f t="shared" si="49"/>
        <v>#REF!</v>
      </c>
      <c r="H353" s="219" t="e">
        <f t="shared" si="50"/>
        <v>#REF!</v>
      </c>
      <c r="I353" s="219" t="e">
        <f t="shared" si="51"/>
        <v>#REF!</v>
      </c>
      <c r="J353" s="219" t="e">
        <f>IF(I353="","",VLOOKUP(LEFT(C353,1),dadosexternosBMF_1!$L$2:$M$13,2,FALSE))</f>
        <v>#REF!</v>
      </c>
      <c r="K353" s="219" t="e">
        <f t="shared" si="52"/>
        <v>#REF!</v>
      </c>
      <c r="L353" s="422" t="e">
        <f t="shared" si="53"/>
        <v>#REF!</v>
      </c>
      <c r="M353" s="422" t="e">
        <f>IF(I353="","",WORKDAY(L353-1,1,FERIADOS!$A$2:$A$831))</f>
        <v>#REF!</v>
      </c>
      <c r="N353" s="219" t="e">
        <f>IF(I353="","",NETWORKDAYS(Curva!$M$2,M353,FERIADOS!$A$2:$A$831)-1)</f>
        <v>#REF!</v>
      </c>
      <c r="O353" s="423" t="e">
        <f>IF(C353&lt;&gt;"",IF(ISERROR((100000/E353)^(252/N353)-1),Curva!$B$2,((100000/E353)^(252/N353)-1)),"")</f>
        <v>#REF!</v>
      </c>
      <c r="P353" s="219" t="e">
        <f>IF(OR(G353=1,G353=2),dadosexternosBMF_1!B356,"")</f>
        <v>#REF!</v>
      </c>
      <c r="Q353" s="219" t="e">
        <f>IF(OR(G353=1,G353=2),dadosexternosBMF_1!D356,"")</f>
        <v>#REF!</v>
      </c>
    </row>
    <row r="354" spans="1:17" x14ac:dyDescent="0.2">
      <c r="A354" s="222" t="e">
        <f t="shared" si="48"/>
        <v>#REF!</v>
      </c>
      <c r="B354" s="222" t="str">
        <f>IF(dadosexternosBMF_1!A357="DI1 - DI de 1 dia","DI1 - DI de 1 dia","")</f>
        <v/>
      </c>
      <c r="C354" s="222" t="e">
        <f>IF(dadosexternosBMF_1!A357="DOL - Dólar comercial","",IF(C353&lt;&gt;"",dadosexternosBMF_1!B357,IF(dadosexternosBMF_1!A357="DI1 - DI de 1 dia",dadosexternosBMF_1!B357,"")))</f>
        <v>#REF!</v>
      </c>
      <c r="D354" s="222" t="e">
        <f>IF(C354&lt;&gt;"",dadosexternosBMF_1!C357,"")</f>
        <v>#REF!</v>
      </c>
      <c r="E354" s="222" t="e">
        <f>IF(C354&lt;&gt;"",dadosexternosBMF_1!D357,"")</f>
        <v>#REF!</v>
      </c>
      <c r="G354" s="219" t="e">
        <f t="shared" si="49"/>
        <v>#REF!</v>
      </c>
      <c r="H354" s="219" t="e">
        <f t="shared" si="50"/>
        <v>#REF!</v>
      </c>
      <c r="I354" s="219" t="e">
        <f t="shared" si="51"/>
        <v>#REF!</v>
      </c>
      <c r="J354" s="219" t="e">
        <f>IF(I354="","",VLOOKUP(LEFT(C354,1),dadosexternosBMF_1!$L$2:$M$13,2,FALSE))</f>
        <v>#REF!</v>
      </c>
      <c r="K354" s="219" t="e">
        <f t="shared" si="52"/>
        <v>#REF!</v>
      </c>
      <c r="L354" s="422" t="e">
        <f t="shared" si="53"/>
        <v>#REF!</v>
      </c>
      <c r="M354" s="422" t="e">
        <f>IF(I354="","",WORKDAY(L354-1,1,FERIADOS!$A$2:$A$831))</f>
        <v>#REF!</v>
      </c>
      <c r="N354" s="219" t="e">
        <f>IF(I354="","",NETWORKDAYS(Curva!$M$2,M354,FERIADOS!$A$2:$A$831)-1)</f>
        <v>#REF!</v>
      </c>
      <c r="O354" s="423" t="e">
        <f>IF(C354&lt;&gt;"",IF(ISERROR((100000/E354)^(252/N354)-1),Curva!$B$2,((100000/E354)^(252/N354)-1)),"")</f>
        <v>#REF!</v>
      </c>
      <c r="P354" s="219" t="e">
        <f>IF(OR(G354=1,G354=2),dadosexternosBMF_1!B357,"")</f>
        <v>#REF!</v>
      </c>
      <c r="Q354" s="219" t="e">
        <f>IF(OR(G354=1,G354=2),dadosexternosBMF_1!D357,"")</f>
        <v>#REF!</v>
      </c>
    </row>
    <row r="355" spans="1:17" x14ac:dyDescent="0.2">
      <c r="A355" s="222" t="e">
        <f t="shared" si="48"/>
        <v>#REF!</v>
      </c>
      <c r="B355" s="222" t="str">
        <f>IF(dadosexternosBMF_1!A358="DI1 - DI de 1 dia","DI1 - DI de 1 dia","")</f>
        <v/>
      </c>
      <c r="C355" s="222" t="e">
        <f>IF(dadosexternosBMF_1!A358="DOL - Dólar comercial","",IF(C354&lt;&gt;"",dadosexternosBMF_1!B358,IF(dadosexternosBMF_1!A358="DI1 - DI de 1 dia",dadosexternosBMF_1!B358,"")))</f>
        <v>#REF!</v>
      </c>
      <c r="D355" s="222" t="e">
        <f>IF(C355&lt;&gt;"",dadosexternosBMF_1!C358,"")</f>
        <v>#REF!</v>
      </c>
      <c r="E355" s="222" t="e">
        <f>IF(C355&lt;&gt;"",dadosexternosBMF_1!D358,"")</f>
        <v>#REF!</v>
      </c>
      <c r="G355" s="219" t="e">
        <f t="shared" si="49"/>
        <v>#REF!</v>
      </c>
      <c r="H355" s="219" t="e">
        <f t="shared" si="50"/>
        <v>#REF!</v>
      </c>
      <c r="I355" s="219" t="e">
        <f t="shared" si="51"/>
        <v>#REF!</v>
      </c>
      <c r="J355" s="219" t="e">
        <f>IF(I355="","",VLOOKUP(LEFT(C355,1),dadosexternosBMF_1!$L$2:$M$13,2,FALSE))</f>
        <v>#REF!</v>
      </c>
      <c r="K355" s="219" t="e">
        <f t="shared" si="52"/>
        <v>#REF!</v>
      </c>
      <c r="L355" s="422" t="e">
        <f t="shared" si="53"/>
        <v>#REF!</v>
      </c>
      <c r="M355" s="422" t="e">
        <f>IF(I355="","",WORKDAY(L355-1,1,FERIADOS!$A$2:$A$831))</f>
        <v>#REF!</v>
      </c>
      <c r="N355" s="219" t="e">
        <f>IF(I355="","",NETWORKDAYS(Curva!$M$2,M355,FERIADOS!$A$2:$A$831)-1)</f>
        <v>#REF!</v>
      </c>
      <c r="O355" s="423" t="e">
        <f>IF(C355&lt;&gt;"",IF(ISERROR((100000/E355)^(252/N355)-1),Curva!$B$2,((100000/E355)^(252/N355)-1)),"")</f>
        <v>#REF!</v>
      </c>
      <c r="P355" s="219" t="e">
        <f>IF(OR(G355=1,G355=2),dadosexternosBMF_1!B358,"")</f>
        <v>#REF!</v>
      </c>
      <c r="Q355" s="219" t="e">
        <f>IF(OR(G355=1,G355=2),dadosexternosBMF_1!D358,"")</f>
        <v>#REF!</v>
      </c>
    </row>
    <row r="356" spans="1:17" x14ac:dyDescent="0.2">
      <c r="A356" s="222" t="e">
        <f t="shared" si="48"/>
        <v>#REF!</v>
      </c>
      <c r="B356" s="222" t="str">
        <f>IF(dadosexternosBMF_1!A359="DI1 - DI de 1 dia","DI1 - DI de 1 dia","")</f>
        <v/>
      </c>
      <c r="C356" s="222" t="e">
        <f>IF(dadosexternosBMF_1!A359="DOL - Dólar comercial","",IF(C355&lt;&gt;"",dadosexternosBMF_1!B359,IF(dadosexternosBMF_1!A359="DI1 - DI de 1 dia",dadosexternosBMF_1!B359,"")))</f>
        <v>#REF!</v>
      </c>
      <c r="D356" s="222" t="e">
        <f>IF(C356&lt;&gt;"",dadosexternosBMF_1!C359,"")</f>
        <v>#REF!</v>
      </c>
      <c r="E356" s="222" t="e">
        <f>IF(C356&lt;&gt;"",dadosexternosBMF_1!D359,"")</f>
        <v>#REF!</v>
      </c>
      <c r="G356" s="219" t="e">
        <f t="shared" si="49"/>
        <v>#REF!</v>
      </c>
      <c r="H356" s="219" t="e">
        <f t="shared" si="50"/>
        <v>#REF!</v>
      </c>
      <c r="I356" s="219" t="e">
        <f t="shared" si="51"/>
        <v>#REF!</v>
      </c>
      <c r="J356" s="219" t="e">
        <f>IF(I356="","",VLOOKUP(LEFT(C356,1),dadosexternosBMF_1!$L$2:$M$13,2,FALSE))</f>
        <v>#REF!</v>
      </c>
      <c r="K356" s="219" t="e">
        <f t="shared" si="52"/>
        <v>#REF!</v>
      </c>
      <c r="L356" s="422" t="e">
        <f t="shared" si="53"/>
        <v>#REF!</v>
      </c>
      <c r="M356" s="422" t="e">
        <f>IF(I356="","",WORKDAY(L356-1,1,FERIADOS!$A$2:$A$831))</f>
        <v>#REF!</v>
      </c>
      <c r="N356" s="219" t="e">
        <f>IF(I356="","",NETWORKDAYS(Curva!$M$2,M356,FERIADOS!$A$2:$A$831)-1)</f>
        <v>#REF!</v>
      </c>
      <c r="O356" s="423" t="e">
        <f>IF(C356&lt;&gt;"",IF(ISERROR((100000/E356)^(252/N356)-1),Curva!$B$2,((100000/E356)^(252/N356)-1)),"")</f>
        <v>#REF!</v>
      </c>
      <c r="P356" s="219" t="e">
        <f>IF(OR(G356=1,G356=2),dadosexternosBMF_1!B359,"")</f>
        <v>#REF!</v>
      </c>
      <c r="Q356" s="219" t="e">
        <f>IF(OR(G356=1,G356=2),dadosexternosBMF_1!D359,"")</f>
        <v>#REF!</v>
      </c>
    </row>
    <row r="357" spans="1:17" x14ac:dyDescent="0.2">
      <c r="A357" s="222" t="e">
        <f t="shared" si="48"/>
        <v>#REF!</v>
      </c>
      <c r="B357" s="222" t="str">
        <f>IF(dadosexternosBMF_1!A360="DI1 - DI de 1 dia","DI1 - DI de 1 dia","")</f>
        <v/>
      </c>
      <c r="C357" s="222" t="e">
        <f>IF(dadosexternosBMF_1!A360="DOL - Dólar comercial","",IF(C356&lt;&gt;"",dadosexternosBMF_1!B360,IF(dadosexternosBMF_1!A360="DI1 - DI de 1 dia",dadosexternosBMF_1!B360,"")))</f>
        <v>#REF!</v>
      </c>
      <c r="D357" s="222" t="e">
        <f>IF(C357&lt;&gt;"",dadosexternosBMF_1!C360,"")</f>
        <v>#REF!</v>
      </c>
      <c r="E357" s="222" t="e">
        <f>IF(C357&lt;&gt;"",dadosexternosBMF_1!D360,"")</f>
        <v>#REF!</v>
      </c>
      <c r="G357" s="219" t="e">
        <f t="shared" si="49"/>
        <v>#REF!</v>
      </c>
      <c r="H357" s="219" t="e">
        <f t="shared" si="50"/>
        <v>#REF!</v>
      </c>
      <c r="I357" s="219" t="e">
        <f t="shared" si="51"/>
        <v>#REF!</v>
      </c>
      <c r="J357" s="219" t="e">
        <f>IF(I357="","",VLOOKUP(LEFT(C357,1),dadosexternosBMF_1!$L$2:$M$13,2,FALSE))</f>
        <v>#REF!</v>
      </c>
      <c r="K357" s="219" t="e">
        <f t="shared" si="52"/>
        <v>#REF!</v>
      </c>
      <c r="L357" s="422" t="e">
        <f t="shared" si="53"/>
        <v>#REF!</v>
      </c>
      <c r="M357" s="422" t="e">
        <f>IF(I357="","",WORKDAY(L357-1,1,FERIADOS!$A$2:$A$831))</f>
        <v>#REF!</v>
      </c>
      <c r="N357" s="219" t="e">
        <f>IF(I357="","",NETWORKDAYS(Curva!$M$2,M357,FERIADOS!$A$2:$A$831)-1)</f>
        <v>#REF!</v>
      </c>
      <c r="O357" s="423" t="e">
        <f>IF(C357&lt;&gt;"",IF(ISERROR((100000/E357)^(252/N357)-1),Curva!$B$2,((100000/E357)^(252/N357)-1)),"")</f>
        <v>#REF!</v>
      </c>
      <c r="P357" s="219" t="e">
        <f>IF(OR(G357=1,G357=2),dadosexternosBMF_1!B360,"")</f>
        <v>#REF!</v>
      </c>
      <c r="Q357" s="219" t="e">
        <f>IF(OR(G357=1,G357=2),dadosexternosBMF_1!D360,"")</f>
        <v>#REF!</v>
      </c>
    </row>
    <row r="358" spans="1:17" x14ac:dyDescent="0.2">
      <c r="A358" s="222" t="e">
        <f t="shared" si="48"/>
        <v>#REF!</v>
      </c>
      <c r="B358" s="222" t="str">
        <f>IF(dadosexternosBMF_1!A361="DI1 - DI de 1 dia","DI1 - DI de 1 dia","")</f>
        <v/>
      </c>
      <c r="C358" s="222" t="e">
        <f>IF(dadosexternosBMF_1!A361="DOL - Dólar comercial","",IF(C357&lt;&gt;"",dadosexternosBMF_1!B361,IF(dadosexternosBMF_1!A361="DI1 - DI de 1 dia",dadosexternosBMF_1!B361,"")))</f>
        <v>#REF!</v>
      </c>
      <c r="D358" s="222" t="e">
        <f>IF(C358&lt;&gt;"",dadosexternosBMF_1!C361,"")</f>
        <v>#REF!</v>
      </c>
      <c r="E358" s="222" t="e">
        <f>IF(C358&lt;&gt;"",dadosexternosBMF_1!D361,"")</f>
        <v>#REF!</v>
      </c>
      <c r="G358" s="219" t="e">
        <f t="shared" si="49"/>
        <v>#REF!</v>
      </c>
      <c r="H358" s="219" t="e">
        <f t="shared" si="50"/>
        <v>#REF!</v>
      </c>
      <c r="I358" s="219" t="e">
        <f t="shared" si="51"/>
        <v>#REF!</v>
      </c>
      <c r="J358" s="219" t="e">
        <f>IF(I358="","",VLOOKUP(LEFT(C358,1),dadosexternosBMF_1!$L$2:$M$13,2,FALSE))</f>
        <v>#REF!</v>
      </c>
      <c r="K358" s="219" t="e">
        <f t="shared" si="52"/>
        <v>#REF!</v>
      </c>
      <c r="L358" s="422" t="e">
        <f t="shared" si="53"/>
        <v>#REF!</v>
      </c>
      <c r="M358" s="422" t="e">
        <f>IF(I358="","",WORKDAY(L358-1,1,FERIADOS!$A$2:$A$831))</f>
        <v>#REF!</v>
      </c>
      <c r="N358" s="219" t="e">
        <f>IF(I358="","",NETWORKDAYS(Curva!$M$2,M358,FERIADOS!$A$2:$A$831)-1)</f>
        <v>#REF!</v>
      </c>
      <c r="O358" s="423" t="e">
        <f>IF(C358&lt;&gt;"",IF(ISERROR((100000/E358)^(252/N358)-1),Curva!$B$2,((100000/E358)^(252/N358)-1)),"")</f>
        <v>#REF!</v>
      </c>
      <c r="P358" s="219" t="e">
        <f>IF(OR(G358=1,G358=2),dadosexternosBMF_1!B361,"")</f>
        <v>#REF!</v>
      </c>
      <c r="Q358" s="219" t="e">
        <f>IF(OR(G358=1,G358=2),dadosexternosBMF_1!D361,"")</f>
        <v>#REF!</v>
      </c>
    </row>
    <row r="359" spans="1:17" x14ac:dyDescent="0.2">
      <c r="A359" s="222" t="e">
        <f t="shared" si="48"/>
        <v>#REF!</v>
      </c>
      <c r="B359" s="222" t="str">
        <f>IF(dadosexternosBMF_1!A362="DI1 - DI de 1 dia","DI1 - DI de 1 dia","")</f>
        <v/>
      </c>
      <c r="C359" s="222" t="e">
        <f>IF(dadosexternosBMF_1!A362="DOL - Dólar comercial","",IF(C358&lt;&gt;"",dadosexternosBMF_1!B362,IF(dadosexternosBMF_1!A362="DI1 - DI de 1 dia",dadosexternosBMF_1!B362,"")))</f>
        <v>#REF!</v>
      </c>
      <c r="D359" s="222" t="e">
        <f>IF(C359&lt;&gt;"",dadosexternosBMF_1!C362,"")</f>
        <v>#REF!</v>
      </c>
      <c r="E359" s="222" t="e">
        <f>IF(C359&lt;&gt;"",dadosexternosBMF_1!D362,"")</f>
        <v>#REF!</v>
      </c>
      <c r="G359" s="219" t="e">
        <f t="shared" si="49"/>
        <v>#REF!</v>
      </c>
      <c r="H359" s="219" t="e">
        <f t="shared" si="50"/>
        <v>#REF!</v>
      </c>
      <c r="I359" s="219" t="e">
        <f t="shared" si="51"/>
        <v>#REF!</v>
      </c>
      <c r="J359" s="219" t="e">
        <f>IF(I359="","",VLOOKUP(LEFT(C359,1),dadosexternosBMF_1!$L$2:$M$13,2,FALSE))</f>
        <v>#REF!</v>
      </c>
      <c r="K359" s="219" t="e">
        <f t="shared" si="52"/>
        <v>#REF!</v>
      </c>
      <c r="L359" s="422" t="e">
        <f t="shared" si="53"/>
        <v>#REF!</v>
      </c>
      <c r="M359" s="422" t="e">
        <f>IF(I359="","",WORKDAY(L359-1,1,FERIADOS!$A$2:$A$831))</f>
        <v>#REF!</v>
      </c>
      <c r="N359" s="219" t="e">
        <f>IF(I359="","",NETWORKDAYS(Curva!$M$2,M359,FERIADOS!$A$2:$A$831)-1)</f>
        <v>#REF!</v>
      </c>
      <c r="O359" s="423" t="e">
        <f>IF(C359&lt;&gt;"",IF(ISERROR((100000/E359)^(252/N359)-1),Curva!$B$2,((100000/E359)^(252/N359)-1)),"")</f>
        <v>#REF!</v>
      </c>
      <c r="P359" s="219" t="e">
        <f>IF(OR(G359=1,G359=2),dadosexternosBMF_1!B362,"")</f>
        <v>#REF!</v>
      </c>
      <c r="Q359" s="219" t="e">
        <f>IF(OR(G359=1,G359=2),dadosexternosBMF_1!D362,"")</f>
        <v>#REF!</v>
      </c>
    </row>
    <row r="360" spans="1:17" x14ac:dyDescent="0.2">
      <c r="A360" s="222" t="e">
        <f t="shared" si="48"/>
        <v>#REF!</v>
      </c>
      <c r="B360" s="222" t="str">
        <f>IF(dadosexternosBMF_1!A363="DI1 - DI de 1 dia","DI1 - DI de 1 dia","")</f>
        <v/>
      </c>
      <c r="C360" s="222" t="e">
        <f>IF(dadosexternosBMF_1!A363="DOL - Dólar comercial","",IF(C359&lt;&gt;"",dadosexternosBMF_1!B363,IF(dadosexternosBMF_1!A363="DI1 - DI de 1 dia",dadosexternosBMF_1!B363,"")))</f>
        <v>#REF!</v>
      </c>
      <c r="D360" s="222" t="e">
        <f>IF(C360&lt;&gt;"",dadosexternosBMF_1!C363,"")</f>
        <v>#REF!</v>
      </c>
      <c r="E360" s="222" t="e">
        <f>IF(C360&lt;&gt;"",dadosexternosBMF_1!D363,"")</f>
        <v>#REF!</v>
      </c>
      <c r="G360" s="219" t="e">
        <f t="shared" si="49"/>
        <v>#REF!</v>
      </c>
      <c r="H360" s="219" t="e">
        <f t="shared" si="50"/>
        <v>#REF!</v>
      </c>
      <c r="I360" s="219" t="e">
        <f t="shared" si="51"/>
        <v>#REF!</v>
      </c>
      <c r="J360" s="219" t="e">
        <f>IF(I360="","",VLOOKUP(LEFT(C360,1),dadosexternosBMF_1!$L$2:$M$13,2,FALSE))</f>
        <v>#REF!</v>
      </c>
      <c r="K360" s="219" t="e">
        <f t="shared" si="52"/>
        <v>#REF!</v>
      </c>
      <c r="L360" s="422" t="e">
        <f t="shared" si="53"/>
        <v>#REF!</v>
      </c>
      <c r="M360" s="422" t="e">
        <f>IF(I360="","",WORKDAY(L360-1,1,FERIADOS!$A$2:$A$831))</f>
        <v>#REF!</v>
      </c>
      <c r="N360" s="219" t="e">
        <f>IF(I360="","",NETWORKDAYS(Curva!$M$2,M360,FERIADOS!$A$2:$A$831)-1)</f>
        <v>#REF!</v>
      </c>
      <c r="O360" s="423" t="e">
        <f>IF(C360&lt;&gt;"",IF(ISERROR((100000/E360)^(252/N360)-1),Curva!$B$2,((100000/E360)^(252/N360)-1)),"")</f>
        <v>#REF!</v>
      </c>
      <c r="P360" s="219" t="e">
        <f>IF(OR(G360=1,G360=2),dadosexternosBMF_1!B363,"")</f>
        <v>#REF!</v>
      </c>
      <c r="Q360" s="219" t="e">
        <f>IF(OR(G360=1,G360=2),dadosexternosBMF_1!D363,"")</f>
        <v>#REF!</v>
      </c>
    </row>
    <row r="361" spans="1:17" x14ac:dyDescent="0.2">
      <c r="A361" s="222" t="e">
        <f t="shared" si="48"/>
        <v>#REF!</v>
      </c>
      <c r="B361" s="222" t="str">
        <f>IF(dadosexternosBMF_1!A364="DI1 - DI de 1 dia","DI1 - DI de 1 dia","")</f>
        <v/>
      </c>
      <c r="C361" s="222" t="e">
        <f>IF(dadosexternosBMF_1!A364="DOL - Dólar comercial","",IF(C360&lt;&gt;"",dadosexternosBMF_1!B364,IF(dadosexternosBMF_1!A364="DI1 - DI de 1 dia",dadosexternosBMF_1!B364,"")))</f>
        <v>#REF!</v>
      </c>
      <c r="D361" s="222" t="e">
        <f>IF(C361&lt;&gt;"",dadosexternosBMF_1!C364,"")</f>
        <v>#REF!</v>
      </c>
      <c r="E361" s="222" t="e">
        <f>IF(C361&lt;&gt;"",dadosexternosBMF_1!D364,"")</f>
        <v>#REF!</v>
      </c>
      <c r="G361" s="219" t="e">
        <f t="shared" si="49"/>
        <v>#REF!</v>
      </c>
      <c r="H361" s="219" t="e">
        <f t="shared" si="50"/>
        <v>#REF!</v>
      </c>
      <c r="I361" s="219" t="e">
        <f t="shared" si="51"/>
        <v>#REF!</v>
      </c>
      <c r="J361" s="219" t="e">
        <f>IF(I361="","",VLOOKUP(LEFT(C361,1),dadosexternosBMF_1!$L$2:$M$13,2,FALSE))</f>
        <v>#REF!</v>
      </c>
      <c r="K361" s="219" t="e">
        <f t="shared" si="52"/>
        <v>#REF!</v>
      </c>
      <c r="L361" s="422" t="e">
        <f t="shared" si="53"/>
        <v>#REF!</v>
      </c>
      <c r="M361" s="422" t="e">
        <f>IF(I361="","",WORKDAY(L361-1,1,FERIADOS!$A$2:$A$831))</f>
        <v>#REF!</v>
      </c>
      <c r="N361" s="219" t="e">
        <f>IF(I361="","",NETWORKDAYS(Curva!$M$2,M361,FERIADOS!$A$2:$A$831)-1)</f>
        <v>#REF!</v>
      </c>
      <c r="O361" s="423" t="e">
        <f>IF(C361&lt;&gt;"",IF(ISERROR((100000/E361)^(252/N361)-1),Curva!$B$2,((100000/E361)^(252/N361)-1)),"")</f>
        <v>#REF!</v>
      </c>
      <c r="P361" s="219" t="e">
        <f>IF(OR(G361=1,G361=2),dadosexternosBMF_1!B364,"")</f>
        <v>#REF!</v>
      </c>
      <c r="Q361" s="219" t="e">
        <f>IF(OR(G361=1,G361=2),dadosexternosBMF_1!D364,"")</f>
        <v>#REF!</v>
      </c>
    </row>
    <row r="362" spans="1:17" x14ac:dyDescent="0.2">
      <c r="A362" s="222" t="e">
        <f t="shared" si="48"/>
        <v>#REF!</v>
      </c>
      <c r="B362" s="222" t="str">
        <f>IF(dadosexternosBMF_1!A365="DI1 - DI de 1 dia","DI1 - DI de 1 dia","")</f>
        <v/>
      </c>
      <c r="C362" s="222" t="e">
        <f>IF(dadosexternosBMF_1!A365="DOL - Dólar comercial","",IF(C361&lt;&gt;"",dadosexternosBMF_1!B365,IF(dadosexternosBMF_1!A365="DI1 - DI de 1 dia",dadosexternosBMF_1!B365,"")))</f>
        <v>#REF!</v>
      </c>
      <c r="D362" s="222" t="e">
        <f>IF(C362&lt;&gt;"",dadosexternosBMF_1!C365,"")</f>
        <v>#REF!</v>
      </c>
      <c r="E362" s="222" t="e">
        <f>IF(C362&lt;&gt;"",dadosexternosBMF_1!D365,"")</f>
        <v>#REF!</v>
      </c>
      <c r="G362" s="219" t="e">
        <f t="shared" si="49"/>
        <v>#REF!</v>
      </c>
      <c r="H362" s="219" t="e">
        <f t="shared" si="50"/>
        <v>#REF!</v>
      </c>
      <c r="I362" s="219" t="e">
        <f t="shared" si="51"/>
        <v>#REF!</v>
      </c>
      <c r="J362" s="219" t="e">
        <f>IF(I362="","",VLOOKUP(LEFT(C362,1),dadosexternosBMF_1!$L$2:$M$13,2,FALSE))</f>
        <v>#REF!</v>
      </c>
      <c r="K362" s="219" t="e">
        <f t="shared" si="52"/>
        <v>#REF!</v>
      </c>
      <c r="L362" s="422" t="e">
        <f t="shared" si="53"/>
        <v>#REF!</v>
      </c>
      <c r="M362" s="422" t="e">
        <f>IF(I362="","",WORKDAY(L362-1,1,FERIADOS!$A$2:$A$831))</f>
        <v>#REF!</v>
      </c>
      <c r="N362" s="219" t="e">
        <f>IF(I362="","",NETWORKDAYS(Curva!$M$2,M362,FERIADOS!$A$2:$A$831)-1)</f>
        <v>#REF!</v>
      </c>
      <c r="O362" s="423" t="e">
        <f>IF(C362&lt;&gt;"",IF(ISERROR((100000/E362)^(252/N362)-1),Curva!$B$2,((100000/E362)^(252/N362)-1)),"")</f>
        <v>#REF!</v>
      </c>
      <c r="P362" s="219" t="e">
        <f>IF(OR(G362=1,G362=2),dadosexternosBMF_1!B365,"")</f>
        <v>#REF!</v>
      </c>
      <c r="Q362" s="219" t="e">
        <f>IF(OR(G362=1,G362=2),dadosexternosBMF_1!D365,"")</f>
        <v>#REF!</v>
      </c>
    </row>
    <row r="363" spans="1:17" x14ac:dyDescent="0.2">
      <c r="A363" s="222" t="e">
        <f t="shared" si="48"/>
        <v>#REF!</v>
      </c>
      <c r="B363" s="222" t="str">
        <f>IF(dadosexternosBMF_1!A366="DI1 - DI de 1 dia","DI1 - DI de 1 dia","")</f>
        <v/>
      </c>
      <c r="C363" s="222" t="e">
        <f>IF(dadosexternosBMF_1!A366="DOL - Dólar comercial","",IF(C362&lt;&gt;"",dadosexternosBMF_1!B366,IF(dadosexternosBMF_1!A366="DI1 - DI de 1 dia",dadosexternosBMF_1!B366,"")))</f>
        <v>#REF!</v>
      </c>
      <c r="D363" s="222" t="e">
        <f>IF(C363&lt;&gt;"",dadosexternosBMF_1!C366,"")</f>
        <v>#REF!</v>
      </c>
      <c r="E363" s="222" t="e">
        <f>IF(C363&lt;&gt;"",dadosexternosBMF_1!D366,"")</f>
        <v>#REF!</v>
      </c>
      <c r="G363" s="219" t="e">
        <f t="shared" si="49"/>
        <v>#REF!</v>
      </c>
      <c r="H363" s="219" t="e">
        <f t="shared" si="50"/>
        <v>#REF!</v>
      </c>
      <c r="I363" s="219" t="e">
        <f t="shared" si="51"/>
        <v>#REF!</v>
      </c>
      <c r="J363" s="219" t="e">
        <f>IF(I363="","",VLOOKUP(LEFT(C363,1),dadosexternosBMF_1!$L$2:$M$13,2,FALSE))</f>
        <v>#REF!</v>
      </c>
      <c r="K363" s="219" t="e">
        <f t="shared" si="52"/>
        <v>#REF!</v>
      </c>
      <c r="L363" s="422" t="e">
        <f t="shared" si="53"/>
        <v>#REF!</v>
      </c>
      <c r="M363" s="422" t="e">
        <f>IF(I363="","",WORKDAY(L363-1,1,FERIADOS!$A$2:$A$831))</f>
        <v>#REF!</v>
      </c>
      <c r="N363" s="219" t="e">
        <f>IF(I363="","",NETWORKDAYS(Curva!$M$2,M363,FERIADOS!$A$2:$A$831)-1)</f>
        <v>#REF!</v>
      </c>
      <c r="O363" s="423" t="e">
        <f>IF(C363&lt;&gt;"",IF(ISERROR((100000/E363)^(252/N363)-1),Curva!$B$2,((100000/E363)^(252/N363)-1)),"")</f>
        <v>#REF!</v>
      </c>
      <c r="P363" s="219" t="e">
        <f>IF(OR(G363=1,G363=2),dadosexternosBMF_1!B366,"")</f>
        <v>#REF!</v>
      </c>
      <c r="Q363" s="219" t="e">
        <f>IF(OR(G363=1,G363=2),dadosexternosBMF_1!D366,"")</f>
        <v>#REF!</v>
      </c>
    </row>
    <row r="364" spans="1:17" x14ac:dyDescent="0.2">
      <c r="A364" s="222" t="e">
        <f t="shared" si="48"/>
        <v>#REF!</v>
      </c>
      <c r="B364" s="222" t="str">
        <f>IF(dadosexternosBMF_1!A367="DI1 - DI de 1 dia","DI1 - DI de 1 dia","")</f>
        <v/>
      </c>
      <c r="C364" s="222" t="e">
        <f>IF(dadosexternosBMF_1!A367="DOL - Dólar comercial","",IF(C363&lt;&gt;"",dadosexternosBMF_1!B367,IF(dadosexternosBMF_1!A367="DI1 - DI de 1 dia",dadosexternosBMF_1!B367,"")))</f>
        <v>#REF!</v>
      </c>
      <c r="D364" s="222" t="e">
        <f>IF(C364&lt;&gt;"",dadosexternosBMF_1!C367,"")</f>
        <v>#REF!</v>
      </c>
      <c r="E364" s="222" t="e">
        <f>IF(C364&lt;&gt;"",dadosexternosBMF_1!D367,"")</f>
        <v>#REF!</v>
      </c>
      <c r="G364" s="219" t="e">
        <f t="shared" si="49"/>
        <v>#REF!</v>
      </c>
      <c r="H364" s="219" t="e">
        <f t="shared" si="50"/>
        <v>#REF!</v>
      </c>
      <c r="I364" s="219" t="e">
        <f t="shared" si="51"/>
        <v>#REF!</v>
      </c>
      <c r="J364" s="219" t="e">
        <f>IF(I364="","",VLOOKUP(LEFT(C364,1),dadosexternosBMF_1!$L$2:$M$13,2,FALSE))</f>
        <v>#REF!</v>
      </c>
      <c r="K364" s="219" t="e">
        <f t="shared" si="52"/>
        <v>#REF!</v>
      </c>
      <c r="L364" s="422" t="e">
        <f t="shared" si="53"/>
        <v>#REF!</v>
      </c>
      <c r="M364" s="422" t="e">
        <f>IF(I364="","",WORKDAY(L364-1,1,FERIADOS!$A$2:$A$831))</f>
        <v>#REF!</v>
      </c>
      <c r="N364" s="219" t="e">
        <f>IF(I364="","",NETWORKDAYS(Curva!$M$2,M364,FERIADOS!$A$2:$A$831)-1)</f>
        <v>#REF!</v>
      </c>
      <c r="O364" s="423" t="e">
        <f>IF(C364&lt;&gt;"",IF(ISERROR((100000/E364)^(252/N364)-1),Curva!$B$2,((100000/E364)^(252/N364)-1)),"")</f>
        <v>#REF!</v>
      </c>
      <c r="P364" s="219" t="e">
        <f>IF(OR(G364=1,G364=2),dadosexternosBMF_1!B367,"")</f>
        <v>#REF!</v>
      </c>
      <c r="Q364" s="219" t="e">
        <f>IF(OR(G364=1,G364=2),dadosexternosBMF_1!D367,"")</f>
        <v>#REF!</v>
      </c>
    </row>
    <row r="365" spans="1:17" x14ac:dyDescent="0.2">
      <c r="A365" s="222" t="e">
        <f t="shared" si="48"/>
        <v>#REF!</v>
      </c>
      <c r="B365" s="222" t="str">
        <f>IF(dadosexternosBMF_1!A368="DI1 - DI de 1 dia","DI1 - DI de 1 dia","")</f>
        <v/>
      </c>
      <c r="C365" s="222" t="e">
        <f>IF(dadosexternosBMF_1!A368="DOL - Dólar comercial","",IF(C364&lt;&gt;"",dadosexternosBMF_1!B368,IF(dadosexternosBMF_1!A368="DI1 - DI de 1 dia",dadosexternosBMF_1!B368,"")))</f>
        <v>#REF!</v>
      </c>
      <c r="D365" s="222" t="e">
        <f>IF(C365&lt;&gt;"",dadosexternosBMF_1!C368,"")</f>
        <v>#REF!</v>
      </c>
      <c r="E365" s="222" t="e">
        <f>IF(C365&lt;&gt;"",dadosexternosBMF_1!D368,"")</f>
        <v>#REF!</v>
      </c>
      <c r="G365" s="219" t="e">
        <f t="shared" si="49"/>
        <v>#REF!</v>
      </c>
      <c r="H365" s="219" t="e">
        <f t="shared" si="50"/>
        <v>#REF!</v>
      </c>
      <c r="I365" s="219" t="e">
        <f t="shared" si="51"/>
        <v>#REF!</v>
      </c>
      <c r="J365" s="219" t="e">
        <f>IF(I365="","",VLOOKUP(LEFT(C365,1),dadosexternosBMF_1!$L$2:$M$13,2,FALSE))</f>
        <v>#REF!</v>
      </c>
      <c r="K365" s="219" t="e">
        <f t="shared" si="52"/>
        <v>#REF!</v>
      </c>
      <c r="L365" s="422" t="e">
        <f t="shared" si="53"/>
        <v>#REF!</v>
      </c>
      <c r="M365" s="422" t="e">
        <f>IF(I365="","",WORKDAY(L365-1,1,FERIADOS!$A$2:$A$831))</f>
        <v>#REF!</v>
      </c>
      <c r="N365" s="219" t="e">
        <f>IF(I365="","",NETWORKDAYS(Curva!$M$2,M365,FERIADOS!$A$2:$A$831)-1)</f>
        <v>#REF!</v>
      </c>
      <c r="O365" s="423" t="e">
        <f>IF(C365&lt;&gt;"",IF(ISERROR((100000/E365)^(252/N365)-1),Curva!$B$2,((100000/E365)^(252/N365)-1)),"")</f>
        <v>#REF!</v>
      </c>
      <c r="P365" s="219" t="e">
        <f>IF(OR(G365=1,G365=2),dadosexternosBMF_1!B368,"")</f>
        <v>#REF!</v>
      </c>
      <c r="Q365" s="219" t="e">
        <f>IF(OR(G365=1,G365=2),dadosexternosBMF_1!D368,"")</f>
        <v>#REF!</v>
      </c>
    </row>
    <row r="366" spans="1:17" x14ac:dyDescent="0.2">
      <c r="A366" s="222" t="e">
        <f t="shared" si="48"/>
        <v>#REF!</v>
      </c>
      <c r="B366" s="222" t="str">
        <f>IF(dadosexternosBMF_1!A369="DI1 - DI de 1 dia","DI1 - DI de 1 dia","")</f>
        <v/>
      </c>
      <c r="C366" s="222" t="e">
        <f>IF(dadosexternosBMF_1!A369="DOL - Dólar comercial","",IF(C365&lt;&gt;"",dadosexternosBMF_1!B369,IF(dadosexternosBMF_1!A369="DI1 - DI de 1 dia",dadosexternosBMF_1!B369,"")))</f>
        <v>#REF!</v>
      </c>
      <c r="D366" s="222" t="e">
        <f>IF(C366&lt;&gt;"",dadosexternosBMF_1!C369,"")</f>
        <v>#REF!</v>
      </c>
      <c r="E366" s="222" t="e">
        <f>IF(C366&lt;&gt;"",dadosexternosBMF_1!D369,"")</f>
        <v>#REF!</v>
      </c>
      <c r="G366" s="219" t="e">
        <f t="shared" si="49"/>
        <v>#REF!</v>
      </c>
      <c r="H366" s="219" t="e">
        <f t="shared" si="50"/>
        <v>#REF!</v>
      </c>
      <c r="I366" s="219" t="e">
        <f t="shared" si="51"/>
        <v>#REF!</v>
      </c>
      <c r="J366" s="219" t="e">
        <f>IF(I366="","",VLOOKUP(LEFT(C366,1),dadosexternosBMF_1!$L$2:$M$13,2,FALSE))</f>
        <v>#REF!</v>
      </c>
      <c r="K366" s="219" t="e">
        <f t="shared" si="52"/>
        <v>#REF!</v>
      </c>
      <c r="L366" s="422" t="e">
        <f t="shared" si="53"/>
        <v>#REF!</v>
      </c>
      <c r="M366" s="422" t="e">
        <f>IF(I366="","",WORKDAY(L366-1,1,FERIADOS!$A$2:$A$831))</f>
        <v>#REF!</v>
      </c>
      <c r="N366" s="219" t="e">
        <f>IF(I366="","",NETWORKDAYS(Curva!$M$2,M366,FERIADOS!$A$2:$A$831)-1)</f>
        <v>#REF!</v>
      </c>
      <c r="O366" s="423" t="e">
        <f>IF(C366&lt;&gt;"",IF(ISERROR((100000/E366)^(252/N366)-1),Curva!$B$2,((100000/E366)^(252/N366)-1)),"")</f>
        <v>#REF!</v>
      </c>
      <c r="P366" s="219" t="e">
        <f>IF(OR(G366=1,G366=2),dadosexternosBMF_1!B369,"")</f>
        <v>#REF!</v>
      </c>
      <c r="Q366" s="219" t="e">
        <f>IF(OR(G366=1,G366=2),dadosexternosBMF_1!D369,"")</f>
        <v>#REF!</v>
      </c>
    </row>
    <row r="367" spans="1:17" x14ac:dyDescent="0.2">
      <c r="A367" s="222" t="e">
        <f t="shared" si="48"/>
        <v>#REF!</v>
      </c>
      <c r="B367" s="222" t="str">
        <f>IF(dadosexternosBMF_1!A370="DI1 - DI de 1 dia","DI1 - DI de 1 dia","")</f>
        <v/>
      </c>
      <c r="C367" s="222" t="e">
        <f>IF(dadosexternosBMF_1!A370="DOL - Dólar comercial","",IF(C366&lt;&gt;"",dadosexternosBMF_1!B370,IF(dadosexternosBMF_1!A370="DI1 - DI de 1 dia",dadosexternosBMF_1!B370,"")))</f>
        <v>#REF!</v>
      </c>
      <c r="D367" s="222" t="e">
        <f>IF(C367&lt;&gt;"",dadosexternosBMF_1!C370,"")</f>
        <v>#REF!</v>
      </c>
      <c r="E367" s="222" t="e">
        <f>IF(C367&lt;&gt;"",dadosexternosBMF_1!D370,"")</f>
        <v>#REF!</v>
      </c>
      <c r="G367" s="219" t="e">
        <f t="shared" si="49"/>
        <v>#REF!</v>
      </c>
      <c r="H367" s="219" t="e">
        <f t="shared" si="50"/>
        <v>#REF!</v>
      </c>
      <c r="I367" s="219" t="e">
        <f t="shared" si="51"/>
        <v>#REF!</v>
      </c>
      <c r="J367" s="219" t="e">
        <f>IF(I367="","",VLOOKUP(LEFT(C367,1),dadosexternosBMF_1!$L$2:$M$13,2,FALSE))</f>
        <v>#REF!</v>
      </c>
      <c r="K367" s="219" t="e">
        <f t="shared" si="52"/>
        <v>#REF!</v>
      </c>
      <c r="L367" s="422" t="e">
        <f t="shared" si="53"/>
        <v>#REF!</v>
      </c>
      <c r="M367" s="422" t="e">
        <f>IF(I367="","",WORKDAY(L367-1,1,FERIADOS!$A$2:$A$831))</f>
        <v>#REF!</v>
      </c>
      <c r="N367" s="219" t="e">
        <f>IF(I367="","",NETWORKDAYS(Curva!$M$2,M367,FERIADOS!$A$2:$A$831)-1)</f>
        <v>#REF!</v>
      </c>
      <c r="O367" s="423" t="e">
        <f>IF(C367&lt;&gt;"",IF(ISERROR((100000/E367)^(252/N367)-1),Curva!$B$2,((100000/E367)^(252/N367)-1)),"")</f>
        <v>#REF!</v>
      </c>
      <c r="P367" s="219" t="e">
        <f>IF(OR(G367=1,G367=2),dadosexternosBMF_1!B370,"")</f>
        <v>#REF!</v>
      </c>
      <c r="Q367" s="219" t="e">
        <f>IF(OR(G367=1,G367=2),dadosexternosBMF_1!D370,"")</f>
        <v>#REF!</v>
      </c>
    </row>
    <row r="368" spans="1:17" x14ac:dyDescent="0.2">
      <c r="A368" s="222" t="e">
        <f t="shared" si="48"/>
        <v>#REF!</v>
      </c>
      <c r="B368" s="222" t="str">
        <f>IF(dadosexternosBMF_1!A371="DI1 - DI de 1 dia","DI1 - DI de 1 dia","")</f>
        <v/>
      </c>
      <c r="C368" s="222" t="e">
        <f>IF(dadosexternosBMF_1!A371="DOL - Dólar comercial","",IF(C367&lt;&gt;"",dadosexternosBMF_1!B371,IF(dadosexternosBMF_1!A371="DI1 - DI de 1 dia",dadosexternosBMF_1!B371,"")))</f>
        <v>#REF!</v>
      </c>
      <c r="D368" s="222" t="e">
        <f>IF(C368&lt;&gt;"",dadosexternosBMF_1!C371,"")</f>
        <v>#REF!</v>
      </c>
      <c r="E368" s="222" t="e">
        <f>IF(C368&lt;&gt;"",dadosexternosBMF_1!D371,"")</f>
        <v>#REF!</v>
      </c>
      <c r="G368" s="219" t="e">
        <f t="shared" si="49"/>
        <v>#REF!</v>
      </c>
      <c r="H368" s="219" t="e">
        <f t="shared" si="50"/>
        <v>#REF!</v>
      </c>
      <c r="I368" s="219" t="e">
        <f t="shared" si="51"/>
        <v>#REF!</v>
      </c>
      <c r="J368" s="219" t="e">
        <f>IF(I368="","",VLOOKUP(LEFT(C368,1),dadosexternosBMF_1!$L$2:$M$13,2,FALSE))</f>
        <v>#REF!</v>
      </c>
      <c r="K368" s="219" t="e">
        <f t="shared" si="52"/>
        <v>#REF!</v>
      </c>
      <c r="L368" s="422" t="e">
        <f t="shared" si="53"/>
        <v>#REF!</v>
      </c>
      <c r="M368" s="422" t="e">
        <f>IF(I368="","",WORKDAY(L368-1,1,FERIADOS!$A$2:$A$831))</f>
        <v>#REF!</v>
      </c>
      <c r="N368" s="219" t="e">
        <f>IF(I368="","",NETWORKDAYS(Curva!$M$2,M368,FERIADOS!$A$2:$A$831)-1)</f>
        <v>#REF!</v>
      </c>
      <c r="O368" s="423" t="e">
        <f>IF(C368&lt;&gt;"",IF(ISERROR((100000/E368)^(252/N368)-1),Curva!$B$2,((100000/E368)^(252/N368)-1)),"")</f>
        <v>#REF!</v>
      </c>
      <c r="P368" s="219" t="e">
        <f>IF(OR(G368=1,G368=2),dadosexternosBMF_1!B371,"")</f>
        <v>#REF!</v>
      </c>
      <c r="Q368" s="219" t="e">
        <f>IF(OR(G368=1,G368=2),dadosexternosBMF_1!D371,"")</f>
        <v>#REF!</v>
      </c>
    </row>
    <row r="369" spans="1:17" x14ac:dyDescent="0.2">
      <c r="A369" s="222" t="e">
        <f t="shared" si="48"/>
        <v>#REF!</v>
      </c>
      <c r="B369" s="222" t="str">
        <f>IF(dadosexternosBMF_1!A372="DI1 - DI de 1 dia","DI1 - DI de 1 dia","")</f>
        <v/>
      </c>
      <c r="C369" s="222" t="e">
        <f>IF(dadosexternosBMF_1!A372="DOL - Dólar comercial","",IF(C368&lt;&gt;"",dadosexternosBMF_1!B372,IF(dadosexternosBMF_1!A372="DI1 - DI de 1 dia",dadosexternosBMF_1!B372,"")))</f>
        <v>#REF!</v>
      </c>
      <c r="D369" s="222" t="e">
        <f>IF(C369&lt;&gt;"",dadosexternosBMF_1!C372,"")</f>
        <v>#REF!</v>
      </c>
      <c r="E369" s="222" t="e">
        <f>IF(C369&lt;&gt;"",dadosexternosBMF_1!D372,"")</f>
        <v>#REF!</v>
      </c>
      <c r="G369" s="219" t="e">
        <f t="shared" si="49"/>
        <v>#REF!</v>
      </c>
      <c r="H369" s="219" t="e">
        <f t="shared" si="50"/>
        <v>#REF!</v>
      </c>
      <c r="I369" s="219" t="e">
        <f t="shared" si="51"/>
        <v>#REF!</v>
      </c>
      <c r="J369" s="219" t="e">
        <f>IF(I369="","",VLOOKUP(LEFT(C369,1),dadosexternosBMF_1!$L$2:$M$13,2,FALSE))</f>
        <v>#REF!</v>
      </c>
      <c r="K369" s="219" t="e">
        <f t="shared" si="52"/>
        <v>#REF!</v>
      </c>
      <c r="L369" s="422" t="e">
        <f t="shared" si="53"/>
        <v>#REF!</v>
      </c>
      <c r="M369" s="422" t="e">
        <f>IF(I369="","",WORKDAY(L369-1,1,FERIADOS!$A$2:$A$831))</f>
        <v>#REF!</v>
      </c>
      <c r="N369" s="219" t="e">
        <f>IF(I369="","",NETWORKDAYS(Curva!$M$2,M369,FERIADOS!$A$2:$A$831)-1)</f>
        <v>#REF!</v>
      </c>
      <c r="O369" s="423" t="e">
        <f>IF(C369&lt;&gt;"",IF(ISERROR((100000/E369)^(252/N369)-1),Curva!$B$2,((100000/E369)^(252/N369)-1)),"")</f>
        <v>#REF!</v>
      </c>
      <c r="P369" s="219" t="e">
        <f>IF(OR(G369=1,G369=2),dadosexternosBMF_1!B372,"")</f>
        <v>#REF!</v>
      </c>
      <c r="Q369" s="219" t="e">
        <f>IF(OR(G369=1,G369=2),dadosexternosBMF_1!D372,"")</f>
        <v>#REF!</v>
      </c>
    </row>
    <row r="370" spans="1:17" x14ac:dyDescent="0.2">
      <c r="A370" s="222" t="e">
        <f t="shared" si="48"/>
        <v>#REF!</v>
      </c>
      <c r="B370" s="222" t="str">
        <f>IF(dadosexternosBMF_1!A373="DI1 - DI de 1 dia","DI1 - DI de 1 dia","")</f>
        <v/>
      </c>
      <c r="C370" s="222" t="e">
        <f>IF(dadosexternosBMF_1!A373="DOL - Dólar comercial","",IF(C369&lt;&gt;"",dadosexternosBMF_1!B373,IF(dadosexternosBMF_1!A373="DI1 - DI de 1 dia",dadosexternosBMF_1!B373,"")))</f>
        <v>#REF!</v>
      </c>
      <c r="D370" s="222" t="e">
        <f>IF(C370&lt;&gt;"",dadosexternosBMF_1!C373,"")</f>
        <v>#REF!</v>
      </c>
      <c r="E370" s="222" t="e">
        <f>IF(C370&lt;&gt;"",dadosexternosBMF_1!D373,"")</f>
        <v>#REF!</v>
      </c>
      <c r="G370" s="219" t="e">
        <f t="shared" si="49"/>
        <v>#REF!</v>
      </c>
      <c r="H370" s="219" t="e">
        <f t="shared" si="50"/>
        <v>#REF!</v>
      </c>
      <c r="I370" s="219" t="e">
        <f t="shared" si="51"/>
        <v>#REF!</v>
      </c>
      <c r="J370" s="219" t="e">
        <f>IF(I370="","",VLOOKUP(LEFT(C370,1),dadosexternosBMF_1!$L$2:$M$13,2,FALSE))</f>
        <v>#REF!</v>
      </c>
      <c r="K370" s="219" t="e">
        <f t="shared" si="52"/>
        <v>#REF!</v>
      </c>
      <c r="L370" s="422" t="e">
        <f t="shared" si="53"/>
        <v>#REF!</v>
      </c>
      <c r="M370" s="422" t="e">
        <f>IF(I370="","",WORKDAY(L370-1,1,FERIADOS!$A$2:$A$831))</f>
        <v>#REF!</v>
      </c>
      <c r="N370" s="219" t="e">
        <f>IF(I370="","",NETWORKDAYS(Curva!$M$2,M370,FERIADOS!$A$2:$A$831)-1)</f>
        <v>#REF!</v>
      </c>
      <c r="O370" s="423" t="e">
        <f>IF(C370&lt;&gt;"",IF(ISERROR((100000/E370)^(252/N370)-1),Curva!$B$2,((100000/E370)^(252/N370)-1)),"")</f>
        <v>#REF!</v>
      </c>
      <c r="P370" s="219" t="e">
        <f>IF(OR(G370=1,G370=2),dadosexternosBMF_1!B373,"")</f>
        <v>#REF!</v>
      </c>
      <c r="Q370" s="219" t="e">
        <f>IF(OR(G370=1,G370=2),dadosexternosBMF_1!D373,"")</f>
        <v>#REF!</v>
      </c>
    </row>
    <row r="371" spans="1:17" x14ac:dyDescent="0.2">
      <c r="A371" s="222" t="e">
        <f t="shared" si="48"/>
        <v>#REF!</v>
      </c>
      <c r="B371" s="222" t="str">
        <f>IF(dadosexternosBMF_1!A374="DI1 - DI de 1 dia","DI1 - DI de 1 dia","")</f>
        <v/>
      </c>
      <c r="C371" s="222" t="e">
        <f>IF(dadosexternosBMF_1!A374="DOL - Dólar comercial","",IF(C370&lt;&gt;"",dadosexternosBMF_1!B374,IF(dadosexternosBMF_1!A374="DI1 - DI de 1 dia",dadosexternosBMF_1!B374,"")))</f>
        <v>#REF!</v>
      </c>
      <c r="D371" s="222" t="e">
        <f>IF(C371&lt;&gt;"",dadosexternosBMF_1!C374,"")</f>
        <v>#REF!</v>
      </c>
      <c r="E371" s="222" t="e">
        <f>IF(C371&lt;&gt;"",dadosexternosBMF_1!D374,"")</f>
        <v>#REF!</v>
      </c>
      <c r="G371" s="219" t="e">
        <f t="shared" si="49"/>
        <v>#REF!</v>
      </c>
      <c r="H371" s="219" t="e">
        <f t="shared" si="50"/>
        <v>#REF!</v>
      </c>
      <c r="I371" s="219" t="e">
        <f t="shared" si="51"/>
        <v>#REF!</v>
      </c>
      <c r="J371" s="219" t="e">
        <f>IF(I371="","",VLOOKUP(LEFT(C371,1),dadosexternosBMF_1!$L$2:$M$13,2,FALSE))</f>
        <v>#REF!</v>
      </c>
      <c r="K371" s="219" t="e">
        <f t="shared" si="52"/>
        <v>#REF!</v>
      </c>
      <c r="L371" s="422" t="e">
        <f t="shared" si="53"/>
        <v>#REF!</v>
      </c>
      <c r="M371" s="422" t="e">
        <f>IF(I371="","",WORKDAY(L371-1,1,FERIADOS!$A$2:$A$831))</f>
        <v>#REF!</v>
      </c>
      <c r="N371" s="219" t="e">
        <f>IF(I371="","",NETWORKDAYS(Curva!$M$2,M371,FERIADOS!$A$2:$A$831)-1)</f>
        <v>#REF!</v>
      </c>
      <c r="O371" s="423" t="e">
        <f>IF(C371&lt;&gt;"",IF(ISERROR((100000/E371)^(252/N371)-1),Curva!$B$2,((100000/E371)^(252/N371)-1)),"")</f>
        <v>#REF!</v>
      </c>
      <c r="P371" s="219" t="e">
        <f>IF(OR(G371=1,G371=2),dadosexternosBMF_1!B374,"")</f>
        <v>#REF!</v>
      </c>
      <c r="Q371" s="219" t="e">
        <f>IF(OR(G371=1,G371=2),dadosexternosBMF_1!D374,"")</f>
        <v>#REF!</v>
      </c>
    </row>
    <row r="372" spans="1:17" x14ac:dyDescent="0.2">
      <c r="A372" s="222" t="e">
        <f t="shared" si="48"/>
        <v>#REF!</v>
      </c>
      <c r="B372" s="222" t="str">
        <f>IF(dadosexternosBMF_1!A375="DI1 - DI de 1 dia","DI1 - DI de 1 dia","")</f>
        <v/>
      </c>
      <c r="C372" s="222" t="e">
        <f>IF(dadosexternosBMF_1!A375="DOL - Dólar comercial","",IF(C371&lt;&gt;"",dadosexternosBMF_1!B375,IF(dadosexternosBMF_1!A375="DI1 - DI de 1 dia",dadosexternosBMF_1!B375,"")))</f>
        <v>#REF!</v>
      </c>
      <c r="D372" s="222" t="e">
        <f>IF(C372&lt;&gt;"",dadosexternosBMF_1!C375,"")</f>
        <v>#REF!</v>
      </c>
      <c r="E372" s="222" t="e">
        <f>IF(C372&lt;&gt;"",dadosexternosBMF_1!D375,"")</f>
        <v>#REF!</v>
      </c>
      <c r="G372" s="219" t="e">
        <f t="shared" si="49"/>
        <v>#REF!</v>
      </c>
      <c r="H372" s="219" t="e">
        <f t="shared" si="50"/>
        <v>#REF!</v>
      </c>
      <c r="I372" s="219" t="e">
        <f t="shared" si="51"/>
        <v>#REF!</v>
      </c>
      <c r="J372" s="219" t="e">
        <f>IF(I372="","",VLOOKUP(LEFT(C372,1),dadosexternosBMF_1!$L$2:$M$13,2,FALSE))</f>
        <v>#REF!</v>
      </c>
      <c r="K372" s="219" t="e">
        <f t="shared" si="52"/>
        <v>#REF!</v>
      </c>
      <c r="L372" s="422" t="e">
        <f t="shared" si="53"/>
        <v>#REF!</v>
      </c>
      <c r="M372" s="422" t="e">
        <f>IF(I372="","",WORKDAY(L372-1,1,FERIADOS!$A$2:$A$831))</f>
        <v>#REF!</v>
      </c>
      <c r="N372" s="219" t="e">
        <f>IF(I372="","",NETWORKDAYS(Curva!$M$2,M372,FERIADOS!$A$2:$A$831)-1)</f>
        <v>#REF!</v>
      </c>
      <c r="O372" s="423" t="e">
        <f>IF(C372&lt;&gt;"",IF(ISERROR((100000/E372)^(252/N372)-1),Curva!$B$2,((100000/E372)^(252/N372)-1)),"")</f>
        <v>#REF!</v>
      </c>
      <c r="P372" s="219" t="e">
        <f>IF(OR(G372=1,G372=2),dadosexternosBMF_1!B375,"")</f>
        <v>#REF!</v>
      </c>
      <c r="Q372" s="219" t="e">
        <f>IF(OR(G372=1,G372=2),dadosexternosBMF_1!D375,"")</f>
        <v>#REF!</v>
      </c>
    </row>
    <row r="373" spans="1:17" x14ac:dyDescent="0.2">
      <c r="A373" s="222" t="e">
        <f t="shared" si="48"/>
        <v>#REF!</v>
      </c>
      <c r="B373" s="222" t="str">
        <f>IF(dadosexternosBMF_1!A376="DI1 - DI de 1 dia","DI1 - DI de 1 dia","")</f>
        <v/>
      </c>
      <c r="C373" s="222" t="e">
        <f>IF(dadosexternosBMF_1!A376="DOL - Dólar comercial","",IF(C372&lt;&gt;"",dadosexternosBMF_1!B376,IF(dadosexternosBMF_1!A376="DI1 - DI de 1 dia",dadosexternosBMF_1!B376,"")))</f>
        <v>#REF!</v>
      </c>
      <c r="D373" s="222" t="e">
        <f>IF(C373&lt;&gt;"",dadosexternosBMF_1!C376,"")</f>
        <v>#REF!</v>
      </c>
      <c r="E373" s="222" t="e">
        <f>IF(C373&lt;&gt;"",dadosexternosBMF_1!D376,"")</f>
        <v>#REF!</v>
      </c>
      <c r="G373" s="219" t="e">
        <f t="shared" si="49"/>
        <v>#REF!</v>
      </c>
      <c r="H373" s="219" t="e">
        <f t="shared" si="50"/>
        <v>#REF!</v>
      </c>
      <c r="I373" s="219" t="e">
        <f t="shared" si="51"/>
        <v>#REF!</v>
      </c>
      <c r="J373" s="219" t="e">
        <f>IF(I373="","",VLOOKUP(LEFT(C373,1),dadosexternosBMF_1!$L$2:$M$13,2,FALSE))</f>
        <v>#REF!</v>
      </c>
      <c r="K373" s="219" t="e">
        <f t="shared" si="52"/>
        <v>#REF!</v>
      </c>
      <c r="L373" s="422" t="e">
        <f t="shared" si="53"/>
        <v>#REF!</v>
      </c>
      <c r="M373" s="422" t="e">
        <f>IF(I373="","",WORKDAY(L373-1,1,FERIADOS!$A$2:$A$831))</f>
        <v>#REF!</v>
      </c>
      <c r="N373" s="219" t="e">
        <f>IF(I373="","",NETWORKDAYS(Curva!$M$2,M373,FERIADOS!$A$2:$A$831)-1)</f>
        <v>#REF!</v>
      </c>
      <c r="O373" s="423" t="e">
        <f>IF(C373&lt;&gt;"",IF(ISERROR((100000/E373)^(252/N373)-1),Curva!$B$2,((100000/E373)^(252/N373)-1)),"")</f>
        <v>#REF!</v>
      </c>
      <c r="P373" s="219" t="e">
        <f>IF(OR(G373=1,G373=2),dadosexternosBMF_1!B376,"")</f>
        <v>#REF!</v>
      </c>
      <c r="Q373" s="219" t="e">
        <f>IF(OR(G373=1,G373=2),dadosexternosBMF_1!D376,"")</f>
        <v>#REF!</v>
      </c>
    </row>
    <row r="374" spans="1:17" x14ac:dyDescent="0.2">
      <c r="A374" s="222" t="e">
        <f t="shared" si="48"/>
        <v>#REF!</v>
      </c>
      <c r="B374" s="222" t="str">
        <f>IF(dadosexternosBMF_1!A377="DI1 - DI de 1 dia","DI1 - DI de 1 dia","")</f>
        <v/>
      </c>
      <c r="C374" s="222" t="e">
        <f>IF(dadosexternosBMF_1!A377="DOL - Dólar comercial","",IF(C373&lt;&gt;"",dadosexternosBMF_1!B377,IF(dadosexternosBMF_1!A377="DI1 - DI de 1 dia",dadosexternosBMF_1!B377,"")))</f>
        <v>#REF!</v>
      </c>
      <c r="D374" s="222" t="e">
        <f>IF(C374&lt;&gt;"",dadosexternosBMF_1!C377,"")</f>
        <v>#REF!</v>
      </c>
      <c r="E374" s="222" t="e">
        <f>IF(C374&lt;&gt;"",dadosexternosBMF_1!D377,"")</f>
        <v>#REF!</v>
      </c>
      <c r="G374" s="219" t="e">
        <f t="shared" si="49"/>
        <v>#REF!</v>
      </c>
      <c r="H374" s="219" t="e">
        <f t="shared" si="50"/>
        <v>#REF!</v>
      </c>
      <c r="I374" s="219" t="e">
        <f t="shared" si="51"/>
        <v>#REF!</v>
      </c>
      <c r="J374" s="219" t="e">
        <f>IF(I374="","",VLOOKUP(LEFT(C374,1),dadosexternosBMF_1!$L$2:$M$13,2,FALSE))</f>
        <v>#REF!</v>
      </c>
      <c r="K374" s="219" t="e">
        <f t="shared" si="52"/>
        <v>#REF!</v>
      </c>
      <c r="L374" s="422" t="e">
        <f t="shared" si="53"/>
        <v>#REF!</v>
      </c>
      <c r="M374" s="422" t="e">
        <f>IF(I374="","",WORKDAY(L374-1,1,FERIADOS!$A$2:$A$831))</f>
        <v>#REF!</v>
      </c>
      <c r="N374" s="219" t="e">
        <f>IF(I374="","",NETWORKDAYS(Curva!$M$2,M374,FERIADOS!$A$2:$A$831)-1)</f>
        <v>#REF!</v>
      </c>
      <c r="O374" s="423" t="e">
        <f>IF(C374&lt;&gt;"",IF(ISERROR((100000/E374)^(252/N374)-1),Curva!$B$2,((100000/E374)^(252/N374)-1)),"")</f>
        <v>#REF!</v>
      </c>
      <c r="P374" s="219" t="e">
        <f>IF(OR(G374=1,G374=2),dadosexternosBMF_1!B377,"")</f>
        <v>#REF!</v>
      </c>
      <c r="Q374" s="219" t="e">
        <f>IF(OR(G374=1,G374=2),dadosexternosBMF_1!D377,"")</f>
        <v>#REF!</v>
      </c>
    </row>
    <row r="375" spans="1:17" x14ac:dyDescent="0.2">
      <c r="A375" s="222" t="e">
        <f t="shared" si="48"/>
        <v>#REF!</v>
      </c>
      <c r="B375" s="222" t="str">
        <f>IF(dadosexternosBMF_1!A378="DI1 - DI de 1 dia","DI1 - DI de 1 dia","")</f>
        <v/>
      </c>
      <c r="C375" s="222" t="e">
        <f>IF(dadosexternosBMF_1!A378="DOL - Dólar comercial","",IF(C374&lt;&gt;"",dadosexternosBMF_1!B378,IF(dadosexternosBMF_1!A378="DI1 - DI de 1 dia",dadosexternosBMF_1!B378,"")))</f>
        <v>#REF!</v>
      </c>
      <c r="D375" s="222" t="e">
        <f>IF(C375&lt;&gt;"",dadosexternosBMF_1!C378,"")</f>
        <v>#REF!</v>
      </c>
      <c r="E375" s="222" t="e">
        <f>IF(C375&lt;&gt;"",dadosexternosBMF_1!D378,"")</f>
        <v>#REF!</v>
      </c>
      <c r="G375" s="219" t="e">
        <f t="shared" si="49"/>
        <v>#REF!</v>
      </c>
      <c r="H375" s="219" t="e">
        <f t="shared" si="50"/>
        <v>#REF!</v>
      </c>
      <c r="I375" s="219" t="e">
        <f t="shared" si="51"/>
        <v>#REF!</v>
      </c>
      <c r="J375" s="219" t="e">
        <f>IF(I375="","",VLOOKUP(LEFT(C375,1),dadosexternosBMF_1!$L$2:$M$13,2,FALSE))</f>
        <v>#REF!</v>
      </c>
      <c r="K375" s="219" t="e">
        <f t="shared" si="52"/>
        <v>#REF!</v>
      </c>
      <c r="L375" s="422" t="e">
        <f t="shared" si="53"/>
        <v>#REF!</v>
      </c>
      <c r="M375" s="422" t="e">
        <f>IF(I375="","",WORKDAY(L375-1,1,FERIADOS!$A$2:$A$831))</f>
        <v>#REF!</v>
      </c>
      <c r="N375" s="219" t="e">
        <f>IF(I375="","",NETWORKDAYS(Curva!$M$2,M375,FERIADOS!$A$2:$A$831)-1)</f>
        <v>#REF!</v>
      </c>
      <c r="O375" s="423" t="e">
        <f>IF(C375&lt;&gt;"",IF(ISERROR((100000/E375)^(252/N375)-1),Curva!$B$2,((100000/E375)^(252/N375)-1)),"")</f>
        <v>#REF!</v>
      </c>
      <c r="P375" s="219" t="e">
        <f>IF(OR(G375=1,G375=2),dadosexternosBMF_1!B378,"")</f>
        <v>#REF!</v>
      </c>
      <c r="Q375" s="219" t="e">
        <f>IF(OR(G375=1,G375=2),dadosexternosBMF_1!D378,"")</f>
        <v>#REF!</v>
      </c>
    </row>
    <row r="376" spans="1:17" x14ac:dyDescent="0.2">
      <c r="A376" s="222" t="e">
        <f t="shared" si="48"/>
        <v>#REF!</v>
      </c>
      <c r="B376" s="222" t="str">
        <f>IF(dadosexternosBMF_1!A379="DI1 - DI de 1 dia","DI1 - DI de 1 dia","")</f>
        <v/>
      </c>
      <c r="C376" s="222" t="e">
        <f>IF(dadosexternosBMF_1!A379="DOL - Dólar comercial","",IF(C375&lt;&gt;"",dadosexternosBMF_1!B379,IF(dadosexternosBMF_1!A379="DI1 - DI de 1 dia",dadosexternosBMF_1!B379,"")))</f>
        <v>#REF!</v>
      </c>
      <c r="D376" s="222" t="e">
        <f>IF(C376&lt;&gt;"",dadosexternosBMF_1!C379,"")</f>
        <v>#REF!</v>
      </c>
      <c r="E376" s="222" t="e">
        <f>IF(C376&lt;&gt;"",dadosexternosBMF_1!D379,"")</f>
        <v>#REF!</v>
      </c>
      <c r="G376" s="219" t="e">
        <f t="shared" si="49"/>
        <v>#REF!</v>
      </c>
      <c r="H376" s="219" t="e">
        <f t="shared" si="50"/>
        <v>#REF!</v>
      </c>
      <c r="I376" s="219" t="e">
        <f t="shared" si="51"/>
        <v>#REF!</v>
      </c>
      <c r="J376" s="219" t="e">
        <f>IF(I376="","",VLOOKUP(LEFT(C376,1),dadosexternosBMF_1!$L$2:$M$13,2,FALSE))</f>
        <v>#REF!</v>
      </c>
      <c r="K376" s="219" t="e">
        <f t="shared" si="52"/>
        <v>#REF!</v>
      </c>
      <c r="L376" s="422" t="e">
        <f t="shared" si="53"/>
        <v>#REF!</v>
      </c>
      <c r="M376" s="422" t="e">
        <f>IF(I376="","",WORKDAY(L376-1,1,FERIADOS!$A$2:$A$831))</f>
        <v>#REF!</v>
      </c>
      <c r="N376" s="219" t="e">
        <f>IF(I376="","",NETWORKDAYS(Curva!$M$2,M376,FERIADOS!$A$2:$A$831)-1)</f>
        <v>#REF!</v>
      </c>
      <c r="O376" s="423" t="e">
        <f>IF(C376&lt;&gt;"",IF(ISERROR((100000/E376)^(252/N376)-1),Curva!$B$2,((100000/E376)^(252/N376)-1)),"")</f>
        <v>#REF!</v>
      </c>
      <c r="P376" s="219" t="e">
        <f>IF(OR(G376=1,G376=2),dadosexternosBMF_1!B379,"")</f>
        <v>#REF!</v>
      </c>
      <c r="Q376" s="219" t="e">
        <f>IF(OR(G376=1,G376=2),dadosexternosBMF_1!D379,"")</f>
        <v>#REF!</v>
      </c>
    </row>
    <row r="377" spans="1:17" x14ac:dyDescent="0.2">
      <c r="A377" s="222" t="e">
        <f t="shared" si="48"/>
        <v>#REF!</v>
      </c>
      <c r="B377" s="222" t="str">
        <f>IF(dadosexternosBMF_1!A380="DI1 - DI de 1 dia","DI1 - DI de 1 dia","")</f>
        <v/>
      </c>
      <c r="C377" s="222" t="e">
        <f>IF(dadosexternosBMF_1!A380="DOL - Dólar comercial","",IF(C376&lt;&gt;"",dadosexternosBMF_1!B380,IF(dadosexternosBMF_1!A380="DI1 - DI de 1 dia",dadosexternosBMF_1!B380,"")))</f>
        <v>#REF!</v>
      </c>
      <c r="D377" s="222" t="e">
        <f>IF(C377&lt;&gt;"",dadosexternosBMF_1!C380,"")</f>
        <v>#REF!</v>
      </c>
      <c r="E377" s="222" t="e">
        <f>IF(C377&lt;&gt;"",dadosexternosBMF_1!D380,"")</f>
        <v>#REF!</v>
      </c>
      <c r="G377" s="219" t="e">
        <f t="shared" si="49"/>
        <v>#REF!</v>
      </c>
      <c r="H377" s="219" t="e">
        <f t="shared" si="50"/>
        <v>#REF!</v>
      </c>
      <c r="I377" s="219" t="e">
        <f t="shared" si="51"/>
        <v>#REF!</v>
      </c>
      <c r="J377" s="219" t="e">
        <f>IF(I377="","",VLOOKUP(LEFT(C377,1),dadosexternosBMF_1!$L$2:$M$13,2,FALSE))</f>
        <v>#REF!</v>
      </c>
      <c r="K377" s="219" t="e">
        <f t="shared" si="52"/>
        <v>#REF!</v>
      </c>
      <c r="L377" s="422" t="e">
        <f t="shared" si="53"/>
        <v>#REF!</v>
      </c>
      <c r="M377" s="422" t="e">
        <f>IF(I377="","",WORKDAY(L377-1,1,FERIADOS!$A$2:$A$831))</f>
        <v>#REF!</v>
      </c>
      <c r="N377" s="219" t="e">
        <f>IF(I377="","",NETWORKDAYS(Curva!$M$2,M377,FERIADOS!$A$2:$A$831)-1)</f>
        <v>#REF!</v>
      </c>
      <c r="O377" s="423" t="e">
        <f>IF(C377&lt;&gt;"",IF(ISERROR((100000/E377)^(252/N377)-1),Curva!$B$2,((100000/E377)^(252/N377)-1)),"")</f>
        <v>#REF!</v>
      </c>
      <c r="P377" s="219" t="e">
        <f>IF(OR(G377=1,G377=2),dadosexternosBMF_1!B380,"")</f>
        <v>#REF!</v>
      </c>
      <c r="Q377" s="219" t="e">
        <f>IF(OR(G377=1,G377=2),dadosexternosBMF_1!D380,"")</f>
        <v>#REF!</v>
      </c>
    </row>
    <row r="378" spans="1:17" x14ac:dyDescent="0.2">
      <c r="A378" s="222" t="e">
        <f t="shared" si="48"/>
        <v>#REF!</v>
      </c>
      <c r="B378" s="222" t="str">
        <f>IF(dadosexternosBMF_1!A381="DI1 - DI de 1 dia","DI1 - DI de 1 dia","")</f>
        <v/>
      </c>
      <c r="C378" s="222" t="e">
        <f>IF(dadosexternosBMF_1!A381="DOL - Dólar comercial","",IF(C377&lt;&gt;"",dadosexternosBMF_1!B381,IF(dadosexternosBMF_1!A381="DI1 - DI de 1 dia",dadosexternosBMF_1!B381,"")))</f>
        <v>#REF!</v>
      </c>
      <c r="D378" s="222" t="e">
        <f>IF(C378&lt;&gt;"",dadosexternosBMF_1!C381,"")</f>
        <v>#REF!</v>
      </c>
      <c r="E378" s="222" t="e">
        <f>IF(C378&lt;&gt;"",dadosexternosBMF_1!D381,"")</f>
        <v>#REF!</v>
      </c>
      <c r="G378" s="219" t="e">
        <f t="shared" si="49"/>
        <v>#REF!</v>
      </c>
      <c r="H378" s="219" t="e">
        <f t="shared" si="50"/>
        <v>#REF!</v>
      </c>
      <c r="I378" s="219" t="e">
        <f t="shared" si="51"/>
        <v>#REF!</v>
      </c>
      <c r="J378" s="219" t="e">
        <f>IF(I378="","",VLOOKUP(LEFT(C378,1),dadosexternosBMF_1!$L$2:$M$13,2,FALSE))</f>
        <v>#REF!</v>
      </c>
      <c r="K378" s="219" t="e">
        <f t="shared" si="52"/>
        <v>#REF!</v>
      </c>
      <c r="L378" s="422" t="e">
        <f t="shared" si="53"/>
        <v>#REF!</v>
      </c>
      <c r="M378" s="422" t="e">
        <f>IF(I378="","",WORKDAY(L378-1,1,FERIADOS!$A$2:$A$831))</f>
        <v>#REF!</v>
      </c>
      <c r="N378" s="219" t="e">
        <f>IF(I378="","",NETWORKDAYS(Curva!$M$2,M378,FERIADOS!$A$2:$A$831)-1)</f>
        <v>#REF!</v>
      </c>
      <c r="O378" s="423" t="e">
        <f>IF(C378&lt;&gt;"",IF(ISERROR((100000/E378)^(252/N378)-1),Curva!$B$2,((100000/E378)^(252/N378)-1)),"")</f>
        <v>#REF!</v>
      </c>
      <c r="P378" s="219" t="e">
        <f>IF(OR(G378=1,G378=2),dadosexternosBMF_1!B381,"")</f>
        <v>#REF!</v>
      </c>
      <c r="Q378" s="219" t="e">
        <f>IF(OR(G378=1,G378=2),dadosexternosBMF_1!D381,"")</f>
        <v>#REF!</v>
      </c>
    </row>
    <row r="379" spans="1:17" x14ac:dyDescent="0.2">
      <c r="A379" s="222" t="e">
        <f t="shared" si="48"/>
        <v>#REF!</v>
      </c>
      <c r="B379" s="222" t="str">
        <f>IF(dadosexternosBMF_1!A382="DI1 - DI de 1 dia","DI1 - DI de 1 dia","")</f>
        <v/>
      </c>
      <c r="C379" s="222" t="e">
        <f>IF(dadosexternosBMF_1!A382="DOL - Dólar comercial","",IF(C378&lt;&gt;"",dadosexternosBMF_1!B382,IF(dadosexternosBMF_1!A382="DI1 - DI de 1 dia",dadosexternosBMF_1!B382,"")))</f>
        <v>#REF!</v>
      </c>
      <c r="D379" s="222" t="e">
        <f>IF(C379&lt;&gt;"",dadosexternosBMF_1!C382,"")</f>
        <v>#REF!</v>
      </c>
      <c r="E379" s="222" t="e">
        <f>IF(C379&lt;&gt;"",dadosexternosBMF_1!D382,"")</f>
        <v>#REF!</v>
      </c>
      <c r="G379" s="219" t="e">
        <f t="shared" si="49"/>
        <v>#REF!</v>
      </c>
      <c r="H379" s="219" t="e">
        <f t="shared" si="50"/>
        <v>#REF!</v>
      </c>
      <c r="I379" s="219" t="e">
        <f t="shared" si="51"/>
        <v>#REF!</v>
      </c>
      <c r="J379" s="219" t="e">
        <f>IF(I379="","",VLOOKUP(LEFT(C379,1),dadosexternosBMF_1!$L$2:$M$13,2,FALSE))</f>
        <v>#REF!</v>
      </c>
      <c r="K379" s="219" t="e">
        <f t="shared" si="52"/>
        <v>#REF!</v>
      </c>
      <c r="L379" s="422" t="e">
        <f t="shared" si="53"/>
        <v>#REF!</v>
      </c>
      <c r="M379" s="422" t="e">
        <f>IF(I379="","",WORKDAY(L379-1,1,FERIADOS!$A$2:$A$831))</f>
        <v>#REF!</v>
      </c>
      <c r="N379" s="219" t="e">
        <f>IF(I379="","",NETWORKDAYS(Curva!$M$2,M379,FERIADOS!$A$2:$A$831)-1)</f>
        <v>#REF!</v>
      </c>
      <c r="O379" s="423" t="e">
        <f>IF(C379&lt;&gt;"",IF(ISERROR((100000/E379)^(252/N379)-1),Curva!$B$2,((100000/E379)^(252/N379)-1)),"")</f>
        <v>#REF!</v>
      </c>
      <c r="P379" s="219" t="e">
        <f>IF(OR(G379=1,G379=2),dadosexternosBMF_1!B382,"")</f>
        <v>#REF!</v>
      </c>
      <c r="Q379" s="219" t="e">
        <f>IF(OR(G379=1,G379=2),dadosexternosBMF_1!D382,"")</f>
        <v>#REF!</v>
      </c>
    </row>
    <row r="380" spans="1:17" x14ac:dyDescent="0.2">
      <c r="A380" s="222" t="e">
        <f t="shared" si="48"/>
        <v>#REF!</v>
      </c>
      <c r="B380" s="222" t="str">
        <f>IF(dadosexternosBMF_1!A383="DI1 - DI de 1 dia","DI1 - DI de 1 dia","")</f>
        <v/>
      </c>
      <c r="C380" s="222" t="e">
        <f>IF(dadosexternosBMF_1!A383="DOL - Dólar comercial","",IF(C379&lt;&gt;"",dadosexternosBMF_1!B383,IF(dadosexternosBMF_1!A383="DI1 - DI de 1 dia",dadosexternosBMF_1!B383,"")))</f>
        <v>#REF!</v>
      </c>
      <c r="D380" s="222" t="e">
        <f>IF(C380&lt;&gt;"",dadosexternosBMF_1!C383,"")</f>
        <v>#REF!</v>
      </c>
      <c r="E380" s="222" t="e">
        <f>IF(C380&lt;&gt;"",dadosexternosBMF_1!D383,"")</f>
        <v>#REF!</v>
      </c>
      <c r="G380" s="219" t="e">
        <f t="shared" si="49"/>
        <v>#REF!</v>
      </c>
      <c r="H380" s="219" t="e">
        <f t="shared" si="50"/>
        <v>#REF!</v>
      </c>
      <c r="I380" s="219" t="e">
        <f t="shared" si="51"/>
        <v>#REF!</v>
      </c>
      <c r="J380" s="219" t="e">
        <f>IF(I380="","",VLOOKUP(LEFT(C380,1),dadosexternosBMF_1!$L$2:$M$13,2,FALSE))</f>
        <v>#REF!</v>
      </c>
      <c r="K380" s="219" t="e">
        <f t="shared" si="52"/>
        <v>#REF!</v>
      </c>
      <c r="L380" s="422" t="e">
        <f t="shared" si="53"/>
        <v>#REF!</v>
      </c>
      <c r="M380" s="422" t="e">
        <f>IF(I380="","",WORKDAY(L380-1,1,FERIADOS!$A$2:$A$831))</f>
        <v>#REF!</v>
      </c>
      <c r="N380" s="219" t="e">
        <f>IF(I380="","",NETWORKDAYS(Curva!$M$2,M380,FERIADOS!$A$2:$A$831)-1)</f>
        <v>#REF!</v>
      </c>
      <c r="O380" s="423" t="e">
        <f>IF(C380&lt;&gt;"",IF(ISERROR((100000/E380)^(252/N380)-1),Curva!$B$2,((100000/E380)^(252/N380)-1)),"")</f>
        <v>#REF!</v>
      </c>
      <c r="P380" s="219" t="e">
        <f>IF(OR(G380=1,G380=2),dadosexternosBMF_1!B383,"")</f>
        <v>#REF!</v>
      </c>
      <c r="Q380" s="219" t="e">
        <f>IF(OR(G380=1,G380=2),dadosexternosBMF_1!D383,"")</f>
        <v>#REF!</v>
      </c>
    </row>
    <row r="381" spans="1:17" x14ac:dyDescent="0.2">
      <c r="A381" s="222" t="e">
        <f t="shared" si="48"/>
        <v>#REF!</v>
      </c>
      <c r="B381" s="222" t="str">
        <f>IF(dadosexternosBMF_1!A384="DI1 - DI de 1 dia","DI1 - DI de 1 dia","")</f>
        <v/>
      </c>
      <c r="C381" s="222" t="e">
        <f>IF(dadosexternosBMF_1!A384="DOL - Dólar comercial","",IF(C380&lt;&gt;"",dadosexternosBMF_1!B384,IF(dadosexternosBMF_1!A384="DI1 - DI de 1 dia",dadosexternosBMF_1!B384,"")))</f>
        <v>#REF!</v>
      </c>
      <c r="D381" s="222" t="e">
        <f>IF(C381&lt;&gt;"",dadosexternosBMF_1!C384,"")</f>
        <v>#REF!</v>
      </c>
      <c r="E381" s="222" t="e">
        <f>IF(C381&lt;&gt;"",dadosexternosBMF_1!D384,"")</f>
        <v>#REF!</v>
      </c>
      <c r="G381" s="219" t="e">
        <f t="shared" si="49"/>
        <v>#REF!</v>
      </c>
      <c r="H381" s="219" t="e">
        <f t="shared" si="50"/>
        <v>#REF!</v>
      </c>
      <c r="I381" s="219" t="e">
        <f t="shared" si="51"/>
        <v>#REF!</v>
      </c>
      <c r="J381" s="219" t="e">
        <f>IF(I381="","",VLOOKUP(LEFT(C381,1),dadosexternosBMF_1!$L$2:$M$13,2,FALSE))</f>
        <v>#REF!</v>
      </c>
      <c r="K381" s="219" t="e">
        <f t="shared" si="52"/>
        <v>#REF!</v>
      </c>
      <c r="L381" s="422" t="e">
        <f t="shared" si="53"/>
        <v>#REF!</v>
      </c>
      <c r="M381" s="422" t="e">
        <f>IF(I381="","",WORKDAY(L381-1,1,FERIADOS!$A$2:$A$831))</f>
        <v>#REF!</v>
      </c>
      <c r="N381" s="219" t="e">
        <f>IF(I381="","",NETWORKDAYS(Curva!$M$2,M381,FERIADOS!$A$2:$A$831)-1)</f>
        <v>#REF!</v>
      </c>
      <c r="O381" s="423" t="e">
        <f>IF(C381&lt;&gt;"",IF(ISERROR((100000/E381)^(252/N381)-1),Curva!$B$2,((100000/E381)^(252/N381)-1)),"")</f>
        <v>#REF!</v>
      </c>
      <c r="P381" s="219" t="e">
        <f>IF(OR(G381=1,G381=2),dadosexternosBMF_1!B384,"")</f>
        <v>#REF!</v>
      </c>
      <c r="Q381" s="219" t="e">
        <f>IF(OR(G381=1,G381=2),dadosexternosBMF_1!D384,"")</f>
        <v>#REF!</v>
      </c>
    </row>
    <row r="382" spans="1:17" x14ac:dyDescent="0.2">
      <c r="A382" s="222" t="e">
        <f t="shared" si="48"/>
        <v>#REF!</v>
      </c>
      <c r="B382" s="222" t="str">
        <f>IF(dadosexternosBMF_1!A385="DI1 - DI de 1 dia","DI1 - DI de 1 dia","")</f>
        <v/>
      </c>
      <c r="C382" s="222" t="e">
        <f>IF(dadosexternosBMF_1!A385="DOL - Dólar comercial","",IF(C381&lt;&gt;"",dadosexternosBMF_1!B385,IF(dadosexternosBMF_1!A385="DI1 - DI de 1 dia",dadosexternosBMF_1!B385,"")))</f>
        <v>#REF!</v>
      </c>
      <c r="D382" s="222" t="e">
        <f>IF(C382&lt;&gt;"",dadosexternosBMF_1!C385,"")</f>
        <v>#REF!</v>
      </c>
      <c r="E382" s="222" t="e">
        <f>IF(C382&lt;&gt;"",dadosexternosBMF_1!D385,"")</f>
        <v>#REF!</v>
      </c>
      <c r="G382" s="219" t="e">
        <f t="shared" si="49"/>
        <v>#REF!</v>
      </c>
      <c r="H382" s="219" t="e">
        <f t="shared" si="50"/>
        <v>#REF!</v>
      </c>
      <c r="I382" s="219" t="e">
        <f t="shared" si="51"/>
        <v>#REF!</v>
      </c>
      <c r="J382" s="219" t="e">
        <f>IF(I382="","",VLOOKUP(LEFT(C382,1),dadosexternosBMF_1!$L$2:$M$13,2,FALSE))</f>
        <v>#REF!</v>
      </c>
      <c r="K382" s="219" t="e">
        <f t="shared" si="52"/>
        <v>#REF!</v>
      </c>
      <c r="L382" s="422" t="e">
        <f t="shared" si="53"/>
        <v>#REF!</v>
      </c>
      <c r="M382" s="422" t="e">
        <f>IF(I382="","",WORKDAY(L382-1,1,FERIADOS!$A$2:$A$831))</f>
        <v>#REF!</v>
      </c>
      <c r="N382" s="219" t="e">
        <f>IF(I382="","",NETWORKDAYS(Curva!$M$2,M382,FERIADOS!$A$2:$A$831)-1)</f>
        <v>#REF!</v>
      </c>
      <c r="O382" s="423" t="e">
        <f>IF(C382&lt;&gt;"",IF(ISERROR((100000/E382)^(252/N382)-1),Curva!$B$2,((100000/E382)^(252/N382)-1)),"")</f>
        <v>#REF!</v>
      </c>
      <c r="P382" s="219" t="e">
        <f>IF(OR(G382=1,G382=2),dadosexternosBMF_1!B385,"")</f>
        <v>#REF!</v>
      </c>
      <c r="Q382" s="219" t="e">
        <f>IF(OR(G382=1,G382=2),dadosexternosBMF_1!D385,"")</f>
        <v>#REF!</v>
      </c>
    </row>
    <row r="383" spans="1:17" x14ac:dyDescent="0.2">
      <c r="A383" s="222" t="e">
        <f t="shared" si="48"/>
        <v>#REF!</v>
      </c>
      <c r="B383" s="222" t="str">
        <f>IF(dadosexternosBMF_1!A386="DI1 - DI de 1 dia","DI1 - DI de 1 dia","")</f>
        <v/>
      </c>
      <c r="C383" s="222" t="e">
        <f>IF(dadosexternosBMF_1!A386="DOL - Dólar comercial","",IF(C382&lt;&gt;"",dadosexternosBMF_1!B386,IF(dadosexternosBMF_1!A386="DI1 - DI de 1 dia",dadosexternosBMF_1!B386,"")))</f>
        <v>#REF!</v>
      </c>
      <c r="D383" s="222" t="e">
        <f>IF(C383&lt;&gt;"",dadosexternosBMF_1!C386,"")</f>
        <v>#REF!</v>
      </c>
      <c r="E383" s="222" t="e">
        <f>IF(C383&lt;&gt;"",dadosexternosBMF_1!D386,"")</f>
        <v>#REF!</v>
      </c>
      <c r="G383" s="219" t="e">
        <f t="shared" si="49"/>
        <v>#REF!</v>
      </c>
      <c r="H383" s="219" t="e">
        <f t="shared" si="50"/>
        <v>#REF!</v>
      </c>
      <c r="I383" s="219" t="e">
        <f t="shared" si="51"/>
        <v>#REF!</v>
      </c>
      <c r="J383" s="219" t="e">
        <f>IF(I383="","",VLOOKUP(LEFT(C383,1),dadosexternosBMF_1!$L$2:$M$13,2,FALSE))</f>
        <v>#REF!</v>
      </c>
      <c r="K383" s="219" t="e">
        <f t="shared" si="52"/>
        <v>#REF!</v>
      </c>
      <c r="L383" s="422" t="e">
        <f t="shared" si="53"/>
        <v>#REF!</v>
      </c>
      <c r="M383" s="422" t="e">
        <f>IF(I383="","",WORKDAY(L383-1,1,FERIADOS!$A$2:$A$831))</f>
        <v>#REF!</v>
      </c>
      <c r="N383" s="219" t="e">
        <f>IF(I383="","",NETWORKDAYS(Curva!$M$2,M383,FERIADOS!$A$2:$A$831)-1)</f>
        <v>#REF!</v>
      </c>
      <c r="O383" s="423" t="e">
        <f>IF(C383&lt;&gt;"",IF(ISERROR((100000/E383)^(252/N383)-1),Curva!$B$2,((100000/E383)^(252/N383)-1)),"")</f>
        <v>#REF!</v>
      </c>
      <c r="P383" s="219" t="e">
        <f>IF(OR(G383=1,G383=2),dadosexternosBMF_1!B386,"")</f>
        <v>#REF!</v>
      </c>
      <c r="Q383" s="219" t="e">
        <f>IF(OR(G383=1,G383=2),dadosexternosBMF_1!D386,"")</f>
        <v>#REF!</v>
      </c>
    </row>
    <row r="384" spans="1:17" x14ac:dyDescent="0.2">
      <c r="A384" s="222" t="e">
        <f t="shared" si="48"/>
        <v>#REF!</v>
      </c>
      <c r="B384" s="222" t="str">
        <f>IF(dadosexternosBMF_1!A387="DI1 - DI de 1 dia","DI1 - DI de 1 dia","")</f>
        <v/>
      </c>
      <c r="C384" s="222" t="e">
        <f>IF(dadosexternosBMF_1!A387="DOL - Dólar comercial","",IF(C383&lt;&gt;"",dadosexternosBMF_1!B387,IF(dadosexternosBMF_1!A387="DI1 - DI de 1 dia",dadosexternosBMF_1!B387,"")))</f>
        <v>#REF!</v>
      </c>
      <c r="D384" s="222" t="e">
        <f>IF(C384&lt;&gt;"",dadosexternosBMF_1!C387,"")</f>
        <v>#REF!</v>
      </c>
      <c r="E384" s="222" t="e">
        <f>IF(C384&lt;&gt;"",dadosexternosBMF_1!D387,"")</f>
        <v>#REF!</v>
      </c>
      <c r="G384" s="219" t="e">
        <f t="shared" si="49"/>
        <v>#REF!</v>
      </c>
      <c r="H384" s="219" t="e">
        <f t="shared" si="50"/>
        <v>#REF!</v>
      </c>
      <c r="I384" s="219" t="e">
        <f t="shared" si="51"/>
        <v>#REF!</v>
      </c>
      <c r="J384" s="219" t="e">
        <f>IF(I384="","",VLOOKUP(LEFT(C384,1),dadosexternosBMF_1!$L$2:$M$13,2,FALSE))</f>
        <v>#REF!</v>
      </c>
      <c r="K384" s="219" t="e">
        <f t="shared" si="52"/>
        <v>#REF!</v>
      </c>
      <c r="L384" s="422" t="e">
        <f t="shared" si="53"/>
        <v>#REF!</v>
      </c>
      <c r="M384" s="422" t="e">
        <f>IF(I384="","",WORKDAY(L384-1,1,FERIADOS!$A$2:$A$831))</f>
        <v>#REF!</v>
      </c>
      <c r="N384" s="219" t="e">
        <f>IF(I384="","",NETWORKDAYS(Curva!$M$2,M384,FERIADOS!$A$2:$A$831)-1)</f>
        <v>#REF!</v>
      </c>
      <c r="O384" s="423" t="e">
        <f>IF(C384&lt;&gt;"",IF(ISERROR((100000/E384)^(252/N384)-1),Curva!$B$2,((100000/E384)^(252/N384)-1)),"")</f>
        <v>#REF!</v>
      </c>
      <c r="P384" s="219" t="e">
        <f>IF(OR(G384=1,G384=2),dadosexternosBMF_1!B387,"")</f>
        <v>#REF!</v>
      </c>
      <c r="Q384" s="219" t="e">
        <f>IF(OR(G384=1,G384=2),dadosexternosBMF_1!D387,"")</f>
        <v>#REF!</v>
      </c>
    </row>
    <row r="385" spans="1:17" x14ac:dyDescent="0.2">
      <c r="A385" s="222" t="e">
        <f t="shared" si="48"/>
        <v>#REF!</v>
      </c>
      <c r="B385" s="222" t="str">
        <f>IF(dadosexternosBMF_1!A388="DI1 - DI de 1 dia","DI1 - DI de 1 dia","")</f>
        <v/>
      </c>
      <c r="C385" s="222" t="e">
        <f>IF(dadosexternosBMF_1!A388="DOL - Dólar comercial","",IF(C384&lt;&gt;"",dadosexternosBMF_1!B388,IF(dadosexternosBMF_1!A388="DI1 - DI de 1 dia",dadosexternosBMF_1!B388,"")))</f>
        <v>#REF!</v>
      </c>
      <c r="D385" s="222" t="e">
        <f>IF(C385&lt;&gt;"",dadosexternosBMF_1!C388,"")</f>
        <v>#REF!</v>
      </c>
      <c r="E385" s="222" t="e">
        <f>IF(C385&lt;&gt;"",dadosexternosBMF_1!D388,"")</f>
        <v>#REF!</v>
      </c>
      <c r="G385" s="219" t="e">
        <f t="shared" si="49"/>
        <v>#REF!</v>
      </c>
      <c r="H385" s="219" t="e">
        <f t="shared" si="50"/>
        <v>#REF!</v>
      </c>
      <c r="I385" s="219" t="e">
        <f t="shared" si="51"/>
        <v>#REF!</v>
      </c>
      <c r="J385" s="219" t="e">
        <f>IF(I385="","",VLOOKUP(LEFT(C385,1),dadosexternosBMF_1!$L$2:$M$13,2,FALSE))</f>
        <v>#REF!</v>
      </c>
      <c r="K385" s="219" t="e">
        <f t="shared" si="52"/>
        <v>#REF!</v>
      </c>
      <c r="L385" s="422" t="e">
        <f t="shared" si="53"/>
        <v>#REF!</v>
      </c>
      <c r="M385" s="422" t="e">
        <f>IF(I385="","",WORKDAY(L385-1,1,FERIADOS!$A$2:$A$831))</f>
        <v>#REF!</v>
      </c>
      <c r="N385" s="219" t="e">
        <f>IF(I385="","",NETWORKDAYS(Curva!$M$2,M385,FERIADOS!$A$2:$A$831)-1)</f>
        <v>#REF!</v>
      </c>
      <c r="O385" s="423" t="e">
        <f>IF(C385&lt;&gt;"",IF(ISERROR((100000/E385)^(252/N385)-1),Curva!$B$2,((100000/E385)^(252/N385)-1)),"")</f>
        <v>#REF!</v>
      </c>
      <c r="P385" s="219" t="e">
        <f>IF(OR(G385=1,G385=2),dadosexternosBMF_1!B388,"")</f>
        <v>#REF!</v>
      </c>
      <c r="Q385" s="219" t="e">
        <f>IF(OR(G385=1,G385=2),dadosexternosBMF_1!D388,"")</f>
        <v>#REF!</v>
      </c>
    </row>
    <row r="386" spans="1:17" x14ac:dyDescent="0.2">
      <c r="A386" s="222" t="e">
        <f t="shared" si="48"/>
        <v>#REF!</v>
      </c>
      <c r="B386" s="222" t="str">
        <f>IF(dadosexternosBMF_1!A389="DI1 - DI de 1 dia","DI1 - DI de 1 dia","")</f>
        <v/>
      </c>
      <c r="C386" s="222" t="e">
        <f>IF(dadosexternosBMF_1!A389="DOL - Dólar comercial","",IF(C385&lt;&gt;"",dadosexternosBMF_1!B389,IF(dadosexternosBMF_1!A389="DI1 - DI de 1 dia",dadosexternosBMF_1!B389,"")))</f>
        <v>#REF!</v>
      </c>
      <c r="D386" s="222" t="e">
        <f>IF(C386&lt;&gt;"",dadosexternosBMF_1!C389,"")</f>
        <v>#REF!</v>
      </c>
      <c r="E386" s="222" t="e">
        <f>IF(C386&lt;&gt;"",dadosexternosBMF_1!D389,"")</f>
        <v>#REF!</v>
      </c>
      <c r="G386" s="219" t="e">
        <f t="shared" si="49"/>
        <v>#REF!</v>
      </c>
      <c r="H386" s="219" t="e">
        <f t="shared" si="50"/>
        <v>#REF!</v>
      </c>
      <c r="I386" s="219" t="e">
        <f t="shared" si="51"/>
        <v>#REF!</v>
      </c>
      <c r="J386" s="219" t="e">
        <f>IF(I386="","",VLOOKUP(LEFT(C386,1),dadosexternosBMF_1!$L$2:$M$13,2,FALSE))</f>
        <v>#REF!</v>
      </c>
      <c r="K386" s="219" t="e">
        <f t="shared" si="52"/>
        <v>#REF!</v>
      </c>
      <c r="L386" s="422" t="e">
        <f t="shared" si="53"/>
        <v>#REF!</v>
      </c>
      <c r="M386" s="422" t="e">
        <f>IF(I386="","",WORKDAY(L386-1,1,FERIADOS!$A$2:$A$831))</f>
        <v>#REF!</v>
      </c>
      <c r="N386" s="219" t="e">
        <f>IF(I386="","",NETWORKDAYS(Curva!$M$2,M386,FERIADOS!$A$2:$A$831)-1)</f>
        <v>#REF!</v>
      </c>
      <c r="O386" s="423" t="e">
        <f>IF(C386&lt;&gt;"",IF(ISERROR((100000/E386)^(252/N386)-1),Curva!$B$2,((100000/E386)^(252/N386)-1)),"")</f>
        <v>#REF!</v>
      </c>
      <c r="P386" s="219" t="e">
        <f>IF(OR(G386=1,G386=2),dadosexternosBMF_1!B389,"")</f>
        <v>#REF!</v>
      </c>
      <c r="Q386" s="219" t="e">
        <f>IF(OR(G386=1,G386=2),dadosexternosBMF_1!D389,"")</f>
        <v>#REF!</v>
      </c>
    </row>
    <row r="387" spans="1:17" x14ac:dyDescent="0.2">
      <c r="A387" s="222" t="e">
        <f t="shared" si="48"/>
        <v>#REF!</v>
      </c>
      <c r="B387" s="222" t="str">
        <f>IF(dadosexternosBMF_1!A390="DI1 - DI de 1 dia","DI1 - DI de 1 dia","")</f>
        <v/>
      </c>
      <c r="C387" s="222" t="e">
        <f>IF(dadosexternosBMF_1!A390="DOL - Dólar comercial","",IF(C386&lt;&gt;"",dadosexternosBMF_1!B390,IF(dadosexternosBMF_1!A390="DI1 - DI de 1 dia",dadosexternosBMF_1!B390,"")))</f>
        <v>#REF!</v>
      </c>
      <c r="D387" s="222" t="e">
        <f>IF(C387&lt;&gt;"",dadosexternosBMF_1!C390,"")</f>
        <v>#REF!</v>
      </c>
      <c r="E387" s="222" t="e">
        <f>IF(C387&lt;&gt;"",dadosexternosBMF_1!D390,"")</f>
        <v>#REF!</v>
      </c>
      <c r="G387" s="219" t="e">
        <f t="shared" si="49"/>
        <v>#REF!</v>
      </c>
      <c r="H387" s="219" t="e">
        <f t="shared" si="50"/>
        <v>#REF!</v>
      </c>
      <c r="I387" s="219" t="e">
        <f t="shared" si="51"/>
        <v>#REF!</v>
      </c>
      <c r="J387" s="219" t="e">
        <f>IF(I387="","",VLOOKUP(LEFT(C387,1),dadosexternosBMF_1!$L$2:$M$13,2,FALSE))</f>
        <v>#REF!</v>
      </c>
      <c r="K387" s="219" t="e">
        <f t="shared" si="52"/>
        <v>#REF!</v>
      </c>
      <c r="L387" s="422" t="e">
        <f t="shared" si="53"/>
        <v>#REF!</v>
      </c>
      <c r="M387" s="422" t="e">
        <f>IF(I387="","",WORKDAY(L387-1,1,FERIADOS!$A$2:$A$831))</f>
        <v>#REF!</v>
      </c>
      <c r="N387" s="219" t="e">
        <f>IF(I387="","",NETWORKDAYS(Curva!$M$2,M387,FERIADOS!$A$2:$A$831)-1)</f>
        <v>#REF!</v>
      </c>
      <c r="O387" s="423" t="e">
        <f>IF(C387&lt;&gt;"",IF(ISERROR((100000/E387)^(252/N387)-1),Curva!$B$2,((100000/E387)^(252/N387)-1)),"")</f>
        <v>#REF!</v>
      </c>
      <c r="P387" s="219" t="e">
        <f>IF(OR(G387=1,G387=2),dadosexternosBMF_1!B390,"")</f>
        <v>#REF!</v>
      </c>
      <c r="Q387" s="219" t="e">
        <f>IF(OR(G387=1,G387=2),dadosexternosBMF_1!D390,"")</f>
        <v>#REF!</v>
      </c>
    </row>
    <row r="388" spans="1:17" x14ac:dyDescent="0.2">
      <c r="A388" s="222" t="e">
        <f t="shared" si="48"/>
        <v>#REF!</v>
      </c>
      <c r="B388" s="222" t="str">
        <f>IF(dadosexternosBMF_1!A391="DI1 - DI de 1 dia","DI1 - DI de 1 dia","")</f>
        <v/>
      </c>
      <c r="C388" s="222" t="e">
        <f>IF(dadosexternosBMF_1!A391="DOL - Dólar comercial","",IF(C387&lt;&gt;"",dadosexternosBMF_1!B391,IF(dadosexternosBMF_1!A391="DI1 - DI de 1 dia",dadosexternosBMF_1!B391,"")))</f>
        <v>#REF!</v>
      </c>
      <c r="D388" s="222" t="e">
        <f>IF(C388&lt;&gt;"",dadosexternosBMF_1!C391,"")</f>
        <v>#REF!</v>
      </c>
      <c r="E388" s="222" t="e">
        <f>IF(C388&lt;&gt;"",dadosexternosBMF_1!D391,"")</f>
        <v>#REF!</v>
      </c>
      <c r="G388" s="219" t="e">
        <f t="shared" si="49"/>
        <v>#REF!</v>
      </c>
      <c r="H388" s="219" t="e">
        <f t="shared" si="50"/>
        <v>#REF!</v>
      </c>
      <c r="I388" s="219" t="e">
        <f t="shared" si="51"/>
        <v>#REF!</v>
      </c>
      <c r="J388" s="219" t="e">
        <f>IF(I388="","",VLOOKUP(LEFT(C388,1),dadosexternosBMF_1!$L$2:$M$13,2,FALSE))</f>
        <v>#REF!</v>
      </c>
      <c r="K388" s="219" t="e">
        <f t="shared" si="52"/>
        <v>#REF!</v>
      </c>
      <c r="L388" s="422" t="e">
        <f t="shared" si="53"/>
        <v>#REF!</v>
      </c>
      <c r="M388" s="422" t="e">
        <f>IF(I388="","",WORKDAY(L388-1,1,FERIADOS!$A$2:$A$831))</f>
        <v>#REF!</v>
      </c>
      <c r="N388" s="219" t="e">
        <f>IF(I388="","",NETWORKDAYS(Curva!$M$2,M388,FERIADOS!$A$2:$A$831)-1)</f>
        <v>#REF!</v>
      </c>
      <c r="O388" s="423" t="e">
        <f>IF(C388&lt;&gt;"",IF(ISERROR((100000/E388)^(252/N388)-1),Curva!$B$2,((100000/E388)^(252/N388)-1)),"")</f>
        <v>#REF!</v>
      </c>
      <c r="P388" s="219" t="e">
        <f>IF(OR(G388=1,G388=2),dadosexternosBMF_1!B391,"")</f>
        <v>#REF!</v>
      </c>
      <c r="Q388" s="219" t="e">
        <f>IF(OR(G388=1,G388=2),dadosexternosBMF_1!D391,"")</f>
        <v>#REF!</v>
      </c>
    </row>
    <row r="389" spans="1:17" x14ac:dyDescent="0.2">
      <c r="A389" s="222" t="e">
        <f t="shared" si="48"/>
        <v>#REF!</v>
      </c>
      <c r="B389" s="222" t="str">
        <f>IF(dadosexternosBMF_1!A392="DI1 - DI de 1 dia","DI1 - DI de 1 dia","")</f>
        <v/>
      </c>
      <c r="C389" s="222" t="e">
        <f>IF(dadosexternosBMF_1!A392="DOL - Dólar comercial","",IF(C388&lt;&gt;"",dadosexternosBMF_1!B392,IF(dadosexternosBMF_1!A392="DI1 - DI de 1 dia",dadosexternosBMF_1!B392,"")))</f>
        <v>#REF!</v>
      </c>
      <c r="D389" s="222" t="e">
        <f>IF(C389&lt;&gt;"",dadosexternosBMF_1!C392,"")</f>
        <v>#REF!</v>
      </c>
      <c r="E389" s="222" t="e">
        <f>IF(C389&lt;&gt;"",dadosexternosBMF_1!D392,"")</f>
        <v>#REF!</v>
      </c>
      <c r="G389" s="219" t="e">
        <f t="shared" si="49"/>
        <v>#REF!</v>
      </c>
      <c r="H389" s="219" t="e">
        <f t="shared" si="50"/>
        <v>#REF!</v>
      </c>
      <c r="I389" s="219" t="e">
        <f t="shared" si="51"/>
        <v>#REF!</v>
      </c>
      <c r="J389" s="219" t="e">
        <f>IF(I389="","",VLOOKUP(LEFT(C389,1),dadosexternosBMF_1!$L$2:$M$13,2,FALSE))</f>
        <v>#REF!</v>
      </c>
      <c r="K389" s="219" t="e">
        <f t="shared" si="52"/>
        <v>#REF!</v>
      </c>
      <c r="L389" s="422" t="e">
        <f t="shared" si="53"/>
        <v>#REF!</v>
      </c>
      <c r="M389" s="422" t="e">
        <f>IF(I389="","",WORKDAY(L389-1,1,FERIADOS!$A$2:$A$831))</f>
        <v>#REF!</v>
      </c>
      <c r="N389" s="219" t="e">
        <f>IF(I389="","",NETWORKDAYS(Curva!$M$2,M389,FERIADOS!$A$2:$A$831)-1)</f>
        <v>#REF!</v>
      </c>
      <c r="O389" s="423" t="e">
        <f>IF(C389&lt;&gt;"",IF(ISERROR((100000/E389)^(252/N389)-1),Curva!$B$2,((100000/E389)^(252/N389)-1)),"")</f>
        <v>#REF!</v>
      </c>
      <c r="P389" s="219" t="e">
        <f>IF(OR(G389=1,G389=2),dadosexternosBMF_1!B392,"")</f>
        <v>#REF!</v>
      </c>
      <c r="Q389" s="219" t="e">
        <f>IF(OR(G389=1,G389=2),dadosexternosBMF_1!D392,"")</f>
        <v>#REF!</v>
      </c>
    </row>
    <row r="390" spans="1:17" x14ac:dyDescent="0.2">
      <c r="A390" s="222" t="e">
        <f t="shared" si="48"/>
        <v>#REF!</v>
      </c>
      <c r="B390" s="222" t="str">
        <f>IF(dadosexternosBMF_1!A393="DI1 - DI de 1 dia","DI1 - DI de 1 dia","")</f>
        <v/>
      </c>
      <c r="C390" s="222" t="e">
        <f>IF(dadosexternosBMF_1!A393="DOL - Dólar comercial","",IF(C389&lt;&gt;"",dadosexternosBMF_1!B393,IF(dadosexternosBMF_1!A393="DI1 - DI de 1 dia",dadosexternosBMF_1!B393,"")))</f>
        <v>#REF!</v>
      </c>
      <c r="D390" s="222" t="e">
        <f>IF(C390&lt;&gt;"",dadosexternosBMF_1!C393,"")</f>
        <v>#REF!</v>
      </c>
      <c r="E390" s="222" t="e">
        <f>IF(C390&lt;&gt;"",dadosexternosBMF_1!D393,"")</f>
        <v>#REF!</v>
      </c>
      <c r="G390" s="219" t="e">
        <f t="shared" si="49"/>
        <v>#REF!</v>
      </c>
      <c r="H390" s="219" t="e">
        <f t="shared" si="50"/>
        <v>#REF!</v>
      </c>
      <c r="I390" s="219" t="e">
        <f t="shared" si="51"/>
        <v>#REF!</v>
      </c>
      <c r="J390" s="219" t="e">
        <f>IF(I390="","",VLOOKUP(LEFT(C390,1),dadosexternosBMF_1!$L$2:$M$13,2,FALSE))</f>
        <v>#REF!</v>
      </c>
      <c r="K390" s="219" t="e">
        <f t="shared" si="52"/>
        <v>#REF!</v>
      </c>
      <c r="L390" s="422" t="e">
        <f t="shared" si="53"/>
        <v>#REF!</v>
      </c>
      <c r="M390" s="422" t="e">
        <f>IF(I390="","",WORKDAY(L390-1,1,FERIADOS!$A$2:$A$831))</f>
        <v>#REF!</v>
      </c>
      <c r="N390" s="219" t="e">
        <f>IF(I390="","",NETWORKDAYS(Curva!$M$2,M390,FERIADOS!$A$2:$A$831)-1)</f>
        <v>#REF!</v>
      </c>
      <c r="O390" s="423" t="e">
        <f>IF(C390&lt;&gt;"",IF(ISERROR((100000/E390)^(252/N390)-1),Curva!$B$2,((100000/E390)^(252/N390)-1)),"")</f>
        <v>#REF!</v>
      </c>
      <c r="P390" s="219" t="e">
        <f>IF(OR(G390=1,G390=2),dadosexternosBMF_1!B393,"")</f>
        <v>#REF!</v>
      </c>
      <c r="Q390" s="219" t="e">
        <f>IF(OR(G390=1,G390=2),dadosexternosBMF_1!D393,"")</f>
        <v>#REF!</v>
      </c>
    </row>
    <row r="391" spans="1:17" x14ac:dyDescent="0.2">
      <c r="A391" s="222" t="e">
        <f t="shared" si="48"/>
        <v>#REF!</v>
      </c>
      <c r="B391" s="222" t="str">
        <f>IF(dadosexternosBMF_1!A394="DI1 - DI de 1 dia","DI1 - DI de 1 dia","")</f>
        <v/>
      </c>
      <c r="C391" s="222" t="e">
        <f>IF(dadosexternosBMF_1!A394="DOL - Dólar comercial","",IF(C390&lt;&gt;"",dadosexternosBMF_1!B394,IF(dadosexternosBMF_1!A394="DI1 - DI de 1 dia",dadosexternosBMF_1!B394,"")))</f>
        <v>#REF!</v>
      </c>
      <c r="D391" s="222" t="e">
        <f>IF(C391&lt;&gt;"",dadosexternosBMF_1!C394,"")</f>
        <v>#REF!</v>
      </c>
      <c r="E391" s="222" t="e">
        <f>IF(C391&lt;&gt;"",dadosexternosBMF_1!D394,"")</f>
        <v>#REF!</v>
      </c>
      <c r="G391" s="219" t="e">
        <f t="shared" si="49"/>
        <v>#REF!</v>
      </c>
      <c r="H391" s="219" t="e">
        <f t="shared" si="50"/>
        <v>#REF!</v>
      </c>
      <c r="I391" s="219" t="e">
        <f t="shared" si="51"/>
        <v>#REF!</v>
      </c>
      <c r="J391" s="219" t="e">
        <f>IF(I391="","",VLOOKUP(LEFT(C391,1),dadosexternosBMF_1!$L$2:$M$13,2,FALSE))</f>
        <v>#REF!</v>
      </c>
      <c r="K391" s="219" t="e">
        <f t="shared" si="52"/>
        <v>#REF!</v>
      </c>
      <c r="L391" s="422" t="e">
        <f t="shared" si="53"/>
        <v>#REF!</v>
      </c>
      <c r="M391" s="422" t="e">
        <f>IF(I391="","",WORKDAY(L391-1,1,FERIADOS!$A$2:$A$831))</f>
        <v>#REF!</v>
      </c>
      <c r="N391" s="219" t="e">
        <f>IF(I391="","",NETWORKDAYS(Curva!$M$2,M391,FERIADOS!$A$2:$A$831)-1)</f>
        <v>#REF!</v>
      </c>
      <c r="O391" s="423" t="e">
        <f>IF(C391&lt;&gt;"",IF(ISERROR((100000/E391)^(252/N391)-1),Curva!$B$2,((100000/E391)^(252/N391)-1)),"")</f>
        <v>#REF!</v>
      </c>
      <c r="P391" s="219" t="e">
        <f>IF(OR(G391=1,G391=2),dadosexternosBMF_1!B394,"")</f>
        <v>#REF!</v>
      </c>
      <c r="Q391" s="219" t="e">
        <f>IF(OR(G391=1,G391=2),dadosexternosBMF_1!D394,"")</f>
        <v>#REF!</v>
      </c>
    </row>
    <row r="392" spans="1:17" x14ac:dyDescent="0.2">
      <c r="A392" s="222" t="e">
        <f t="shared" si="48"/>
        <v>#REF!</v>
      </c>
      <c r="B392" s="222" t="str">
        <f>IF(dadosexternosBMF_1!A395="DI1 - DI de 1 dia","DI1 - DI de 1 dia","")</f>
        <v/>
      </c>
      <c r="C392" s="222" t="e">
        <f>IF(dadosexternosBMF_1!A395="DOL - Dólar comercial","",IF(C391&lt;&gt;"",dadosexternosBMF_1!B395,IF(dadosexternosBMF_1!A395="DI1 - DI de 1 dia",dadosexternosBMF_1!B395,"")))</f>
        <v>#REF!</v>
      </c>
      <c r="D392" s="222" t="e">
        <f>IF(C392&lt;&gt;"",dadosexternosBMF_1!C395,"")</f>
        <v>#REF!</v>
      </c>
      <c r="E392" s="222" t="e">
        <f>IF(C392&lt;&gt;"",dadosexternosBMF_1!D395,"")</f>
        <v>#REF!</v>
      </c>
      <c r="G392" s="219" t="e">
        <f t="shared" si="49"/>
        <v>#REF!</v>
      </c>
      <c r="H392" s="219" t="e">
        <f t="shared" si="50"/>
        <v>#REF!</v>
      </c>
      <c r="I392" s="219" t="e">
        <f t="shared" si="51"/>
        <v>#REF!</v>
      </c>
      <c r="J392" s="219" t="e">
        <f>IF(I392="","",VLOOKUP(LEFT(C392,1),dadosexternosBMF_1!$L$2:$M$13,2,FALSE))</f>
        <v>#REF!</v>
      </c>
      <c r="K392" s="219" t="e">
        <f t="shared" si="52"/>
        <v>#REF!</v>
      </c>
      <c r="L392" s="422" t="e">
        <f t="shared" si="53"/>
        <v>#REF!</v>
      </c>
      <c r="M392" s="422" t="e">
        <f>IF(I392="","",WORKDAY(L392-1,1,FERIADOS!$A$2:$A$831))</f>
        <v>#REF!</v>
      </c>
      <c r="N392" s="219" t="e">
        <f>IF(I392="","",NETWORKDAYS(Curva!$M$2,M392,FERIADOS!$A$2:$A$831)-1)</f>
        <v>#REF!</v>
      </c>
      <c r="O392" s="423" t="e">
        <f>IF(C392&lt;&gt;"",IF(ISERROR((100000/E392)^(252/N392)-1),Curva!$B$2,((100000/E392)^(252/N392)-1)),"")</f>
        <v>#REF!</v>
      </c>
      <c r="P392" s="219" t="e">
        <f>IF(OR(G392=1,G392=2),dadosexternosBMF_1!B395,"")</f>
        <v>#REF!</v>
      </c>
      <c r="Q392" s="219" t="e">
        <f>IF(OR(G392=1,G392=2),dadosexternosBMF_1!D395,"")</f>
        <v>#REF!</v>
      </c>
    </row>
    <row r="393" spans="1:17" x14ac:dyDescent="0.2">
      <c r="A393" s="222" t="e">
        <f t="shared" si="48"/>
        <v>#REF!</v>
      </c>
      <c r="B393" s="222" t="str">
        <f>IF(dadosexternosBMF_1!A396="DI1 - DI de 1 dia","DI1 - DI de 1 dia","")</f>
        <v/>
      </c>
      <c r="C393" s="222" t="e">
        <f>IF(dadosexternosBMF_1!A396="DOL - Dólar comercial","",IF(C392&lt;&gt;"",dadosexternosBMF_1!B396,IF(dadosexternosBMF_1!A396="DI1 - DI de 1 dia",dadosexternosBMF_1!B396,"")))</f>
        <v>#REF!</v>
      </c>
      <c r="D393" s="222" t="e">
        <f>IF(C393&lt;&gt;"",dadosexternosBMF_1!C396,"")</f>
        <v>#REF!</v>
      </c>
      <c r="E393" s="222" t="e">
        <f>IF(C393&lt;&gt;"",dadosexternosBMF_1!D396,"")</f>
        <v>#REF!</v>
      </c>
      <c r="G393" s="219" t="e">
        <f t="shared" si="49"/>
        <v>#REF!</v>
      </c>
      <c r="H393" s="219" t="e">
        <f t="shared" si="50"/>
        <v>#REF!</v>
      </c>
      <c r="I393" s="219" t="e">
        <f t="shared" si="51"/>
        <v>#REF!</v>
      </c>
      <c r="J393" s="219" t="e">
        <f>IF(I393="","",VLOOKUP(LEFT(C393,1),dadosexternosBMF_1!$L$2:$M$13,2,FALSE))</f>
        <v>#REF!</v>
      </c>
      <c r="K393" s="219" t="e">
        <f t="shared" si="52"/>
        <v>#REF!</v>
      </c>
      <c r="L393" s="422" t="e">
        <f t="shared" si="53"/>
        <v>#REF!</v>
      </c>
      <c r="M393" s="422" t="e">
        <f>IF(I393="","",WORKDAY(L393-1,1,FERIADOS!$A$2:$A$831))</f>
        <v>#REF!</v>
      </c>
      <c r="N393" s="219" t="e">
        <f>IF(I393="","",NETWORKDAYS(Curva!$M$2,M393,FERIADOS!$A$2:$A$831)-1)</f>
        <v>#REF!</v>
      </c>
      <c r="O393" s="423" t="e">
        <f>IF(C393&lt;&gt;"",IF(ISERROR((100000/E393)^(252/N393)-1),Curva!$B$2,((100000/E393)^(252/N393)-1)),"")</f>
        <v>#REF!</v>
      </c>
      <c r="P393" s="219" t="e">
        <f>IF(OR(G393=1,G393=2),dadosexternosBMF_1!B396,"")</f>
        <v>#REF!</v>
      </c>
      <c r="Q393" s="219" t="e">
        <f>IF(OR(G393=1,G393=2),dadosexternosBMF_1!D396,"")</f>
        <v>#REF!</v>
      </c>
    </row>
    <row r="394" spans="1:17" x14ac:dyDescent="0.2">
      <c r="A394" s="222" t="e">
        <f t="shared" si="48"/>
        <v>#REF!</v>
      </c>
      <c r="B394" s="222" t="str">
        <f>IF(dadosexternosBMF_1!A397="DI1 - DI de 1 dia","DI1 - DI de 1 dia","")</f>
        <v/>
      </c>
      <c r="C394" s="222" t="e">
        <f>IF(dadosexternosBMF_1!A397="DOL - Dólar comercial","",IF(C393&lt;&gt;"",dadosexternosBMF_1!B397,IF(dadosexternosBMF_1!A397="DI1 - DI de 1 dia",dadosexternosBMF_1!B397,"")))</f>
        <v>#REF!</v>
      </c>
      <c r="D394" s="222" t="e">
        <f>IF(C394&lt;&gt;"",dadosexternosBMF_1!C397,"")</f>
        <v>#REF!</v>
      </c>
      <c r="E394" s="222" t="e">
        <f>IF(C394&lt;&gt;"",dadosexternosBMF_1!D397,"")</f>
        <v>#REF!</v>
      </c>
      <c r="G394" s="219" t="e">
        <f t="shared" si="49"/>
        <v>#REF!</v>
      </c>
      <c r="H394" s="219" t="e">
        <f t="shared" si="50"/>
        <v>#REF!</v>
      </c>
      <c r="I394" s="219" t="e">
        <f t="shared" si="51"/>
        <v>#REF!</v>
      </c>
      <c r="J394" s="219" t="e">
        <f>IF(I394="","",VLOOKUP(LEFT(C394,1),dadosexternosBMF_1!$L$2:$M$13,2,FALSE))</f>
        <v>#REF!</v>
      </c>
      <c r="K394" s="219" t="e">
        <f t="shared" si="52"/>
        <v>#REF!</v>
      </c>
      <c r="L394" s="422" t="e">
        <f t="shared" si="53"/>
        <v>#REF!</v>
      </c>
      <c r="M394" s="422" t="e">
        <f>IF(I394="","",WORKDAY(L394-1,1,FERIADOS!$A$2:$A$831))</f>
        <v>#REF!</v>
      </c>
      <c r="N394" s="219" t="e">
        <f>IF(I394="","",NETWORKDAYS(Curva!$M$2,M394,FERIADOS!$A$2:$A$831)-1)</f>
        <v>#REF!</v>
      </c>
      <c r="O394" s="423" t="e">
        <f>IF(C394&lt;&gt;"",IF(ISERROR((100000/E394)^(252/N394)-1),Curva!$B$2,((100000/E394)^(252/N394)-1)),"")</f>
        <v>#REF!</v>
      </c>
      <c r="P394" s="219" t="e">
        <f>IF(OR(G394=1,G394=2),dadosexternosBMF_1!B397,"")</f>
        <v>#REF!</v>
      </c>
      <c r="Q394" s="219" t="e">
        <f>IF(OR(G394=1,G394=2),dadosexternosBMF_1!D397,"")</f>
        <v>#REF!</v>
      </c>
    </row>
    <row r="395" spans="1:17" x14ac:dyDescent="0.2">
      <c r="A395" s="222" t="e">
        <f t="shared" si="48"/>
        <v>#REF!</v>
      </c>
      <c r="B395" s="222" t="str">
        <f>IF(dadosexternosBMF_1!A398="DI1 - DI de 1 dia","DI1 - DI de 1 dia","")</f>
        <v/>
      </c>
      <c r="C395" s="222" t="e">
        <f>IF(dadosexternosBMF_1!A398="DOL - Dólar comercial","",IF(C394&lt;&gt;"",dadosexternosBMF_1!B398,IF(dadosexternosBMF_1!A398="DI1 - DI de 1 dia",dadosexternosBMF_1!B398,"")))</f>
        <v>#REF!</v>
      </c>
      <c r="D395" s="222" t="e">
        <f>IF(C395&lt;&gt;"",dadosexternosBMF_1!C398,"")</f>
        <v>#REF!</v>
      </c>
      <c r="E395" s="222" t="e">
        <f>IF(C395&lt;&gt;"",dadosexternosBMF_1!D398,"")</f>
        <v>#REF!</v>
      </c>
      <c r="G395" s="219" t="e">
        <f t="shared" si="49"/>
        <v>#REF!</v>
      </c>
      <c r="H395" s="219" t="e">
        <f t="shared" si="50"/>
        <v>#REF!</v>
      </c>
      <c r="I395" s="219" t="e">
        <f t="shared" si="51"/>
        <v>#REF!</v>
      </c>
      <c r="J395" s="219" t="e">
        <f>IF(I395="","",VLOOKUP(LEFT(C395,1),dadosexternosBMF_1!$L$2:$M$13,2,FALSE))</f>
        <v>#REF!</v>
      </c>
      <c r="K395" s="219" t="e">
        <f t="shared" si="52"/>
        <v>#REF!</v>
      </c>
      <c r="L395" s="422" t="e">
        <f t="shared" si="53"/>
        <v>#REF!</v>
      </c>
      <c r="M395" s="422" t="e">
        <f>IF(I395="","",WORKDAY(L395-1,1,FERIADOS!$A$2:$A$831))</f>
        <v>#REF!</v>
      </c>
      <c r="N395" s="219" t="e">
        <f>IF(I395="","",NETWORKDAYS(Curva!$M$2,M395,FERIADOS!$A$2:$A$831)-1)</f>
        <v>#REF!</v>
      </c>
      <c r="O395" s="423" t="e">
        <f>IF(C395&lt;&gt;"",IF(ISERROR((100000/E395)^(252/N395)-1),Curva!$B$2,((100000/E395)^(252/N395)-1)),"")</f>
        <v>#REF!</v>
      </c>
      <c r="P395" s="219" t="e">
        <f>IF(OR(G395=1,G395=2),dadosexternosBMF_1!B398,"")</f>
        <v>#REF!</v>
      </c>
      <c r="Q395" s="219" t="e">
        <f>IF(OR(G395=1,G395=2),dadosexternosBMF_1!D398,"")</f>
        <v>#REF!</v>
      </c>
    </row>
    <row r="396" spans="1:17" x14ac:dyDescent="0.2">
      <c r="A396" s="222" t="e">
        <f t="shared" si="48"/>
        <v>#REF!</v>
      </c>
      <c r="B396" s="222" t="str">
        <f>IF(dadosexternosBMF_1!A399="DI1 - DI de 1 dia","DI1 - DI de 1 dia","")</f>
        <v/>
      </c>
      <c r="C396" s="222" t="e">
        <f>IF(dadosexternosBMF_1!A399="DOL - Dólar comercial","",IF(C395&lt;&gt;"",dadosexternosBMF_1!B399,IF(dadosexternosBMF_1!A399="DI1 - DI de 1 dia",dadosexternosBMF_1!B399,"")))</f>
        <v>#REF!</v>
      </c>
      <c r="D396" s="222" t="e">
        <f>IF(C396&lt;&gt;"",dadosexternosBMF_1!C399,"")</f>
        <v>#REF!</v>
      </c>
      <c r="E396" s="222" t="e">
        <f>IF(C396&lt;&gt;"",dadosexternosBMF_1!D399,"")</f>
        <v>#REF!</v>
      </c>
      <c r="G396" s="219" t="e">
        <f t="shared" si="49"/>
        <v>#REF!</v>
      </c>
      <c r="H396" s="219" t="e">
        <f t="shared" si="50"/>
        <v>#REF!</v>
      </c>
      <c r="I396" s="219" t="e">
        <f t="shared" si="51"/>
        <v>#REF!</v>
      </c>
      <c r="J396" s="219" t="e">
        <f>IF(I396="","",VLOOKUP(LEFT(C396,1),dadosexternosBMF_1!$L$2:$M$13,2,FALSE))</f>
        <v>#REF!</v>
      </c>
      <c r="K396" s="219" t="e">
        <f t="shared" si="52"/>
        <v>#REF!</v>
      </c>
      <c r="L396" s="422" t="e">
        <f t="shared" si="53"/>
        <v>#REF!</v>
      </c>
      <c r="M396" s="422" t="e">
        <f>IF(I396="","",WORKDAY(L396-1,1,FERIADOS!$A$2:$A$831))</f>
        <v>#REF!</v>
      </c>
      <c r="N396" s="219" t="e">
        <f>IF(I396="","",NETWORKDAYS(Curva!$M$2,M396,FERIADOS!$A$2:$A$831)-1)</f>
        <v>#REF!</v>
      </c>
      <c r="O396" s="423" t="e">
        <f>IF(C396&lt;&gt;"",IF(ISERROR((100000/E396)^(252/N396)-1),Curva!$B$2,((100000/E396)^(252/N396)-1)),"")</f>
        <v>#REF!</v>
      </c>
      <c r="P396" s="219" t="e">
        <f>IF(OR(G396=1,G396=2),dadosexternosBMF_1!B399,"")</f>
        <v>#REF!</v>
      </c>
      <c r="Q396" s="219" t="e">
        <f>IF(OR(G396=1,G396=2),dadosexternosBMF_1!D399,"")</f>
        <v>#REF!</v>
      </c>
    </row>
    <row r="397" spans="1:17" x14ac:dyDescent="0.2">
      <c r="A397" s="222" t="e">
        <f t="shared" si="48"/>
        <v>#REF!</v>
      </c>
      <c r="B397" s="222" t="str">
        <f>IF(dadosexternosBMF_1!A400="DI1 - DI de 1 dia","DI1 - DI de 1 dia","")</f>
        <v/>
      </c>
      <c r="C397" s="222" t="e">
        <f>IF(dadosexternosBMF_1!A400="DOL - Dólar comercial","",IF(C396&lt;&gt;"",dadosexternosBMF_1!B400,IF(dadosexternosBMF_1!A400="DI1 - DI de 1 dia",dadosexternosBMF_1!B400,"")))</f>
        <v>#REF!</v>
      </c>
      <c r="D397" s="222" t="e">
        <f>IF(C397&lt;&gt;"",dadosexternosBMF_1!C400,"")</f>
        <v>#REF!</v>
      </c>
      <c r="E397" s="222" t="e">
        <f>IF(C397&lt;&gt;"",dadosexternosBMF_1!D400,"")</f>
        <v>#REF!</v>
      </c>
      <c r="G397" s="219" t="e">
        <f t="shared" si="49"/>
        <v>#REF!</v>
      </c>
      <c r="H397" s="219" t="e">
        <f t="shared" si="50"/>
        <v>#REF!</v>
      </c>
      <c r="I397" s="219" t="e">
        <f t="shared" si="51"/>
        <v>#REF!</v>
      </c>
      <c r="J397" s="219" t="e">
        <f>IF(I397="","",VLOOKUP(LEFT(C397,1),dadosexternosBMF_1!$L$2:$M$13,2,FALSE))</f>
        <v>#REF!</v>
      </c>
      <c r="K397" s="219" t="e">
        <f t="shared" si="52"/>
        <v>#REF!</v>
      </c>
      <c r="L397" s="422" t="e">
        <f t="shared" si="53"/>
        <v>#REF!</v>
      </c>
      <c r="M397" s="422" t="e">
        <f>IF(I397="","",WORKDAY(L397-1,1,FERIADOS!$A$2:$A$831))</f>
        <v>#REF!</v>
      </c>
      <c r="N397" s="219" t="e">
        <f>IF(I397="","",NETWORKDAYS(Curva!$M$2,M397,FERIADOS!$A$2:$A$831)-1)</f>
        <v>#REF!</v>
      </c>
      <c r="O397" s="423" t="e">
        <f>IF(C397&lt;&gt;"",IF(ISERROR((100000/E397)^(252/N397)-1),Curva!$B$2,((100000/E397)^(252/N397)-1)),"")</f>
        <v>#REF!</v>
      </c>
      <c r="P397" s="219" t="e">
        <f>IF(OR(G397=1,G397=2),dadosexternosBMF_1!B400,"")</f>
        <v>#REF!</v>
      </c>
      <c r="Q397" s="219" t="e">
        <f>IF(OR(G397=1,G397=2),dadosexternosBMF_1!D400,"")</f>
        <v>#REF!</v>
      </c>
    </row>
    <row r="398" spans="1:17" x14ac:dyDescent="0.2">
      <c r="A398" s="222" t="e">
        <f t="shared" si="48"/>
        <v>#REF!</v>
      </c>
      <c r="B398" s="222" t="str">
        <f>IF(dadosexternosBMF_1!A401="DI1 - DI de 1 dia","DI1 - DI de 1 dia","")</f>
        <v/>
      </c>
      <c r="C398" s="222" t="e">
        <f>IF(dadosexternosBMF_1!A401="DOL - Dólar comercial","",IF(C397&lt;&gt;"",dadosexternosBMF_1!B401,IF(dadosexternosBMF_1!A401="DI1 - DI de 1 dia",dadosexternosBMF_1!B401,"")))</f>
        <v>#REF!</v>
      </c>
      <c r="D398" s="222" t="e">
        <f>IF(C398&lt;&gt;"",dadosexternosBMF_1!C401,"")</f>
        <v>#REF!</v>
      </c>
      <c r="E398" s="222" t="e">
        <f>IF(C398&lt;&gt;"",dadosexternosBMF_1!D401,"")</f>
        <v>#REF!</v>
      </c>
      <c r="G398" s="219" t="e">
        <f t="shared" si="49"/>
        <v>#REF!</v>
      </c>
      <c r="H398" s="219" t="e">
        <f t="shared" si="50"/>
        <v>#REF!</v>
      </c>
      <c r="I398" s="219" t="e">
        <f t="shared" si="51"/>
        <v>#REF!</v>
      </c>
      <c r="J398" s="219" t="e">
        <f>IF(I398="","",VLOOKUP(LEFT(C398,1),dadosexternosBMF_1!$L$2:$M$13,2,FALSE))</f>
        <v>#REF!</v>
      </c>
      <c r="K398" s="219" t="e">
        <f t="shared" si="52"/>
        <v>#REF!</v>
      </c>
      <c r="L398" s="422" t="e">
        <f t="shared" si="53"/>
        <v>#REF!</v>
      </c>
      <c r="M398" s="422" t="e">
        <f>IF(I398="","",WORKDAY(L398-1,1,FERIADOS!$A$2:$A$831))</f>
        <v>#REF!</v>
      </c>
      <c r="N398" s="219" t="e">
        <f>IF(I398="","",NETWORKDAYS(Curva!$M$2,M398,FERIADOS!$A$2:$A$831)-1)</f>
        <v>#REF!</v>
      </c>
      <c r="O398" s="423" t="e">
        <f>IF(C398&lt;&gt;"",IF(ISERROR((100000/E398)^(252/N398)-1),Curva!$B$2,((100000/E398)^(252/N398)-1)),"")</f>
        <v>#REF!</v>
      </c>
      <c r="P398" s="219" t="e">
        <f>IF(OR(G398=1,G398=2),dadosexternosBMF_1!B401,"")</f>
        <v>#REF!</v>
      </c>
      <c r="Q398" s="219" t="e">
        <f>IF(OR(G398=1,G398=2),dadosexternosBMF_1!D401,"")</f>
        <v>#REF!</v>
      </c>
    </row>
    <row r="399" spans="1:17" x14ac:dyDescent="0.2">
      <c r="A399" s="222" t="e">
        <f t="shared" si="48"/>
        <v>#REF!</v>
      </c>
      <c r="B399" s="222" t="str">
        <f>IF(dadosexternosBMF_1!A402="DI1 - DI de 1 dia","DI1 - DI de 1 dia","")</f>
        <v/>
      </c>
      <c r="C399" s="222" t="e">
        <f>IF(dadosexternosBMF_1!A402="DOL - Dólar comercial","",IF(C398&lt;&gt;"",dadosexternosBMF_1!B402,IF(dadosexternosBMF_1!A402="DI1 - DI de 1 dia",dadosexternosBMF_1!B402,"")))</f>
        <v>#REF!</v>
      </c>
      <c r="D399" s="222" t="e">
        <f>IF(C399&lt;&gt;"",dadosexternosBMF_1!C402,"")</f>
        <v>#REF!</v>
      </c>
      <c r="E399" s="222" t="e">
        <f>IF(C399&lt;&gt;"",dadosexternosBMF_1!D402,"")</f>
        <v>#REF!</v>
      </c>
      <c r="G399" s="219" t="e">
        <f t="shared" si="49"/>
        <v>#REF!</v>
      </c>
      <c r="H399" s="219" t="e">
        <f t="shared" si="50"/>
        <v>#REF!</v>
      </c>
      <c r="I399" s="219" t="e">
        <f t="shared" si="51"/>
        <v>#REF!</v>
      </c>
      <c r="J399" s="219" t="e">
        <f>IF(I399="","",VLOOKUP(LEFT(C399,1),dadosexternosBMF_1!$L$2:$M$13,2,FALSE))</f>
        <v>#REF!</v>
      </c>
      <c r="K399" s="219" t="e">
        <f t="shared" si="52"/>
        <v>#REF!</v>
      </c>
      <c r="L399" s="422" t="e">
        <f t="shared" si="53"/>
        <v>#REF!</v>
      </c>
      <c r="M399" s="422" t="e">
        <f>IF(I399="","",WORKDAY(L399-1,1,FERIADOS!$A$2:$A$831))</f>
        <v>#REF!</v>
      </c>
      <c r="N399" s="219" t="e">
        <f>IF(I399="","",NETWORKDAYS(Curva!$M$2,M399,FERIADOS!$A$2:$A$831)-1)</f>
        <v>#REF!</v>
      </c>
      <c r="O399" s="423" t="e">
        <f>IF(C399&lt;&gt;"",IF(ISERROR((100000/E399)^(252/N399)-1),Curva!$B$2,((100000/E399)^(252/N399)-1)),"")</f>
        <v>#REF!</v>
      </c>
      <c r="P399" s="219" t="e">
        <f>IF(OR(G399=1,G399=2),dadosexternosBMF_1!B402,"")</f>
        <v>#REF!</v>
      </c>
      <c r="Q399" s="219" t="e">
        <f>IF(OR(G399=1,G399=2),dadosexternosBMF_1!D402,"")</f>
        <v>#REF!</v>
      </c>
    </row>
    <row r="400" spans="1:17" x14ac:dyDescent="0.2">
      <c r="A400" s="222" t="e">
        <f t="shared" si="48"/>
        <v>#REF!</v>
      </c>
      <c r="B400" s="222" t="str">
        <f>IF(dadosexternosBMF_1!A403="DI1 - DI de 1 dia","DI1 - DI de 1 dia","")</f>
        <v/>
      </c>
      <c r="C400" s="222" t="e">
        <f>IF(dadosexternosBMF_1!A403="DOL - Dólar comercial","",IF(C399&lt;&gt;"",dadosexternosBMF_1!B403,IF(dadosexternosBMF_1!A403="DI1 - DI de 1 dia",dadosexternosBMF_1!B403,"")))</f>
        <v>#REF!</v>
      </c>
      <c r="D400" s="222" t="e">
        <f>IF(C400&lt;&gt;"",dadosexternosBMF_1!C403,"")</f>
        <v>#REF!</v>
      </c>
      <c r="E400" s="222" t="e">
        <f>IF(C400&lt;&gt;"",dadosexternosBMF_1!D403,"")</f>
        <v>#REF!</v>
      </c>
      <c r="G400" s="219" t="e">
        <f t="shared" si="49"/>
        <v>#REF!</v>
      </c>
      <c r="H400" s="219" t="e">
        <f t="shared" si="50"/>
        <v>#REF!</v>
      </c>
      <c r="I400" s="219" t="e">
        <f t="shared" si="51"/>
        <v>#REF!</v>
      </c>
      <c r="J400" s="219" t="e">
        <f>IF(I400="","",VLOOKUP(LEFT(C400,1),dadosexternosBMF_1!$L$2:$M$13,2,FALSE))</f>
        <v>#REF!</v>
      </c>
      <c r="K400" s="219" t="e">
        <f t="shared" si="52"/>
        <v>#REF!</v>
      </c>
      <c r="L400" s="422" t="e">
        <f t="shared" si="53"/>
        <v>#REF!</v>
      </c>
      <c r="M400" s="422" t="e">
        <f>IF(I400="","",WORKDAY(L400-1,1,FERIADOS!$A$2:$A$831))</f>
        <v>#REF!</v>
      </c>
      <c r="N400" s="219" t="e">
        <f>IF(I400="","",NETWORKDAYS(Curva!$M$2,M400,FERIADOS!$A$2:$A$831)-1)</f>
        <v>#REF!</v>
      </c>
      <c r="O400" s="423" t="e">
        <f>IF(C400&lt;&gt;"",IF(ISERROR((100000/E400)^(252/N400)-1),Curva!$B$2,((100000/E400)^(252/N400)-1)),"")</f>
        <v>#REF!</v>
      </c>
      <c r="P400" s="219" t="e">
        <f>IF(OR(G400=1,G400=2),dadosexternosBMF_1!B403,"")</f>
        <v>#REF!</v>
      </c>
      <c r="Q400" s="219" t="e">
        <f>IF(OR(G400=1,G400=2),dadosexternosBMF_1!D403,"")</f>
        <v>#REF!</v>
      </c>
    </row>
    <row r="401" spans="1:17" x14ac:dyDescent="0.2">
      <c r="A401" s="222" t="e">
        <f t="shared" si="48"/>
        <v>#REF!</v>
      </c>
      <c r="B401" s="222" t="str">
        <f>IF(dadosexternosBMF_1!A404="DI1 - DI de 1 dia","DI1 - DI de 1 dia","")</f>
        <v/>
      </c>
      <c r="C401" s="222" t="e">
        <f>IF(dadosexternosBMF_1!A404="DOL - Dólar comercial","",IF(C400&lt;&gt;"",dadosexternosBMF_1!B404,IF(dadosexternosBMF_1!A404="DI1 - DI de 1 dia",dadosexternosBMF_1!B404,"")))</f>
        <v>#REF!</v>
      </c>
      <c r="D401" s="222" t="e">
        <f>IF(C401&lt;&gt;"",dadosexternosBMF_1!C404,"")</f>
        <v>#REF!</v>
      </c>
      <c r="E401" s="222" t="e">
        <f>IF(C401&lt;&gt;"",dadosexternosBMF_1!D404,"")</f>
        <v>#REF!</v>
      </c>
      <c r="G401" s="219" t="e">
        <f t="shared" si="49"/>
        <v>#REF!</v>
      </c>
      <c r="H401" s="219" t="e">
        <f t="shared" si="50"/>
        <v>#REF!</v>
      </c>
      <c r="I401" s="219" t="e">
        <f t="shared" si="51"/>
        <v>#REF!</v>
      </c>
      <c r="J401" s="219" t="e">
        <f>IF(I401="","",VLOOKUP(LEFT(C401,1),dadosexternosBMF_1!$L$2:$M$13,2,FALSE))</f>
        <v>#REF!</v>
      </c>
      <c r="K401" s="219" t="e">
        <f t="shared" si="52"/>
        <v>#REF!</v>
      </c>
      <c r="L401" s="422" t="e">
        <f t="shared" si="53"/>
        <v>#REF!</v>
      </c>
      <c r="M401" s="422" t="e">
        <f>IF(I401="","",WORKDAY(L401-1,1,FERIADOS!$A$2:$A$831))</f>
        <v>#REF!</v>
      </c>
      <c r="N401" s="219" t="e">
        <f>IF(I401="","",NETWORKDAYS(Curva!$M$2,M401,FERIADOS!$A$2:$A$831)-1)</f>
        <v>#REF!</v>
      </c>
      <c r="O401" s="423" t="e">
        <f>IF(C401&lt;&gt;"",IF(ISERROR((100000/E401)^(252/N401)-1),Curva!$B$2,((100000/E401)^(252/N401)-1)),"")</f>
        <v>#REF!</v>
      </c>
      <c r="P401" s="219" t="e">
        <f>IF(OR(G401=1,G401=2),dadosexternosBMF_1!B404,"")</f>
        <v>#REF!</v>
      </c>
      <c r="Q401" s="219" t="e">
        <f>IF(OR(G401=1,G401=2),dadosexternosBMF_1!D404,"")</f>
        <v>#REF!</v>
      </c>
    </row>
    <row r="402" spans="1:17" x14ac:dyDescent="0.2">
      <c r="A402" s="222" t="e">
        <f t="shared" si="48"/>
        <v>#REF!</v>
      </c>
      <c r="B402" s="222" t="str">
        <f>IF(dadosexternosBMF_1!A405="DI1 - DI de 1 dia","DI1 - DI de 1 dia","")</f>
        <v/>
      </c>
      <c r="C402" s="222" t="e">
        <f>IF(dadosexternosBMF_1!A405="DOL - Dólar comercial","",IF(C401&lt;&gt;"",dadosexternosBMF_1!B405,IF(dadosexternosBMF_1!A405="DI1 - DI de 1 dia",dadosexternosBMF_1!B405,"")))</f>
        <v>#REF!</v>
      </c>
      <c r="D402" s="222" t="e">
        <f>IF(C402&lt;&gt;"",dadosexternosBMF_1!C405,"")</f>
        <v>#REF!</v>
      </c>
      <c r="E402" s="222" t="e">
        <f>IF(C402&lt;&gt;"",dadosexternosBMF_1!D405,"")</f>
        <v>#REF!</v>
      </c>
      <c r="G402" s="219" t="e">
        <f t="shared" si="49"/>
        <v>#REF!</v>
      </c>
      <c r="H402" s="219" t="e">
        <f t="shared" si="50"/>
        <v>#REF!</v>
      </c>
      <c r="I402" s="219" t="e">
        <f t="shared" si="51"/>
        <v>#REF!</v>
      </c>
      <c r="J402" s="219" t="e">
        <f>IF(I402="","",VLOOKUP(LEFT(C402,1),dadosexternosBMF_1!$L$2:$M$13,2,FALSE))</f>
        <v>#REF!</v>
      </c>
      <c r="K402" s="219" t="e">
        <f t="shared" si="52"/>
        <v>#REF!</v>
      </c>
      <c r="L402" s="422" t="e">
        <f t="shared" si="53"/>
        <v>#REF!</v>
      </c>
      <c r="M402" s="422" t="e">
        <f>IF(I402="","",WORKDAY(L402-1,1,FERIADOS!$A$2:$A$831))</f>
        <v>#REF!</v>
      </c>
      <c r="N402" s="219" t="e">
        <f>IF(I402="","",NETWORKDAYS(Curva!$M$2,M402,FERIADOS!$A$2:$A$831)-1)</f>
        <v>#REF!</v>
      </c>
      <c r="O402" s="423" t="e">
        <f>IF(C402&lt;&gt;"",IF(ISERROR((100000/E402)^(252/N402)-1),Curva!$B$2,((100000/E402)^(252/N402)-1)),"")</f>
        <v>#REF!</v>
      </c>
      <c r="P402" s="219" t="e">
        <f>IF(OR(G402=1,G402=2),dadosexternosBMF_1!B405,"")</f>
        <v>#REF!</v>
      </c>
      <c r="Q402" s="219" t="e">
        <f>IF(OR(G402=1,G402=2),dadosexternosBMF_1!D405,"")</f>
        <v>#REF!</v>
      </c>
    </row>
    <row r="403" spans="1:17" x14ac:dyDescent="0.2">
      <c r="A403" s="222" t="e">
        <f t="shared" si="48"/>
        <v>#REF!</v>
      </c>
      <c r="B403" s="222" t="str">
        <f>IF(dadosexternosBMF_1!A406="DI1 - DI de 1 dia","DI1 - DI de 1 dia","")</f>
        <v/>
      </c>
      <c r="C403" s="222" t="e">
        <f>IF(dadosexternosBMF_1!A406="DOL - Dólar comercial","",IF(C402&lt;&gt;"",dadosexternosBMF_1!B406,IF(dadosexternosBMF_1!A406="DI1 - DI de 1 dia",dadosexternosBMF_1!B406,"")))</f>
        <v>#REF!</v>
      </c>
      <c r="D403" s="222" t="e">
        <f>IF(C403&lt;&gt;"",dadosexternosBMF_1!C406,"")</f>
        <v>#REF!</v>
      </c>
      <c r="E403" s="222" t="e">
        <f>IF(C403&lt;&gt;"",dadosexternosBMF_1!D406,"")</f>
        <v>#REF!</v>
      </c>
      <c r="G403" s="219" t="e">
        <f t="shared" si="49"/>
        <v>#REF!</v>
      </c>
      <c r="H403" s="219" t="e">
        <f t="shared" si="50"/>
        <v>#REF!</v>
      </c>
      <c r="I403" s="219" t="e">
        <f t="shared" si="51"/>
        <v>#REF!</v>
      </c>
      <c r="J403" s="219" t="e">
        <f>IF(I403="","",VLOOKUP(LEFT(C403,1),dadosexternosBMF_1!$L$2:$M$13,2,FALSE))</f>
        <v>#REF!</v>
      </c>
      <c r="K403" s="219" t="e">
        <f t="shared" si="52"/>
        <v>#REF!</v>
      </c>
      <c r="L403" s="422" t="e">
        <f t="shared" si="53"/>
        <v>#REF!</v>
      </c>
      <c r="M403" s="422" t="e">
        <f>IF(I403="","",WORKDAY(L403-1,1,FERIADOS!$A$2:$A$831))</f>
        <v>#REF!</v>
      </c>
      <c r="N403" s="219" t="e">
        <f>IF(I403="","",NETWORKDAYS(Curva!$M$2,M403,FERIADOS!$A$2:$A$831)-1)</f>
        <v>#REF!</v>
      </c>
      <c r="O403" s="423" t="e">
        <f>IF(C403&lt;&gt;"",IF(ISERROR((100000/E403)^(252/N403)-1),Curva!$B$2,((100000/E403)^(252/N403)-1)),"")</f>
        <v>#REF!</v>
      </c>
      <c r="P403" s="219" t="e">
        <f>IF(OR(G403=1,G403=2),dadosexternosBMF_1!B406,"")</f>
        <v>#REF!</v>
      </c>
      <c r="Q403" s="219" t="e">
        <f>IF(OR(G403=1,G403=2),dadosexternosBMF_1!D406,"")</f>
        <v>#REF!</v>
      </c>
    </row>
    <row r="404" spans="1:17" x14ac:dyDescent="0.2">
      <c r="A404" s="222" t="e">
        <f t="shared" si="48"/>
        <v>#REF!</v>
      </c>
      <c r="B404" s="222" t="str">
        <f>IF(dadosexternosBMF_1!A407="DI1 - DI de 1 dia","DI1 - DI de 1 dia","")</f>
        <v/>
      </c>
      <c r="C404" s="222" t="e">
        <f>IF(dadosexternosBMF_1!A407="DOL - Dólar comercial","",IF(C403&lt;&gt;"",dadosexternosBMF_1!B407,IF(dadosexternosBMF_1!A407="DI1 - DI de 1 dia",dadosexternosBMF_1!B407,"")))</f>
        <v>#REF!</v>
      </c>
      <c r="D404" s="222" t="e">
        <f>IF(C404&lt;&gt;"",dadosexternosBMF_1!C407,"")</f>
        <v>#REF!</v>
      </c>
      <c r="E404" s="222" t="e">
        <f>IF(C404&lt;&gt;"",dadosexternosBMF_1!D407,"")</f>
        <v>#REF!</v>
      </c>
      <c r="G404" s="219" t="e">
        <f t="shared" si="49"/>
        <v>#REF!</v>
      </c>
      <c r="H404" s="219" t="e">
        <f t="shared" si="50"/>
        <v>#REF!</v>
      </c>
      <c r="I404" s="219" t="e">
        <f t="shared" si="51"/>
        <v>#REF!</v>
      </c>
      <c r="J404" s="219" t="e">
        <f>IF(I404="","",VLOOKUP(LEFT(C404,1),dadosexternosBMF_1!$L$2:$M$13,2,FALSE))</f>
        <v>#REF!</v>
      </c>
      <c r="K404" s="219" t="e">
        <f t="shared" si="52"/>
        <v>#REF!</v>
      </c>
      <c r="L404" s="422" t="e">
        <f t="shared" si="53"/>
        <v>#REF!</v>
      </c>
      <c r="M404" s="422" t="e">
        <f>IF(I404="","",WORKDAY(L404-1,1,FERIADOS!$A$2:$A$831))</f>
        <v>#REF!</v>
      </c>
      <c r="N404" s="219" t="e">
        <f>IF(I404="","",NETWORKDAYS(Curva!$M$2,M404,FERIADOS!$A$2:$A$831)-1)</f>
        <v>#REF!</v>
      </c>
      <c r="O404" s="423" t="e">
        <f>IF(C404&lt;&gt;"",IF(ISERROR((100000/E404)^(252/N404)-1),Curva!$B$2,((100000/E404)^(252/N404)-1)),"")</f>
        <v>#REF!</v>
      </c>
      <c r="P404" s="219" t="e">
        <f>IF(OR(G404=1,G404=2),dadosexternosBMF_1!B407,"")</f>
        <v>#REF!</v>
      </c>
      <c r="Q404" s="219" t="e">
        <f>IF(OR(G404=1,G404=2),dadosexternosBMF_1!D407,"")</f>
        <v>#REF!</v>
      </c>
    </row>
    <row r="405" spans="1:17" x14ac:dyDescent="0.2">
      <c r="A405" s="222" t="e">
        <f t="shared" si="48"/>
        <v>#REF!</v>
      </c>
      <c r="B405" s="222" t="str">
        <f>IF(dadosexternosBMF_1!A408="DI1 - DI de 1 dia","DI1 - DI de 1 dia","")</f>
        <v/>
      </c>
      <c r="C405" s="222" t="e">
        <f>IF(dadosexternosBMF_1!A408="DOL - Dólar comercial","",IF(C404&lt;&gt;"",dadosexternosBMF_1!B408,IF(dadosexternosBMF_1!A408="DI1 - DI de 1 dia",dadosexternosBMF_1!B408,"")))</f>
        <v>#REF!</v>
      </c>
      <c r="D405" s="222" t="e">
        <f>IF(C405&lt;&gt;"",dadosexternosBMF_1!C408,"")</f>
        <v>#REF!</v>
      </c>
      <c r="E405" s="222" t="e">
        <f>IF(C405&lt;&gt;"",dadosexternosBMF_1!D408,"")</f>
        <v>#REF!</v>
      </c>
      <c r="G405" s="219" t="e">
        <f t="shared" si="49"/>
        <v>#REF!</v>
      </c>
      <c r="H405" s="219" t="e">
        <f t="shared" si="50"/>
        <v>#REF!</v>
      </c>
      <c r="I405" s="219" t="e">
        <f t="shared" si="51"/>
        <v>#REF!</v>
      </c>
      <c r="J405" s="219" t="e">
        <f>IF(I405="","",VLOOKUP(LEFT(C405,1),dadosexternosBMF_1!$L$2:$M$13,2,FALSE))</f>
        <v>#REF!</v>
      </c>
      <c r="K405" s="219" t="e">
        <f t="shared" si="52"/>
        <v>#REF!</v>
      </c>
      <c r="L405" s="422" t="e">
        <f t="shared" si="53"/>
        <v>#REF!</v>
      </c>
      <c r="M405" s="422" t="e">
        <f>IF(I405="","",WORKDAY(L405-1,1,FERIADOS!$A$2:$A$831))</f>
        <v>#REF!</v>
      </c>
      <c r="N405" s="219" t="e">
        <f>IF(I405="","",NETWORKDAYS(Curva!$M$2,M405,FERIADOS!$A$2:$A$831)-1)</f>
        <v>#REF!</v>
      </c>
      <c r="O405" s="423" t="e">
        <f>IF(C405&lt;&gt;"",IF(ISERROR((100000/E405)^(252/N405)-1),Curva!$B$2,((100000/E405)^(252/N405)-1)),"")</f>
        <v>#REF!</v>
      </c>
      <c r="P405" s="219" t="e">
        <f>IF(OR(G405=1,G405=2),dadosexternosBMF_1!B408,"")</f>
        <v>#REF!</v>
      </c>
      <c r="Q405" s="219" t="e">
        <f>IF(OR(G405=1,G405=2),dadosexternosBMF_1!D408,"")</f>
        <v>#REF!</v>
      </c>
    </row>
    <row r="406" spans="1:17" x14ac:dyDescent="0.2">
      <c r="A406" s="222" t="e">
        <f t="shared" si="48"/>
        <v>#REF!</v>
      </c>
      <c r="B406" s="222" t="str">
        <f>IF(dadosexternosBMF_1!A409="DI1 - DI de 1 dia","DI1 - DI de 1 dia","")</f>
        <v/>
      </c>
      <c r="C406" s="222" t="e">
        <f>IF(dadosexternosBMF_1!A409="DOL - Dólar comercial","",IF(C405&lt;&gt;"",dadosexternosBMF_1!B409,IF(dadosexternosBMF_1!A409="DI1 - DI de 1 dia",dadosexternosBMF_1!B409,"")))</f>
        <v>#REF!</v>
      </c>
      <c r="D406" s="222" t="e">
        <f>IF(C406&lt;&gt;"",dadosexternosBMF_1!C409,"")</f>
        <v>#REF!</v>
      </c>
      <c r="E406" s="222" t="e">
        <f>IF(C406&lt;&gt;"",dadosexternosBMF_1!D409,"")</f>
        <v>#REF!</v>
      </c>
      <c r="G406" s="219" t="e">
        <f t="shared" si="49"/>
        <v>#REF!</v>
      </c>
      <c r="H406" s="219" t="e">
        <f t="shared" si="50"/>
        <v>#REF!</v>
      </c>
      <c r="I406" s="219" t="e">
        <f t="shared" si="51"/>
        <v>#REF!</v>
      </c>
      <c r="J406" s="219" t="e">
        <f>IF(I406="","",VLOOKUP(LEFT(C406,1),dadosexternosBMF_1!$L$2:$M$13,2,FALSE))</f>
        <v>#REF!</v>
      </c>
      <c r="K406" s="219" t="e">
        <f t="shared" si="52"/>
        <v>#REF!</v>
      </c>
      <c r="L406" s="422" t="e">
        <f t="shared" si="53"/>
        <v>#REF!</v>
      </c>
      <c r="M406" s="422" t="e">
        <f>IF(I406="","",WORKDAY(L406-1,1,FERIADOS!$A$2:$A$831))</f>
        <v>#REF!</v>
      </c>
      <c r="N406" s="219" t="e">
        <f>IF(I406="","",NETWORKDAYS(Curva!$M$2,M406,FERIADOS!$A$2:$A$831)-1)</f>
        <v>#REF!</v>
      </c>
      <c r="O406" s="423" t="e">
        <f>IF(C406&lt;&gt;"",IF(ISERROR((100000/E406)^(252/N406)-1),Curva!$B$2,((100000/E406)^(252/N406)-1)),"")</f>
        <v>#REF!</v>
      </c>
      <c r="P406" s="219" t="e">
        <f>IF(OR(G406=1,G406=2),dadosexternosBMF_1!B409,"")</f>
        <v>#REF!</v>
      </c>
      <c r="Q406" s="219" t="e">
        <f>IF(OR(G406=1,G406=2),dadosexternosBMF_1!D409,"")</f>
        <v>#REF!</v>
      </c>
    </row>
    <row r="407" spans="1:17" x14ac:dyDescent="0.2">
      <c r="A407" s="222" t="e">
        <f t="shared" si="48"/>
        <v>#REF!</v>
      </c>
      <c r="B407" s="222" t="str">
        <f>IF(dadosexternosBMF_1!A410="DI1 - DI de 1 dia","DI1 - DI de 1 dia","")</f>
        <v/>
      </c>
      <c r="C407" s="222" t="e">
        <f>IF(dadosexternosBMF_1!A410="DOL - Dólar comercial","",IF(C406&lt;&gt;"",dadosexternosBMF_1!B410,IF(dadosexternosBMF_1!A410="DI1 - DI de 1 dia",dadosexternosBMF_1!B410,"")))</f>
        <v>#REF!</v>
      </c>
      <c r="D407" s="222" t="e">
        <f>IF(C407&lt;&gt;"",dadosexternosBMF_1!C410,"")</f>
        <v>#REF!</v>
      </c>
      <c r="E407" s="222" t="e">
        <f>IF(C407&lt;&gt;"",dadosexternosBMF_1!D410,"")</f>
        <v>#REF!</v>
      </c>
      <c r="G407" s="219" t="e">
        <f t="shared" si="49"/>
        <v>#REF!</v>
      </c>
      <c r="H407" s="219" t="e">
        <f t="shared" si="50"/>
        <v>#REF!</v>
      </c>
      <c r="I407" s="219" t="e">
        <f t="shared" si="51"/>
        <v>#REF!</v>
      </c>
      <c r="J407" s="219" t="e">
        <f>IF(I407="","",VLOOKUP(LEFT(C407,1),dadosexternosBMF_1!$L$2:$M$13,2,FALSE))</f>
        <v>#REF!</v>
      </c>
      <c r="K407" s="219" t="e">
        <f t="shared" si="52"/>
        <v>#REF!</v>
      </c>
      <c r="L407" s="422" t="e">
        <f t="shared" si="53"/>
        <v>#REF!</v>
      </c>
      <c r="M407" s="422" t="e">
        <f>IF(I407="","",WORKDAY(L407-1,1,FERIADOS!$A$2:$A$831))</f>
        <v>#REF!</v>
      </c>
      <c r="N407" s="219" t="e">
        <f>IF(I407="","",NETWORKDAYS(Curva!$M$2,M407,FERIADOS!$A$2:$A$831)-1)</f>
        <v>#REF!</v>
      </c>
      <c r="O407" s="423" t="e">
        <f>IF(C407&lt;&gt;"",IF(ISERROR((100000/E407)^(252/N407)-1),Curva!$B$2,((100000/E407)^(252/N407)-1)),"")</f>
        <v>#REF!</v>
      </c>
      <c r="P407" s="219" t="e">
        <f>IF(OR(G407=1,G407=2),dadosexternosBMF_1!B410,"")</f>
        <v>#REF!</v>
      </c>
      <c r="Q407" s="219" t="e">
        <f>IF(OR(G407=1,G407=2),dadosexternosBMF_1!D410,"")</f>
        <v>#REF!</v>
      </c>
    </row>
    <row r="408" spans="1:17" x14ac:dyDescent="0.2">
      <c r="A408" s="222" t="e">
        <f t="shared" si="48"/>
        <v>#REF!</v>
      </c>
      <c r="B408" s="222" t="str">
        <f>IF(dadosexternosBMF_1!A411="DI1 - DI de 1 dia","DI1 - DI de 1 dia","")</f>
        <v/>
      </c>
      <c r="C408" s="222" t="e">
        <f>IF(dadosexternosBMF_1!A411="DOL - Dólar comercial","",IF(C407&lt;&gt;"",dadosexternosBMF_1!B411,IF(dadosexternosBMF_1!A411="DI1 - DI de 1 dia",dadosexternosBMF_1!B411,"")))</f>
        <v>#REF!</v>
      </c>
      <c r="D408" s="222" t="e">
        <f>IF(C408&lt;&gt;"",dadosexternosBMF_1!C411,"")</f>
        <v>#REF!</v>
      </c>
      <c r="E408" s="222" t="e">
        <f>IF(C408&lt;&gt;"",dadosexternosBMF_1!D411,"")</f>
        <v>#REF!</v>
      </c>
      <c r="G408" s="219" t="e">
        <f t="shared" si="49"/>
        <v>#REF!</v>
      </c>
      <c r="H408" s="219" t="e">
        <f t="shared" si="50"/>
        <v>#REF!</v>
      </c>
      <c r="I408" s="219" t="e">
        <f t="shared" si="51"/>
        <v>#REF!</v>
      </c>
      <c r="J408" s="219" t="e">
        <f>IF(I408="","",VLOOKUP(LEFT(C408,1),dadosexternosBMF_1!$L$2:$M$13,2,FALSE))</f>
        <v>#REF!</v>
      </c>
      <c r="K408" s="219" t="e">
        <f t="shared" si="52"/>
        <v>#REF!</v>
      </c>
      <c r="L408" s="422" t="e">
        <f t="shared" si="53"/>
        <v>#REF!</v>
      </c>
      <c r="M408" s="422" t="e">
        <f>IF(I408="","",WORKDAY(L408-1,1,FERIADOS!$A$2:$A$831))</f>
        <v>#REF!</v>
      </c>
      <c r="N408" s="219" t="e">
        <f>IF(I408="","",NETWORKDAYS(Curva!$M$2,M408,FERIADOS!$A$2:$A$831)-1)</f>
        <v>#REF!</v>
      </c>
      <c r="O408" s="423" t="e">
        <f>IF(C408&lt;&gt;"",IF(ISERROR((100000/E408)^(252/N408)-1),Curva!$B$2,((100000/E408)^(252/N408)-1)),"")</f>
        <v>#REF!</v>
      </c>
      <c r="P408" s="219" t="e">
        <f>IF(OR(G408=1,G408=2),dadosexternosBMF_1!B411,"")</f>
        <v>#REF!</v>
      </c>
      <c r="Q408" s="219" t="e">
        <f>IF(OR(G408=1,G408=2),dadosexternosBMF_1!D411,"")</f>
        <v>#REF!</v>
      </c>
    </row>
    <row r="409" spans="1:17" x14ac:dyDescent="0.2">
      <c r="A409" s="222" t="e">
        <f t="shared" si="48"/>
        <v>#REF!</v>
      </c>
      <c r="B409" s="222" t="str">
        <f>IF(dadosexternosBMF_1!A412="DI1 - DI de 1 dia","DI1 - DI de 1 dia","")</f>
        <v/>
      </c>
      <c r="C409" s="222" t="e">
        <f>IF(dadosexternosBMF_1!A412="DOL - Dólar comercial","",IF(C408&lt;&gt;"",dadosexternosBMF_1!B412,IF(dadosexternosBMF_1!A412="DI1 - DI de 1 dia",dadosexternosBMF_1!B412,"")))</f>
        <v>#REF!</v>
      </c>
      <c r="D409" s="222" t="e">
        <f>IF(C409&lt;&gt;"",dadosexternosBMF_1!C412,"")</f>
        <v>#REF!</v>
      </c>
      <c r="E409" s="222" t="e">
        <f>IF(C409&lt;&gt;"",dadosexternosBMF_1!D412,"")</f>
        <v>#REF!</v>
      </c>
      <c r="G409" s="219" t="e">
        <f t="shared" si="49"/>
        <v>#REF!</v>
      </c>
      <c r="H409" s="219" t="e">
        <f t="shared" si="50"/>
        <v>#REF!</v>
      </c>
      <c r="I409" s="219" t="e">
        <f t="shared" si="51"/>
        <v>#REF!</v>
      </c>
      <c r="J409" s="219" t="e">
        <f>IF(I409="","",VLOOKUP(LEFT(C409,1),dadosexternosBMF_1!$L$2:$M$13,2,FALSE))</f>
        <v>#REF!</v>
      </c>
      <c r="K409" s="219" t="e">
        <f t="shared" si="52"/>
        <v>#REF!</v>
      </c>
      <c r="L409" s="422" t="e">
        <f t="shared" si="53"/>
        <v>#REF!</v>
      </c>
      <c r="M409" s="422" t="e">
        <f>IF(I409="","",WORKDAY(L409-1,1,FERIADOS!$A$2:$A$831))</f>
        <v>#REF!</v>
      </c>
      <c r="N409" s="219" t="e">
        <f>IF(I409="","",NETWORKDAYS(Curva!$M$2,M409,FERIADOS!$A$2:$A$831)-1)</f>
        <v>#REF!</v>
      </c>
      <c r="O409" s="423" t="e">
        <f>IF(C409&lt;&gt;"",IF(ISERROR((100000/E409)^(252/N409)-1),Curva!$B$2,((100000/E409)^(252/N409)-1)),"")</f>
        <v>#REF!</v>
      </c>
      <c r="P409" s="219" t="e">
        <f>IF(OR(G409=1,G409=2),dadosexternosBMF_1!B412,"")</f>
        <v>#REF!</v>
      </c>
      <c r="Q409" s="219" t="e">
        <f>IF(OR(G409=1,G409=2),dadosexternosBMF_1!D412,"")</f>
        <v>#REF!</v>
      </c>
    </row>
    <row r="410" spans="1:17" x14ac:dyDescent="0.2">
      <c r="A410" s="222" t="e">
        <f t="shared" si="48"/>
        <v>#REF!</v>
      </c>
      <c r="B410" s="222" t="str">
        <f>IF(dadosexternosBMF_1!A413="DI1 - DI de 1 dia","DI1 - DI de 1 dia","")</f>
        <v/>
      </c>
      <c r="C410" s="222" t="e">
        <f>IF(dadosexternosBMF_1!A413="DOL - Dólar comercial","",IF(C409&lt;&gt;"",dadosexternosBMF_1!B413,IF(dadosexternosBMF_1!A413="DI1 - DI de 1 dia",dadosexternosBMF_1!B413,"")))</f>
        <v>#REF!</v>
      </c>
      <c r="D410" s="222" t="e">
        <f>IF(C410&lt;&gt;"",dadosexternosBMF_1!C413,"")</f>
        <v>#REF!</v>
      </c>
      <c r="E410" s="222" t="e">
        <f>IF(C410&lt;&gt;"",dadosexternosBMF_1!D413,"")</f>
        <v>#REF!</v>
      </c>
      <c r="G410" s="219" t="e">
        <f t="shared" si="49"/>
        <v>#REF!</v>
      </c>
      <c r="H410" s="219" t="e">
        <f t="shared" si="50"/>
        <v>#REF!</v>
      </c>
      <c r="I410" s="219" t="e">
        <f t="shared" si="51"/>
        <v>#REF!</v>
      </c>
      <c r="J410" s="219" t="e">
        <f>IF(I410="","",VLOOKUP(LEFT(C410,1),dadosexternosBMF_1!$L$2:$M$13,2,FALSE))</f>
        <v>#REF!</v>
      </c>
      <c r="K410" s="219" t="e">
        <f t="shared" si="52"/>
        <v>#REF!</v>
      </c>
      <c r="L410" s="422" t="e">
        <f t="shared" si="53"/>
        <v>#REF!</v>
      </c>
      <c r="M410" s="422" t="e">
        <f>IF(I410="","",WORKDAY(L410-1,1,FERIADOS!$A$2:$A$831))</f>
        <v>#REF!</v>
      </c>
      <c r="N410" s="219" t="e">
        <f>IF(I410="","",NETWORKDAYS(Curva!$M$2,M410,FERIADOS!$A$2:$A$831)-1)</f>
        <v>#REF!</v>
      </c>
      <c r="O410" s="423" t="e">
        <f>IF(C410&lt;&gt;"",IF(ISERROR((100000/E410)^(252/N410)-1),Curva!$B$2,((100000/E410)^(252/N410)-1)),"")</f>
        <v>#REF!</v>
      </c>
      <c r="P410" s="219" t="e">
        <f>IF(OR(G410=1,G410=2),dadosexternosBMF_1!B413,"")</f>
        <v>#REF!</v>
      </c>
      <c r="Q410" s="219" t="e">
        <f>IF(OR(G410=1,G410=2),dadosexternosBMF_1!D413,"")</f>
        <v>#REF!</v>
      </c>
    </row>
    <row r="411" spans="1:17" x14ac:dyDescent="0.2">
      <c r="A411" s="222" t="e">
        <f t="shared" ref="A411:A474" si="54">IF(AND(A410&lt;&gt;"",C411&lt;&gt;""),A410+1,IF(B411="DI1 - DI de 1 dia",1,""))</f>
        <v>#REF!</v>
      </c>
      <c r="B411" s="222" t="str">
        <f>IF(dadosexternosBMF_1!A414="DI1 - DI de 1 dia","DI1 - DI de 1 dia","")</f>
        <v/>
      </c>
      <c r="C411" s="222" t="e">
        <f>IF(dadosexternosBMF_1!A414="DOL - Dólar comercial","",IF(C410&lt;&gt;"",dadosexternosBMF_1!B414,IF(dadosexternosBMF_1!A414="DI1 - DI de 1 dia",dadosexternosBMF_1!B414,"")))</f>
        <v>#REF!</v>
      </c>
      <c r="D411" s="222" t="e">
        <f>IF(C411&lt;&gt;"",dadosexternosBMF_1!C414,"")</f>
        <v>#REF!</v>
      </c>
      <c r="E411" s="222" t="e">
        <f>IF(C411&lt;&gt;"",dadosexternosBMF_1!D414,"")</f>
        <v>#REF!</v>
      </c>
      <c r="G411" s="219" t="e">
        <f t="shared" ref="G411:G474" si="55">IF(G410=1,2,IF(AND(H411="",H410&lt;&gt;""),1,""))</f>
        <v>#REF!</v>
      </c>
      <c r="H411" s="219" t="e">
        <f t="shared" ref="H411:H474" si="56">IF(A411&lt;&gt;"",A411,"")</f>
        <v>#REF!</v>
      </c>
      <c r="I411" s="219" t="e">
        <f t="shared" ref="I411:I474" si="57">IF(A411&lt;&gt;"",(CONCATENATE("DI1",C411)),"")</f>
        <v>#REF!</v>
      </c>
      <c r="J411" s="219" t="e">
        <f>IF(I411="","",VLOOKUP(LEFT(C411,1),dadosexternosBMF_1!$L$2:$M$13,2,FALSE))</f>
        <v>#REF!</v>
      </c>
      <c r="K411" s="219" t="e">
        <f t="shared" ref="K411:K474" si="58">IF(I411="","",1+CONCATENATE(20,RIGHT(C411,2))-1)</f>
        <v>#REF!</v>
      </c>
      <c r="L411" s="422" t="e">
        <f t="shared" ref="L411:L474" si="59">IF(I411="","",CONCATENATE(1,"/",J411,"/",K411)+1-1)</f>
        <v>#REF!</v>
      </c>
      <c r="M411" s="422" t="e">
        <f>IF(I411="","",WORKDAY(L411-1,1,FERIADOS!$A$2:$A$831))</f>
        <v>#REF!</v>
      </c>
      <c r="N411" s="219" t="e">
        <f>IF(I411="","",NETWORKDAYS(Curva!$M$2,M411,FERIADOS!$A$2:$A$831)-1)</f>
        <v>#REF!</v>
      </c>
      <c r="O411" s="423" t="e">
        <f>IF(C411&lt;&gt;"",IF(ISERROR((100000/E411)^(252/N411)-1),Curva!$B$2,((100000/E411)^(252/N411)-1)),"")</f>
        <v>#REF!</v>
      </c>
      <c r="P411" s="219" t="e">
        <f>IF(OR(G411=1,G411=2),dadosexternosBMF_1!B414,"")</f>
        <v>#REF!</v>
      </c>
      <c r="Q411" s="219" t="e">
        <f>IF(OR(G411=1,G411=2),dadosexternosBMF_1!D414,"")</f>
        <v>#REF!</v>
      </c>
    </row>
    <row r="412" spans="1:17" x14ac:dyDescent="0.2">
      <c r="A412" s="222" t="e">
        <f t="shared" si="54"/>
        <v>#REF!</v>
      </c>
      <c r="B412" s="222" t="str">
        <f>IF(dadosexternosBMF_1!A415="DI1 - DI de 1 dia","DI1 - DI de 1 dia","")</f>
        <v/>
      </c>
      <c r="C412" s="222" t="e">
        <f>IF(dadosexternosBMF_1!A415="DOL - Dólar comercial","",IF(C411&lt;&gt;"",dadosexternosBMF_1!B415,IF(dadosexternosBMF_1!A415="DI1 - DI de 1 dia",dadosexternosBMF_1!B415,"")))</f>
        <v>#REF!</v>
      </c>
      <c r="D412" s="222" t="e">
        <f>IF(C412&lt;&gt;"",dadosexternosBMF_1!C415,"")</f>
        <v>#REF!</v>
      </c>
      <c r="E412" s="222" t="e">
        <f>IF(C412&lt;&gt;"",dadosexternosBMF_1!D415,"")</f>
        <v>#REF!</v>
      </c>
      <c r="G412" s="219" t="e">
        <f t="shared" si="55"/>
        <v>#REF!</v>
      </c>
      <c r="H412" s="219" t="e">
        <f t="shared" si="56"/>
        <v>#REF!</v>
      </c>
      <c r="I412" s="219" t="e">
        <f t="shared" si="57"/>
        <v>#REF!</v>
      </c>
      <c r="J412" s="219" t="e">
        <f>IF(I412="","",VLOOKUP(LEFT(C412,1),dadosexternosBMF_1!$L$2:$M$13,2,FALSE))</f>
        <v>#REF!</v>
      </c>
      <c r="K412" s="219" t="e">
        <f t="shared" si="58"/>
        <v>#REF!</v>
      </c>
      <c r="L412" s="422" t="e">
        <f t="shared" si="59"/>
        <v>#REF!</v>
      </c>
      <c r="M412" s="422" t="e">
        <f>IF(I412="","",WORKDAY(L412-1,1,FERIADOS!$A$2:$A$831))</f>
        <v>#REF!</v>
      </c>
      <c r="N412" s="219" t="e">
        <f>IF(I412="","",NETWORKDAYS(Curva!$M$2,M412,FERIADOS!$A$2:$A$831)-1)</f>
        <v>#REF!</v>
      </c>
      <c r="O412" s="423" t="e">
        <f>IF(C412&lt;&gt;"",IF(ISERROR((100000/E412)^(252/N412)-1),Curva!$B$2,((100000/E412)^(252/N412)-1)),"")</f>
        <v>#REF!</v>
      </c>
      <c r="P412" s="219" t="e">
        <f>IF(OR(G412=1,G412=2),dadosexternosBMF_1!B415,"")</f>
        <v>#REF!</v>
      </c>
      <c r="Q412" s="219" t="e">
        <f>IF(OR(G412=1,G412=2),dadosexternosBMF_1!D415,"")</f>
        <v>#REF!</v>
      </c>
    </row>
    <row r="413" spans="1:17" x14ac:dyDescent="0.2">
      <c r="A413" s="222" t="e">
        <f t="shared" si="54"/>
        <v>#REF!</v>
      </c>
      <c r="B413" s="222" t="str">
        <f>IF(dadosexternosBMF_1!A416="DI1 - DI de 1 dia","DI1 - DI de 1 dia","")</f>
        <v/>
      </c>
      <c r="C413" s="222" t="e">
        <f>IF(dadosexternosBMF_1!A416="DOL - Dólar comercial","",IF(C412&lt;&gt;"",dadosexternosBMF_1!B416,IF(dadosexternosBMF_1!A416="DI1 - DI de 1 dia",dadosexternosBMF_1!B416,"")))</f>
        <v>#REF!</v>
      </c>
      <c r="D413" s="222" t="e">
        <f>IF(C413&lt;&gt;"",dadosexternosBMF_1!C416,"")</f>
        <v>#REF!</v>
      </c>
      <c r="E413" s="222" t="e">
        <f>IF(C413&lt;&gt;"",dadosexternosBMF_1!D416,"")</f>
        <v>#REF!</v>
      </c>
      <c r="G413" s="219" t="e">
        <f t="shared" si="55"/>
        <v>#REF!</v>
      </c>
      <c r="H413" s="219" t="e">
        <f t="shared" si="56"/>
        <v>#REF!</v>
      </c>
      <c r="I413" s="219" t="e">
        <f t="shared" si="57"/>
        <v>#REF!</v>
      </c>
      <c r="J413" s="219" t="e">
        <f>IF(I413="","",VLOOKUP(LEFT(C413,1),dadosexternosBMF_1!$L$2:$M$13,2,FALSE))</f>
        <v>#REF!</v>
      </c>
      <c r="K413" s="219" t="e">
        <f t="shared" si="58"/>
        <v>#REF!</v>
      </c>
      <c r="L413" s="422" t="e">
        <f t="shared" si="59"/>
        <v>#REF!</v>
      </c>
      <c r="M413" s="422" t="e">
        <f>IF(I413="","",WORKDAY(L413-1,1,FERIADOS!$A$2:$A$831))</f>
        <v>#REF!</v>
      </c>
      <c r="N413" s="219" t="e">
        <f>IF(I413="","",NETWORKDAYS(Curva!$M$2,M413,FERIADOS!$A$2:$A$831)-1)</f>
        <v>#REF!</v>
      </c>
      <c r="O413" s="423" t="e">
        <f>IF(C413&lt;&gt;"",IF(ISERROR((100000/E413)^(252/N413)-1),Curva!$B$2,((100000/E413)^(252/N413)-1)),"")</f>
        <v>#REF!</v>
      </c>
      <c r="P413" s="219" t="e">
        <f>IF(OR(G413=1,G413=2),dadosexternosBMF_1!B416,"")</f>
        <v>#REF!</v>
      </c>
      <c r="Q413" s="219" t="e">
        <f>IF(OR(G413=1,G413=2),dadosexternosBMF_1!D416,"")</f>
        <v>#REF!</v>
      </c>
    </row>
    <row r="414" spans="1:17" x14ac:dyDescent="0.2">
      <c r="A414" s="222" t="e">
        <f t="shared" si="54"/>
        <v>#REF!</v>
      </c>
      <c r="B414" s="222" t="str">
        <f>IF(dadosexternosBMF_1!A417="DI1 - DI de 1 dia","DI1 - DI de 1 dia","")</f>
        <v/>
      </c>
      <c r="C414" s="222" t="e">
        <f>IF(dadosexternosBMF_1!A417="DOL - Dólar comercial","",IF(C413&lt;&gt;"",dadosexternosBMF_1!B417,IF(dadosexternosBMF_1!A417="DI1 - DI de 1 dia",dadosexternosBMF_1!B417,"")))</f>
        <v>#REF!</v>
      </c>
      <c r="D414" s="222" t="e">
        <f>IF(C414&lt;&gt;"",dadosexternosBMF_1!C417,"")</f>
        <v>#REF!</v>
      </c>
      <c r="E414" s="222" t="e">
        <f>IF(C414&lt;&gt;"",dadosexternosBMF_1!D417,"")</f>
        <v>#REF!</v>
      </c>
      <c r="G414" s="219" t="e">
        <f t="shared" si="55"/>
        <v>#REF!</v>
      </c>
      <c r="H414" s="219" t="e">
        <f t="shared" si="56"/>
        <v>#REF!</v>
      </c>
      <c r="I414" s="219" t="e">
        <f t="shared" si="57"/>
        <v>#REF!</v>
      </c>
      <c r="J414" s="219" t="e">
        <f>IF(I414="","",VLOOKUP(LEFT(C414,1),dadosexternosBMF_1!$L$2:$M$13,2,FALSE))</f>
        <v>#REF!</v>
      </c>
      <c r="K414" s="219" t="e">
        <f t="shared" si="58"/>
        <v>#REF!</v>
      </c>
      <c r="L414" s="422" t="e">
        <f t="shared" si="59"/>
        <v>#REF!</v>
      </c>
      <c r="M414" s="422" t="e">
        <f>IF(I414="","",WORKDAY(L414-1,1,FERIADOS!$A$2:$A$831))</f>
        <v>#REF!</v>
      </c>
      <c r="N414" s="219" t="e">
        <f>IF(I414="","",NETWORKDAYS(Curva!$M$2,M414,FERIADOS!$A$2:$A$831)-1)</f>
        <v>#REF!</v>
      </c>
      <c r="O414" s="423" t="e">
        <f>IF(C414&lt;&gt;"",IF(ISERROR((100000/E414)^(252/N414)-1),Curva!$B$2,((100000/E414)^(252/N414)-1)),"")</f>
        <v>#REF!</v>
      </c>
      <c r="P414" s="219" t="e">
        <f>IF(OR(G414=1,G414=2),dadosexternosBMF_1!B417,"")</f>
        <v>#REF!</v>
      </c>
      <c r="Q414" s="219" t="e">
        <f>IF(OR(G414=1,G414=2),dadosexternosBMF_1!D417,"")</f>
        <v>#REF!</v>
      </c>
    </row>
    <row r="415" spans="1:17" x14ac:dyDescent="0.2">
      <c r="A415" s="222" t="e">
        <f t="shared" si="54"/>
        <v>#REF!</v>
      </c>
      <c r="B415" s="222" t="str">
        <f>IF(dadosexternosBMF_1!A418="DI1 - DI de 1 dia","DI1 - DI de 1 dia","")</f>
        <v/>
      </c>
      <c r="C415" s="222" t="e">
        <f>IF(dadosexternosBMF_1!A418="DOL - Dólar comercial","",IF(C414&lt;&gt;"",dadosexternosBMF_1!B418,IF(dadosexternosBMF_1!A418="DI1 - DI de 1 dia",dadosexternosBMF_1!B418,"")))</f>
        <v>#REF!</v>
      </c>
      <c r="D415" s="222" t="e">
        <f>IF(C415&lt;&gt;"",dadosexternosBMF_1!C418,"")</f>
        <v>#REF!</v>
      </c>
      <c r="E415" s="222" t="e">
        <f>IF(C415&lt;&gt;"",dadosexternosBMF_1!D418,"")</f>
        <v>#REF!</v>
      </c>
      <c r="G415" s="219" t="e">
        <f t="shared" si="55"/>
        <v>#REF!</v>
      </c>
      <c r="H415" s="219" t="e">
        <f t="shared" si="56"/>
        <v>#REF!</v>
      </c>
      <c r="I415" s="219" t="e">
        <f t="shared" si="57"/>
        <v>#REF!</v>
      </c>
      <c r="J415" s="219" t="e">
        <f>IF(I415="","",VLOOKUP(LEFT(C415,1),dadosexternosBMF_1!$L$2:$M$13,2,FALSE))</f>
        <v>#REF!</v>
      </c>
      <c r="K415" s="219" t="e">
        <f t="shared" si="58"/>
        <v>#REF!</v>
      </c>
      <c r="L415" s="422" t="e">
        <f t="shared" si="59"/>
        <v>#REF!</v>
      </c>
      <c r="M415" s="422" t="e">
        <f>IF(I415="","",WORKDAY(L415-1,1,FERIADOS!$A$2:$A$831))</f>
        <v>#REF!</v>
      </c>
      <c r="N415" s="219" t="e">
        <f>IF(I415="","",NETWORKDAYS(Curva!$M$2,M415,FERIADOS!$A$2:$A$831)-1)</f>
        <v>#REF!</v>
      </c>
      <c r="O415" s="423" t="e">
        <f>IF(C415&lt;&gt;"",IF(ISERROR((100000/E415)^(252/N415)-1),Curva!$B$2,((100000/E415)^(252/N415)-1)),"")</f>
        <v>#REF!</v>
      </c>
      <c r="P415" s="219" t="e">
        <f>IF(OR(G415=1,G415=2),dadosexternosBMF_1!B418,"")</f>
        <v>#REF!</v>
      </c>
      <c r="Q415" s="219" t="e">
        <f>IF(OR(G415=1,G415=2),dadosexternosBMF_1!D418,"")</f>
        <v>#REF!</v>
      </c>
    </row>
    <row r="416" spans="1:17" x14ac:dyDescent="0.2">
      <c r="A416" s="222" t="e">
        <f t="shared" si="54"/>
        <v>#REF!</v>
      </c>
      <c r="B416" s="222" t="str">
        <f>IF(dadosexternosBMF_1!A419="DI1 - DI de 1 dia","DI1 - DI de 1 dia","")</f>
        <v/>
      </c>
      <c r="C416" s="222" t="e">
        <f>IF(dadosexternosBMF_1!A419="DOL - Dólar comercial","",IF(C415&lt;&gt;"",dadosexternosBMF_1!B419,IF(dadosexternosBMF_1!A419="DI1 - DI de 1 dia",dadosexternosBMF_1!B419,"")))</f>
        <v>#REF!</v>
      </c>
      <c r="D416" s="222" t="e">
        <f>IF(C416&lt;&gt;"",dadosexternosBMF_1!C419,"")</f>
        <v>#REF!</v>
      </c>
      <c r="E416" s="222" t="e">
        <f>IF(C416&lt;&gt;"",dadosexternosBMF_1!D419,"")</f>
        <v>#REF!</v>
      </c>
      <c r="G416" s="219" t="e">
        <f t="shared" si="55"/>
        <v>#REF!</v>
      </c>
      <c r="H416" s="219" t="e">
        <f t="shared" si="56"/>
        <v>#REF!</v>
      </c>
      <c r="I416" s="219" t="e">
        <f t="shared" si="57"/>
        <v>#REF!</v>
      </c>
      <c r="J416" s="219" t="e">
        <f>IF(I416="","",VLOOKUP(LEFT(C416,1),dadosexternosBMF_1!$L$2:$M$13,2,FALSE))</f>
        <v>#REF!</v>
      </c>
      <c r="K416" s="219" t="e">
        <f t="shared" si="58"/>
        <v>#REF!</v>
      </c>
      <c r="L416" s="422" t="e">
        <f t="shared" si="59"/>
        <v>#REF!</v>
      </c>
      <c r="M416" s="422" t="e">
        <f>IF(I416="","",WORKDAY(L416-1,1,FERIADOS!$A$2:$A$831))</f>
        <v>#REF!</v>
      </c>
      <c r="N416" s="219" t="e">
        <f>IF(I416="","",NETWORKDAYS(Curva!$M$2,M416,FERIADOS!$A$2:$A$831)-1)</f>
        <v>#REF!</v>
      </c>
      <c r="O416" s="423" t="e">
        <f>IF(C416&lt;&gt;"",IF(ISERROR((100000/E416)^(252/N416)-1),Curva!$B$2,((100000/E416)^(252/N416)-1)),"")</f>
        <v>#REF!</v>
      </c>
      <c r="P416" s="219" t="e">
        <f>IF(OR(G416=1,G416=2),dadosexternosBMF_1!B419,"")</f>
        <v>#REF!</v>
      </c>
      <c r="Q416" s="219" t="e">
        <f>IF(OR(G416=1,G416=2),dadosexternosBMF_1!D419,"")</f>
        <v>#REF!</v>
      </c>
    </row>
    <row r="417" spans="1:17" x14ac:dyDescent="0.2">
      <c r="A417" s="222" t="e">
        <f t="shared" si="54"/>
        <v>#REF!</v>
      </c>
      <c r="B417" s="222" t="str">
        <f>IF(dadosexternosBMF_1!A420="DI1 - DI de 1 dia","DI1 - DI de 1 dia","")</f>
        <v/>
      </c>
      <c r="C417" s="222" t="e">
        <f>IF(dadosexternosBMF_1!A420="DOL - Dólar comercial","",IF(C416&lt;&gt;"",dadosexternosBMF_1!B420,IF(dadosexternosBMF_1!A420="DI1 - DI de 1 dia",dadosexternosBMF_1!B420,"")))</f>
        <v>#REF!</v>
      </c>
      <c r="D417" s="222" t="e">
        <f>IF(C417&lt;&gt;"",dadosexternosBMF_1!C420,"")</f>
        <v>#REF!</v>
      </c>
      <c r="E417" s="222" t="e">
        <f>IF(C417&lt;&gt;"",dadosexternosBMF_1!D420,"")</f>
        <v>#REF!</v>
      </c>
      <c r="G417" s="219" t="e">
        <f t="shared" si="55"/>
        <v>#REF!</v>
      </c>
      <c r="H417" s="219" t="e">
        <f t="shared" si="56"/>
        <v>#REF!</v>
      </c>
      <c r="I417" s="219" t="e">
        <f t="shared" si="57"/>
        <v>#REF!</v>
      </c>
      <c r="J417" s="219" t="e">
        <f>IF(I417="","",VLOOKUP(LEFT(C417,1),dadosexternosBMF_1!$L$2:$M$13,2,FALSE))</f>
        <v>#REF!</v>
      </c>
      <c r="K417" s="219" t="e">
        <f t="shared" si="58"/>
        <v>#REF!</v>
      </c>
      <c r="L417" s="422" t="e">
        <f t="shared" si="59"/>
        <v>#REF!</v>
      </c>
      <c r="M417" s="422" t="e">
        <f>IF(I417="","",WORKDAY(L417-1,1,FERIADOS!$A$2:$A$831))</f>
        <v>#REF!</v>
      </c>
      <c r="N417" s="219" t="e">
        <f>IF(I417="","",NETWORKDAYS(Curva!$M$2,M417,FERIADOS!$A$2:$A$831)-1)</f>
        <v>#REF!</v>
      </c>
      <c r="O417" s="423" t="e">
        <f>IF(C417&lt;&gt;"",IF(ISERROR((100000/E417)^(252/N417)-1),Curva!$B$2,((100000/E417)^(252/N417)-1)),"")</f>
        <v>#REF!</v>
      </c>
      <c r="P417" s="219" t="e">
        <f>IF(OR(G417=1,G417=2),dadosexternosBMF_1!B420,"")</f>
        <v>#REF!</v>
      </c>
      <c r="Q417" s="219" t="e">
        <f>IF(OR(G417=1,G417=2),dadosexternosBMF_1!D420,"")</f>
        <v>#REF!</v>
      </c>
    </row>
    <row r="418" spans="1:17" x14ac:dyDescent="0.2">
      <c r="A418" s="222" t="e">
        <f t="shared" si="54"/>
        <v>#REF!</v>
      </c>
      <c r="B418" s="222" t="str">
        <f>IF(dadosexternosBMF_1!A421="DI1 - DI de 1 dia","DI1 - DI de 1 dia","")</f>
        <v/>
      </c>
      <c r="C418" s="222" t="e">
        <f>IF(dadosexternosBMF_1!A421="DOL - Dólar comercial","",IF(C417&lt;&gt;"",dadosexternosBMF_1!B421,IF(dadosexternosBMF_1!A421="DI1 - DI de 1 dia",dadosexternosBMF_1!B421,"")))</f>
        <v>#REF!</v>
      </c>
      <c r="D418" s="222" t="e">
        <f>IF(C418&lt;&gt;"",dadosexternosBMF_1!C421,"")</f>
        <v>#REF!</v>
      </c>
      <c r="E418" s="222" t="e">
        <f>IF(C418&lt;&gt;"",dadosexternosBMF_1!D421,"")</f>
        <v>#REF!</v>
      </c>
      <c r="G418" s="219" t="e">
        <f t="shared" si="55"/>
        <v>#REF!</v>
      </c>
      <c r="H418" s="219" t="e">
        <f t="shared" si="56"/>
        <v>#REF!</v>
      </c>
      <c r="I418" s="219" t="e">
        <f t="shared" si="57"/>
        <v>#REF!</v>
      </c>
      <c r="J418" s="219" t="e">
        <f>IF(I418="","",VLOOKUP(LEFT(C418,1),dadosexternosBMF_1!$L$2:$M$13,2,FALSE))</f>
        <v>#REF!</v>
      </c>
      <c r="K418" s="219" t="e">
        <f t="shared" si="58"/>
        <v>#REF!</v>
      </c>
      <c r="L418" s="422" t="e">
        <f t="shared" si="59"/>
        <v>#REF!</v>
      </c>
      <c r="M418" s="422" t="e">
        <f>IF(I418="","",WORKDAY(L418-1,1,FERIADOS!$A$2:$A$831))</f>
        <v>#REF!</v>
      </c>
      <c r="N418" s="219" t="e">
        <f>IF(I418="","",NETWORKDAYS(Curva!$M$2,M418,FERIADOS!$A$2:$A$831)-1)</f>
        <v>#REF!</v>
      </c>
      <c r="O418" s="423" t="e">
        <f>IF(C418&lt;&gt;"",IF(ISERROR((100000/E418)^(252/N418)-1),Curva!$B$2,((100000/E418)^(252/N418)-1)),"")</f>
        <v>#REF!</v>
      </c>
      <c r="P418" s="219" t="e">
        <f>IF(OR(G418=1,G418=2),dadosexternosBMF_1!B421,"")</f>
        <v>#REF!</v>
      </c>
      <c r="Q418" s="219" t="e">
        <f>IF(OR(G418=1,G418=2),dadosexternosBMF_1!D421,"")</f>
        <v>#REF!</v>
      </c>
    </row>
    <row r="419" spans="1:17" x14ac:dyDescent="0.2">
      <c r="A419" s="222" t="e">
        <f t="shared" si="54"/>
        <v>#REF!</v>
      </c>
      <c r="B419" s="222" t="str">
        <f>IF(dadosexternosBMF_1!A422="DI1 - DI de 1 dia","DI1 - DI de 1 dia","")</f>
        <v/>
      </c>
      <c r="C419" s="222" t="e">
        <f>IF(dadosexternosBMF_1!A422="DOL - Dólar comercial","",IF(C418&lt;&gt;"",dadosexternosBMF_1!B422,IF(dadosexternosBMF_1!A422="DI1 - DI de 1 dia",dadosexternosBMF_1!B422,"")))</f>
        <v>#REF!</v>
      </c>
      <c r="D419" s="222" t="e">
        <f>IF(C419&lt;&gt;"",dadosexternosBMF_1!C422,"")</f>
        <v>#REF!</v>
      </c>
      <c r="E419" s="222" t="e">
        <f>IF(C419&lt;&gt;"",dadosexternosBMF_1!D422,"")</f>
        <v>#REF!</v>
      </c>
      <c r="G419" s="219" t="e">
        <f t="shared" si="55"/>
        <v>#REF!</v>
      </c>
      <c r="H419" s="219" t="e">
        <f t="shared" si="56"/>
        <v>#REF!</v>
      </c>
      <c r="I419" s="219" t="e">
        <f t="shared" si="57"/>
        <v>#REF!</v>
      </c>
      <c r="J419" s="219" t="e">
        <f>IF(I419="","",VLOOKUP(LEFT(C419,1),dadosexternosBMF_1!$L$2:$M$13,2,FALSE))</f>
        <v>#REF!</v>
      </c>
      <c r="K419" s="219" t="e">
        <f t="shared" si="58"/>
        <v>#REF!</v>
      </c>
      <c r="L419" s="422" t="e">
        <f t="shared" si="59"/>
        <v>#REF!</v>
      </c>
      <c r="M419" s="422" t="e">
        <f>IF(I419="","",WORKDAY(L419-1,1,FERIADOS!$A$2:$A$831))</f>
        <v>#REF!</v>
      </c>
      <c r="N419" s="219" t="e">
        <f>IF(I419="","",NETWORKDAYS(Curva!$M$2,M419,FERIADOS!$A$2:$A$831)-1)</f>
        <v>#REF!</v>
      </c>
      <c r="O419" s="423" t="e">
        <f>IF(C419&lt;&gt;"",IF(ISERROR((100000/E419)^(252/N419)-1),Curva!$B$2,((100000/E419)^(252/N419)-1)),"")</f>
        <v>#REF!</v>
      </c>
      <c r="P419" s="219" t="e">
        <f>IF(OR(G419=1,G419=2),dadosexternosBMF_1!B422,"")</f>
        <v>#REF!</v>
      </c>
      <c r="Q419" s="219" t="e">
        <f>IF(OR(G419=1,G419=2),dadosexternosBMF_1!D422,"")</f>
        <v>#REF!</v>
      </c>
    </row>
    <row r="420" spans="1:17" x14ac:dyDescent="0.2">
      <c r="A420" s="222" t="e">
        <f t="shared" si="54"/>
        <v>#REF!</v>
      </c>
      <c r="B420" s="222" t="str">
        <f>IF(dadosexternosBMF_1!A423="DI1 - DI de 1 dia","DI1 - DI de 1 dia","")</f>
        <v/>
      </c>
      <c r="C420" s="222" t="e">
        <f>IF(dadosexternosBMF_1!A423="DOL - Dólar comercial","",IF(C419&lt;&gt;"",dadosexternosBMF_1!B423,IF(dadosexternosBMF_1!A423="DI1 - DI de 1 dia",dadosexternosBMF_1!B423,"")))</f>
        <v>#REF!</v>
      </c>
      <c r="D420" s="222" t="e">
        <f>IF(C420&lt;&gt;"",dadosexternosBMF_1!C423,"")</f>
        <v>#REF!</v>
      </c>
      <c r="E420" s="222" t="e">
        <f>IF(C420&lt;&gt;"",dadosexternosBMF_1!D423,"")</f>
        <v>#REF!</v>
      </c>
      <c r="G420" s="219" t="e">
        <f t="shared" si="55"/>
        <v>#REF!</v>
      </c>
      <c r="H420" s="219" t="e">
        <f t="shared" si="56"/>
        <v>#REF!</v>
      </c>
      <c r="I420" s="219" t="e">
        <f t="shared" si="57"/>
        <v>#REF!</v>
      </c>
      <c r="J420" s="219" t="e">
        <f>IF(I420="","",VLOOKUP(LEFT(C420,1),dadosexternosBMF_1!$L$2:$M$13,2,FALSE))</f>
        <v>#REF!</v>
      </c>
      <c r="K420" s="219" t="e">
        <f t="shared" si="58"/>
        <v>#REF!</v>
      </c>
      <c r="L420" s="422" t="e">
        <f t="shared" si="59"/>
        <v>#REF!</v>
      </c>
      <c r="M420" s="422" t="e">
        <f>IF(I420="","",WORKDAY(L420-1,1,FERIADOS!$A$2:$A$831))</f>
        <v>#REF!</v>
      </c>
      <c r="N420" s="219" t="e">
        <f>IF(I420="","",NETWORKDAYS(Curva!$M$2,M420,FERIADOS!$A$2:$A$831)-1)</f>
        <v>#REF!</v>
      </c>
      <c r="O420" s="423" t="e">
        <f>IF(C420&lt;&gt;"",IF(ISERROR((100000/E420)^(252/N420)-1),Curva!$B$2,((100000/E420)^(252/N420)-1)),"")</f>
        <v>#REF!</v>
      </c>
      <c r="P420" s="219" t="e">
        <f>IF(OR(G420=1,G420=2),dadosexternosBMF_1!B423,"")</f>
        <v>#REF!</v>
      </c>
      <c r="Q420" s="219" t="e">
        <f>IF(OR(G420=1,G420=2),dadosexternosBMF_1!D423,"")</f>
        <v>#REF!</v>
      </c>
    </row>
    <row r="421" spans="1:17" x14ac:dyDescent="0.2">
      <c r="A421" s="222" t="e">
        <f t="shared" si="54"/>
        <v>#REF!</v>
      </c>
      <c r="B421" s="222" t="str">
        <f>IF(dadosexternosBMF_1!A424="DI1 - DI de 1 dia","DI1 - DI de 1 dia","")</f>
        <v/>
      </c>
      <c r="C421" s="222" t="e">
        <f>IF(dadosexternosBMF_1!A424="DOL - Dólar comercial","",IF(C420&lt;&gt;"",dadosexternosBMF_1!B424,IF(dadosexternosBMF_1!A424="DI1 - DI de 1 dia",dadosexternosBMF_1!B424,"")))</f>
        <v>#REF!</v>
      </c>
      <c r="D421" s="222" t="e">
        <f>IF(C421&lt;&gt;"",dadosexternosBMF_1!C424,"")</f>
        <v>#REF!</v>
      </c>
      <c r="E421" s="222" t="e">
        <f>IF(C421&lt;&gt;"",dadosexternosBMF_1!D424,"")</f>
        <v>#REF!</v>
      </c>
      <c r="G421" s="219" t="e">
        <f t="shared" si="55"/>
        <v>#REF!</v>
      </c>
      <c r="H421" s="219" t="e">
        <f t="shared" si="56"/>
        <v>#REF!</v>
      </c>
      <c r="I421" s="219" t="e">
        <f t="shared" si="57"/>
        <v>#REF!</v>
      </c>
      <c r="J421" s="219" t="e">
        <f>IF(I421="","",VLOOKUP(LEFT(C421,1),dadosexternosBMF_1!$L$2:$M$13,2,FALSE))</f>
        <v>#REF!</v>
      </c>
      <c r="K421" s="219" t="e">
        <f t="shared" si="58"/>
        <v>#REF!</v>
      </c>
      <c r="L421" s="422" t="e">
        <f t="shared" si="59"/>
        <v>#REF!</v>
      </c>
      <c r="M421" s="422" t="e">
        <f>IF(I421="","",WORKDAY(L421-1,1,FERIADOS!$A$2:$A$831))</f>
        <v>#REF!</v>
      </c>
      <c r="N421" s="219" t="e">
        <f>IF(I421="","",NETWORKDAYS(Curva!$M$2,M421,FERIADOS!$A$2:$A$831)-1)</f>
        <v>#REF!</v>
      </c>
      <c r="O421" s="423" t="e">
        <f>IF(C421&lt;&gt;"",IF(ISERROR((100000/E421)^(252/N421)-1),Curva!$B$2,((100000/E421)^(252/N421)-1)),"")</f>
        <v>#REF!</v>
      </c>
      <c r="P421" s="219" t="e">
        <f>IF(OR(G421=1,G421=2),dadosexternosBMF_1!B424,"")</f>
        <v>#REF!</v>
      </c>
      <c r="Q421" s="219" t="e">
        <f>IF(OR(G421=1,G421=2),dadosexternosBMF_1!D424,"")</f>
        <v>#REF!</v>
      </c>
    </row>
    <row r="422" spans="1:17" x14ac:dyDescent="0.2">
      <c r="A422" s="222" t="e">
        <f t="shared" si="54"/>
        <v>#REF!</v>
      </c>
      <c r="B422" s="222" t="str">
        <f>IF(dadosexternosBMF_1!A425="DI1 - DI de 1 dia","DI1 - DI de 1 dia","")</f>
        <v/>
      </c>
      <c r="C422" s="222" t="e">
        <f>IF(dadosexternosBMF_1!A425="DOL - Dólar comercial","",IF(C421&lt;&gt;"",dadosexternosBMF_1!B425,IF(dadosexternosBMF_1!A425="DI1 - DI de 1 dia",dadosexternosBMF_1!B425,"")))</f>
        <v>#REF!</v>
      </c>
      <c r="D422" s="222" t="e">
        <f>IF(C422&lt;&gt;"",dadosexternosBMF_1!C425,"")</f>
        <v>#REF!</v>
      </c>
      <c r="E422" s="222" t="e">
        <f>IF(C422&lt;&gt;"",dadosexternosBMF_1!D425,"")</f>
        <v>#REF!</v>
      </c>
      <c r="G422" s="219" t="e">
        <f t="shared" si="55"/>
        <v>#REF!</v>
      </c>
      <c r="H422" s="219" t="e">
        <f t="shared" si="56"/>
        <v>#REF!</v>
      </c>
      <c r="I422" s="219" t="e">
        <f t="shared" si="57"/>
        <v>#REF!</v>
      </c>
      <c r="J422" s="219" t="e">
        <f>IF(I422="","",VLOOKUP(LEFT(C422,1),dadosexternosBMF_1!$L$2:$M$13,2,FALSE))</f>
        <v>#REF!</v>
      </c>
      <c r="K422" s="219" t="e">
        <f t="shared" si="58"/>
        <v>#REF!</v>
      </c>
      <c r="L422" s="422" t="e">
        <f t="shared" si="59"/>
        <v>#REF!</v>
      </c>
      <c r="M422" s="422" t="e">
        <f>IF(I422="","",WORKDAY(L422-1,1,FERIADOS!$A$2:$A$831))</f>
        <v>#REF!</v>
      </c>
      <c r="N422" s="219" t="e">
        <f>IF(I422="","",NETWORKDAYS(Curva!$M$2,M422,FERIADOS!$A$2:$A$831)-1)</f>
        <v>#REF!</v>
      </c>
      <c r="O422" s="423" t="e">
        <f>IF(C422&lt;&gt;"",IF(ISERROR((100000/E422)^(252/N422)-1),Curva!$B$2,((100000/E422)^(252/N422)-1)),"")</f>
        <v>#REF!</v>
      </c>
      <c r="P422" s="219" t="e">
        <f>IF(OR(G422=1,G422=2),dadosexternosBMF_1!B425,"")</f>
        <v>#REF!</v>
      </c>
      <c r="Q422" s="219" t="e">
        <f>IF(OR(G422=1,G422=2),dadosexternosBMF_1!D425,"")</f>
        <v>#REF!</v>
      </c>
    </row>
    <row r="423" spans="1:17" x14ac:dyDescent="0.2">
      <c r="A423" s="222" t="e">
        <f t="shared" si="54"/>
        <v>#REF!</v>
      </c>
      <c r="B423" s="222" t="str">
        <f>IF(dadosexternosBMF_1!A426="DI1 - DI de 1 dia","DI1 - DI de 1 dia","")</f>
        <v/>
      </c>
      <c r="C423" s="222" t="e">
        <f>IF(dadosexternosBMF_1!A426="DOL - Dólar comercial","",IF(C422&lt;&gt;"",dadosexternosBMF_1!B426,IF(dadosexternosBMF_1!A426="DI1 - DI de 1 dia",dadosexternosBMF_1!B426,"")))</f>
        <v>#REF!</v>
      </c>
      <c r="D423" s="222" t="e">
        <f>IF(C423&lt;&gt;"",dadosexternosBMF_1!C426,"")</f>
        <v>#REF!</v>
      </c>
      <c r="E423" s="222" t="e">
        <f>IF(C423&lt;&gt;"",dadosexternosBMF_1!D426,"")</f>
        <v>#REF!</v>
      </c>
      <c r="G423" s="219" t="e">
        <f t="shared" si="55"/>
        <v>#REF!</v>
      </c>
      <c r="H423" s="219" t="e">
        <f t="shared" si="56"/>
        <v>#REF!</v>
      </c>
      <c r="I423" s="219" t="e">
        <f t="shared" si="57"/>
        <v>#REF!</v>
      </c>
      <c r="J423" s="219" t="e">
        <f>IF(I423="","",VLOOKUP(LEFT(C423,1),dadosexternosBMF_1!$L$2:$M$13,2,FALSE))</f>
        <v>#REF!</v>
      </c>
      <c r="K423" s="219" t="e">
        <f t="shared" si="58"/>
        <v>#REF!</v>
      </c>
      <c r="L423" s="422" t="e">
        <f t="shared" si="59"/>
        <v>#REF!</v>
      </c>
      <c r="M423" s="422" t="e">
        <f>IF(I423="","",WORKDAY(L423-1,1,FERIADOS!$A$2:$A$831))</f>
        <v>#REF!</v>
      </c>
      <c r="N423" s="219" t="e">
        <f>IF(I423="","",NETWORKDAYS(Curva!$M$2,M423,FERIADOS!$A$2:$A$831)-1)</f>
        <v>#REF!</v>
      </c>
      <c r="O423" s="423" t="e">
        <f>IF(C423&lt;&gt;"",IF(ISERROR((100000/E423)^(252/N423)-1),Curva!$B$2,((100000/E423)^(252/N423)-1)),"")</f>
        <v>#REF!</v>
      </c>
      <c r="P423" s="219" t="e">
        <f>IF(OR(G423=1,G423=2),dadosexternosBMF_1!B426,"")</f>
        <v>#REF!</v>
      </c>
      <c r="Q423" s="219" t="e">
        <f>IF(OR(G423=1,G423=2),dadosexternosBMF_1!D426,"")</f>
        <v>#REF!</v>
      </c>
    </row>
    <row r="424" spans="1:17" x14ac:dyDescent="0.2">
      <c r="A424" s="222" t="e">
        <f t="shared" si="54"/>
        <v>#REF!</v>
      </c>
      <c r="B424" s="222" t="str">
        <f>IF(dadosexternosBMF_1!A427="DI1 - DI de 1 dia","DI1 - DI de 1 dia","")</f>
        <v/>
      </c>
      <c r="C424" s="222" t="e">
        <f>IF(dadosexternosBMF_1!A427="DOL - Dólar comercial","",IF(C423&lt;&gt;"",dadosexternosBMF_1!B427,IF(dadosexternosBMF_1!A427="DI1 - DI de 1 dia",dadosexternosBMF_1!B427,"")))</f>
        <v>#REF!</v>
      </c>
      <c r="D424" s="222" t="e">
        <f>IF(C424&lt;&gt;"",dadosexternosBMF_1!C427,"")</f>
        <v>#REF!</v>
      </c>
      <c r="E424" s="222" t="e">
        <f>IF(C424&lt;&gt;"",dadosexternosBMF_1!D427,"")</f>
        <v>#REF!</v>
      </c>
      <c r="G424" s="219" t="e">
        <f t="shared" si="55"/>
        <v>#REF!</v>
      </c>
      <c r="H424" s="219" t="e">
        <f t="shared" si="56"/>
        <v>#REF!</v>
      </c>
      <c r="I424" s="219" t="e">
        <f t="shared" si="57"/>
        <v>#REF!</v>
      </c>
      <c r="J424" s="219" t="e">
        <f>IF(I424="","",VLOOKUP(LEFT(C424,1),dadosexternosBMF_1!$L$2:$M$13,2,FALSE))</f>
        <v>#REF!</v>
      </c>
      <c r="K424" s="219" t="e">
        <f t="shared" si="58"/>
        <v>#REF!</v>
      </c>
      <c r="L424" s="422" t="e">
        <f t="shared" si="59"/>
        <v>#REF!</v>
      </c>
      <c r="M424" s="422" t="e">
        <f>IF(I424="","",WORKDAY(L424-1,1,FERIADOS!$A$2:$A$831))</f>
        <v>#REF!</v>
      </c>
      <c r="N424" s="219" t="e">
        <f>IF(I424="","",NETWORKDAYS(Curva!$M$2,M424,FERIADOS!$A$2:$A$831)-1)</f>
        <v>#REF!</v>
      </c>
      <c r="O424" s="423" t="e">
        <f>IF(C424&lt;&gt;"",IF(ISERROR((100000/E424)^(252/N424)-1),Curva!$B$2,((100000/E424)^(252/N424)-1)),"")</f>
        <v>#REF!</v>
      </c>
      <c r="P424" s="219" t="e">
        <f>IF(OR(G424=1,G424=2),dadosexternosBMF_1!B427,"")</f>
        <v>#REF!</v>
      </c>
      <c r="Q424" s="219" t="e">
        <f>IF(OR(G424=1,G424=2),dadosexternosBMF_1!D427,"")</f>
        <v>#REF!</v>
      </c>
    </row>
    <row r="425" spans="1:17" x14ac:dyDescent="0.2">
      <c r="A425" s="222" t="e">
        <f t="shared" si="54"/>
        <v>#REF!</v>
      </c>
      <c r="B425" s="222" t="str">
        <f>IF(dadosexternosBMF_1!A428="DI1 - DI de 1 dia","DI1 - DI de 1 dia","")</f>
        <v/>
      </c>
      <c r="C425" s="222" t="e">
        <f>IF(dadosexternosBMF_1!A428="DOL - Dólar comercial","",IF(C424&lt;&gt;"",dadosexternosBMF_1!B428,IF(dadosexternosBMF_1!A428="DI1 - DI de 1 dia",dadosexternosBMF_1!B428,"")))</f>
        <v>#REF!</v>
      </c>
      <c r="D425" s="222" t="e">
        <f>IF(C425&lt;&gt;"",dadosexternosBMF_1!C428,"")</f>
        <v>#REF!</v>
      </c>
      <c r="E425" s="222" t="e">
        <f>IF(C425&lt;&gt;"",dadosexternosBMF_1!D428,"")</f>
        <v>#REF!</v>
      </c>
      <c r="G425" s="219" t="e">
        <f t="shared" si="55"/>
        <v>#REF!</v>
      </c>
      <c r="H425" s="219" t="e">
        <f t="shared" si="56"/>
        <v>#REF!</v>
      </c>
      <c r="I425" s="219" t="e">
        <f t="shared" si="57"/>
        <v>#REF!</v>
      </c>
      <c r="J425" s="219" t="e">
        <f>IF(I425="","",VLOOKUP(LEFT(C425,1),dadosexternosBMF_1!$L$2:$M$13,2,FALSE))</f>
        <v>#REF!</v>
      </c>
      <c r="K425" s="219" t="e">
        <f t="shared" si="58"/>
        <v>#REF!</v>
      </c>
      <c r="L425" s="422" t="e">
        <f t="shared" si="59"/>
        <v>#REF!</v>
      </c>
      <c r="M425" s="422" t="e">
        <f>IF(I425="","",WORKDAY(L425-1,1,FERIADOS!$A$2:$A$831))</f>
        <v>#REF!</v>
      </c>
      <c r="N425" s="219" t="e">
        <f>IF(I425="","",NETWORKDAYS(Curva!$M$2,M425,FERIADOS!$A$2:$A$831)-1)</f>
        <v>#REF!</v>
      </c>
      <c r="O425" s="423" t="e">
        <f>IF(C425&lt;&gt;"",IF(ISERROR((100000/E425)^(252/N425)-1),Curva!$B$2,((100000/E425)^(252/N425)-1)),"")</f>
        <v>#REF!</v>
      </c>
      <c r="P425" s="219" t="e">
        <f>IF(OR(G425=1,G425=2),dadosexternosBMF_1!B428,"")</f>
        <v>#REF!</v>
      </c>
      <c r="Q425" s="219" t="e">
        <f>IF(OR(G425=1,G425=2),dadosexternosBMF_1!D428,"")</f>
        <v>#REF!</v>
      </c>
    </row>
    <row r="426" spans="1:17" x14ac:dyDescent="0.2">
      <c r="A426" s="222" t="e">
        <f t="shared" si="54"/>
        <v>#REF!</v>
      </c>
      <c r="B426" s="222" t="str">
        <f>IF(dadosexternosBMF_1!A429="DI1 - DI de 1 dia","DI1 - DI de 1 dia","")</f>
        <v/>
      </c>
      <c r="C426" s="222" t="e">
        <f>IF(dadosexternosBMF_1!A429="DOL - Dólar comercial","",IF(C425&lt;&gt;"",dadosexternosBMF_1!B429,IF(dadosexternosBMF_1!A429="DI1 - DI de 1 dia",dadosexternosBMF_1!B429,"")))</f>
        <v>#REF!</v>
      </c>
      <c r="D426" s="222" t="e">
        <f>IF(C426&lt;&gt;"",dadosexternosBMF_1!C429,"")</f>
        <v>#REF!</v>
      </c>
      <c r="E426" s="222" t="e">
        <f>IF(C426&lt;&gt;"",dadosexternosBMF_1!D429,"")</f>
        <v>#REF!</v>
      </c>
      <c r="G426" s="219" t="e">
        <f t="shared" si="55"/>
        <v>#REF!</v>
      </c>
      <c r="H426" s="219" t="e">
        <f t="shared" si="56"/>
        <v>#REF!</v>
      </c>
      <c r="I426" s="219" t="e">
        <f t="shared" si="57"/>
        <v>#REF!</v>
      </c>
      <c r="J426" s="219" t="e">
        <f>IF(I426="","",VLOOKUP(LEFT(C426,1),dadosexternosBMF_1!$L$2:$M$13,2,FALSE))</f>
        <v>#REF!</v>
      </c>
      <c r="K426" s="219" t="e">
        <f t="shared" si="58"/>
        <v>#REF!</v>
      </c>
      <c r="L426" s="422" t="e">
        <f t="shared" si="59"/>
        <v>#REF!</v>
      </c>
      <c r="M426" s="422" t="e">
        <f>IF(I426="","",WORKDAY(L426-1,1,FERIADOS!$A$2:$A$831))</f>
        <v>#REF!</v>
      </c>
      <c r="N426" s="219" t="e">
        <f>IF(I426="","",NETWORKDAYS(Curva!$M$2,M426,FERIADOS!$A$2:$A$831)-1)</f>
        <v>#REF!</v>
      </c>
      <c r="O426" s="423" t="e">
        <f>IF(C426&lt;&gt;"",IF(ISERROR((100000/E426)^(252/N426)-1),Curva!$B$2,((100000/E426)^(252/N426)-1)),"")</f>
        <v>#REF!</v>
      </c>
      <c r="P426" s="219" t="e">
        <f>IF(OR(G426=1,G426=2),dadosexternosBMF_1!B429,"")</f>
        <v>#REF!</v>
      </c>
      <c r="Q426" s="219" t="e">
        <f>IF(OR(G426=1,G426=2),dadosexternosBMF_1!D429,"")</f>
        <v>#REF!</v>
      </c>
    </row>
    <row r="427" spans="1:17" x14ac:dyDescent="0.2">
      <c r="A427" s="222" t="e">
        <f t="shared" si="54"/>
        <v>#REF!</v>
      </c>
      <c r="B427" s="222" t="str">
        <f>IF(dadosexternosBMF_1!A430="DI1 - DI de 1 dia","DI1 - DI de 1 dia","")</f>
        <v/>
      </c>
      <c r="C427" s="222" t="e">
        <f>IF(dadosexternosBMF_1!A430="DOL - Dólar comercial","",IF(C426&lt;&gt;"",dadosexternosBMF_1!B430,IF(dadosexternosBMF_1!A430="DI1 - DI de 1 dia",dadosexternosBMF_1!B430,"")))</f>
        <v>#REF!</v>
      </c>
      <c r="D427" s="222" t="e">
        <f>IF(C427&lt;&gt;"",dadosexternosBMF_1!C430,"")</f>
        <v>#REF!</v>
      </c>
      <c r="E427" s="222" t="e">
        <f>IF(C427&lt;&gt;"",dadosexternosBMF_1!D430,"")</f>
        <v>#REF!</v>
      </c>
      <c r="G427" s="219" t="e">
        <f t="shared" si="55"/>
        <v>#REF!</v>
      </c>
      <c r="H427" s="219" t="e">
        <f t="shared" si="56"/>
        <v>#REF!</v>
      </c>
      <c r="I427" s="219" t="e">
        <f t="shared" si="57"/>
        <v>#REF!</v>
      </c>
      <c r="J427" s="219" t="e">
        <f>IF(I427="","",VLOOKUP(LEFT(C427,1),dadosexternosBMF_1!$L$2:$M$13,2,FALSE))</f>
        <v>#REF!</v>
      </c>
      <c r="K427" s="219" t="e">
        <f t="shared" si="58"/>
        <v>#REF!</v>
      </c>
      <c r="L427" s="422" t="e">
        <f t="shared" si="59"/>
        <v>#REF!</v>
      </c>
      <c r="M427" s="422" t="e">
        <f>IF(I427="","",WORKDAY(L427-1,1,FERIADOS!$A$2:$A$831))</f>
        <v>#REF!</v>
      </c>
      <c r="N427" s="219" t="e">
        <f>IF(I427="","",NETWORKDAYS(Curva!$M$2,M427,FERIADOS!$A$2:$A$831)-1)</f>
        <v>#REF!</v>
      </c>
      <c r="O427" s="423" t="e">
        <f>IF(C427&lt;&gt;"",IF(ISERROR((100000/E427)^(252/N427)-1),Curva!$B$2,((100000/E427)^(252/N427)-1)),"")</f>
        <v>#REF!</v>
      </c>
      <c r="P427" s="219" t="e">
        <f>IF(OR(G427=1,G427=2),dadosexternosBMF_1!B430,"")</f>
        <v>#REF!</v>
      </c>
      <c r="Q427" s="219" t="e">
        <f>IF(OR(G427=1,G427=2),dadosexternosBMF_1!D430,"")</f>
        <v>#REF!</v>
      </c>
    </row>
    <row r="428" spans="1:17" x14ac:dyDescent="0.2">
      <c r="A428" s="222" t="e">
        <f t="shared" si="54"/>
        <v>#REF!</v>
      </c>
      <c r="B428" s="222" t="str">
        <f>IF(dadosexternosBMF_1!A431="DI1 - DI de 1 dia","DI1 - DI de 1 dia","")</f>
        <v/>
      </c>
      <c r="C428" s="222" t="e">
        <f>IF(dadosexternosBMF_1!A431="DOL - Dólar comercial","",IF(C427&lt;&gt;"",dadosexternosBMF_1!B431,IF(dadosexternosBMF_1!A431="DI1 - DI de 1 dia",dadosexternosBMF_1!B431,"")))</f>
        <v>#REF!</v>
      </c>
      <c r="D428" s="222" t="e">
        <f>IF(C428&lt;&gt;"",dadosexternosBMF_1!C431,"")</f>
        <v>#REF!</v>
      </c>
      <c r="E428" s="222" t="e">
        <f>IF(C428&lt;&gt;"",dadosexternosBMF_1!D431,"")</f>
        <v>#REF!</v>
      </c>
      <c r="G428" s="219" t="e">
        <f t="shared" si="55"/>
        <v>#REF!</v>
      </c>
      <c r="H428" s="219" t="e">
        <f t="shared" si="56"/>
        <v>#REF!</v>
      </c>
      <c r="I428" s="219" t="e">
        <f t="shared" si="57"/>
        <v>#REF!</v>
      </c>
      <c r="J428" s="219" t="e">
        <f>IF(I428="","",VLOOKUP(LEFT(C428,1),dadosexternosBMF_1!$L$2:$M$13,2,FALSE))</f>
        <v>#REF!</v>
      </c>
      <c r="K428" s="219" t="e">
        <f t="shared" si="58"/>
        <v>#REF!</v>
      </c>
      <c r="L428" s="422" t="e">
        <f t="shared" si="59"/>
        <v>#REF!</v>
      </c>
      <c r="M428" s="422" t="e">
        <f>IF(I428="","",WORKDAY(L428-1,1,FERIADOS!$A$2:$A$831))</f>
        <v>#REF!</v>
      </c>
      <c r="N428" s="219" t="e">
        <f>IF(I428="","",NETWORKDAYS(Curva!$M$2,M428,FERIADOS!$A$2:$A$831)-1)</f>
        <v>#REF!</v>
      </c>
      <c r="O428" s="423" t="e">
        <f>IF(C428&lt;&gt;"",IF(ISERROR((100000/E428)^(252/N428)-1),Curva!$B$2,((100000/E428)^(252/N428)-1)),"")</f>
        <v>#REF!</v>
      </c>
      <c r="P428" s="219" t="e">
        <f>IF(OR(G428=1,G428=2),dadosexternosBMF_1!B431,"")</f>
        <v>#REF!</v>
      </c>
      <c r="Q428" s="219" t="e">
        <f>IF(OR(G428=1,G428=2),dadosexternosBMF_1!D431,"")</f>
        <v>#REF!</v>
      </c>
    </row>
    <row r="429" spans="1:17" x14ac:dyDescent="0.2">
      <c r="A429" s="222" t="e">
        <f t="shared" si="54"/>
        <v>#REF!</v>
      </c>
      <c r="B429" s="222" t="str">
        <f>IF(dadosexternosBMF_1!A432="DI1 - DI de 1 dia","DI1 - DI de 1 dia","")</f>
        <v/>
      </c>
      <c r="C429" s="222" t="e">
        <f>IF(dadosexternosBMF_1!A432="DOL - Dólar comercial","",IF(C428&lt;&gt;"",dadosexternosBMF_1!B432,IF(dadosexternosBMF_1!A432="DI1 - DI de 1 dia",dadosexternosBMF_1!B432,"")))</f>
        <v>#REF!</v>
      </c>
      <c r="D429" s="222" t="e">
        <f>IF(C429&lt;&gt;"",dadosexternosBMF_1!C432,"")</f>
        <v>#REF!</v>
      </c>
      <c r="E429" s="222" t="e">
        <f>IF(C429&lt;&gt;"",dadosexternosBMF_1!D432,"")</f>
        <v>#REF!</v>
      </c>
      <c r="G429" s="219" t="e">
        <f t="shared" si="55"/>
        <v>#REF!</v>
      </c>
      <c r="H429" s="219" t="e">
        <f t="shared" si="56"/>
        <v>#REF!</v>
      </c>
      <c r="I429" s="219" t="e">
        <f t="shared" si="57"/>
        <v>#REF!</v>
      </c>
      <c r="J429" s="219" t="e">
        <f>IF(I429="","",VLOOKUP(LEFT(C429,1),dadosexternosBMF_1!$L$2:$M$13,2,FALSE))</f>
        <v>#REF!</v>
      </c>
      <c r="K429" s="219" t="e">
        <f t="shared" si="58"/>
        <v>#REF!</v>
      </c>
      <c r="L429" s="422" t="e">
        <f t="shared" si="59"/>
        <v>#REF!</v>
      </c>
      <c r="M429" s="422" t="e">
        <f>IF(I429="","",WORKDAY(L429-1,1,FERIADOS!$A$2:$A$831))</f>
        <v>#REF!</v>
      </c>
      <c r="N429" s="219" t="e">
        <f>IF(I429="","",NETWORKDAYS(Curva!$M$2,M429,FERIADOS!$A$2:$A$831)-1)</f>
        <v>#REF!</v>
      </c>
      <c r="O429" s="423" t="e">
        <f>IF(C429&lt;&gt;"",IF(ISERROR((100000/E429)^(252/N429)-1),Curva!$B$2,((100000/E429)^(252/N429)-1)),"")</f>
        <v>#REF!</v>
      </c>
      <c r="P429" s="219" t="e">
        <f>IF(OR(G429=1,G429=2),dadosexternosBMF_1!B432,"")</f>
        <v>#REF!</v>
      </c>
      <c r="Q429" s="219" t="e">
        <f>IF(OR(G429=1,G429=2),dadosexternosBMF_1!D432,"")</f>
        <v>#REF!</v>
      </c>
    </row>
    <row r="430" spans="1:17" x14ac:dyDescent="0.2">
      <c r="A430" s="222" t="e">
        <f t="shared" si="54"/>
        <v>#REF!</v>
      </c>
      <c r="B430" s="222" t="str">
        <f>IF(dadosexternosBMF_1!A433="DI1 - DI de 1 dia","DI1 - DI de 1 dia","")</f>
        <v/>
      </c>
      <c r="C430" s="222" t="e">
        <f>IF(dadosexternosBMF_1!A433="DOL - Dólar comercial","",IF(C429&lt;&gt;"",dadosexternosBMF_1!B433,IF(dadosexternosBMF_1!A433="DI1 - DI de 1 dia",dadosexternosBMF_1!B433,"")))</f>
        <v>#REF!</v>
      </c>
      <c r="D430" s="222" t="e">
        <f>IF(C430&lt;&gt;"",dadosexternosBMF_1!C433,"")</f>
        <v>#REF!</v>
      </c>
      <c r="E430" s="222" t="e">
        <f>IF(C430&lt;&gt;"",dadosexternosBMF_1!D433,"")</f>
        <v>#REF!</v>
      </c>
      <c r="G430" s="219" t="e">
        <f t="shared" si="55"/>
        <v>#REF!</v>
      </c>
      <c r="H430" s="219" t="e">
        <f t="shared" si="56"/>
        <v>#REF!</v>
      </c>
      <c r="I430" s="219" t="e">
        <f t="shared" si="57"/>
        <v>#REF!</v>
      </c>
      <c r="J430" s="219" t="e">
        <f>IF(I430="","",VLOOKUP(LEFT(C430,1),dadosexternosBMF_1!$L$2:$M$13,2,FALSE))</f>
        <v>#REF!</v>
      </c>
      <c r="K430" s="219" t="e">
        <f t="shared" si="58"/>
        <v>#REF!</v>
      </c>
      <c r="L430" s="422" t="e">
        <f t="shared" si="59"/>
        <v>#REF!</v>
      </c>
      <c r="M430" s="422" t="e">
        <f>IF(I430="","",WORKDAY(L430-1,1,FERIADOS!$A$2:$A$831))</f>
        <v>#REF!</v>
      </c>
      <c r="N430" s="219" t="e">
        <f>IF(I430="","",NETWORKDAYS(Curva!$M$2,M430,FERIADOS!$A$2:$A$831)-1)</f>
        <v>#REF!</v>
      </c>
      <c r="O430" s="423" t="e">
        <f>IF(C430&lt;&gt;"",IF(ISERROR((100000/E430)^(252/N430)-1),Curva!$B$2,((100000/E430)^(252/N430)-1)),"")</f>
        <v>#REF!</v>
      </c>
      <c r="P430" s="219" t="e">
        <f>IF(OR(G430=1,G430=2),dadosexternosBMF_1!B433,"")</f>
        <v>#REF!</v>
      </c>
      <c r="Q430" s="219" t="e">
        <f>IF(OR(G430=1,G430=2),dadosexternosBMF_1!D433,"")</f>
        <v>#REF!</v>
      </c>
    </row>
    <row r="431" spans="1:17" x14ac:dyDescent="0.2">
      <c r="A431" s="222" t="e">
        <f t="shared" si="54"/>
        <v>#REF!</v>
      </c>
      <c r="B431" s="222" t="str">
        <f>IF(dadosexternosBMF_1!A434="DI1 - DI de 1 dia","DI1 - DI de 1 dia","")</f>
        <v/>
      </c>
      <c r="C431" s="222" t="e">
        <f>IF(dadosexternosBMF_1!A434="DOL - Dólar comercial","",IF(C430&lt;&gt;"",dadosexternosBMF_1!B434,IF(dadosexternosBMF_1!A434="DI1 - DI de 1 dia",dadosexternosBMF_1!B434,"")))</f>
        <v>#REF!</v>
      </c>
      <c r="D431" s="222" t="e">
        <f>IF(C431&lt;&gt;"",dadosexternosBMF_1!C434,"")</f>
        <v>#REF!</v>
      </c>
      <c r="E431" s="222" t="e">
        <f>IF(C431&lt;&gt;"",dadosexternosBMF_1!D434,"")</f>
        <v>#REF!</v>
      </c>
      <c r="G431" s="219" t="e">
        <f t="shared" si="55"/>
        <v>#REF!</v>
      </c>
      <c r="H431" s="219" t="e">
        <f t="shared" si="56"/>
        <v>#REF!</v>
      </c>
      <c r="I431" s="219" t="e">
        <f t="shared" si="57"/>
        <v>#REF!</v>
      </c>
      <c r="J431" s="219" t="e">
        <f>IF(I431="","",VLOOKUP(LEFT(C431,1),dadosexternosBMF_1!$L$2:$M$13,2,FALSE))</f>
        <v>#REF!</v>
      </c>
      <c r="K431" s="219" t="e">
        <f t="shared" si="58"/>
        <v>#REF!</v>
      </c>
      <c r="L431" s="422" t="e">
        <f t="shared" si="59"/>
        <v>#REF!</v>
      </c>
      <c r="M431" s="422" t="e">
        <f>IF(I431="","",WORKDAY(L431-1,1,FERIADOS!$A$2:$A$831))</f>
        <v>#REF!</v>
      </c>
      <c r="N431" s="219" t="e">
        <f>IF(I431="","",NETWORKDAYS(Curva!$M$2,M431,FERIADOS!$A$2:$A$831)-1)</f>
        <v>#REF!</v>
      </c>
      <c r="O431" s="423" t="e">
        <f>IF(C431&lt;&gt;"",IF(ISERROR((100000/E431)^(252/N431)-1),Curva!$B$2,((100000/E431)^(252/N431)-1)),"")</f>
        <v>#REF!</v>
      </c>
      <c r="P431" s="219" t="e">
        <f>IF(OR(G431=1,G431=2),dadosexternosBMF_1!B434,"")</f>
        <v>#REF!</v>
      </c>
      <c r="Q431" s="219" t="e">
        <f>IF(OR(G431=1,G431=2),dadosexternosBMF_1!D434,"")</f>
        <v>#REF!</v>
      </c>
    </row>
    <row r="432" spans="1:17" x14ac:dyDescent="0.2">
      <c r="A432" s="222" t="e">
        <f t="shared" si="54"/>
        <v>#REF!</v>
      </c>
      <c r="B432" s="222" t="str">
        <f>IF(dadosexternosBMF_1!A435="DI1 - DI de 1 dia","DI1 - DI de 1 dia","")</f>
        <v/>
      </c>
      <c r="C432" s="222" t="e">
        <f>IF(dadosexternosBMF_1!A435="DOL - Dólar comercial","",IF(C431&lt;&gt;"",dadosexternosBMF_1!B435,IF(dadosexternosBMF_1!A435="DI1 - DI de 1 dia",dadosexternosBMF_1!B435,"")))</f>
        <v>#REF!</v>
      </c>
      <c r="D432" s="222" t="e">
        <f>IF(C432&lt;&gt;"",dadosexternosBMF_1!C435,"")</f>
        <v>#REF!</v>
      </c>
      <c r="E432" s="222" t="e">
        <f>IF(C432&lt;&gt;"",dadosexternosBMF_1!D435,"")</f>
        <v>#REF!</v>
      </c>
      <c r="G432" s="219" t="e">
        <f t="shared" si="55"/>
        <v>#REF!</v>
      </c>
      <c r="H432" s="219" t="e">
        <f t="shared" si="56"/>
        <v>#REF!</v>
      </c>
      <c r="I432" s="219" t="e">
        <f t="shared" si="57"/>
        <v>#REF!</v>
      </c>
      <c r="J432" s="219" t="e">
        <f>IF(I432="","",VLOOKUP(LEFT(C432,1),dadosexternosBMF_1!$L$2:$M$13,2,FALSE))</f>
        <v>#REF!</v>
      </c>
      <c r="K432" s="219" t="e">
        <f t="shared" si="58"/>
        <v>#REF!</v>
      </c>
      <c r="L432" s="422" t="e">
        <f t="shared" si="59"/>
        <v>#REF!</v>
      </c>
      <c r="M432" s="422" t="e">
        <f>IF(I432="","",WORKDAY(L432-1,1,FERIADOS!$A$2:$A$831))</f>
        <v>#REF!</v>
      </c>
      <c r="N432" s="219" t="e">
        <f>IF(I432="","",NETWORKDAYS(Curva!$M$2,M432,FERIADOS!$A$2:$A$831)-1)</f>
        <v>#REF!</v>
      </c>
      <c r="O432" s="423" t="e">
        <f>IF(C432&lt;&gt;"",IF(ISERROR((100000/E432)^(252/N432)-1),Curva!$B$2,((100000/E432)^(252/N432)-1)),"")</f>
        <v>#REF!</v>
      </c>
      <c r="P432" s="219" t="e">
        <f>IF(OR(G432=1,G432=2),dadosexternosBMF_1!B435,"")</f>
        <v>#REF!</v>
      </c>
      <c r="Q432" s="219" t="e">
        <f>IF(OR(G432=1,G432=2),dadosexternosBMF_1!D435,"")</f>
        <v>#REF!</v>
      </c>
    </row>
    <row r="433" spans="1:17" x14ac:dyDescent="0.2">
      <c r="A433" s="222" t="e">
        <f t="shared" si="54"/>
        <v>#REF!</v>
      </c>
      <c r="B433" s="222" t="str">
        <f>IF(dadosexternosBMF_1!A436="DI1 - DI de 1 dia","DI1 - DI de 1 dia","")</f>
        <v/>
      </c>
      <c r="C433" s="222" t="e">
        <f>IF(dadosexternosBMF_1!A436="DOL - Dólar comercial","",IF(C432&lt;&gt;"",dadosexternosBMF_1!B436,IF(dadosexternosBMF_1!A436="DI1 - DI de 1 dia",dadosexternosBMF_1!B436,"")))</f>
        <v>#REF!</v>
      </c>
      <c r="D433" s="222" t="e">
        <f>IF(C433&lt;&gt;"",dadosexternosBMF_1!C436,"")</f>
        <v>#REF!</v>
      </c>
      <c r="E433" s="222" t="e">
        <f>IF(C433&lt;&gt;"",dadosexternosBMF_1!D436,"")</f>
        <v>#REF!</v>
      </c>
      <c r="G433" s="219" t="e">
        <f t="shared" si="55"/>
        <v>#REF!</v>
      </c>
      <c r="H433" s="219" t="e">
        <f t="shared" si="56"/>
        <v>#REF!</v>
      </c>
      <c r="I433" s="219" t="e">
        <f t="shared" si="57"/>
        <v>#REF!</v>
      </c>
      <c r="J433" s="219" t="e">
        <f>IF(I433="","",VLOOKUP(LEFT(C433,1),dadosexternosBMF_1!$L$2:$M$13,2,FALSE))</f>
        <v>#REF!</v>
      </c>
      <c r="K433" s="219" t="e">
        <f t="shared" si="58"/>
        <v>#REF!</v>
      </c>
      <c r="L433" s="422" t="e">
        <f t="shared" si="59"/>
        <v>#REF!</v>
      </c>
      <c r="M433" s="422" t="e">
        <f>IF(I433="","",WORKDAY(L433-1,1,FERIADOS!$A$2:$A$831))</f>
        <v>#REF!</v>
      </c>
      <c r="N433" s="219" t="e">
        <f>IF(I433="","",NETWORKDAYS(Curva!$M$2,M433,FERIADOS!$A$2:$A$831)-1)</f>
        <v>#REF!</v>
      </c>
      <c r="O433" s="423" t="e">
        <f>IF(C433&lt;&gt;"",IF(ISERROR((100000/E433)^(252/N433)-1),Curva!$B$2,((100000/E433)^(252/N433)-1)),"")</f>
        <v>#REF!</v>
      </c>
      <c r="P433" s="219" t="e">
        <f>IF(OR(G433=1,G433=2),dadosexternosBMF_1!B436,"")</f>
        <v>#REF!</v>
      </c>
      <c r="Q433" s="219" t="e">
        <f>IF(OR(G433=1,G433=2),dadosexternosBMF_1!D436,"")</f>
        <v>#REF!</v>
      </c>
    </row>
    <row r="434" spans="1:17" x14ac:dyDescent="0.2">
      <c r="A434" s="222" t="e">
        <f t="shared" si="54"/>
        <v>#REF!</v>
      </c>
      <c r="B434" s="222" t="str">
        <f>IF(dadosexternosBMF_1!A437="DI1 - DI de 1 dia","DI1 - DI de 1 dia","")</f>
        <v/>
      </c>
      <c r="C434" s="222" t="e">
        <f>IF(dadosexternosBMF_1!A437="DOL - Dólar comercial","",IF(C433&lt;&gt;"",dadosexternosBMF_1!B437,IF(dadosexternosBMF_1!A437="DI1 - DI de 1 dia",dadosexternosBMF_1!B437,"")))</f>
        <v>#REF!</v>
      </c>
      <c r="D434" s="222" t="e">
        <f>IF(C434&lt;&gt;"",dadosexternosBMF_1!C437,"")</f>
        <v>#REF!</v>
      </c>
      <c r="E434" s="222" t="e">
        <f>IF(C434&lt;&gt;"",dadosexternosBMF_1!D437,"")</f>
        <v>#REF!</v>
      </c>
      <c r="G434" s="219" t="e">
        <f t="shared" si="55"/>
        <v>#REF!</v>
      </c>
      <c r="H434" s="219" t="e">
        <f t="shared" si="56"/>
        <v>#REF!</v>
      </c>
      <c r="I434" s="219" t="e">
        <f t="shared" si="57"/>
        <v>#REF!</v>
      </c>
      <c r="J434" s="219" t="e">
        <f>IF(I434="","",VLOOKUP(LEFT(C434,1),dadosexternosBMF_1!$L$2:$M$13,2,FALSE))</f>
        <v>#REF!</v>
      </c>
      <c r="K434" s="219" t="e">
        <f t="shared" si="58"/>
        <v>#REF!</v>
      </c>
      <c r="L434" s="422" t="e">
        <f t="shared" si="59"/>
        <v>#REF!</v>
      </c>
      <c r="M434" s="422" t="e">
        <f>IF(I434="","",WORKDAY(L434-1,1,FERIADOS!$A$2:$A$831))</f>
        <v>#REF!</v>
      </c>
      <c r="N434" s="219" t="e">
        <f>IF(I434="","",NETWORKDAYS(Curva!$M$2,M434,FERIADOS!$A$2:$A$831)-1)</f>
        <v>#REF!</v>
      </c>
      <c r="O434" s="423" t="e">
        <f>IF(C434&lt;&gt;"",IF(ISERROR((100000/E434)^(252/N434)-1),Curva!$B$2,((100000/E434)^(252/N434)-1)),"")</f>
        <v>#REF!</v>
      </c>
      <c r="P434" s="219" t="e">
        <f>IF(OR(G434=1,G434=2),dadosexternosBMF_1!B437,"")</f>
        <v>#REF!</v>
      </c>
      <c r="Q434" s="219" t="e">
        <f>IF(OR(G434=1,G434=2),dadosexternosBMF_1!D437,"")</f>
        <v>#REF!</v>
      </c>
    </row>
    <row r="435" spans="1:17" x14ac:dyDescent="0.2">
      <c r="A435" s="222" t="e">
        <f t="shared" si="54"/>
        <v>#REF!</v>
      </c>
      <c r="B435" s="222" t="str">
        <f>IF(dadosexternosBMF_1!A438="DI1 - DI de 1 dia","DI1 - DI de 1 dia","")</f>
        <v/>
      </c>
      <c r="C435" s="222" t="e">
        <f>IF(dadosexternosBMF_1!A438="DOL - Dólar comercial","",IF(C434&lt;&gt;"",dadosexternosBMF_1!B438,IF(dadosexternosBMF_1!A438="DI1 - DI de 1 dia",dadosexternosBMF_1!B438,"")))</f>
        <v>#REF!</v>
      </c>
      <c r="D435" s="222" t="e">
        <f>IF(C435&lt;&gt;"",dadosexternosBMF_1!C438,"")</f>
        <v>#REF!</v>
      </c>
      <c r="E435" s="222" t="e">
        <f>IF(C435&lt;&gt;"",dadosexternosBMF_1!D438,"")</f>
        <v>#REF!</v>
      </c>
      <c r="G435" s="219" t="e">
        <f t="shared" si="55"/>
        <v>#REF!</v>
      </c>
      <c r="H435" s="219" t="e">
        <f t="shared" si="56"/>
        <v>#REF!</v>
      </c>
      <c r="I435" s="219" t="e">
        <f t="shared" si="57"/>
        <v>#REF!</v>
      </c>
      <c r="J435" s="219" t="e">
        <f>IF(I435="","",VLOOKUP(LEFT(C435,1),dadosexternosBMF_1!$L$2:$M$13,2,FALSE))</f>
        <v>#REF!</v>
      </c>
      <c r="K435" s="219" t="e">
        <f t="shared" si="58"/>
        <v>#REF!</v>
      </c>
      <c r="L435" s="422" t="e">
        <f t="shared" si="59"/>
        <v>#REF!</v>
      </c>
      <c r="M435" s="422" t="e">
        <f>IF(I435="","",WORKDAY(L435-1,1,FERIADOS!$A$2:$A$831))</f>
        <v>#REF!</v>
      </c>
      <c r="N435" s="219" t="e">
        <f>IF(I435="","",NETWORKDAYS(Curva!$M$2,M435,FERIADOS!$A$2:$A$831)-1)</f>
        <v>#REF!</v>
      </c>
      <c r="O435" s="423" t="e">
        <f>IF(C435&lt;&gt;"",IF(ISERROR((100000/E435)^(252/N435)-1),Curva!$B$2,((100000/E435)^(252/N435)-1)),"")</f>
        <v>#REF!</v>
      </c>
      <c r="P435" s="219" t="e">
        <f>IF(OR(G435=1,G435=2),dadosexternosBMF_1!B438,"")</f>
        <v>#REF!</v>
      </c>
      <c r="Q435" s="219" t="e">
        <f>IF(OR(G435=1,G435=2),dadosexternosBMF_1!D438,"")</f>
        <v>#REF!</v>
      </c>
    </row>
    <row r="436" spans="1:17" x14ac:dyDescent="0.2">
      <c r="A436" s="222" t="e">
        <f t="shared" si="54"/>
        <v>#REF!</v>
      </c>
      <c r="B436" s="222" t="str">
        <f>IF(dadosexternosBMF_1!A439="DI1 - DI de 1 dia","DI1 - DI de 1 dia","")</f>
        <v/>
      </c>
      <c r="C436" s="222" t="e">
        <f>IF(dadosexternosBMF_1!A439="DOL - Dólar comercial","",IF(C435&lt;&gt;"",dadosexternosBMF_1!B439,IF(dadosexternosBMF_1!A439="DI1 - DI de 1 dia",dadosexternosBMF_1!B439,"")))</f>
        <v>#REF!</v>
      </c>
      <c r="D436" s="222" t="e">
        <f>IF(C436&lt;&gt;"",dadosexternosBMF_1!C439,"")</f>
        <v>#REF!</v>
      </c>
      <c r="E436" s="222" t="e">
        <f>IF(C436&lt;&gt;"",dadosexternosBMF_1!D439,"")</f>
        <v>#REF!</v>
      </c>
      <c r="G436" s="219" t="e">
        <f t="shared" si="55"/>
        <v>#REF!</v>
      </c>
      <c r="H436" s="219" t="e">
        <f t="shared" si="56"/>
        <v>#REF!</v>
      </c>
      <c r="I436" s="219" t="e">
        <f t="shared" si="57"/>
        <v>#REF!</v>
      </c>
      <c r="J436" s="219" t="e">
        <f>IF(I436="","",VLOOKUP(LEFT(C436,1),dadosexternosBMF_1!$L$2:$M$13,2,FALSE))</f>
        <v>#REF!</v>
      </c>
      <c r="K436" s="219" t="e">
        <f t="shared" si="58"/>
        <v>#REF!</v>
      </c>
      <c r="L436" s="422" t="e">
        <f t="shared" si="59"/>
        <v>#REF!</v>
      </c>
      <c r="M436" s="422" t="e">
        <f>IF(I436="","",WORKDAY(L436-1,1,FERIADOS!$A$2:$A$831))</f>
        <v>#REF!</v>
      </c>
      <c r="N436" s="219" t="e">
        <f>IF(I436="","",NETWORKDAYS(Curva!$M$2,M436,FERIADOS!$A$2:$A$831)-1)</f>
        <v>#REF!</v>
      </c>
      <c r="O436" s="423" t="e">
        <f>IF(C436&lt;&gt;"",IF(ISERROR((100000/E436)^(252/N436)-1),Curva!$B$2,((100000/E436)^(252/N436)-1)),"")</f>
        <v>#REF!</v>
      </c>
      <c r="P436" s="219" t="e">
        <f>IF(OR(G436=1,G436=2),dadosexternosBMF_1!B439,"")</f>
        <v>#REF!</v>
      </c>
      <c r="Q436" s="219" t="e">
        <f>IF(OR(G436=1,G436=2),dadosexternosBMF_1!D439,"")</f>
        <v>#REF!</v>
      </c>
    </row>
    <row r="437" spans="1:17" x14ac:dyDescent="0.2">
      <c r="A437" s="222" t="e">
        <f t="shared" si="54"/>
        <v>#REF!</v>
      </c>
      <c r="B437" s="222" t="str">
        <f>IF(dadosexternosBMF_1!A440="DI1 - DI de 1 dia","DI1 - DI de 1 dia","")</f>
        <v/>
      </c>
      <c r="C437" s="222" t="e">
        <f>IF(dadosexternosBMF_1!A440="DOL - Dólar comercial","",IF(C436&lt;&gt;"",dadosexternosBMF_1!B440,IF(dadosexternosBMF_1!A440="DI1 - DI de 1 dia",dadosexternosBMF_1!B440,"")))</f>
        <v>#REF!</v>
      </c>
      <c r="D437" s="222" t="e">
        <f>IF(C437&lt;&gt;"",dadosexternosBMF_1!C440,"")</f>
        <v>#REF!</v>
      </c>
      <c r="E437" s="222" t="e">
        <f>IF(C437&lt;&gt;"",dadosexternosBMF_1!D440,"")</f>
        <v>#REF!</v>
      </c>
      <c r="G437" s="219" t="e">
        <f t="shared" si="55"/>
        <v>#REF!</v>
      </c>
      <c r="H437" s="219" t="e">
        <f t="shared" si="56"/>
        <v>#REF!</v>
      </c>
      <c r="I437" s="219" t="e">
        <f t="shared" si="57"/>
        <v>#REF!</v>
      </c>
      <c r="J437" s="219" t="e">
        <f>IF(I437="","",VLOOKUP(LEFT(C437,1),dadosexternosBMF_1!$L$2:$M$13,2,FALSE))</f>
        <v>#REF!</v>
      </c>
      <c r="K437" s="219" t="e">
        <f t="shared" si="58"/>
        <v>#REF!</v>
      </c>
      <c r="L437" s="422" t="e">
        <f t="shared" si="59"/>
        <v>#REF!</v>
      </c>
      <c r="M437" s="422" t="e">
        <f>IF(I437="","",WORKDAY(L437-1,1,FERIADOS!$A$2:$A$831))</f>
        <v>#REF!</v>
      </c>
      <c r="N437" s="219" t="e">
        <f>IF(I437="","",NETWORKDAYS(Curva!$M$2,M437,FERIADOS!$A$2:$A$831)-1)</f>
        <v>#REF!</v>
      </c>
      <c r="O437" s="423" t="e">
        <f>IF(C437&lt;&gt;"",IF(ISERROR((100000/E437)^(252/N437)-1),Curva!$B$2,((100000/E437)^(252/N437)-1)),"")</f>
        <v>#REF!</v>
      </c>
      <c r="P437" s="219" t="e">
        <f>IF(OR(G437=1,G437=2),dadosexternosBMF_1!B440,"")</f>
        <v>#REF!</v>
      </c>
      <c r="Q437" s="219" t="e">
        <f>IF(OR(G437=1,G437=2),dadosexternosBMF_1!D440,"")</f>
        <v>#REF!</v>
      </c>
    </row>
    <row r="438" spans="1:17" x14ac:dyDescent="0.2">
      <c r="A438" s="222" t="e">
        <f t="shared" si="54"/>
        <v>#REF!</v>
      </c>
      <c r="B438" s="222" t="str">
        <f>IF(dadosexternosBMF_1!A441="DI1 - DI de 1 dia","DI1 - DI de 1 dia","")</f>
        <v/>
      </c>
      <c r="C438" s="222" t="e">
        <f>IF(dadosexternosBMF_1!A441="DOL - Dólar comercial","",IF(C437&lt;&gt;"",dadosexternosBMF_1!B441,IF(dadosexternosBMF_1!A441="DI1 - DI de 1 dia",dadosexternosBMF_1!B441,"")))</f>
        <v>#REF!</v>
      </c>
      <c r="D438" s="222" t="e">
        <f>IF(C438&lt;&gt;"",dadosexternosBMF_1!C441,"")</f>
        <v>#REF!</v>
      </c>
      <c r="E438" s="222" t="e">
        <f>IF(C438&lt;&gt;"",dadosexternosBMF_1!D441,"")</f>
        <v>#REF!</v>
      </c>
      <c r="G438" s="219" t="e">
        <f t="shared" si="55"/>
        <v>#REF!</v>
      </c>
      <c r="H438" s="219" t="e">
        <f t="shared" si="56"/>
        <v>#REF!</v>
      </c>
      <c r="I438" s="219" t="e">
        <f t="shared" si="57"/>
        <v>#REF!</v>
      </c>
      <c r="J438" s="219" t="e">
        <f>IF(I438="","",VLOOKUP(LEFT(C438,1),dadosexternosBMF_1!$L$2:$M$13,2,FALSE))</f>
        <v>#REF!</v>
      </c>
      <c r="K438" s="219" t="e">
        <f t="shared" si="58"/>
        <v>#REF!</v>
      </c>
      <c r="L438" s="422" t="e">
        <f t="shared" si="59"/>
        <v>#REF!</v>
      </c>
      <c r="M438" s="422" t="e">
        <f>IF(I438="","",WORKDAY(L438-1,1,FERIADOS!$A$2:$A$831))</f>
        <v>#REF!</v>
      </c>
      <c r="N438" s="219" t="e">
        <f>IF(I438="","",NETWORKDAYS(Curva!$M$2,M438,FERIADOS!$A$2:$A$831)-1)</f>
        <v>#REF!</v>
      </c>
      <c r="O438" s="423" t="e">
        <f>IF(C438&lt;&gt;"",IF(ISERROR((100000/E438)^(252/N438)-1),Curva!$B$2,((100000/E438)^(252/N438)-1)),"")</f>
        <v>#REF!</v>
      </c>
      <c r="P438" s="219" t="e">
        <f>IF(OR(G438=1,G438=2),dadosexternosBMF_1!B441,"")</f>
        <v>#REF!</v>
      </c>
      <c r="Q438" s="219" t="e">
        <f>IF(OR(G438=1,G438=2),dadosexternosBMF_1!D441,"")</f>
        <v>#REF!</v>
      </c>
    </row>
    <row r="439" spans="1:17" x14ac:dyDescent="0.2">
      <c r="A439" s="222" t="e">
        <f t="shared" si="54"/>
        <v>#REF!</v>
      </c>
      <c r="B439" s="222" t="str">
        <f>IF(dadosexternosBMF_1!A442="DI1 - DI de 1 dia","DI1 - DI de 1 dia","")</f>
        <v/>
      </c>
      <c r="C439" s="222" t="e">
        <f>IF(dadosexternosBMF_1!A442="DOL - Dólar comercial","",IF(C438&lt;&gt;"",dadosexternosBMF_1!B442,IF(dadosexternosBMF_1!A442="DI1 - DI de 1 dia",dadosexternosBMF_1!B442,"")))</f>
        <v>#REF!</v>
      </c>
      <c r="D439" s="222" t="e">
        <f>IF(C439&lt;&gt;"",dadosexternosBMF_1!C442,"")</f>
        <v>#REF!</v>
      </c>
      <c r="E439" s="222" t="e">
        <f>IF(C439&lt;&gt;"",dadosexternosBMF_1!D442,"")</f>
        <v>#REF!</v>
      </c>
      <c r="G439" s="219" t="e">
        <f t="shared" si="55"/>
        <v>#REF!</v>
      </c>
      <c r="H439" s="219" t="e">
        <f t="shared" si="56"/>
        <v>#REF!</v>
      </c>
      <c r="I439" s="219" t="e">
        <f t="shared" si="57"/>
        <v>#REF!</v>
      </c>
      <c r="J439" s="219" t="e">
        <f>IF(I439="","",VLOOKUP(LEFT(C439,1),dadosexternosBMF_1!$L$2:$M$13,2,FALSE))</f>
        <v>#REF!</v>
      </c>
      <c r="K439" s="219" t="e">
        <f t="shared" si="58"/>
        <v>#REF!</v>
      </c>
      <c r="L439" s="422" t="e">
        <f t="shared" si="59"/>
        <v>#REF!</v>
      </c>
      <c r="M439" s="422" t="e">
        <f>IF(I439="","",WORKDAY(L439-1,1,FERIADOS!$A$2:$A$831))</f>
        <v>#REF!</v>
      </c>
      <c r="N439" s="219" t="e">
        <f>IF(I439="","",NETWORKDAYS(Curva!$M$2,M439,FERIADOS!$A$2:$A$831)-1)</f>
        <v>#REF!</v>
      </c>
      <c r="O439" s="423" t="e">
        <f>IF(C439&lt;&gt;"",IF(ISERROR((100000/E439)^(252/N439)-1),Curva!$B$2,((100000/E439)^(252/N439)-1)),"")</f>
        <v>#REF!</v>
      </c>
      <c r="P439" s="219" t="e">
        <f>IF(OR(G439=1,G439=2),dadosexternosBMF_1!B442,"")</f>
        <v>#REF!</v>
      </c>
      <c r="Q439" s="219" t="e">
        <f>IF(OR(G439=1,G439=2),dadosexternosBMF_1!D442,"")</f>
        <v>#REF!</v>
      </c>
    </row>
    <row r="440" spans="1:17" x14ac:dyDescent="0.2">
      <c r="A440" s="222" t="e">
        <f t="shared" si="54"/>
        <v>#REF!</v>
      </c>
      <c r="B440" s="222" t="str">
        <f>IF(dadosexternosBMF_1!A443="DI1 - DI de 1 dia","DI1 - DI de 1 dia","")</f>
        <v/>
      </c>
      <c r="C440" s="222" t="e">
        <f>IF(dadosexternosBMF_1!A443="DOL - Dólar comercial","",IF(C439&lt;&gt;"",dadosexternosBMF_1!B443,IF(dadosexternosBMF_1!A443="DI1 - DI de 1 dia",dadosexternosBMF_1!B443,"")))</f>
        <v>#REF!</v>
      </c>
      <c r="D440" s="222" t="e">
        <f>IF(C440&lt;&gt;"",dadosexternosBMF_1!C443,"")</f>
        <v>#REF!</v>
      </c>
      <c r="E440" s="222" t="e">
        <f>IF(C440&lt;&gt;"",dadosexternosBMF_1!D443,"")</f>
        <v>#REF!</v>
      </c>
      <c r="G440" s="219" t="e">
        <f t="shared" si="55"/>
        <v>#REF!</v>
      </c>
      <c r="H440" s="219" t="e">
        <f t="shared" si="56"/>
        <v>#REF!</v>
      </c>
      <c r="I440" s="219" t="e">
        <f t="shared" si="57"/>
        <v>#REF!</v>
      </c>
      <c r="J440" s="219" t="e">
        <f>IF(I440="","",VLOOKUP(LEFT(C440,1),dadosexternosBMF_1!$L$2:$M$13,2,FALSE))</f>
        <v>#REF!</v>
      </c>
      <c r="K440" s="219" t="e">
        <f t="shared" si="58"/>
        <v>#REF!</v>
      </c>
      <c r="L440" s="422" t="e">
        <f t="shared" si="59"/>
        <v>#REF!</v>
      </c>
      <c r="M440" s="422" t="e">
        <f>IF(I440="","",WORKDAY(L440-1,1,FERIADOS!$A$2:$A$831))</f>
        <v>#REF!</v>
      </c>
      <c r="N440" s="219" t="e">
        <f>IF(I440="","",NETWORKDAYS(Curva!$M$2,M440,FERIADOS!$A$2:$A$831)-1)</f>
        <v>#REF!</v>
      </c>
      <c r="O440" s="423" t="e">
        <f>IF(C440&lt;&gt;"",IF(ISERROR((100000/E440)^(252/N440)-1),Curva!$B$2,((100000/E440)^(252/N440)-1)),"")</f>
        <v>#REF!</v>
      </c>
      <c r="P440" s="219" t="e">
        <f>IF(OR(G440=1,G440=2),dadosexternosBMF_1!B443,"")</f>
        <v>#REF!</v>
      </c>
      <c r="Q440" s="219" t="e">
        <f>IF(OR(G440=1,G440=2),dadosexternosBMF_1!D443,"")</f>
        <v>#REF!</v>
      </c>
    </row>
    <row r="441" spans="1:17" x14ac:dyDescent="0.2">
      <c r="A441" s="222" t="e">
        <f t="shared" si="54"/>
        <v>#REF!</v>
      </c>
      <c r="B441" s="222" t="str">
        <f>IF(dadosexternosBMF_1!A444="DI1 - DI de 1 dia","DI1 - DI de 1 dia","")</f>
        <v/>
      </c>
      <c r="C441" s="222" t="e">
        <f>IF(dadosexternosBMF_1!A444="DOL - Dólar comercial","",IF(C440&lt;&gt;"",dadosexternosBMF_1!B444,IF(dadosexternosBMF_1!A444="DI1 - DI de 1 dia",dadosexternosBMF_1!B444,"")))</f>
        <v>#REF!</v>
      </c>
      <c r="D441" s="222" t="e">
        <f>IF(C441&lt;&gt;"",dadosexternosBMF_1!C444,"")</f>
        <v>#REF!</v>
      </c>
      <c r="E441" s="222" t="e">
        <f>IF(C441&lt;&gt;"",dadosexternosBMF_1!D444,"")</f>
        <v>#REF!</v>
      </c>
      <c r="G441" s="219" t="e">
        <f t="shared" si="55"/>
        <v>#REF!</v>
      </c>
      <c r="H441" s="219" t="e">
        <f t="shared" si="56"/>
        <v>#REF!</v>
      </c>
      <c r="I441" s="219" t="e">
        <f t="shared" si="57"/>
        <v>#REF!</v>
      </c>
      <c r="J441" s="219" t="e">
        <f>IF(I441="","",VLOOKUP(LEFT(C441,1),dadosexternosBMF_1!$L$2:$M$13,2,FALSE))</f>
        <v>#REF!</v>
      </c>
      <c r="K441" s="219" t="e">
        <f t="shared" si="58"/>
        <v>#REF!</v>
      </c>
      <c r="L441" s="422" t="e">
        <f t="shared" si="59"/>
        <v>#REF!</v>
      </c>
      <c r="M441" s="422" t="e">
        <f>IF(I441="","",WORKDAY(L441-1,1,FERIADOS!$A$2:$A$831))</f>
        <v>#REF!</v>
      </c>
      <c r="N441" s="219" t="e">
        <f>IF(I441="","",NETWORKDAYS(Curva!$M$2,M441,FERIADOS!$A$2:$A$831)-1)</f>
        <v>#REF!</v>
      </c>
      <c r="O441" s="423" t="e">
        <f>IF(C441&lt;&gt;"",IF(ISERROR((100000/E441)^(252/N441)-1),Curva!$B$2,((100000/E441)^(252/N441)-1)),"")</f>
        <v>#REF!</v>
      </c>
      <c r="P441" s="219" t="e">
        <f>IF(OR(G441=1,G441=2),dadosexternosBMF_1!B444,"")</f>
        <v>#REF!</v>
      </c>
      <c r="Q441" s="219" t="e">
        <f>IF(OR(G441=1,G441=2),dadosexternosBMF_1!D444,"")</f>
        <v>#REF!</v>
      </c>
    </row>
    <row r="442" spans="1:17" x14ac:dyDescent="0.2">
      <c r="A442" s="222" t="e">
        <f t="shared" si="54"/>
        <v>#REF!</v>
      </c>
      <c r="B442" s="222" t="str">
        <f>IF(dadosexternosBMF_1!A445="DI1 - DI de 1 dia","DI1 - DI de 1 dia","")</f>
        <v/>
      </c>
      <c r="C442" s="222" t="e">
        <f>IF(dadosexternosBMF_1!A445="DOL - Dólar comercial","",IF(C441&lt;&gt;"",dadosexternosBMF_1!B445,IF(dadosexternosBMF_1!A445="DI1 - DI de 1 dia",dadosexternosBMF_1!B445,"")))</f>
        <v>#REF!</v>
      </c>
      <c r="D442" s="222" t="e">
        <f>IF(C442&lt;&gt;"",dadosexternosBMF_1!C445,"")</f>
        <v>#REF!</v>
      </c>
      <c r="E442" s="222" t="e">
        <f>IF(C442&lt;&gt;"",dadosexternosBMF_1!D445,"")</f>
        <v>#REF!</v>
      </c>
      <c r="G442" s="219" t="e">
        <f t="shared" si="55"/>
        <v>#REF!</v>
      </c>
      <c r="H442" s="219" t="e">
        <f t="shared" si="56"/>
        <v>#REF!</v>
      </c>
      <c r="I442" s="219" t="e">
        <f t="shared" si="57"/>
        <v>#REF!</v>
      </c>
      <c r="J442" s="219" t="e">
        <f>IF(I442="","",VLOOKUP(LEFT(C442,1),dadosexternosBMF_1!$L$2:$M$13,2,FALSE))</f>
        <v>#REF!</v>
      </c>
      <c r="K442" s="219" t="e">
        <f t="shared" si="58"/>
        <v>#REF!</v>
      </c>
      <c r="L442" s="422" t="e">
        <f t="shared" si="59"/>
        <v>#REF!</v>
      </c>
      <c r="M442" s="422" t="e">
        <f>IF(I442="","",WORKDAY(L442-1,1,FERIADOS!$A$2:$A$831))</f>
        <v>#REF!</v>
      </c>
      <c r="N442" s="219" t="e">
        <f>IF(I442="","",NETWORKDAYS(Curva!$M$2,M442,FERIADOS!$A$2:$A$831)-1)</f>
        <v>#REF!</v>
      </c>
      <c r="O442" s="423" t="e">
        <f>IF(C442&lt;&gt;"",IF(ISERROR((100000/E442)^(252/N442)-1),Curva!$B$2,((100000/E442)^(252/N442)-1)),"")</f>
        <v>#REF!</v>
      </c>
      <c r="P442" s="219" t="e">
        <f>IF(OR(G442=1,G442=2),dadosexternosBMF_1!B445,"")</f>
        <v>#REF!</v>
      </c>
      <c r="Q442" s="219" t="e">
        <f>IF(OR(G442=1,G442=2),dadosexternosBMF_1!D445,"")</f>
        <v>#REF!</v>
      </c>
    </row>
    <row r="443" spans="1:17" x14ac:dyDescent="0.2">
      <c r="A443" s="222" t="e">
        <f t="shared" si="54"/>
        <v>#REF!</v>
      </c>
      <c r="B443" s="222" t="str">
        <f>IF(dadosexternosBMF_1!A446="DI1 - DI de 1 dia","DI1 - DI de 1 dia","")</f>
        <v/>
      </c>
      <c r="C443" s="222" t="e">
        <f>IF(dadosexternosBMF_1!A446="DOL - Dólar comercial","",IF(C442&lt;&gt;"",dadosexternosBMF_1!B446,IF(dadosexternosBMF_1!A446="DI1 - DI de 1 dia",dadosexternosBMF_1!B446,"")))</f>
        <v>#REF!</v>
      </c>
      <c r="D443" s="222" t="e">
        <f>IF(C443&lt;&gt;"",dadosexternosBMF_1!C446,"")</f>
        <v>#REF!</v>
      </c>
      <c r="E443" s="222" t="e">
        <f>IF(C443&lt;&gt;"",dadosexternosBMF_1!D446,"")</f>
        <v>#REF!</v>
      </c>
      <c r="G443" s="219" t="e">
        <f t="shared" si="55"/>
        <v>#REF!</v>
      </c>
      <c r="H443" s="219" t="e">
        <f t="shared" si="56"/>
        <v>#REF!</v>
      </c>
      <c r="I443" s="219" t="e">
        <f t="shared" si="57"/>
        <v>#REF!</v>
      </c>
      <c r="J443" s="219" t="e">
        <f>IF(I443="","",VLOOKUP(LEFT(C443,1),dadosexternosBMF_1!$L$2:$M$13,2,FALSE))</f>
        <v>#REF!</v>
      </c>
      <c r="K443" s="219" t="e">
        <f t="shared" si="58"/>
        <v>#REF!</v>
      </c>
      <c r="L443" s="422" t="e">
        <f t="shared" si="59"/>
        <v>#REF!</v>
      </c>
      <c r="M443" s="422" t="e">
        <f>IF(I443="","",WORKDAY(L443-1,1,FERIADOS!$A$2:$A$831))</f>
        <v>#REF!</v>
      </c>
      <c r="N443" s="219" t="e">
        <f>IF(I443="","",NETWORKDAYS(Curva!$M$2,M443,FERIADOS!$A$2:$A$831)-1)</f>
        <v>#REF!</v>
      </c>
      <c r="O443" s="423" t="e">
        <f>IF(C443&lt;&gt;"",IF(ISERROR((100000/E443)^(252/N443)-1),Curva!$B$2,((100000/E443)^(252/N443)-1)),"")</f>
        <v>#REF!</v>
      </c>
      <c r="P443" s="219" t="e">
        <f>IF(OR(G443=1,G443=2),dadosexternosBMF_1!B446,"")</f>
        <v>#REF!</v>
      </c>
      <c r="Q443" s="219" t="e">
        <f>IF(OR(G443=1,G443=2),dadosexternosBMF_1!D446,"")</f>
        <v>#REF!</v>
      </c>
    </row>
    <row r="444" spans="1:17" x14ac:dyDescent="0.2">
      <c r="A444" s="222" t="e">
        <f t="shared" si="54"/>
        <v>#REF!</v>
      </c>
      <c r="B444" s="222" t="str">
        <f>IF(dadosexternosBMF_1!A447="DI1 - DI de 1 dia","DI1 - DI de 1 dia","")</f>
        <v/>
      </c>
      <c r="C444" s="222" t="e">
        <f>IF(dadosexternosBMF_1!A447="DOL - Dólar comercial","",IF(C443&lt;&gt;"",dadosexternosBMF_1!B447,IF(dadosexternosBMF_1!A447="DI1 - DI de 1 dia",dadosexternosBMF_1!B447,"")))</f>
        <v>#REF!</v>
      </c>
      <c r="D444" s="222" t="e">
        <f>IF(C444&lt;&gt;"",dadosexternosBMF_1!C447,"")</f>
        <v>#REF!</v>
      </c>
      <c r="E444" s="222" t="e">
        <f>IF(C444&lt;&gt;"",dadosexternosBMF_1!D447,"")</f>
        <v>#REF!</v>
      </c>
      <c r="G444" s="219" t="e">
        <f t="shared" si="55"/>
        <v>#REF!</v>
      </c>
      <c r="H444" s="219" t="e">
        <f t="shared" si="56"/>
        <v>#REF!</v>
      </c>
      <c r="I444" s="219" t="e">
        <f t="shared" si="57"/>
        <v>#REF!</v>
      </c>
      <c r="J444" s="219" t="e">
        <f>IF(I444="","",VLOOKUP(LEFT(C444,1),dadosexternosBMF_1!$L$2:$M$13,2,FALSE))</f>
        <v>#REF!</v>
      </c>
      <c r="K444" s="219" t="e">
        <f t="shared" si="58"/>
        <v>#REF!</v>
      </c>
      <c r="L444" s="422" t="e">
        <f t="shared" si="59"/>
        <v>#REF!</v>
      </c>
      <c r="M444" s="422" t="e">
        <f>IF(I444="","",WORKDAY(L444-1,1,FERIADOS!$A$2:$A$831))</f>
        <v>#REF!</v>
      </c>
      <c r="N444" s="219" t="e">
        <f>IF(I444="","",NETWORKDAYS(Curva!$M$2,M444,FERIADOS!$A$2:$A$831)-1)</f>
        <v>#REF!</v>
      </c>
      <c r="O444" s="423" t="e">
        <f>IF(C444&lt;&gt;"",IF(ISERROR((100000/E444)^(252/N444)-1),Curva!$B$2,((100000/E444)^(252/N444)-1)),"")</f>
        <v>#REF!</v>
      </c>
      <c r="P444" s="219" t="e">
        <f>IF(OR(G444=1,G444=2),dadosexternosBMF_1!B447,"")</f>
        <v>#REF!</v>
      </c>
      <c r="Q444" s="219" t="e">
        <f>IF(OR(G444=1,G444=2),dadosexternosBMF_1!D447,"")</f>
        <v>#REF!</v>
      </c>
    </row>
    <row r="445" spans="1:17" x14ac:dyDescent="0.2">
      <c r="A445" s="222" t="e">
        <f t="shared" si="54"/>
        <v>#REF!</v>
      </c>
      <c r="B445" s="222" t="str">
        <f>IF(dadosexternosBMF_1!A448="DI1 - DI de 1 dia","DI1 - DI de 1 dia","")</f>
        <v/>
      </c>
      <c r="C445" s="222" t="e">
        <f>IF(dadosexternosBMF_1!A448="DOL - Dólar comercial","",IF(C444&lt;&gt;"",dadosexternosBMF_1!B448,IF(dadosexternosBMF_1!A448="DI1 - DI de 1 dia",dadosexternosBMF_1!B448,"")))</f>
        <v>#REF!</v>
      </c>
      <c r="D445" s="222" t="e">
        <f>IF(C445&lt;&gt;"",dadosexternosBMF_1!C448,"")</f>
        <v>#REF!</v>
      </c>
      <c r="E445" s="222" t="e">
        <f>IF(C445&lt;&gt;"",dadosexternosBMF_1!D448,"")</f>
        <v>#REF!</v>
      </c>
      <c r="G445" s="219" t="e">
        <f t="shared" si="55"/>
        <v>#REF!</v>
      </c>
      <c r="H445" s="219" t="e">
        <f t="shared" si="56"/>
        <v>#REF!</v>
      </c>
      <c r="I445" s="219" t="e">
        <f t="shared" si="57"/>
        <v>#REF!</v>
      </c>
      <c r="J445" s="219" t="e">
        <f>IF(I445="","",VLOOKUP(LEFT(C445,1),dadosexternosBMF_1!$L$2:$M$13,2,FALSE))</f>
        <v>#REF!</v>
      </c>
      <c r="K445" s="219" t="e">
        <f t="shared" si="58"/>
        <v>#REF!</v>
      </c>
      <c r="L445" s="422" t="e">
        <f t="shared" si="59"/>
        <v>#REF!</v>
      </c>
      <c r="M445" s="422" t="e">
        <f>IF(I445="","",WORKDAY(L445-1,1,FERIADOS!$A$2:$A$831))</f>
        <v>#REF!</v>
      </c>
      <c r="N445" s="219" t="e">
        <f>IF(I445="","",NETWORKDAYS(Curva!$M$2,M445,FERIADOS!$A$2:$A$831)-1)</f>
        <v>#REF!</v>
      </c>
      <c r="O445" s="423" t="e">
        <f>IF(C445&lt;&gt;"",IF(ISERROR((100000/E445)^(252/N445)-1),Curva!$B$2,((100000/E445)^(252/N445)-1)),"")</f>
        <v>#REF!</v>
      </c>
      <c r="P445" s="219" t="e">
        <f>IF(OR(G445=1,G445=2),dadosexternosBMF_1!B448,"")</f>
        <v>#REF!</v>
      </c>
      <c r="Q445" s="219" t="e">
        <f>IF(OR(G445=1,G445=2),dadosexternosBMF_1!D448,"")</f>
        <v>#REF!</v>
      </c>
    </row>
    <row r="446" spans="1:17" x14ac:dyDescent="0.2">
      <c r="A446" s="222" t="e">
        <f t="shared" si="54"/>
        <v>#REF!</v>
      </c>
      <c r="B446" s="222" t="str">
        <f>IF(dadosexternosBMF_1!A449="DI1 - DI de 1 dia","DI1 - DI de 1 dia","")</f>
        <v/>
      </c>
      <c r="C446" s="222" t="e">
        <f>IF(dadosexternosBMF_1!A449="DOL - Dólar comercial","",IF(C445&lt;&gt;"",dadosexternosBMF_1!B449,IF(dadosexternosBMF_1!A449="DI1 - DI de 1 dia",dadosexternosBMF_1!B449,"")))</f>
        <v>#REF!</v>
      </c>
      <c r="D446" s="222" t="e">
        <f>IF(C446&lt;&gt;"",dadosexternosBMF_1!C449,"")</f>
        <v>#REF!</v>
      </c>
      <c r="E446" s="222" t="e">
        <f>IF(C446&lt;&gt;"",dadosexternosBMF_1!D449,"")</f>
        <v>#REF!</v>
      </c>
      <c r="G446" s="219" t="e">
        <f t="shared" si="55"/>
        <v>#REF!</v>
      </c>
      <c r="H446" s="219" t="e">
        <f t="shared" si="56"/>
        <v>#REF!</v>
      </c>
      <c r="I446" s="219" t="e">
        <f t="shared" si="57"/>
        <v>#REF!</v>
      </c>
      <c r="J446" s="219" t="e">
        <f>IF(I446="","",VLOOKUP(LEFT(C446,1),dadosexternosBMF_1!$L$2:$M$13,2,FALSE))</f>
        <v>#REF!</v>
      </c>
      <c r="K446" s="219" t="e">
        <f t="shared" si="58"/>
        <v>#REF!</v>
      </c>
      <c r="L446" s="422" t="e">
        <f t="shared" si="59"/>
        <v>#REF!</v>
      </c>
      <c r="M446" s="422" t="e">
        <f>IF(I446="","",WORKDAY(L446-1,1,FERIADOS!$A$2:$A$831))</f>
        <v>#REF!</v>
      </c>
      <c r="N446" s="219" t="e">
        <f>IF(I446="","",NETWORKDAYS(Curva!$M$2,M446,FERIADOS!$A$2:$A$831)-1)</f>
        <v>#REF!</v>
      </c>
      <c r="O446" s="423" t="e">
        <f>IF(C446&lt;&gt;"",IF(ISERROR((100000/E446)^(252/N446)-1),Curva!$B$2,((100000/E446)^(252/N446)-1)),"")</f>
        <v>#REF!</v>
      </c>
      <c r="P446" s="219" t="e">
        <f>IF(OR(G446=1,G446=2),dadosexternosBMF_1!B449,"")</f>
        <v>#REF!</v>
      </c>
      <c r="Q446" s="219" t="e">
        <f>IF(OR(G446=1,G446=2),dadosexternosBMF_1!D449,"")</f>
        <v>#REF!</v>
      </c>
    </row>
    <row r="447" spans="1:17" x14ac:dyDescent="0.2">
      <c r="A447" s="222" t="e">
        <f t="shared" si="54"/>
        <v>#REF!</v>
      </c>
      <c r="B447" s="222" t="str">
        <f>IF(dadosexternosBMF_1!A450="DI1 - DI de 1 dia","DI1 - DI de 1 dia","")</f>
        <v/>
      </c>
      <c r="C447" s="222" t="e">
        <f>IF(dadosexternosBMF_1!A450="DOL - Dólar comercial","",IF(C446&lt;&gt;"",dadosexternosBMF_1!B450,IF(dadosexternosBMF_1!A450="DI1 - DI de 1 dia",dadosexternosBMF_1!B450,"")))</f>
        <v>#REF!</v>
      </c>
      <c r="D447" s="222" t="e">
        <f>IF(C447&lt;&gt;"",dadosexternosBMF_1!C450,"")</f>
        <v>#REF!</v>
      </c>
      <c r="E447" s="222" t="e">
        <f>IF(C447&lt;&gt;"",dadosexternosBMF_1!D450,"")</f>
        <v>#REF!</v>
      </c>
      <c r="G447" s="219" t="e">
        <f t="shared" si="55"/>
        <v>#REF!</v>
      </c>
      <c r="H447" s="219" t="e">
        <f t="shared" si="56"/>
        <v>#REF!</v>
      </c>
      <c r="I447" s="219" t="e">
        <f t="shared" si="57"/>
        <v>#REF!</v>
      </c>
      <c r="J447" s="219" t="e">
        <f>IF(I447="","",VLOOKUP(LEFT(C447,1),dadosexternosBMF_1!$L$2:$M$13,2,FALSE))</f>
        <v>#REF!</v>
      </c>
      <c r="K447" s="219" t="e">
        <f t="shared" si="58"/>
        <v>#REF!</v>
      </c>
      <c r="L447" s="422" t="e">
        <f t="shared" si="59"/>
        <v>#REF!</v>
      </c>
      <c r="M447" s="422" t="e">
        <f>IF(I447="","",WORKDAY(L447-1,1,FERIADOS!$A$2:$A$831))</f>
        <v>#REF!</v>
      </c>
      <c r="N447" s="219" t="e">
        <f>IF(I447="","",NETWORKDAYS(Curva!$M$2,M447,FERIADOS!$A$2:$A$831)-1)</f>
        <v>#REF!</v>
      </c>
      <c r="O447" s="423" t="e">
        <f>IF(C447&lt;&gt;"",IF(ISERROR((100000/E447)^(252/N447)-1),Curva!$B$2,((100000/E447)^(252/N447)-1)),"")</f>
        <v>#REF!</v>
      </c>
      <c r="P447" s="219" t="e">
        <f>IF(OR(G447=1,G447=2),dadosexternosBMF_1!B450,"")</f>
        <v>#REF!</v>
      </c>
      <c r="Q447" s="219" t="e">
        <f>IF(OR(G447=1,G447=2),dadosexternosBMF_1!D450,"")</f>
        <v>#REF!</v>
      </c>
    </row>
    <row r="448" spans="1:17" x14ac:dyDescent="0.2">
      <c r="A448" s="222" t="e">
        <f t="shared" si="54"/>
        <v>#REF!</v>
      </c>
      <c r="B448" s="222" t="str">
        <f>IF(dadosexternosBMF_1!A451="DI1 - DI de 1 dia","DI1 - DI de 1 dia","")</f>
        <v/>
      </c>
      <c r="C448" s="222" t="e">
        <f>IF(dadosexternosBMF_1!A451="DOL - Dólar comercial","",IF(C447&lt;&gt;"",dadosexternosBMF_1!B451,IF(dadosexternosBMF_1!A451="DI1 - DI de 1 dia",dadosexternosBMF_1!B451,"")))</f>
        <v>#REF!</v>
      </c>
      <c r="D448" s="222" t="e">
        <f>IF(C448&lt;&gt;"",dadosexternosBMF_1!C451,"")</f>
        <v>#REF!</v>
      </c>
      <c r="E448" s="222" t="e">
        <f>IF(C448&lt;&gt;"",dadosexternosBMF_1!D451,"")</f>
        <v>#REF!</v>
      </c>
      <c r="G448" s="219" t="e">
        <f t="shared" si="55"/>
        <v>#REF!</v>
      </c>
      <c r="H448" s="219" t="e">
        <f t="shared" si="56"/>
        <v>#REF!</v>
      </c>
      <c r="I448" s="219" t="e">
        <f t="shared" si="57"/>
        <v>#REF!</v>
      </c>
      <c r="J448" s="219" t="e">
        <f>IF(I448="","",VLOOKUP(LEFT(C448,1),dadosexternosBMF_1!$L$2:$M$13,2,FALSE))</f>
        <v>#REF!</v>
      </c>
      <c r="K448" s="219" t="e">
        <f t="shared" si="58"/>
        <v>#REF!</v>
      </c>
      <c r="L448" s="422" t="e">
        <f t="shared" si="59"/>
        <v>#REF!</v>
      </c>
      <c r="M448" s="422" t="e">
        <f>IF(I448="","",WORKDAY(L448-1,1,FERIADOS!$A$2:$A$831))</f>
        <v>#REF!</v>
      </c>
      <c r="N448" s="219" t="e">
        <f>IF(I448="","",NETWORKDAYS(Curva!$M$2,M448,FERIADOS!$A$2:$A$831)-1)</f>
        <v>#REF!</v>
      </c>
      <c r="O448" s="423" t="e">
        <f>IF(C448&lt;&gt;"",IF(ISERROR((100000/E448)^(252/N448)-1),Curva!$B$2,((100000/E448)^(252/N448)-1)),"")</f>
        <v>#REF!</v>
      </c>
      <c r="P448" s="219" t="e">
        <f>IF(OR(G448=1,G448=2),dadosexternosBMF_1!B451,"")</f>
        <v>#REF!</v>
      </c>
      <c r="Q448" s="219" t="e">
        <f>IF(OR(G448=1,G448=2),dadosexternosBMF_1!D451,"")</f>
        <v>#REF!</v>
      </c>
    </row>
    <row r="449" spans="1:17" x14ac:dyDescent="0.2">
      <c r="A449" s="222" t="e">
        <f t="shared" si="54"/>
        <v>#REF!</v>
      </c>
      <c r="B449" s="222" t="str">
        <f>IF(dadosexternosBMF_1!A452="DI1 - DI de 1 dia","DI1 - DI de 1 dia","")</f>
        <v/>
      </c>
      <c r="C449" s="222" t="e">
        <f>IF(dadosexternosBMF_1!A452="DOL - Dólar comercial","",IF(C448&lt;&gt;"",dadosexternosBMF_1!B452,IF(dadosexternosBMF_1!A452="DI1 - DI de 1 dia",dadosexternosBMF_1!B452,"")))</f>
        <v>#REF!</v>
      </c>
      <c r="D449" s="222" t="e">
        <f>IF(C449&lt;&gt;"",dadosexternosBMF_1!C452,"")</f>
        <v>#REF!</v>
      </c>
      <c r="E449" s="222" t="e">
        <f>IF(C449&lt;&gt;"",dadosexternosBMF_1!D452,"")</f>
        <v>#REF!</v>
      </c>
      <c r="G449" s="219" t="e">
        <f t="shared" si="55"/>
        <v>#REF!</v>
      </c>
      <c r="H449" s="219" t="e">
        <f t="shared" si="56"/>
        <v>#REF!</v>
      </c>
      <c r="I449" s="219" t="e">
        <f t="shared" si="57"/>
        <v>#REF!</v>
      </c>
      <c r="J449" s="219" t="e">
        <f>IF(I449="","",VLOOKUP(LEFT(C449,1),dadosexternosBMF_1!$L$2:$M$13,2,FALSE))</f>
        <v>#REF!</v>
      </c>
      <c r="K449" s="219" t="e">
        <f t="shared" si="58"/>
        <v>#REF!</v>
      </c>
      <c r="L449" s="422" t="e">
        <f t="shared" si="59"/>
        <v>#REF!</v>
      </c>
      <c r="M449" s="422" t="e">
        <f>IF(I449="","",WORKDAY(L449-1,1,FERIADOS!$A$2:$A$831))</f>
        <v>#REF!</v>
      </c>
      <c r="N449" s="219" t="e">
        <f>IF(I449="","",NETWORKDAYS(Curva!$M$2,M449,FERIADOS!$A$2:$A$831)-1)</f>
        <v>#REF!</v>
      </c>
      <c r="O449" s="423" t="e">
        <f>IF(C449&lt;&gt;"",IF(ISERROR((100000/E449)^(252/N449)-1),Curva!$B$2,((100000/E449)^(252/N449)-1)),"")</f>
        <v>#REF!</v>
      </c>
      <c r="P449" s="219" t="e">
        <f>IF(OR(G449=1,G449=2),dadosexternosBMF_1!B452,"")</f>
        <v>#REF!</v>
      </c>
      <c r="Q449" s="219" t="e">
        <f>IF(OR(G449=1,G449=2),dadosexternosBMF_1!D452,"")</f>
        <v>#REF!</v>
      </c>
    </row>
    <row r="450" spans="1:17" x14ac:dyDescent="0.2">
      <c r="A450" s="222" t="e">
        <f t="shared" si="54"/>
        <v>#REF!</v>
      </c>
      <c r="B450" s="222" t="str">
        <f>IF(dadosexternosBMF_1!A453="DI1 - DI de 1 dia","DI1 - DI de 1 dia","")</f>
        <v/>
      </c>
      <c r="C450" s="222" t="e">
        <f>IF(dadosexternosBMF_1!A453="DOL - Dólar comercial","",IF(C449&lt;&gt;"",dadosexternosBMF_1!B453,IF(dadosexternosBMF_1!A453="DI1 - DI de 1 dia",dadosexternosBMF_1!B453,"")))</f>
        <v>#REF!</v>
      </c>
      <c r="D450" s="222" t="e">
        <f>IF(C450&lt;&gt;"",dadosexternosBMF_1!C453,"")</f>
        <v>#REF!</v>
      </c>
      <c r="E450" s="222" t="e">
        <f>IF(C450&lt;&gt;"",dadosexternosBMF_1!D453,"")</f>
        <v>#REF!</v>
      </c>
      <c r="G450" s="219" t="e">
        <f t="shared" si="55"/>
        <v>#REF!</v>
      </c>
      <c r="H450" s="219" t="e">
        <f t="shared" si="56"/>
        <v>#REF!</v>
      </c>
      <c r="I450" s="219" t="e">
        <f t="shared" si="57"/>
        <v>#REF!</v>
      </c>
      <c r="J450" s="219" t="e">
        <f>IF(I450="","",VLOOKUP(LEFT(C450,1),dadosexternosBMF_1!$L$2:$M$13,2,FALSE))</f>
        <v>#REF!</v>
      </c>
      <c r="K450" s="219" t="e">
        <f t="shared" si="58"/>
        <v>#REF!</v>
      </c>
      <c r="L450" s="422" t="e">
        <f t="shared" si="59"/>
        <v>#REF!</v>
      </c>
      <c r="M450" s="422" t="e">
        <f>IF(I450="","",WORKDAY(L450-1,1,FERIADOS!$A$2:$A$831))</f>
        <v>#REF!</v>
      </c>
      <c r="N450" s="219" t="e">
        <f>IF(I450="","",NETWORKDAYS(Curva!$M$2,M450,FERIADOS!$A$2:$A$831)-1)</f>
        <v>#REF!</v>
      </c>
      <c r="O450" s="423" t="e">
        <f>IF(C450&lt;&gt;"",IF(ISERROR((100000/E450)^(252/N450)-1),Curva!$B$2,((100000/E450)^(252/N450)-1)),"")</f>
        <v>#REF!</v>
      </c>
      <c r="P450" s="219" t="e">
        <f>IF(OR(G450=1,G450=2),dadosexternosBMF_1!B453,"")</f>
        <v>#REF!</v>
      </c>
      <c r="Q450" s="219" t="e">
        <f>IF(OR(G450=1,G450=2),dadosexternosBMF_1!D453,"")</f>
        <v>#REF!</v>
      </c>
    </row>
    <row r="451" spans="1:17" x14ac:dyDescent="0.2">
      <c r="A451" s="222" t="e">
        <f t="shared" si="54"/>
        <v>#REF!</v>
      </c>
      <c r="B451" s="222" t="str">
        <f>IF(dadosexternosBMF_1!A454="DI1 - DI de 1 dia","DI1 - DI de 1 dia","")</f>
        <v/>
      </c>
      <c r="C451" s="222" t="e">
        <f>IF(dadosexternosBMF_1!A454="DOL - Dólar comercial","",IF(C450&lt;&gt;"",dadosexternosBMF_1!B454,IF(dadosexternosBMF_1!A454="DI1 - DI de 1 dia",dadosexternosBMF_1!B454,"")))</f>
        <v>#REF!</v>
      </c>
      <c r="D451" s="222" t="e">
        <f>IF(C451&lt;&gt;"",dadosexternosBMF_1!C454,"")</f>
        <v>#REF!</v>
      </c>
      <c r="E451" s="222" t="e">
        <f>IF(C451&lt;&gt;"",dadosexternosBMF_1!D454,"")</f>
        <v>#REF!</v>
      </c>
      <c r="G451" s="219" t="e">
        <f t="shared" si="55"/>
        <v>#REF!</v>
      </c>
      <c r="H451" s="219" t="e">
        <f t="shared" si="56"/>
        <v>#REF!</v>
      </c>
      <c r="I451" s="219" t="e">
        <f t="shared" si="57"/>
        <v>#REF!</v>
      </c>
      <c r="J451" s="219" t="e">
        <f>IF(I451="","",VLOOKUP(LEFT(C451,1),dadosexternosBMF_1!$L$2:$M$13,2,FALSE))</f>
        <v>#REF!</v>
      </c>
      <c r="K451" s="219" t="e">
        <f t="shared" si="58"/>
        <v>#REF!</v>
      </c>
      <c r="L451" s="422" t="e">
        <f t="shared" si="59"/>
        <v>#REF!</v>
      </c>
      <c r="M451" s="422" t="e">
        <f>IF(I451="","",WORKDAY(L451-1,1,FERIADOS!$A$2:$A$831))</f>
        <v>#REF!</v>
      </c>
      <c r="N451" s="219" t="e">
        <f>IF(I451="","",NETWORKDAYS(Curva!$M$2,M451,FERIADOS!$A$2:$A$831)-1)</f>
        <v>#REF!</v>
      </c>
      <c r="O451" s="423" t="e">
        <f>IF(C451&lt;&gt;"",IF(ISERROR((100000/E451)^(252/N451)-1),Curva!$B$2,((100000/E451)^(252/N451)-1)),"")</f>
        <v>#REF!</v>
      </c>
      <c r="P451" s="219" t="e">
        <f>IF(OR(G451=1,G451=2),dadosexternosBMF_1!B454,"")</f>
        <v>#REF!</v>
      </c>
      <c r="Q451" s="219" t="e">
        <f>IF(OR(G451=1,G451=2),dadosexternosBMF_1!D454,"")</f>
        <v>#REF!</v>
      </c>
    </row>
    <row r="452" spans="1:17" x14ac:dyDescent="0.2">
      <c r="A452" s="222" t="e">
        <f t="shared" si="54"/>
        <v>#REF!</v>
      </c>
      <c r="B452" s="222" t="str">
        <f>IF(dadosexternosBMF_1!A455="DI1 - DI de 1 dia","DI1 - DI de 1 dia","")</f>
        <v/>
      </c>
      <c r="C452" s="222" t="e">
        <f>IF(dadosexternosBMF_1!A455="DOL - Dólar comercial","",IF(C451&lt;&gt;"",dadosexternosBMF_1!B455,IF(dadosexternosBMF_1!A455="DI1 - DI de 1 dia",dadosexternosBMF_1!B455,"")))</f>
        <v>#REF!</v>
      </c>
      <c r="D452" s="222" t="e">
        <f>IF(C452&lt;&gt;"",dadosexternosBMF_1!C455,"")</f>
        <v>#REF!</v>
      </c>
      <c r="E452" s="222" t="e">
        <f>IF(C452&lt;&gt;"",dadosexternosBMF_1!D455,"")</f>
        <v>#REF!</v>
      </c>
      <c r="G452" s="219" t="e">
        <f t="shared" si="55"/>
        <v>#REF!</v>
      </c>
      <c r="H452" s="219" t="e">
        <f t="shared" si="56"/>
        <v>#REF!</v>
      </c>
      <c r="I452" s="219" t="e">
        <f t="shared" si="57"/>
        <v>#REF!</v>
      </c>
      <c r="J452" s="219" t="e">
        <f>IF(I452="","",VLOOKUP(LEFT(C452,1),dadosexternosBMF_1!$L$2:$M$13,2,FALSE))</f>
        <v>#REF!</v>
      </c>
      <c r="K452" s="219" t="e">
        <f t="shared" si="58"/>
        <v>#REF!</v>
      </c>
      <c r="L452" s="422" t="e">
        <f t="shared" si="59"/>
        <v>#REF!</v>
      </c>
      <c r="M452" s="422" t="e">
        <f>IF(I452="","",WORKDAY(L452-1,1,FERIADOS!$A$2:$A$831))</f>
        <v>#REF!</v>
      </c>
      <c r="N452" s="219" t="e">
        <f>IF(I452="","",NETWORKDAYS(Curva!$M$2,M452,FERIADOS!$A$2:$A$831)-1)</f>
        <v>#REF!</v>
      </c>
      <c r="O452" s="423" t="e">
        <f>IF(C452&lt;&gt;"",IF(ISERROR((100000/E452)^(252/N452)-1),Curva!$B$2,((100000/E452)^(252/N452)-1)),"")</f>
        <v>#REF!</v>
      </c>
      <c r="P452" s="219" t="e">
        <f>IF(OR(G452=1,G452=2),dadosexternosBMF_1!B455,"")</f>
        <v>#REF!</v>
      </c>
      <c r="Q452" s="219" t="e">
        <f>IF(OR(G452=1,G452=2),dadosexternosBMF_1!D455,"")</f>
        <v>#REF!</v>
      </c>
    </row>
    <row r="453" spans="1:17" x14ac:dyDescent="0.2">
      <c r="A453" s="222" t="e">
        <f t="shared" si="54"/>
        <v>#REF!</v>
      </c>
      <c r="B453" s="222" t="str">
        <f>IF(dadosexternosBMF_1!A456="DI1 - DI de 1 dia","DI1 - DI de 1 dia","")</f>
        <v/>
      </c>
      <c r="C453" s="222" t="e">
        <f>IF(dadosexternosBMF_1!A456="DOL - Dólar comercial","",IF(C452&lt;&gt;"",dadosexternosBMF_1!B456,IF(dadosexternosBMF_1!A456="DI1 - DI de 1 dia",dadosexternosBMF_1!B456,"")))</f>
        <v>#REF!</v>
      </c>
      <c r="D453" s="222" t="e">
        <f>IF(C453&lt;&gt;"",dadosexternosBMF_1!C456,"")</f>
        <v>#REF!</v>
      </c>
      <c r="E453" s="222" t="e">
        <f>IF(C453&lt;&gt;"",dadosexternosBMF_1!D456,"")</f>
        <v>#REF!</v>
      </c>
      <c r="G453" s="219" t="e">
        <f t="shared" si="55"/>
        <v>#REF!</v>
      </c>
      <c r="H453" s="219" t="e">
        <f t="shared" si="56"/>
        <v>#REF!</v>
      </c>
      <c r="I453" s="219" t="e">
        <f t="shared" si="57"/>
        <v>#REF!</v>
      </c>
      <c r="J453" s="219" t="e">
        <f>IF(I453="","",VLOOKUP(LEFT(C453,1),dadosexternosBMF_1!$L$2:$M$13,2,FALSE))</f>
        <v>#REF!</v>
      </c>
      <c r="K453" s="219" t="e">
        <f t="shared" si="58"/>
        <v>#REF!</v>
      </c>
      <c r="L453" s="422" t="e">
        <f t="shared" si="59"/>
        <v>#REF!</v>
      </c>
      <c r="M453" s="422" t="e">
        <f>IF(I453="","",WORKDAY(L453-1,1,FERIADOS!$A$2:$A$831))</f>
        <v>#REF!</v>
      </c>
      <c r="N453" s="219" t="e">
        <f>IF(I453="","",NETWORKDAYS(Curva!$M$2,M453,FERIADOS!$A$2:$A$831)-1)</f>
        <v>#REF!</v>
      </c>
      <c r="O453" s="423" t="e">
        <f>IF(C453&lt;&gt;"",IF(ISERROR((100000/E453)^(252/N453)-1),Curva!$B$2,((100000/E453)^(252/N453)-1)),"")</f>
        <v>#REF!</v>
      </c>
      <c r="P453" s="219" t="e">
        <f>IF(OR(G453=1,G453=2),dadosexternosBMF_1!B456,"")</f>
        <v>#REF!</v>
      </c>
      <c r="Q453" s="219" t="e">
        <f>IF(OR(G453=1,G453=2),dadosexternosBMF_1!D456,"")</f>
        <v>#REF!</v>
      </c>
    </row>
    <row r="454" spans="1:17" x14ac:dyDescent="0.2">
      <c r="A454" s="222" t="e">
        <f t="shared" si="54"/>
        <v>#REF!</v>
      </c>
      <c r="B454" s="222" t="str">
        <f>IF(dadosexternosBMF_1!A457="DI1 - DI de 1 dia","DI1 - DI de 1 dia","")</f>
        <v/>
      </c>
      <c r="C454" s="222" t="e">
        <f>IF(dadosexternosBMF_1!A457="DOL - Dólar comercial","",IF(C453&lt;&gt;"",dadosexternosBMF_1!B457,IF(dadosexternosBMF_1!A457="DI1 - DI de 1 dia",dadosexternosBMF_1!B457,"")))</f>
        <v>#REF!</v>
      </c>
      <c r="D454" s="222" t="e">
        <f>IF(C454&lt;&gt;"",dadosexternosBMF_1!C457,"")</f>
        <v>#REF!</v>
      </c>
      <c r="E454" s="222" t="e">
        <f>IF(C454&lt;&gt;"",dadosexternosBMF_1!D457,"")</f>
        <v>#REF!</v>
      </c>
      <c r="G454" s="219" t="e">
        <f t="shared" si="55"/>
        <v>#REF!</v>
      </c>
      <c r="H454" s="219" t="e">
        <f t="shared" si="56"/>
        <v>#REF!</v>
      </c>
      <c r="I454" s="219" t="e">
        <f t="shared" si="57"/>
        <v>#REF!</v>
      </c>
      <c r="J454" s="219" t="e">
        <f>IF(I454="","",VLOOKUP(LEFT(C454,1),dadosexternosBMF_1!$L$2:$M$13,2,FALSE))</f>
        <v>#REF!</v>
      </c>
      <c r="K454" s="219" t="e">
        <f t="shared" si="58"/>
        <v>#REF!</v>
      </c>
      <c r="L454" s="422" t="e">
        <f t="shared" si="59"/>
        <v>#REF!</v>
      </c>
      <c r="M454" s="422" t="e">
        <f>IF(I454="","",WORKDAY(L454-1,1,FERIADOS!$A$2:$A$831))</f>
        <v>#REF!</v>
      </c>
      <c r="N454" s="219" t="e">
        <f>IF(I454="","",NETWORKDAYS(Curva!$M$2,M454,FERIADOS!$A$2:$A$831)-1)</f>
        <v>#REF!</v>
      </c>
      <c r="O454" s="423" t="e">
        <f>IF(C454&lt;&gt;"",IF(ISERROR((100000/E454)^(252/N454)-1),Curva!$B$2,((100000/E454)^(252/N454)-1)),"")</f>
        <v>#REF!</v>
      </c>
      <c r="P454" s="219" t="e">
        <f>IF(OR(G454=1,G454=2),dadosexternosBMF_1!B457,"")</f>
        <v>#REF!</v>
      </c>
      <c r="Q454" s="219" t="e">
        <f>IF(OR(G454=1,G454=2),dadosexternosBMF_1!D457,"")</f>
        <v>#REF!</v>
      </c>
    </row>
    <row r="455" spans="1:17" x14ac:dyDescent="0.2">
      <c r="A455" s="222" t="e">
        <f t="shared" si="54"/>
        <v>#REF!</v>
      </c>
      <c r="B455" s="222" t="str">
        <f>IF(dadosexternosBMF_1!A458="DI1 - DI de 1 dia","DI1 - DI de 1 dia","")</f>
        <v/>
      </c>
      <c r="C455" s="222" t="e">
        <f>IF(dadosexternosBMF_1!A458="DOL - Dólar comercial","",IF(C454&lt;&gt;"",dadosexternosBMF_1!B458,IF(dadosexternosBMF_1!A458="DI1 - DI de 1 dia",dadosexternosBMF_1!B458,"")))</f>
        <v>#REF!</v>
      </c>
      <c r="D455" s="222" t="e">
        <f>IF(C455&lt;&gt;"",dadosexternosBMF_1!C458,"")</f>
        <v>#REF!</v>
      </c>
      <c r="E455" s="222" t="e">
        <f>IF(C455&lt;&gt;"",dadosexternosBMF_1!D458,"")</f>
        <v>#REF!</v>
      </c>
      <c r="G455" s="219" t="e">
        <f t="shared" si="55"/>
        <v>#REF!</v>
      </c>
      <c r="H455" s="219" t="e">
        <f t="shared" si="56"/>
        <v>#REF!</v>
      </c>
      <c r="I455" s="219" t="e">
        <f t="shared" si="57"/>
        <v>#REF!</v>
      </c>
      <c r="J455" s="219" t="e">
        <f>IF(I455="","",VLOOKUP(LEFT(C455,1),dadosexternosBMF_1!$L$2:$M$13,2,FALSE))</f>
        <v>#REF!</v>
      </c>
      <c r="K455" s="219" t="e">
        <f t="shared" si="58"/>
        <v>#REF!</v>
      </c>
      <c r="L455" s="422" t="e">
        <f t="shared" si="59"/>
        <v>#REF!</v>
      </c>
      <c r="M455" s="422" t="e">
        <f>IF(I455="","",WORKDAY(L455-1,1,FERIADOS!$A$2:$A$831))</f>
        <v>#REF!</v>
      </c>
      <c r="N455" s="219" t="e">
        <f>IF(I455="","",NETWORKDAYS(Curva!$M$2,M455,FERIADOS!$A$2:$A$831)-1)</f>
        <v>#REF!</v>
      </c>
      <c r="O455" s="423" t="e">
        <f>IF(C455&lt;&gt;"",IF(ISERROR((100000/E455)^(252/N455)-1),Curva!$B$2,((100000/E455)^(252/N455)-1)),"")</f>
        <v>#REF!</v>
      </c>
      <c r="P455" s="219" t="e">
        <f>IF(OR(G455=1,G455=2),dadosexternosBMF_1!B458,"")</f>
        <v>#REF!</v>
      </c>
      <c r="Q455" s="219" t="e">
        <f>IF(OR(G455=1,G455=2),dadosexternosBMF_1!D458,"")</f>
        <v>#REF!</v>
      </c>
    </row>
    <row r="456" spans="1:17" x14ac:dyDescent="0.2">
      <c r="A456" s="222" t="e">
        <f t="shared" si="54"/>
        <v>#REF!</v>
      </c>
      <c r="B456" s="222" t="str">
        <f>IF(dadosexternosBMF_1!A459="DI1 - DI de 1 dia","DI1 - DI de 1 dia","")</f>
        <v/>
      </c>
      <c r="C456" s="222" t="e">
        <f>IF(dadosexternosBMF_1!A459="DOL - Dólar comercial","",IF(C455&lt;&gt;"",dadosexternosBMF_1!B459,IF(dadosexternosBMF_1!A459="DI1 - DI de 1 dia",dadosexternosBMF_1!B459,"")))</f>
        <v>#REF!</v>
      </c>
      <c r="D456" s="222" t="e">
        <f>IF(C456&lt;&gt;"",dadosexternosBMF_1!C459,"")</f>
        <v>#REF!</v>
      </c>
      <c r="E456" s="222" t="e">
        <f>IF(C456&lt;&gt;"",dadosexternosBMF_1!D459,"")</f>
        <v>#REF!</v>
      </c>
      <c r="G456" s="219" t="e">
        <f t="shared" si="55"/>
        <v>#REF!</v>
      </c>
      <c r="H456" s="219" t="e">
        <f t="shared" si="56"/>
        <v>#REF!</v>
      </c>
      <c r="I456" s="219" t="e">
        <f t="shared" si="57"/>
        <v>#REF!</v>
      </c>
      <c r="J456" s="219" t="e">
        <f>IF(I456="","",VLOOKUP(LEFT(C456,1),dadosexternosBMF_1!$L$2:$M$13,2,FALSE))</f>
        <v>#REF!</v>
      </c>
      <c r="K456" s="219" t="e">
        <f t="shared" si="58"/>
        <v>#REF!</v>
      </c>
      <c r="L456" s="422" t="e">
        <f t="shared" si="59"/>
        <v>#REF!</v>
      </c>
      <c r="M456" s="422" t="e">
        <f>IF(I456="","",WORKDAY(L456-1,1,FERIADOS!$A$2:$A$831))</f>
        <v>#REF!</v>
      </c>
      <c r="N456" s="219" t="e">
        <f>IF(I456="","",NETWORKDAYS(Curva!$M$2,M456,FERIADOS!$A$2:$A$831)-1)</f>
        <v>#REF!</v>
      </c>
      <c r="O456" s="423" t="e">
        <f>IF(C456&lt;&gt;"",IF(ISERROR((100000/E456)^(252/N456)-1),Curva!$B$2,((100000/E456)^(252/N456)-1)),"")</f>
        <v>#REF!</v>
      </c>
      <c r="P456" s="219" t="e">
        <f>IF(OR(G456=1,G456=2),dadosexternosBMF_1!B459,"")</f>
        <v>#REF!</v>
      </c>
      <c r="Q456" s="219" t="e">
        <f>IF(OR(G456=1,G456=2),dadosexternosBMF_1!D459,"")</f>
        <v>#REF!</v>
      </c>
    </row>
    <row r="457" spans="1:17" x14ac:dyDescent="0.2">
      <c r="A457" s="222" t="e">
        <f t="shared" si="54"/>
        <v>#REF!</v>
      </c>
      <c r="B457" s="222" t="str">
        <f>IF(dadosexternosBMF_1!A460="DI1 - DI de 1 dia","DI1 - DI de 1 dia","")</f>
        <v/>
      </c>
      <c r="C457" s="222" t="e">
        <f>IF(dadosexternosBMF_1!A460="DOL - Dólar comercial","",IF(C456&lt;&gt;"",dadosexternosBMF_1!B460,IF(dadosexternosBMF_1!A460="DI1 - DI de 1 dia",dadosexternosBMF_1!B460,"")))</f>
        <v>#REF!</v>
      </c>
      <c r="D457" s="222" t="e">
        <f>IF(C457&lt;&gt;"",dadosexternosBMF_1!C460,"")</f>
        <v>#REF!</v>
      </c>
      <c r="E457" s="222" t="e">
        <f>IF(C457&lt;&gt;"",dadosexternosBMF_1!D460,"")</f>
        <v>#REF!</v>
      </c>
      <c r="G457" s="219" t="e">
        <f t="shared" si="55"/>
        <v>#REF!</v>
      </c>
      <c r="H457" s="219" t="e">
        <f t="shared" si="56"/>
        <v>#REF!</v>
      </c>
      <c r="I457" s="219" t="e">
        <f t="shared" si="57"/>
        <v>#REF!</v>
      </c>
      <c r="J457" s="219" t="e">
        <f>IF(I457="","",VLOOKUP(LEFT(C457,1),dadosexternosBMF_1!$L$2:$M$13,2,FALSE))</f>
        <v>#REF!</v>
      </c>
      <c r="K457" s="219" t="e">
        <f t="shared" si="58"/>
        <v>#REF!</v>
      </c>
      <c r="L457" s="422" t="e">
        <f t="shared" si="59"/>
        <v>#REF!</v>
      </c>
      <c r="M457" s="422" t="e">
        <f>IF(I457="","",WORKDAY(L457-1,1,FERIADOS!$A$2:$A$831))</f>
        <v>#REF!</v>
      </c>
      <c r="N457" s="219" t="e">
        <f>IF(I457="","",NETWORKDAYS(Curva!$M$2,M457,FERIADOS!$A$2:$A$831)-1)</f>
        <v>#REF!</v>
      </c>
      <c r="O457" s="423" t="e">
        <f>IF(C457&lt;&gt;"",IF(ISERROR((100000/E457)^(252/N457)-1),Curva!$B$2,((100000/E457)^(252/N457)-1)),"")</f>
        <v>#REF!</v>
      </c>
      <c r="P457" s="219" t="e">
        <f>IF(OR(G457=1,G457=2),dadosexternosBMF_1!B460,"")</f>
        <v>#REF!</v>
      </c>
      <c r="Q457" s="219" t="e">
        <f>IF(OR(G457=1,G457=2),dadosexternosBMF_1!D460,"")</f>
        <v>#REF!</v>
      </c>
    </row>
    <row r="458" spans="1:17" x14ac:dyDescent="0.2">
      <c r="A458" s="222" t="e">
        <f t="shared" si="54"/>
        <v>#REF!</v>
      </c>
      <c r="B458" s="222" t="str">
        <f>IF(dadosexternosBMF_1!A461="DI1 - DI de 1 dia","DI1 - DI de 1 dia","")</f>
        <v/>
      </c>
      <c r="C458" s="222" t="e">
        <f>IF(dadosexternosBMF_1!A461="DOL - Dólar comercial","",IF(C457&lt;&gt;"",dadosexternosBMF_1!B461,IF(dadosexternosBMF_1!A461="DI1 - DI de 1 dia",dadosexternosBMF_1!B461,"")))</f>
        <v>#REF!</v>
      </c>
      <c r="D458" s="222" t="e">
        <f>IF(C458&lt;&gt;"",dadosexternosBMF_1!C461,"")</f>
        <v>#REF!</v>
      </c>
      <c r="E458" s="222" t="e">
        <f>IF(C458&lt;&gt;"",dadosexternosBMF_1!D461,"")</f>
        <v>#REF!</v>
      </c>
      <c r="G458" s="219" t="e">
        <f t="shared" si="55"/>
        <v>#REF!</v>
      </c>
      <c r="H458" s="219" t="e">
        <f t="shared" si="56"/>
        <v>#REF!</v>
      </c>
      <c r="I458" s="219" t="e">
        <f t="shared" si="57"/>
        <v>#REF!</v>
      </c>
      <c r="J458" s="219" t="e">
        <f>IF(I458="","",VLOOKUP(LEFT(C458,1),dadosexternosBMF_1!$L$2:$M$13,2,FALSE))</f>
        <v>#REF!</v>
      </c>
      <c r="K458" s="219" t="e">
        <f t="shared" si="58"/>
        <v>#REF!</v>
      </c>
      <c r="L458" s="422" t="e">
        <f t="shared" si="59"/>
        <v>#REF!</v>
      </c>
      <c r="M458" s="422" t="e">
        <f>IF(I458="","",WORKDAY(L458-1,1,FERIADOS!$A$2:$A$831))</f>
        <v>#REF!</v>
      </c>
      <c r="N458" s="219" t="e">
        <f>IF(I458="","",NETWORKDAYS(Curva!$M$2,M458,FERIADOS!$A$2:$A$831)-1)</f>
        <v>#REF!</v>
      </c>
      <c r="O458" s="423" t="e">
        <f>IF(C458&lt;&gt;"",IF(ISERROR((100000/E458)^(252/N458)-1),Curva!$B$2,((100000/E458)^(252/N458)-1)),"")</f>
        <v>#REF!</v>
      </c>
      <c r="P458" s="219" t="e">
        <f>IF(OR(G458=1,G458=2),dadosexternosBMF_1!B461,"")</f>
        <v>#REF!</v>
      </c>
      <c r="Q458" s="219" t="e">
        <f>IF(OR(G458=1,G458=2),dadosexternosBMF_1!D461,"")</f>
        <v>#REF!</v>
      </c>
    </row>
    <row r="459" spans="1:17" x14ac:dyDescent="0.2">
      <c r="A459" s="222" t="e">
        <f t="shared" si="54"/>
        <v>#REF!</v>
      </c>
      <c r="B459" s="222" t="str">
        <f>IF(dadosexternosBMF_1!A462="DI1 - DI de 1 dia","DI1 - DI de 1 dia","")</f>
        <v/>
      </c>
      <c r="C459" s="222" t="e">
        <f>IF(dadosexternosBMF_1!A462="DOL - Dólar comercial","",IF(C458&lt;&gt;"",dadosexternosBMF_1!B462,IF(dadosexternosBMF_1!A462="DI1 - DI de 1 dia",dadosexternosBMF_1!B462,"")))</f>
        <v>#REF!</v>
      </c>
      <c r="D459" s="222" t="e">
        <f>IF(C459&lt;&gt;"",dadosexternosBMF_1!C462,"")</f>
        <v>#REF!</v>
      </c>
      <c r="E459" s="222" t="e">
        <f>IF(C459&lt;&gt;"",dadosexternosBMF_1!D462,"")</f>
        <v>#REF!</v>
      </c>
      <c r="G459" s="219" t="e">
        <f t="shared" si="55"/>
        <v>#REF!</v>
      </c>
      <c r="H459" s="219" t="e">
        <f t="shared" si="56"/>
        <v>#REF!</v>
      </c>
      <c r="I459" s="219" t="e">
        <f t="shared" si="57"/>
        <v>#REF!</v>
      </c>
      <c r="J459" s="219" t="e">
        <f>IF(I459="","",VLOOKUP(LEFT(C459,1),dadosexternosBMF_1!$L$2:$M$13,2,FALSE))</f>
        <v>#REF!</v>
      </c>
      <c r="K459" s="219" t="e">
        <f t="shared" si="58"/>
        <v>#REF!</v>
      </c>
      <c r="L459" s="422" t="e">
        <f t="shared" si="59"/>
        <v>#REF!</v>
      </c>
      <c r="M459" s="422" t="e">
        <f>IF(I459="","",WORKDAY(L459-1,1,FERIADOS!$A$2:$A$831))</f>
        <v>#REF!</v>
      </c>
      <c r="N459" s="219" t="e">
        <f>IF(I459="","",NETWORKDAYS(Curva!$M$2,M459,FERIADOS!$A$2:$A$831)-1)</f>
        <v>#REF!</v>
      </c>
      <c r="O459" s="423" t="e">
        <f>IF(C459&lt;&gt;"",IF(ISERROR((100000/E459)^(252/N459)-1),Curva!$B$2,((100000/E459)^(252/N459)-1)),"")</f>
        <v>#REF!</v>
      </c>
      <c r="P459" s="219" t="e">
        <f>IF(OR(G459=1,G459=2),dadosexternosBMF_1!B462,"")</f>
        <v>#REF!</v>
      </c>
      <c r="Q459" s="219" t="e">
        <f>IF(OR(G459=1,G459=2),dadosexternosBMF_1!D462,"")</f>
        <v>#REF!</v>
      </c>
    </row>
    <row r="460" spans="1:17" x14ac:dyDescent="0.2">
      <c r="A460" s="222" t="e">
        <f t="shared" si="54"/>
        <v>#REF!</v>
      </c>
      <c r="B460" s="222" t="str">
        <f>IF(dadosexternosBMF_1!A463="DI1 - DI de 1 dia","DI1 - DI de 1 dia","")</f>
        <v/>
      </c>
      <c r="C460" s="222" t="e">
        <f>IF(dadosexternosBMF_1!A463="DOL - Dólar comercial","",IF(C459&lt;&gt;"",dadosexternosBMF_1!B463,IF(dadosexternosBMF_1!A463="DI1 - DI de 1 dia",dadosexternosBMF_1!B463,"")))</f>
        <v>#REF!</v>
      </c>
      <c r="D460" s="222" t="e">
        <f>IF(C460&lt;&gt;"",dadosexternosBMF_1!C463,"")</f>
        <v>#REF!</v>
      </c>
      <c r="E460" s="222" t="e">
        <f>IF(C460&lt;&gt;"",dadosexternosBMF_1!D463,"")</f>
        <v>#REF!</v>
      </c>
      <c r="G460" s="219" t="e">
        <f t="shared" si="55"/>
        <v>#REF!</v>
      </c>
      <c r="H460" s="219" t="e">
        <f t="shared" si="56"/>
        <v>#REF!</v>
      </c>
      <c r="I460" s="219" t="e">
        <f t="shared" si="57"/>
        <v>#REF!</v>
      </c>
      <c r="J460" s="219" t="e">
        <f>IF(I460="","",VLOOKUP(LEFT(C460,1),dadosexternosBMF_1!$L$2:$M$13,2,FALSE))</f>
        <v>#REF!</v>
      </c>
      <c r="K460" s="219" t="e">
        <f t="shared" si="58"/>
        <v>#REF!</v>
      </c>
      <c r="L460" s="422" t="e">
        <f t="shared" si="59"/>
        <v>#REF!</v>
      </c>
      <c r="M460" s="422" t="e">
        <f>IF(I460="","",WORKDAY(L460-1,1,FERIADOS!$A$2:$A$831))</f>
        <v>#REF!</v>
      </c>
      <c r="N460" s="219" t="e">
        <f>IF(I460="","",NETWORKDAYS(Curva!$M$2,M460,FERIADOS!$A$2:$A$831)-1)</f>
        <v>#REF!</v>
      </c>
      <c r="O460" s="423" t="e">
        <f>IF(C460&lt;&gt;"",IF(ISERROR((100000/E460)^(252/N460)-1),Curva!$B$2,((100000/E460)^(252/N460)-1)),"")</f>
        <v>#REF!</v>
      </c>
      <c r="P460" s="219" t="e">
        <f>IF(OR(G460=1,G460=2),dadosexternosBMF_1!B463,"")</f>
        <v>#REF!</v>
      </c>
      <c r="Q460" s="219" t="e">
        <f>IF(OR(G460=1,G460=2),dadosexternosBMF_1!D463,"")</f>
        <v>#REF!</v>
      </c>
    </row>
    <row r="461" spans="1:17" x14ac:dyDescent="0.2">
      <c r="A461" s="222" t="e">
        <f t="shared" si="54"/>
        <v>#REF!</v>
      </c>
      <c r="B461" s="222" t="str">
        <f>IF(dadosexternosBMF_1!A464="DI1 - DI de 1 dia","DI1 - DI de 1 dia","")</f>
        <v/>
      </c>
      <c r="C461" s="222" t="e">
        <f>IF(dadosexternosBMF_1!A464="DOL - Dólar comercial","",IF(C460&lt;&gt;"",dadosexternosBMF_1!B464,IF(dadosexternosBMF_1!A464="DI1 - DI de 1 dia",dadosexternosBMF_1!B464,"")))</f>
        <v>#REF!</v>
      </c>
      <c r="D461" s="222" t="e">
        <f>IF(C461&lt;&gt;"",dadosexternosBMF_1!C464,"")</f>
        <v>#REF!</v>
      </c>
      <c r="E461" s="222" t="e">
        <f>IF(C461&lt;&gt;"",dadosexternosBMF_1!D464,"")</f>
        <v>#REF!</v>
      </c>
      <c r="G461" s="219" t="e">
        <f t="shared" si="55"/>
        <v>#REF!</v>
      </c>
      <c r="H461" s="219" t="e">
        <f t="shared" si="56"/>
        <v>#REF!</v>
      </c>
      <c r="I461" s="219" t="e">
        <f t="shared" si="57"/>
        <v>#REF!</v>
      </c>
      <c r="J461" s="219" t="e">
        <f>IF(I461="","",VLOOKUP(LEFT(C461,1),dadosexternosBMF_1!$L$2:$M$13,2,FALSE))</f>
        <v>#REF!</v>
      </c>
      <c r="K461" s="219" t="e">
        <f t="shared" si="58"/>
        <v>#REF!</v>
      </c>
      <c r="L461" s="422" t="e">
        <f t="shared" si="59"/>
        <v>#REF!</v>
      </c>
      <c r="M461" s="422" t="e">
        <f>IF(I461="","",WORKDAY(L461-1,1,FERIADOS!$A$2:$A$831))</f>
        <v>#REF!</v>
      </c>
      <c r="N461" s="219" t="e">
        <f>IF(I461="","",NETWORKDAYS(Curva!$M$2,M461,FERIADOS!$A$2:$A$831)-1)</f>
        <v>#REF!</v>
      </c>
      <c r="O461" s="423" t="e">
        <f>IF(C461&lt;&gt;"",IF(ISERROR((100000/E461)^(252/N461)-1),Curva!$B$2,((100000/E461)^(252/N461)-1)),"")</f>
        <v>#REF!</v>
      </c>
      <c r="P461" s="219" t="e">
        <f>IF(OR(G461=1,G461=2),dadosexternosBMF_1!B464,"")</f>
        <v>#REF!</v>
      </c>
      <c r="Q461" s="219" t="e">
        <f>IF(OR(G461=1,G461=2),dadosexternosBMF_1!D464,"")</f>
        <v>#REF!</v>
      </c>
    </row>
    <row r="462" spans="1:17" x14ac:dyDescent="0.2">
      <c r="A462" s="222" t="e">
        <f t="shared" si="54"/>
        <v>#REF!</v>
      </c>
      <c r="B462" s="222" t="str">
        <f>IF(dadosexternosBMF_1!A465="DI1 - DI de 1 dia","DI1 - DI de 1 dia","")</f>
        <v/>
      </c>
      <c r="C462" s="222" t="e">
        <f>IF(dadosexternosBMF_1!A465="DOL - Dólar comercial","",IF(C461&lt;&gt;"",dadosexternosBMF_1!B465,IF(dadosexternosBMF_1!A465="DI1 - DI de 1 dia",dadosexternosBMF_1!B465,"")))</f>
        <v>#REF!</v>
      </c>
      <c r="D462" s="222" t="e">
        <f>IF(C462&lt;&gt;"",dadosexternosBMF_1!C465,"")</f>
        <v>#REF!</v>
      </c>
      <c r="E462" s="222" t="e">
        <f>IF(C462&lt;&gt;"",dadosexternosBMF_1!D465,"")</f>
        <v>#REF!</v>
      </c>
      <c r="G462" s="219" t="e">
        <f t="shared" si="55"/>
        <v>#REF!</v>
      </c>
      <c r="H462" s="219" t="e">
        <f t="shared" si="56"/>
        <v>#REF!</v>
      </c>
      <c r="I462" s="219" t="e">
        <f t="shared" si="57"/>
        <v>#REF!</v>
      </c>
      <c r="J462" s="219" t="e">
        <f>IF(I462="","",VLOOKUP(LEFT(C462,1),dadosexternosBMF_1!$L$2:$M$13,2,FALSE))</f>
        <v>#REF!</v>
      </c>
      <c r="K462" s="219" t="e">
        <f t="shared" si="58"/>
        <v>#REF!</v>
      </c>
      <c r="L462" s="422" t="e">
        <f t="shared" si="59"/>
        <v>#REF!</v>
      </c>
      <c r="M462" s="422" t="e">
        <f>IF(I462="","",WORKDAY(L462-1,1,FERIADOS!$A$2:$A$831))</f>
        <v>#REF!</v>
      </c>
      <c r="N462" s="219" t="e">
        <f>IF(I462="","",NETWORKDAYS(Curva!$M$2,M462,FERIADOS!$A$2:$A$831)-1)</f>
        <v>#REF!</v>
      </c>
      <c r="O462" s="423" t="e">
        <f>IF(C462&lt;&gt;"",IF(ISERROR((100000/E462)^(252/N462)-1),Curva!$B$2,((100000/E462)^(252/N462)-1)),"")</f>
        <v>#REF!</v>
      </c>
      <c r="P462" s="219" t="e">
        <f>IF(OR(G462=1,G462=2),dadosexternosBMF_1!B465,"")</f>
        <v>#REF!</v>
      </c>
      <c r="Q462" s="219" t="e">
        <f>IF(OR(G462=1,G462=2),dadosexternosBMF_1!D465,"")</f>
        <v>#REF!</v>
      </c>
    </row>
    <row r="463" spans="1:17" x14ac:dyDescent="0.2">
      <c r="A463" s="222" t="e">
        <f t="shared" si="54"/>
        <v>#REF!</v>
      </c>
      <c r="B463" s="222" t="str">
        <f>IF(dadosexternosBMF_1!A466="DI1 - DI de 1 dia","DI1 - DI de 1 dia","")</f>
        <v/>
      </c>
      <c r="C463" s="222" t="e">
        <f>IF(dadosexternosBMF_1!A466="DOL - Dólar comercial","",IF(C462&lt;&gt;"",dadosexternosBMF_1!B466,IF(dadosexternosBMF_1!A466="DI1 - DI de 1 dia",dadosexternosBMF_1!B466,"")))</f>
        <v>#REF!</v>
      </c>
      <c r="D463" s="222" t="e">
        <f>IF(C463&lt;&gt;"",dadosexternosBMF_1!C466,"")</f>
        <v>#REF!</v>
      </c>
      <c r="E463" s="222" t="e">
        <f>IF(C463&lt;&gt;"",dadosexternosBMF_1!D466,"")</f>
        <v>#REF!</v>
      </c>
      <c r="G463" s="219" t="e">
        <f t="shared" si="55"/>
        <v>#REF!</v>
      </c>
      <c r="H463" s="219" t="e">
        <f t="shared" si="56"/>
        <v>#REF!</v>
      </c>
      <c r="I463" s="219" t="e">
        <f t="shared" si="57"/>
        <v>#REF!</v>
      </c>
      <c r="J463" s="219" t="e">
        <f>IF(I463="","",VLOOKUP(LEFT(C463,1),dadosexternosBMF_1!$L$2:$M$13,2,FALSE))</f>
        <v>#REF!</v>
      </c>
      <c r="K463" s="219" t="e">
        <f t="shared" si="58"/>
        <v>#REF!</v>
      </c>
      <c r="L463" s="422" t="e">
        <f t="shared" si="59"/>
        <v>#REF!</v>
      </c>
      <c r="M463" s="422" t="e">
        <f>IF(I463="","",WORKDAY(L463-1,1,FERIADOS!$A$2:$A$831))</f>
        <v>#REF!</v>
      </c>
      <c r="N463" s="219" t="e">
        <f>IF(I463="","",NETWORKDAYS(Curva!$M$2,M463,FERIADOS!$A$2:$A$831)-1)</f>
        <v>#REF!</v>
      </c>
      <c r="O463" s="423" t="e">
        <f>IF(C463&lt;&gt;"",IF(ISERROR((100000/E463)^(252/N463)-1),Curva!$B$2,((100000/E463)^(252/N463)-1)),"")</f>
        <v>#REF!</v>
      </c>
      <c r="P463" s="219" t="e">
        <f>IF(OR(G463=1,G463=2),dadosexternosBMF_1!B466,"")</f>
        <v>#REF!</v>
      </c>
      <c r="Q463" s="219" t="e">
        <f>IF(OR(G463=1,G463=2),dadosexternosBMF_1!D466,"")</f>
        <v>#REF!</v>
      </c>
    </row>
    <row r="464" spans="1:17" x14ac:dyDescent="0.2">
      <c r="A464" s="222" t="e">
        <f t="shared" si="54"/>
        <v>#REF!</v>
      </c>
      <c r="B464" s="222" t="str">
        <f>IF(dadosexternosBMF_1!A467="DI1 - DI de 1 dia","DI1 - DI de 1 dia","")</f>
        <v/>
      </c>
      <c r="C464" s="222" t="e">
        <f>IF(dadosexternosBMF_1!A467="DOL - Dólar comercial","",IF(C463&lt;&gt;"",dadosexternosBMF_1!B467,IF(dadosexternosBMF_1!A467="DI1 - DI de 1 dia",dadosexternosBMF_1!B467,"")))</f>
        <v>#REF!</v>
      </c>
      <c r="D464" s="222" t="e">
        <f>IF(C464&lt;&gt;"",dadosexternosBMF_1!C467,"")</f>
        <v>#REF!</v>
      </c>
      <c r="E464" s="222" t="e">
        <f>IF(C464&lt;&gt;"",dadosexternosBMF_1!D467,"")</f>
        <v>#REF!</v>
      </c>
      <c r="G464" s="219" t="e">
        <f t="shared" si="55"/>
        <v>#REF!</v>
      </c>
      <c r="H464" s="219" t="e">
        <f t="shared" si="56"/>
        <v>#REF!</v>
      </c>
      <c r="I464" s="219" t="e">
        <f t="shared" si="57"/>
        <v>#REF!</v>
      </c>
      <c r="J464" s="219" t="e">
        <f>IF(I464="","",VLOOKUP(LEFT(C464,1),dadosexternosBMF_1!$L$2:$M$13,2,FALSE))</f>
        <v>#REF!</v>
      </c>
      <c r="K464" s="219" t="e">
        <f t="shared" si="58"/>
        <v>#REF!</v>
      </c>
      <c r="L464" s="422" t="e">
        <f t="shared" si="59"/>
        <v>#REF!</v>
      </c>
      <c r="M464" s="422" t="e">
        <f>IF(I464="","",WORKDAY(L464-1,1,FERIADOS!$A$2:$A$831))</f>
        <v>#REF!</v>
      </c>
      <c r="N464" s="219" t="e">
        <f>IF(I464="","",NETWORKDAYS(Curva!$M$2,M464,FERIADOS!$A$2:$A$831)-1)</f>
        <v>#REF!</v>
      </c>
      <c r="O464" s="423" t="e">
        <f>IF(C464&lt;&gt;"",IF(ISERROR((100000/E464)^(252/N464)-1),Curva!$B$2,((100000/E464)^(252/N464)-1)),"")</f>
        <v>#REF!</v>
      </c>
      <c r="P464" s="219" t="e">
        <f>IF(OR(G464=1,G464=2),dadosexternosBMF_1!B467,"")</f>
        <v>#REF!</v>
      </c>
      <c r="Q464" s="219" t="e">
        <f>IF(OR(G464=1,G464=2),dadosexternosBMF_1!D467,"")</f>
        <v>#REF!</v>
      </c>
    </row>
    <row r="465" spans="1:17" x14ac:dyDescent="0.2">
      <c r="A465" s="222" t="e">
        <f t="shared" si="54"/>
        <v>#REF!</v>
      </c>
      <c r="B465" s="222" t="str">
        <f>IF(dadosexternosBMF_1!A468="DI1 - DI de 1 dia","DI1 - DI de 1 dia","")</f>
        <v/>
      </c>
      <c r="C465" s="222" t="e">
        <f>IF(dadosexternosBMF_1!A468="DOL - Dólar comercial","",IF(C464&lt;&gt;"",dadosexternosBMF_1!B468,IF(dadosexternosBMF_1!A468="DI1 - DI de 1 dia",dadosexternosBMF_1!B468,"")))</f>
        <v>#REF!</v>
      </c>
      <c r="D465" s="222" t="e">
        <f>IF(C465&lt;&gt;"",dadosexternosBMF_1!C468,"")</f>
        <v>#REF!</v>
      </c>
      <c r="E465" s="222" t="e">
        <f>IF(C465&lt;&gt;"",dadosexternosBMF_1!D468,"")</f>
        <v>#REF!</v>
      </c>
      <c r="G465" s="219" t="e">
        <f t="shared" si="55"/>
        <v>#REF!</v>
      </c>
      <c r="H465" s="219" t="e">
        <f t="shared" si="56"/>
        <v>#REF!</v>
      </c>
      <c r="I465" s="219" t="e">
        <f t="shared" si="57"/>
        <v>#REF!</v>
      </c>
      <c r="J465" s="219" t="e">
        <f>IF(I465="","",VLOOKUP(LEFT(C465,1),dadosexternosBMF_1!$L$2:$M$13,2,FALSE))</f>
        <v>#REF!</v>
      </c>
      <c r="K465" s="219" t="e">
        <f t="shared" si="58"/>
        <v>#REF!</v>
      </c>
      <c r="L465" s="422" t="e">
        <f t="shared" si="59"/>
        <v>#REF!</v>
      </c>
      <c r="M465" s="422" t="e">
        <f>IF(I465="","",WORKDAY(L465-1,1,FERIADOS!$A$2:$A$831))</f>
        <v>#REF!</v>
      </c>
      <c r="N465" s="219" t="e">
        <f>IF(I465="","",NETWORKDAYS(Curva!$M$2,M465,FERIADOS!$A$2:$A$831)-1)</f>
        <v>#REF!</v>
      </c>
      <c r="O465" s="423" t="e">
        <f>IF(C465&lt;&gt;"",IF(ISERROR((100000/E465)^(252/N465)-1),Curva!$B$2,((100000/E465)^(252/N465)-1)),"")</f>
        <v>#REF!</v>
      </c>
      <c r="P465" s="219" t="e">
        <f>IF(OR(G465=1,G465=2),dadosexternosBMF_1!B468,"")</f>
        <v>#REF!</v>
      </c>
      <c r="Q465" s="219" t="e">
        <f>IF(OR(G465=1,G465=2),dadosexternosBMF_1!D468,"")</f>
        <v>#REF!</v>
      </c>
    </row>
    <row r="466" spans="1:17" x14ac:dyDescent="0.2">
      <c r="A466" s="222" t="e">
        <f t="shared" si="54"/>
        <v>#REF!</v>
      </c>
      <c r="B466" s="222" t="str">
        <f>IF(dadosexternosBMF_1!A469="DI1 - DI de 1 dia","DI1 - DI de 1 dia","")</f>
        <v/>
      </c>
      <c r="C466" s="222" t="e">
        <f>IF(dadosexternosBMF_1!A469="DOL - Dólar comercial","",IF(C465&lt;&gt;"",dadosexternosBMF_1!B469,IF(dadosexternosBMF_1!A469="DI1 - DI de 1 dia",dadosexternosBMF_1!B469,"")))</f>
        <v>#REF!</v>
      </c>
      <c r="D466" s="222" t="e">
        <f>IF(C466&lt;&gt;"",dadosexternosBMF_1!C469,"")</f>
        <v>#REF!</v>
      </c>
      <c r="E466" s="222" t="e">
        <f>IF(C466&lt;&gt;"",dadosexternosBMF_1!D469,"")</f>
        <v>#REF!</v>
      </c>
      <c r="G466" s="219" t="e">
        <f t="shared" si="55"/>
        <v>#REF!</v>
      </c>
      <c r="H466" s="219" t="e">
        <f t="shared" si="56"/>
        <v>#REF!</v>
      </c>
      <c r="I466" s="219" t="e">
        <f t="shared" si="57"/>
        <v>#REF!</v>
      </c>
      <c r="J466" s="219" t="e">
        <f>IF(I466="","",VLOOKUP(LEFT(C466,1),dadosexternosBMF_1!$L$2:$M$13,2,FALSE))</f>
        <v>#REF!</v>
      </c>
      <c r="K466" s="219" t="e">
        <f t="shared" si="58"/>
        <v>#REF!</v>
      </c>
      <c r="L466" s="422" t="e">
        <f t="shared" si="59"/>
        <v>#REF!</v>
      </c>
      <c r="M466" s="422" t="e">
        <f>IF(I466="","",WORKDAY(L466-1,1,FERIADOS!$A$2:$A$831))</f>
        <v>#REF!</v>
      </c>
      <c r="N466" s="219" t="e">
        <f>IF(I466="","",NETWORKDAYS(Curva!$M$2,M466,FERIADOS!$A$2:$A$831)-1)</f>
        <v>#REF!</v>
      </c>
      <c r="O466" s="423" t="e">
        <f>IF(C466&lt;&gt;"",IF(ISERROR((100000/E466)^(252/N466)-1),Curva!$B$2,((100000/E466)^(252/N466)-1)),"")</f>
        <v>#REF!</v>
      </c>
      <c r="P466" s="219" t="e">
        <f>IF(OR(G466=1,G466=2),dadosexternosBMF_1!B469,"")</f>
        <v>#REF!</v>
      </c>
      <c r="Q466" s="219" t="e">
        <f>IF(OR(G466=1,G466=2),dadosexternosBMF_1!D469,"")</f>
        <v>#REF!</v>
      </c>
    </row>
    <row r="467" spans="1:17" x14ac:dyDescent="0.2">
      <c r="A467" s="222" t="e">
        <f t="shared" si="54"/>
        <v>#REF!</v>
      </c>
      <c r="B467" s="222" t="str">
        <f>IF(dadosexternosBMF_1!A470="DI1 - DI de 1 dia","DI1 - DI de 1 dia","")</f>
        <v/>
      </c>
      <c r="C467" s="222" t="e">
        <f>IF(dadosexternosBMF_1!A470="DOL - Dólar comercial","",IF(C466&lt;&gt;"",dadosexternosBMF_1!B470,IF(dadosexternosBMF_1!A470="DI1 - DI de 1 dia",dadosexternosBMF_1!B470,"")))</f>
        <v>#REF!</v>
      </c>
      <c r="D467" s="222" t="e">
        <f>IF(C467&lt;&gt;"",dadosexternosBMF_1!C470,"")</f>
        <v>#REF!</v>
      </c>
      <c r="E467" s="222" t="e">
        <f>IF(C467&lt;&gt;"",dadosexternosBMF_1!D470,"")</f>
        <v>#REF!</v>
      </c>
      <c r="G467" s="219" t="e">
        <f t="shared" si="55"/>
        <v>#REF!</v>
      </c>
      <c r="H467" s="219" t="e">
        <f t="shared" si="56"/>
        <v>#REF!</v>
      </c>
      <c r="I467" s="219" t="e">
        <f t="shared" si="57"/>
        <v>#REF!</v>
      </c>
      <c r="J467" s="219" t="e">
        <f>IF(I467="","",VLOOKUP(LEFT(C467,1),dadosexternosBMF_1!$L$2:$M$13,2,FALSE))</f>
        <v>#REF!</v>
      </c>
      <c r="K467" s="219" t="e">
        <f t="shared" si="58"/>
        <v>#REF!</v>
      </c>
      <c r="L467" s="422" t="e">
        <f t="shared" si="59"/>
        <v>#REF!</v>
      </c>
      <c r="M467" s="422" t="e">
        <f>IF(I467="","",WORKDAY(L467-1,1,FERIADOS!$A$2:$A$831))</f>
        <v>#REF!</v>
      </c>
      <c r="N467" s="219" t="e">
        <f>IF(I467="","",NETWORKDAYS(Curva!$M$2,M467,FERIADOS!$A$2:$A$831)-1)</f>
        <v>#REF!</v>
      </c>
      <c r="O467" s="423" t="e">
        <f>IF(C467&lt;&gt;"",IF(ISERROR((100000/E467)^(252/N467)-1),Curva!$B$2,((100000/E467)^(252/N467)-1)),"")</f>
        <v>#REF!</v>
      </c>
      <c r="P467" s="219" t="e">
        <f>IF(OR(G467=1,G467=2),dadosexternosBMF_1!B470,"")</f>
        <v>#REF!</v>
      </c>
      <c r="Q467" s="219" t="e">
        <f>IF(OR(G467=1,G467=2),dadosexternosBMF_1!D470,"")</f>
        <v>#REF!</v>
      </c>
    </row>
    <row r="468" spans="1:17" x14ac:dyDescent="0.2">
      <c r="A468" s="222" t="e">
        <f t="shared" si="54"/>
        <v>#REF!</v>
      </c>
      <c r="B468" s="222" t="str">
        <f>IF(dadosexternosBMF_1!A471="DI1 - DI de 1 dia","DI1 - DI de 1 dia","")</f>
        <v/>
      </c>
      <c r="C468" s="222" t="e">
        <f>IF(dadosexternosBMF_1!A471="DOL - Dólar comercial","",IF(C467&lt;&gt;"",dadosexternosBMF_1!B471,IF(dadosexternosBMF_1!A471="DI1 - DI de 1 dia",dadosexternosBMF_1!B471,"")))</f>
        <v>#REF!</v>
      </c>
      <c r="D468" s="222" t="e">
        <f>IF(C468&lt;&gt;"",dadosexternosBMF_1!C471,"")</f>
        <v>#REF!</v>
      </c>
      <c r="E468" s="222" t="e">
        <f>IF(C468&lt;&gt;"",dadosexternosBMF_1!D471,"")</f>
        <v>#REF!</v>
      </c>
      <c r="G468" s="219" t="e">
        <f t="shared" si="55"/>
        <v>#REF!</v>
      </c>
      <c r="H468" s="219" t="e">
        <f t="shared" si="56"/>
        <v>#REF!</v>
      </c>
      <c r="I468" s="219" t="e">
        <f t="shared" si="57"/>
        <v>#REF!</v>
      </c>
      <c r="J468" s="219" t="e">
        <f>IF(I468="","",VLOOKUP(LEFT(C468,1),dadosexternosBMF_1!$L$2:$M$13,2,FALSE))</f>
        <v>#REF!</v>
      </c>
      <c r="K468" s="219" t="e">
        <f t="shared" si="58"/>
        <v>#REF!</v>
      </c>
      <c r="L468" s="422" t="e">
        <f t="shared" si="59"/>
        <v>#REF!</v>
      </c>
      <c r="M468" s="422" t="e">
        <f>IF(I468="","",WORKDAY(L468-1,1,FERIADOS!$A$2:$A$831))</f>
        <v>#REF!</v>
      </c>
      <c r="N468" s="219" t="e">
        <f>IF(I468="","",NETWORKDAYS(Curva!$M$2,M468,FERIADOS!$A$2:$A$831)-1)</f>
        <v>#REF!</v>
      </c>
      <c r="O468" s="423" t="e">
        <f>IF(C468&lt;&gt;"",IF(ISERROR((100000/E468)^(252/N468)-1),Curva!$B$2,((100000/E468)^(252/N468)-1)),"")</f>
        <v>#REF!</v>
      </c>
      <c r="P468" s="219" t="e">
        <f>IF(OR(G468=1,G468=2),dadosexternosBMF_1!B471,"")</f>
        <v>#REF!</v>
      </c>
      <c r="Q468" s="219" t="e">
        <f>IF(OR(G468=1,G468=2),dadosexternosBMF_1!D471,"")</f>
        <v>#REF!</v>
      </c>
    </row>
    <row r="469" spans="1:17" x14ac:dyDescent="0.2">
      <c r="A469" s="222" t="e">
        <f t="shared" si="54"/>
        <v>#REF!</v>
      </c>
      <c r="B469" s="222" t="str">
        <f>IF(dadosexternosBMF_1!A472="DI1 - DI de 1 dia","DI1 - DI de 1 dia","")</f>
        <v/>
      </c>
      <c r="C469" s="222" t="e">
        <f>IF(dadosexternosBMF_1!A472="DOL - Dólar comercial","",IF(C468&lt;&gt;"",dadosexternosBMF_1!B472,IF(dadosexternosBMF_1!A472="DI1 - DI de 1 dia",dadosexternosBMF_1!B472,"")))</f>
        <v>#REF!</v>
      </c>
      <c r="D469" s="222" t="e">
        <f>IF(C469&lt;&gt;"",dadosexternosBMF_1!C472,"")</f>
        <v>#REF!</v>
      </c>
      <c r="E469" s="222" t="e">
        <f>IF(C469&lt;&gt;"",dadosexternosBMF_1!D472,"")</f>
        <v>#REF!</v>
      </c>
      <c r="G469" s="219" t="e">
        <f t="shared" si="55"/>
        <v>#REF!</v>
      </c>
      <c r="H469" s="219" t="e">
        <f t="shared" si="56"/>
        <v>#REF!</v>
      </c>
      <c r="I469" s="219" t="e">
        <f t="shared" si="57"/>
        <v>#REF!</v>
      </c>
      <c r="J469" s="219" t="e">
        <f>IF(I469="","",VLOOKUP(LEFT(C469,1),dadosexternosBMF_1!$L$2:$M$13,2,FALSE))</f>
        <v>#REF!</v>
      </c>
      <c r="K469" s="219" t="e">
        <f t="shared" si="58"/>
        <v>#REF!</v>
      </c>
      <c r="L469" s="422" t="e">
        <f t="shared" si="59"/>
        <v>#REF!</v>
      </c>
      <c r="M469" s="422" t="e">
        <f>IF(I469="","",WORKDAY(L469-1,1,FERIADOS!$A$2:$A$831))</f>
        <v>#REF!</v>
      </c>
      <c r="N469" s="219" t="e">
        <f>IF(I469="","",NETWORKDAYS(Curva!$M$2,M469,FERIADOS!$A$2:$A$831)-1)</f>
        <v>#REF!</v>
      </c>
      <c r="O469" s="423" t="e">
        <f>IF(C469&lt;&gt;"",IF(ISERROR((100000/E469)^(252/N469)-1),Curva!$B$2,((100000/E469)^(252/N469)-1)),"")</f>
        <v>#REF!</v>
      </c>
      <c r="P469" s="219" t="e">
        <f>IF(OR(G469=1,G469=2),dadosexternosBMF_1!B472,"")</f>
        <v>#REF!</v>
      </c>
      <c r="Q469" s="219" t="e">
        <f>IF(OR(G469=1,G469=2),dadosexternosBMF_1!D472,"")</f>
        <v>#REF!</v>
      </c>
    </row>
    <row r="470" spans="1:17" x14ac:dyDescent="0.2">
      <c r="A470" s="222" t="e">
        <f t="shared" si="54"/>
        <v>#REF!</v>
      </c>
      <c r="B470" s="222" t="str">
        <f>IF(dadosexternosBMF_1!A473="DI1 - DI de 1 dia","DI1 - DI de 1 dia","")</f>
        <v/>
      </c>
      <c r="C470" s="222" t="e">
        <f>IF(dadosexternosBMF_1!A473="DOL - Dólar comercial","",IF(C469&lt;&gt;"",dadosexternosBMF_1!B473,IF(dadosexternosBMF_1!A473="DI1 - DI de 1 dia",dadosexternosBMF_1!B473,"")))</f>
        <v>#REF!</v>
      </c>
      <c r="D470" s="222" t="e">
        <f>IF(C470&lt;&gt;"",dadosexternosBMF_1!C473,"")</f>
        <v>#REF!</v>
      </c>
      <c r="E470" s="222" t="e">
        <f>IF(C470&lt;&gt;"",dadosexternosBMF_1!D473,"")</f>
        <v>#REF!</v>
      </c>
      <c r="G470" s="219" t="e">
        <f t="shared" si="55"/>
        <v>#REF!</v>
      </c>
      <c r="H470" s="219" t="e">
        <f t="shared" si="56"/>
        <v>#REF!</v>
      </c>
      <c r="I470" s="219" t="e">
        <f t="shared" si="57"/>
        <v>#REF!</v>
      </c>
      <c r="J470" s="219" t="e">
        <f>IF(I470="","",VLOOKUP(LEFT(C470,1),dadosexternosBMF_1!$L$2:$M$13,2,FALSE))</f>
        <v>#REF!</v>
      </c>
      <c r="K470" s="219" t="e">
        <f t="shared" si="58"/>
        <v>#REF!</v>
      </c>
      <c r="L470" s="422" t="e">
        <f t="shared" si="59"/>
        <v>#REF!</v>
      </c>
      <c r="M470" s="422" t="e">
        <f>IF(I470="","",WORKDAY(L470-1,1,FERIADOS!$A$2:$A$831))</f>
        <v>#REF!</v>
      </c>
      <c r="N470" s="219" t="e">
        <f>IF(I470="","",NETWORKDAYS(Curva!$M$2,M470,FERIADOS!$A$2:$A$831)-1)</f>
        <v>#REF!</v>
      </c>
      <c r="O470" s="423" t="e">
        <f>IF(C470&lt;&gt;"",IF(ISERROR((100000/E470)^(252/N470)-1),Curva!$B$2,((100000/E470)^(252/N470)-1)),"")</f>
        <v>#REF!</v>
      </c>
      <c r="P470" s="219" t="e">
        <f>IF(OR(G470=1,G470=2),dadosexternosBMF_1!B473,"")</f>
        <v>#REF!</v>
      </c>
      <c r="Q470" s="219" t="e">
        <f>IF(OR(G470=1,G470=2),dadosexternosBMF_1!D473,"")</f>
        <v>#REF!</v>
      </c>
    </row>
    <row r="471" spans="1:17" x14ac:dyDescent="0.2">
      <c r="A471" s="222" t="e">
        <f t="shared" si="54"/>
        <v>#REF!</v>
      </c>
      <c r="B471" s="222" t="str">
        <f>IF(dadosexternosBMF_1!A474="DI1 - DI de 1 dia","DI1 - DI de 1 dia","")</f>
        <v/>
      </c>
      <c r="C471" s="222" t="e">
        <f>IF(dadosexternosBMF_1!A474="DOL - Dólar comercial","",IF(C470&lt;&gt;"",dadosexternosBMF_1!B474,IF(dadosexternosBMF_1!A474="DI1 - DI de 1 dia",dadosexternosBMF_1!B474,"")))</f>
        <v>#REF!</v>
      </c>
      <c r="D471" s="222" t="e">
        <f>IF(C471&lt;&gt;"",dadosexternosBMF_1!C474,"")</f>
        <v>#REF!</v>
      </c>
      <c r="E471" s="222" t="e">
        <f>IF(C471&lt;&gt;"",dadosexternosBMF_1!D474,"")</f>
        <v>#REF!</v>
      </c>
      <c r="G471" s="219" t="e">
        <f t="shared" si="55"/>
        <v>#REF!</v>
      </c>
      <c r="H471" s="219" t="e">
        <f t="shared" si="56"/>
        <v>#REF!</v>
      </c>
      <c r="I471" s="219" t="e">
        <f t="shared" si="57"/>
        <v>#REF!</v>
      </c>
      <c r="J471" s="219" t="e">
        <f>IF(I471="","",VLOOKUP(LEFT(C471,1),dadosexternosBMF_1!$L$2:$M$13,2,FALSE))</f>
        <v>#REF!</v>
      </c>
      <c r="K471" s="219" t="e">
        <f t="shared" si="58"/>
        <v>#REF!</v>
      </c>
      <c r="L471" s="422" t="e">
        <f t="shared" si="59"/>
        <v>#REF!</v>
      </c>
      <c r="M471" s="422" t="e">
        <f>IF(I471="","",WORKDAY(L471-1,1,FERIADOS!$A$2:$A$831))</f>
        <v>#REF!</v>
      </c>
      <c r="N471" s="219" t="e">
        <f>IF(I471="","",NETWORKDAYS(Curva!$M$2,M471,FERIADOS!$A$2:$A$831)-1)</f>
        <v>#REF!</v>
      </c>
      <c r="O471" s="423" t="e">
        <f>IF(C471&lt;&gt;"",IF(ISERROR((100000/E471)^(252/N471)-1),Curva!$B$2,((100000/E471)^(252/N471)-1)),"")</f>
        <v>#REF!</v>
      </c>
      <c r="P471" s="219" t="e">
        <f>IF(OR(G471=1,G471=2),dadosexternosBMF_1!B474,"")</f>
        <v>#REF!</v>
      </c>
      <c r="Q471" s="219" t="e">
        <f>IF(OR(G471=1,G471=2),dadosexternosBMF_1!D474,"")</f>
        <v>#REF!</v>
      </c>
    </row>
    <row r="472" spans="1:17" x14ac:dyDescent="0.2">
      <c r="A472" s="222" t="e">
        <f t="shared" si="54"/>
        <v>#REF!</v>
      </c>
      <c r="B472" s="222" t="str">
        <f>IF(dadosexternosBMF_1!A475="DI1 - DI de 1 dia","DI1 - DI de 1 dia","")</f>
        <v/>
      </c>
      <c r="C472" s="222" t="e">
        <f>IF(dadosexternosBMF_1!A475="DOL - Dólar comercial","",IF(C471&lt;&gt;"",dadosexternosBMF_1!B475,IF(dadosexternosBMF_1!A475="DI1 - DI de 1 dia",dadosexternosBMF_1!B475,"")))</f>
        <v>#REF!</v>
      </c>
      <c r="D472" s="222" t="e">
        <f>IF(C472&lt;&gt;"",dadosexternosBMF_1!C475,"")</f>
        <v>#REF!</v>
      </c>
      <c r="E472" s="222" t="e">
        <f>IF(C472&lt;&gt;"",dadosexternosBMF_1!D475,"")</f>
        <v>#REF!</v>
      </c>
      <c r="G472" s="219" t="e">
        <f t="shared" si="55"/>
        <v>#REF!</v>
      </c>
      <c r="H472" s="219" t="e">
        <f t="shared" si="56"/>
        <v>#REF!</v>
      </c>
      <c r="I472" s="219" t="e">
        <f t="shared" si="57"/>
        <v>#REF!</v>
      </c>
      <c r="J472" s="219" t="e">
        <f>IF(I472="","",VLOOKUP(LEFT(C472,1),dadosexternosBMF_1!$L$2:$M$13,2,FALSE))</f>
        <v>#REF!</v>
      </c>
      <c r="K472" s="219" t="e">
        <f t="shared" si="58"/>
        <v>#REF!</v>
      </c>
      <c r="L472" s="422" t="e">
        <f t="shared" si="59"/>
        <v>#REF!</v>
      </c>
      <c r="M472" s="422" t="e">
        <f>IF(I472="","",WORKDAY(L472-1,1,FERIADOS!$A$2:$A$831))</f>
        <v>#REF!</v>
      </c>
      <c r="N472" s="219" t="e">
        <f>IF(I472="","",NETWORKDAYS(Curva!$M$2,M472,FERIADOS!$A$2:$A$831)-1)</f>
        <v>#REF!</v>
      </c>
      <c r="O472" s="423" t="e">
        <f>IF(C472&lt;&gt;"",IF(ISERROR((100000/E472)^(252/N472)-1),Curva!$B$2,((100000/E472)^(252/N472)-1)),"")</f>
        <v>#REF!</v>
      </c>
      <c r="P472" s="219" t="e">
        <f>IF(OR(G472=1,G472=2),dadosexternosBMF_1!B475,"")</f>
        <v>#REF!</v>
      </c>
      <c r="Q472" s="219" t="e">
        <f>IF(OR(G472=1,G472=2),dadosexternosBMF_1!D475,"")</f>
        <v>#REF!</v>
      </c>
    </row>
    <row r="473" spans="1:17" x14ac:dyDescent="0.2">
      <c r="A473" s="222" t="e">
        <f t="shared" si="54"/>
        <v>#REF!</v>
      </c>
      <c r="B473" s="222" t="str">
        <f>IF(dadosexternosBMF_1!A476="DI1 - DI de 1 dia","DI1 - DI de 1 dia","")</f>
        <v/>
      </c>
      <c r="C473" s="222" t="e">
        <f>IF(dadosexternosBMF_1!A476="DOL - Dólar comercial","",IF(C472&lt;&gt;"",dadosexternosBMF_1!B476,IF(dadosexternosBMF_1!A476="DI1 - DI de 1 dia",dadosexternosBMF_1!B476,"")))</f>
        <v>#REF!</v>
      </c>
      <c r="D473" s="222" t="e">
        <f>IF(C473&lt;&gt;"",dadosexternosBMF_1!C476,"")</f>
        <v>#REF!</v>
      </c>
      <c r="E473" s="222" t="e">
        <f>IF(C473&lt;&gt;"",dadosexternosBMF_1!D476,"")</f>
        <v>#REF!</v>
      </c>
      <c r="G473" s="219" t="e">
        <f t="shared" si="55"/>
        <v>#REF!</v>
      </c>
      <c r="H473" s="219" t="e">
        <f t="shared" si="56"/>
        <v>#REF!</v>
      </c>
      <c r="I473" s="219" t="e">
        <f t="shared" si="57"/>
        <v>#REF!</v>
      </c>
      <c r="J473" s="219" t="e">
        <f>IF(I473="","",VLOOKUP(LEFT(C473,1),dadosexternosBMF_1!$L$2:$M$13,2,FALSE))</f>
        <v>#REF!</v>
      </c>
      <c r="K473" s="219" t="e">
        <f t="shared" si="58"/>
        <v>#REF!</v>
      </c>
      <c r="L473" s="422" t="e">
        <f t="shared" si="59"/>
        <v>#REF!</v>
      </c>
      <c r="M473" s="422" t="e">
        <f>IF(I473="","",WORKDAY(L473-1,1,FERIADOS!$A$2:$A$831))</f>
        <v>#REF!</v>
      </c>
      <c r="N473" s="219" t="e">
        <f>IF(I473="","",NETWORKDAYS(Curva!$M$2,M473,FERIADOS!$A$2:$A$831)-1)</f>
        <v>#REF!</v>
      </c>
      <c r="O473" s="423" t="e">
        <f>IF(C473&lt;&gt;"",IF(ISERROR((100000/E473)^(252/N473)-1),Curva!$B$2,((100000/E473)^(252/N473)-1)),"")</f>
        <v>#REF!</v>
      </c>
      <c r="P473" s="219" t="e">
        <f>IF(OR(G473=1,G473=2),dadosexternosBMF_1!B476,"")</f>
        <v>#REF!</v>
      </c>
      <c r="Q473" s="219" t="e">
        <f>IF(OR(G473=1,G473=2),dadosexternosBMF_1!D476,"")</f>
        <v>#REF!</v>
      </c>
    </row>
    <row r="474" spans="1:17" x14ac:dyDescent="0.2">
      <c r="A474" s="222" t="e">
        <f t="shared" si="54"/>
        <v>#REF!</v>
      </c>
      <c r="B474" s="222" t="str">
        <f>IF(dadosexternosBMF_1!A477="DI1 - DI de 1 dia","DI1 - DI de 1 dia","")</f>
        <v/>
      </c>
      <c r="C474" s="222" t="e">
        <f>IF(dadosexternosBMF_1!A477="DOL - Dólar comercial","",IF(C473&lt;&gt;"",dadosexternosBMF_1!B477,IF(dadosexternosBMF_1!A477="DI1 - DI de 1 dia",dadosexternosBMF_1!B477,"")))</f>
        <v>#REF!</v>
      </c>
      <c r="D474" s="222" t="e">
        <f>IF(C474&lt;&gt;"",dadosexternosBMF_1!C477,"")</f>
        <v>#REF!</v>
      </c>
      <c r="E474" s="222" t="e">
        <f>IF(C474&lt;&gt;"",dadosexternosBMF_1!D477,"")</f>
        <v>#REF!</v>
      </c>
      <c r="G474" s="219" t="e">
        <f t="shared" si="55"/>
        <v>#REF!</v>
      </c>
      <c r="H474" s="219" t="e">
        <f t="shared" si="56"/>
        <v>#REF!</v>
      </c>
      <c r="I474" s="219" t="e">
        <f t="shared" si="57"/>
        <v>#REF!</v>
      </c>
      <c r="J474" s="219" t="e">
        <f>IF(I474="","",VLOOKUP(LEFT(C474,1),dadosexternosBMF_1!$L$2:$M$13,2,FALSE))</f>
        <v>#REF!</v>
      </c>
      <c r="K474" s="219" t="e">
        <f t="shared" si="58"/>
        <v>#REF!</v>
      </c>
      <c r="L474" s="422" t="e">
        <f t="shared" si="59"/>
        <v>#REF!</v>
      </c>
      <c r="M474" s="422" t="e">
        <f>IF(I474="","",WORKDAY(L474-1,1,FERIADOS!$A$2:$A$831))</f>
        <v>#REF!</v>
      </c>
      <c r="N474" s="219" t="e">
        <f>IF(I474="","",NETWORKDAYS(Curva!$M$2,M474,FERIADOS!$A$2:$A$831)-1)</f>
        <v>#REF!</v>
      </c>
      <c r="O474" s="423" t="e">
        <f>IF(C474&lt;&gt;"",IF(ISERROR((100000/E474)^(252/N474)-1),Curva!$B$2,((100000/E474)^(252/N474)-1)),"")</f>
        <v>#REF!</v>
      </c>
      <c r="P474" s="219" t="e">
        <f>IF(OR(G474=1,G474=2),dadosexternosBMF_1!B477,"")</f>
        <v>#REF!</v>
      </c>
      <c r="Q474" s="219" t="e">
        <f>IF(OR(G474=1,G474=2),dadosexternosBMF_1!D477,"")</f>
        <v>#REF!</v>
      </c>
    </row>
    <row r="475" spans="1:17" x14ac:dyDescent="0.2">
      <c r="A475" s="222" t="e">
        <f t="shared" ref="A475:A538" si="60">IF(AND(A474&lt;&gt;"",C475&lt;&gt;""),A474+1,IF(B475="DI1 - DI de 1 dia",1,""))</f>
        <v>#REF!</v>
      </c>
      <c r="B475" s="222" t="str">
        <f>IF(dadosexternosBMF_1!A478="DI1 - DI de 1 dia","DI1 - DI de 1 dia","")</f>
        <v/>
      </c>
      <c r="C475" s="222" t="e">
        <f>IF(dadosexternosBMF_1!A478="DOL - Dólar comercial","",IF(C474&lt;&gt;"",dadosexternosBMF_1!B478,IF(dadosexternosBMF_1!A478="DI1 - DI de 1 dia",dadosexternosBMF_1!B478,"")))</f>
        <v>#REF!</v>
      </c>
      <c r="D475" s="222" t="e">
        <f>IF(C475&lt;&gt;"",dadosexternosBMF_1!C478,"")</f>
        <v>#REF!</v>
      </c>
      <c r="E475" s="222" t="e">
        <f>IF(C475&lt;&gt;"",dadosexternosBMF_1!D478,"")</f>
        <v>#REF!</v>
      </c>
      <c r="G475" s="219" t="e">
        <f t="shared" ref="G475:G538" si="61">IF(G474=1,2,IF(AND(H475="",H474&lt;&gt;""),1,""))</f>
        <v>#REF!</v>
      </c>
      <c r="H475" s="219" t="e">
        <f t="shared" ref="H475:H538" si="62">IF(A475&lt;&gt;"",A475,"")</f>
        <v>#REF!</v>
      </c>
      <c r="I475" s="219" t="e">
        <f t="shared" ref="I475:I538" si="63">IF(A475&lt;&gt;"",(CONCATENATE("DI1",C475)),"")</f>
        <v>#REF!</v>
      </c>
      <c r="J475" s="219" t="e">
        <f>IF(I475="","",VLOOKUP(LEFT(C475,1),dadosexternosBMF_1!$L$2:$M$13,2,FALSE))</f>
        <v>#REF!</v>
      </c>
      <c r="K475" s="219" t="e">
        <f t="shared" ref="K475:K538" si="64">IF(I475="","",1+CONCATENATE(20,RIGHT(C475,2))-1)</f>
        <v>#REF!</v>
      </c>
      <c r="L475" s="422" t="e">
        <f t="shared" ref="L475:L538" si="65">IF(I475="","",CONCATENATE(1,"/",J475,"/",K475)+1-1)</f>
        <v>#REF!</v>
      </c>
      <c r="M475" s="422" t="e">
        <f>IF(I475="","",WORKDAY(L475-1,1,FERIADOS!$A$2:$A$831))</f>
        <v>#REF!</v>
      </c>
      <c r="N475" s="219" t="e">
        <f>IF(I475="","",NETWORKDAYS(Curva!$M$2,M475,FERIADOS!$A$2:$A$831)-1)</f>
        <v>#REF!</v>
      </c>
      <c r="O475" s="423" t="e">
        <f>IF(C475&lt;&gt;"",IF(ISERROR((100000/E475)^(252/N475)-1),Curva!$B$2,((100000/E475)^(252/N475)-1)),"")</f>
        <v>#REF!</v>
      </c>
      <c r="P475" s="219" t="e">
        <f>IF(OR(G475=1,G475=2),dadosexternosBMF_1!B478,"")</f>
        <v>#REF!</v>
      </c>
      <c r="Q475" s="219" t="e">
        <f>IF(OR(G475=1,G475=2),dadosexternosBMF_1!D478,"")</f>
        <v>#REF!</v>
      </c>
    </row>
    <row r="476" spans="1:17" x14ac:dyDescent="0.2">
      <c r="A476" s="222" t="e">
        <f t="shared" si="60"/>
        <v>#REF!</v>
      </c>
      <c r="B476" s="222" t="str">
        <f>IF(dadosexternosBMF_1!A479="DI1 - DI de 1 dia","DI1 - DI de 1 dia","")</f>
        <v/>
      </c>
      <c r="C476" s="222" t="e">
        <f>IF(dadosexternosBMF_1!A479="DOL - Dólar comercial","",IF(C475&lt;&gt;"",dadosexternosBMF_1!B479,IF(dadosexternosBMF_1!A479="DI1 - DI de 1 dia",dadosexternosBMF_1!B479,"")))</f>
        <v>#REF!</v>
      </c>
      <c r="D476" s="222" t="e">
        <f>IF(C476&lt;&gt;"",dadosexternosBMF_1!C479,"")</f>
        <v>#REF!</v>
      </c>
      <c r="E476" s="222" t="e">
        <f>IF(C476&lt;&gt;"",dadosexternosBMF_1!D479,"")</f>
        <v>#REF!</v>
      </c>
      <c r="G476" s="219" t="e">
        <f t="shared" si="61"/>
        <v>#REF!</v>
      </c>
      <c r="H476" s="219" t="e">
        <f t="shared" si="62"/>
        <v>#REF!</v>
      </c>
      <c r="I476" s="219" t="e">
        <f t="shared" si="63"/>
        <v>#REF!</v>
      </c>
      <c r="J476" s="219" t="e">
        <f>IF(I476="","",VLOOKUP(LEFT(C476,1),dadosexternosBMF_1!$L$2:$M$13,2,FALSE))</f>
        <v>#REF!</v>
      </c>
      <c r="K476" s="219" t="e">
        <f t="shared" si="64"/>
        <v>#REF!</v>
      </c>
      <c r="L476" s="422" t="e">
        <f t="shared" si="65"/>
        <v>#REF!</v>
      </c>
      <c r="M476" s="422" t="e">
        <f>IF(I476="","",WORKDAY(L476-1,1,FERIADOS!$A$2:$A$831))</f>
        <v>#REF!</v>
      </c>
      <c r="N476" s="219" t="e">
        <f>IF(I476="","",NETWORKDAYS(Curva!$M$2,M476,FERIADOS!$A$2:$A$831)-1)</f>
        <v>#REF!</v>
      </c>
      <c r="O476" s="423" t="e">
        <f>IF(C476&lt;&gt;"",IF(ISERROR((100000/E476)^(252/N476)-1),Curva!$B$2,((100000/E476)^(252/N476)-1)),"")</f>
        <v>#REF!</v>
      </c>
      <c r="P476" s="219" t="e">
        <f>IF(OR(G476=1,G476=2),dadosexternosBMF_1!B479,"")</f>
        <v>#REF!</v>
      </c>
      <c r="Q476" s="219" t="e">
        <f>IF(OR(G476=1,G476=2),dadosexternosBMF_1!D479,"")</f>
        <v>#REF!</v>
      </c>
    </row>
    <row r="477" spans="1:17" x14ac:dyDescent="0.2">
      <c r="A477" s="222" t="e">
        <f t="shared" si="60"/>
        <v>#REF!</v>
      </c>
      <c r="B477" s="222" t="str">
        <f>IF(dadosexternosBMF_1!A480="DI1 - DI de 1 dia","DI1 - DI de 1 dia","")</f>
        <v/>
      </c>
      <c r="C477" s="222" t="e">
        <f>IF(dadosexternosBMF_1!A480="DOL - Dólar comercial","",IF(C476&lt;&gt;"",dadosexternosBMF_1!B480,IF(dadosexternosBMF_1!A480="DI1 - DI de 1 dia",dadosexternosBMF_1!B480,"")))</f>
        <v>#REF!</v>
      </c>
      <c r="D477" s="222" t="e">
        <f>IF(C477&lt;&gt;"",dadosexternosBMF_1!C480,"")</f>
        <v>#REF!</v>
      </c>
      <c r="E477" s="222" t="e">
        <f>IF(C477&lt;&gt;"",dadosexternosBMF_1!D480,"")</f>
        <v>#REF!</v>
      </c>
      <c r="G477" s="219" t="e">
        <f t="shared" si="61"/>
        <v>#REF!</v>
      </c>
      <c r="H477" s="219" t="e">
        <f t="shared" si="62"/>
        <v>#REF!</v>
      </c>
      <c r="I477" s="219" t="e">
        <f t="shared" si="63"/>
        <v>#REF!</v>
      </c>
      <c r="J477" s="219" t="e">
        <f>IF(I477="","",VLOOKUP(LEFT(C477,1),dadosexternosBMF_1!$L$2:$M$13,2,FALSE))</f>
        <v>#REF!</v>
      </c>
      <c r="K477" s="219" t="e">
        <f t="shared" si="64"/>
        <v>#REF!</v>
      </c>
      <c r="L477" s="422" t="e">
        <f t="shared" si="65"/>
        <v>#REF!</v>
      </c>
      <c r="M477" s="422" t="e">
        <f>IF(I477="","",WORKDAY(L477-1,1,FERIADOS!$A$2:$A$831))</f>
        <v>#REF!</v>
      </c>
      <c r="N477" s="219" t="e">
        <f>IF(I477="","",NETWORKDAYS(Curva!$M$2,M477,FERIADOS!$A$2:$A$831)-1)</f>
        <v>#REF!</v>
      </c>
      <c r="O477" s="423" t="e">
        <f>IF(C477&lt;&gt;"",IF(ISERROR((100000/E477)^(252/N477)-1),Curva!$B$2,((100000/E477)^(252/N477)-1)),"")</f>
        <v>#REF!</v>
      </c>
      <c r="P477" s="219" t="e">
        <f>IF(OR(G477=1,G477=2),dadosexternosBMF_1!B480,"")</f>
        <v>#REF!</v>
      </c>
      <c r="Q477" s="219" t="e">
        <f>IF(OR(G477=1,G477=2),dadosexternosBMF_1!D480,"")</f>
        <v>#REF!</v>
      </c>
    </row>
    <row r="478" spans="1:17" x14ac:dyDescent="0.2">
      <c r="A478" s="222" t="e">
        <f t="shared" si="60"/>
        <v>#REF!</v>
      </c>
      <c r="B478" s="222" t="str">
        <f>IF(dadosexternosBMF_1!A481="DI1 - DI de 1 dia","DI1 - DI de 1 dia","")</f>
        <v/>
      </c>
      <c r="C478" s="222" t="e">
        <f>IF(dadosexternosBMF_1!A481="DOL - Dólar comercial","",IF(C477&lt;&gt;"",dadosexternosBMF_1!B481,IF(dadosexternosBMF_1!A481="DI1 - DI de 1 dia",dadosexternosBMF_1!B481,"")))</f>
        <v>#REF!</v>
      </c>
      <c r="D478" s="222" t="e">
        <f>IF(C478&lt;&gt;"",dadosexternosBMF_1!C481,"")</f>
        <v>#REF!</v>
      </c>
      <c r="E478" s="222" t="e">
        <f>IF(C478&lt;&gt;"",dadosexternosBMF_1!D481,"")</f>
        <v>#REF!</v>
      </c>
      <c r="G478" s="219" t="e">
        <f t="shared" si="61"/>
        <v>#REF!</v>
      </c>
      <c r="H478" s="219" t="e">
        <f t="shared" si="62"/>
        <v>#REF!</v>
      </c>
      <c r="I478" s="219" t="e">
        <f t="shared" si="63"/>
        <v>#REF!</v>
      </c>
      <c r="J478" s="219" t="e">
        <f>IF(I478="","",VLOOKUP(LEFT(C478,1),dadosexternosBMF_1!$L$2:$M$13,2,FALSE))</f>
        <v>#REF!</v>
      </c>
      <c r="K478" s="219" t="e">
        <f t="shared" si="64"/>
        <v>#REF!</v>
      </c>
      <c r="L478" s="422" t="e">
        <f t="shared" si="65"/>
        <v>#REF!</v>
      </c>
      <c r="M478" s="422" t="e">
        <f>IF(I478="","",WORKDAY(L478-1,1,FERIADOS!$A$2:$A$831))</f>
        <v>#REF!</v>
      </c>
      <c r="N478" s="219" t="e">
        <f>IF(I478="","",NETWORKDAYS(Curva!$M$2,M478,FERIADOS!$A$2:$A$831)-1)</f>
        <v>#REF!</v>
      </c>
      <c r="O478" s="423" t="e">
        <f>IF(C478&lt;&gt;"",IF(ISERROR((100000/E478)^(252/N478)-1),Curva!$B$2,((100000/E478)^(252/N478)-1)),"")</f>
        <v>#REF!</v>
      </c>
      <c r="P478" s="219" t="e">
        <f>IF(OR(G478=1,G478=2),dadosexternosBMF_1!B481,"")</f>
        <v>#REF!</v>
      </c>
      <c r="Q478" s="219" t="e">
        <f>IF(OR(G478=1,G478=2),dadosexternosBMF_1!D481,"")</f>
        <v>#REF!</v>
      </c>
    </row>
    <row r="479" spans="1:17" x14ac:dyDescent="0.2">
      <c r="A479" s="222" t="e">
        <f t="shared" si="60"/>
        <v>#REF!</v>
      </c>
      <c r="B479" s="222" t="str">
        <f>IF(dadosexternosBMF_1!A482="DI1 - DI de 1 dia","DI1 - DI de 1 dia","")</f>
        <v/>
      </c>
      <c r="C479" s="222" t="e">
        <f>IF(dadosexternosBMF_1!A482="DOL - Dólar comercial","",IF(C478&lt;&gt;"",dadosexternosBMF_1!B482,IF(dadosexternosBMF_1!A482="DI1 - DI de 1 dia",dadosexternosBMF_1!B482,"")))</f>
        <v>#REF!</v>
      </c>
      <c r="D479" s="222" t="e">
        <f>IF(C479&lt;&gt;"",dadosexternosBMF_1!C482,"")</f>
        <v>#REF!</v>
      </c>
      <c r="E479" s="222" t="e">
        <f>IF(C479&lt;&gt;"",dadosexternosBMF_1!D482,"")</f>
        <v>#REF!</v>
      </c>
      <c r="G479" s="219" t="e">
        <f t="shared" si="61"/>
        <v>#REF!</v>
      </c>
      <c r="H479" s="219" t="e">
        <f t="shared" si="62"/>
        <v>#REF!</v>
      </c>
      <c r="I479" s="219" t="e">
        <f t="shared" si="63"/>
        <v>#REF!</v>
      </c>
      <c r="J479" s="219" t="e">
        <f>IF(I479="","",VLOOKUP(LEFT(C479,1),dadosexternosBMF_1!$L$2:$M$13,2,FALSE))</f>
        <v>#REF!</v>
      </c>
      <c r="K479" s="219" t="e">
        <f t="shared" si="64"/>
        <v>#REF!</v>
      </c>
      <c r="L479" s="422" t="e">
        <f t="shared" si="65"/>
        <v>#REF!</v>
      </c>
      <c r="M479" s="422" t="e">
        <f>IF(I479="","",WORKDAY(L479-1,1,FERIADOS!$A$2:$A$831))</f>
        <v>#REF!</v>
      </c>
      <c r="N479" s="219" t="e">
        <f>IF(I479="","",NETWORKDAYS(Curva!$M$2,M479,FERIADOS!$A$2:$A$831)-1)</f>
        <v>#REF!</v>
      </c>
      <c r="O479" s="423" t="e">
        <f>IF(C479&lt;&gt;"",IF(ISERROR((100000/E479)^(252/N479)-1),Curva!$B$2,((100000/E479)^(252/N479)-1)),"")</f>
        <v>#REF!</v>
      </c>
      <c r="P479" s="219" t="e">
        <f>IF(OR(G479=1,G479=2),dadosexternosBMF_1!B482,"")</f>
        <v>#REF!</v>
      </c>
      <c r="Q479" s="219" t="e">
        <f>IF(OR(G479=1,G479=2),dadosexternosBMF_1!D482,"")</f>
        <v>#REF!</v>
      </c>
    </row>
    <row r="480" spans="1:17" x14ac:dyDescent="0.2">
      <c r="A480" s="222" t="e">
        <f t="shared" si="60"/>
        <v>#REF!</v>
      </c>
      <c r="B480" s="222" t="str">
        <f>IF(dadosexternosBMF_1!A483="DI1 - DI de 1 dia","DI1 - DI de 1 dia","")</f>
        <v/>
      </c>
      <c r="C480" s="222" t="e">
        <f>IF(dadosexternosBMF_1!A483="DOL - Dólar comercial","",IF(C479&lt;&gt;"",dadosexternosBMF_1!B483,IF(dadosexternosBMF_1!A483="DI1 - DI de 1 dia",dadosexternosBMF_1!B483,"")))</f>
        <v>#REF!</v>
      </c>
      <c r="D480" s="222" t="e">
        <f>IF(C480&lt;&gt;"",dadosexternosBMF_1!C483,"")</f>
        <v>#REF!</v>
      </c>
      <c r="E480" s="222" t="e">
        <f>IF(C480&lt;&gt;"",dadosexternosBMF_1!D483,"")</f>
        <v>#REF!</v>
      </c>
      <c r="G480" s="219" t="e">
        <f t="shared" si="61"/>
        <v>#REF!</v>
      </c>
      <c r="H480" s="219" t="e">
        <f t="shared" si="62"/>
        <v>#REF!</v>
      </c>
      <c r="I480" s="219" t="e">
        <f t="shared" si="63"/>
        <v>#REF!</v>
      </c>
      <c r="J480" s="219" t="e">
        <f>IF(I480="","",VLOOKUP(LEFT(C480,1),dadosexternosBMF_1!$L$2:$M$13,2,FALSE))</f>
        <v>#REF!</v>
      </c>
      <c r="K480" s="219" t="e">
        <f t="shared" si="64"/>
        <v>#REF!</v>
      </c>
      <c r="L480" s="422" t="e">
        <f t="shared" si="65"/>
        <v>#REF!</v>
      </c>
      <c r="M480" s="422" t="e">
        <f>IF(I480="","",WORKDAY(L480-1,1,FERIADOS!$A$2:$A$831))</f>
        <v>#REF!</v>
      </c>
      <c r="N480" s="219" t="e">
        <f>IF(I480="","",NETWORKDAYS(Curva!$M$2,M480,FERIADOS!$A$2:$A$831)-1)</f>
        <v>#REF!</v>
      </c>
      <c r="O480" s="423" t="e">
        <f>IF(C480&lt;&gt;"",IF(ISERROR((100000/E480)^(252/N480)-1),Curva!$B$2,((100000/E480)^(252/N480)-1)),"")</f>
        <v>#REF!</v>
      </c>
      <c r="P480" s="219" t="e">
        <f>IF(OR(G480=1,G480=2),dadosexternosBMF_1!B483,"")</f>
        <v>#REF!</v>
      </c>
      <c r="Q480" s="219" t="e">
        <f>IF(OR(G480=1,G480=2),dadosexternosBMF_1!D483,"")</f>
        <v>#REF!</v>
      </c>
    </row>
    <row r="481" spans="1:17" x14ac:dyDescent="0.2">
      <c r="A481" s="222" t="e">
        <f t="shared" si="60"/>
        <v>#REF!</v>
      </c>
      <c r="B481" s="222" t="str">
        <f>IF(dadosexternosBMF_1!A484="DI1 - DI de 1 dia","DI1 - DI de 1 dia","")</f>
        <v/>
      </c>
      <c r="C481" s="222" t="e">
        <f>IF(dadosexternosBMF_1!A484="DOL - Dólar comercial","",IF(C480&lt;&gt;"",dadosexternosBMF_1!B484,IF(dadosexternosBMF_1!A484="DI1 - DI de 1 dia",dadosexternosBMF_1!B484,"")))</f>
        <v>#REF!</v>
      </c>
      <c r="D481" s="222" t="e">
        <f>IF(C481&lt;&gt;"",dadosexternosBMF_1!C484,"")</f>
        <v>#REF!</v>
      </c>
      <c r="E481" s="222" t="e">
        <f>IF(C481&lt;&gt;"",dadosexternosBMF_1!D484,"")</f>
        <v>#REF!</v>
      </c>
      <c r="G481" s="219" t="e">
        <f t="shared" si="61"/>
        <v>#REF!</v>
      </c>
      <c r="H481" s="219" t="e">
        <f t="shared" si="62"/>
        <v>#REF!</v>
      </c>
      <c r="I481" s="219" t="e">
        <f t="shared" si="63"/>
        <v>#REF!</v>
      </c>
      <c r="J481" s="219" t="e">
        <f>IF(I481="","",VLOOKUP(LEFT(C481,1),dadosexternosBMF_1!$L$2:$M$13,2,FALSE))</f>
        <v>#REF!</v>
      </c>
      <c r="K481" s="219" t="e">
        <f t="shared" si="64"/>
        <v>#REF!</v>
      </c>
      <c r="L481" s="422" t="e">
        <f t="shared" si="65"/>
        <v>#REF!</v>
      </c>
      <c r="M481" s="422" t="e">
        <f>IF(I481="","",WORKDAY(L481-1,1,FERIADOS!$A$2:$A$831))</f>
        <v>#REF!</v>
      </c>
      <c r="N481" s="219" t="e">
        <f>IF(I481="","",NETWORKDAYS(Curva!$M$2,M481,FERIADOS!$A$2:$A$831)-1)</f>
        <v>#REF!</v>
      </c>
      <c r="O481" s="423" t="e">
        <f>IF(C481&lt;&gt;"",IF(ISERROR((100000/E481)^(252/N481)-1),Curva!$B$2,((100000/E481)^(252/N481)-1)),"")</f>
        <v>#REF!</v>
      </c>
      <c r="P481" s="219" t="e">
        <f>IF(OR(G481=1,G481=2),dadosexternosBMF_1!B484,"")</f>
        <v>#REF!</v>
      </c>
      <c r="Q481" s="219" t="e">
        <f>IF(OR(G481=1,G481=2),dadosexternosBMF_1!D484,"")</f>
        <v>#REF!</v>
      </c>
    </row>
    <row r="482" spans="1:17" x14ac:dyDescent="0.2">
      <c r="A482" s="222" t="e">
        <f t="shared" si="60"/>
        <v>#REF!</v>
      </c>
      <c r="B482" s="222" t="str">
        <f>IF(dadosexternosBMF_1!A485="DI1 - DI de 1 dia","DI1 - DI de 1 dia","")</f>
        <v/>
      </c>
      <c r="C482" s="222" t="e">
        <f>IF(dadosexternosBMF_1!A485="DOL - Dólar comercial","",IF(C481&lt;&gt;"",dadosexternosBMF_1!B485,IF(dadosexternosBMF_1!A485="DI1 - DI de 1 dia",dadosexternosBMF_1!B485,"")))</f>
        <v>#REF!</v>
      </c>
      <c r="D482" s="222" t="e">
        <f>IF(C482&lt;&gt;"",dadosexternosBMF_1!C485,"")</f>
        <v>#REF!</v>
      </c>
      <c r="E482" s="222" t="e">
        <f>IF(C482&lt;&gt;"",dadosexternosBMF_1!D485,"")</f>
        <v>#REF!</v>
      </c>
      <c r="G482" s="219" t="e">
        <f t="shared" si="61"/>
        <v>#REF!</v>
      </c>
      <c r="H482" s="219" t="e">
        <f t="shared" si="62"/>
        <v>#REF!</v>
      </c>
      <c r="I482" s="219" t="e">
        <f t="shared" si="63"/>
        <v>#REF!</v>
      </c>
      <c r="J482" s="219" t="e">
        <f>IF(I482="","",VLOOKUP(LEFT(C482,1),dadosexternosBMF_1!$L$2:$M$13,2,FALSE))</f>
        <v>#REF!</v>
      </c>
      <c r="K482" s="219" t="e">
        <f t="shared" si="64"/>
        <v>#REF!</v>
      </c>
      <c r="L482" s="422" t="e">
        <f t="shared" si="65"/>
        <v>#REF!</v>
      </c>
      <c r="M482" s="422" t="e">
        <f>IF(I482="","",WORKDAY(L482-1,1,FERIADOS!$A$2:$A$831))</f>
        <v>#REF!</v>
      </c>
      <c r="N482" s="219" t="e">
        <f>IF(I482="","",NETWORKDAYS(Curva!$M$2,M482,FERIADOS!$A$2:$A$831)-1)</f>
        <v>#REF!</v>
      </c>
      <c r="O482" s="423" t="e">
        <f>IF(C482&lt;&gt;"",IF(ISERROR((100000/E482)^(252/N482)-1),Curva!$B$2,((100000/E482)^(252/N482)-1)),"")</f>
        <v>#REF!</v>
      </c>
      <c r="P482" s="219" t="e">
        <f>IF(OR(G482=1,G482=2),dadosexternosBMF_1!B485,"")</f>
        <v>#REF!</v>
      </c>
      <c r="Q482" s="219" t="e">
        <f>IF(OR(G482=1,G482=2),dadosexternosBMF_1!D485,"")</f>
        <v>#REF!</v>
      </c>
    </row>
    <row r="483" spans="1:17" x14ac:dyDescent="0.2">
      <c r="A483" s="222" t="e">
        <f t="shared" si="60"/>
        <v>#REF!</v>
      </c>
      <c r="B483" s="222" t="str">
        <f>IF(dadosexternosBMF_1!A486="DI1 - DI de 1 dia","DI1 - DI de 1 dia","")</f>
        <v/>
      </c>
      <c r="C483" s="222" t="e">
        <f>IF(dadosexternosBMF_1!A486="DOL - Dólar comercial","",IF(C482&lt;&gt;"",dadosexternosBMF_1!B486,IF(dadosexternosBMF_1!A486="DI1 - DI de 1 dia",dadosexternosBMF_1!B486,"")))</f>
        <v>#REF!</v>
      </c>
      <c r="D483" s="222" t="e">
        <f>IF(C483&lt;&gt;"",dadosexternosBMF_1!C486,"")</f>
        <v>#REF!</v>
      </c>
      <c r="E483" s="222" t="e">
        <f>IF(C483&lt;&gt;"",dadosexternosBMF_1!D486,"")</f>
        <v>#REF!</v>
      </c>
      <c r="G483" s="219" t="e">
        <f t="shared" si="61"/>
        <v>#REF!</v>
      </c>
      <c r="H483" s="219" t="e">
        <f t="shared" si="62"/>
        <v>#REF!</v>
      </c>
      <c r="I483" s="219" t="e">
        <f t="shared" si="63"/>
        <v>#REF!</v>
      </c>
      <c r="J483" s="219" t="e">
        <f>IF(I483="","",VLOOKUP(LEFT(C483,1),dadosexternosBMF_1!$L$2:$M$13,2,FALSE))</f>
        <v>#REF!</v>
      </c>
      <c r="K483" s="219" t="e">
        <f t="shared" si="64"/>
        <v>#REF!</v>
      </c>
      <c r="L483" s="422" t="e">
        <f t="shared" si="65"/>
        <v>#REF!</v>
      </c>
      <c r="M483" s="422" t="e">
        <f>IF(I483="","",WORKDAY(L483-1,1,FERIADOS!$A$2:$A$831))</f>
        <v>#REF!</v>
      </c>
      <c r="N483" s="219" t="e">
        <f>IF(I483="","",NETWORKDAYS(Curva!$M$2,M483,FERIADOS!$A$2:$A$831)-1)</f>
        <v>#REF!</v>
      </c>
      <c r="O483" s="423" t="e">
        <f>IF(C483&lt;&gt;"",IF(ISERROR((100000/E483)^(252/N483)-1),Curva!$B$2,((100000/E483)^(252/N483)-1)),"")</f>
        <v>#REF!</v>
      </c>
      <c r="P483" s="219" t="e">
        <f>IF(OR(G483=1,G483=2),dadosexternosBMF_1!B486,"")</f>
        <v>#REF!</v>
      </c>
      <c r="Q483" s="219" t="e">
        <f>IF(OR(G483=1,G483=2),dadosexternosBMF_1!D486,"")</f>
        <v>#REF!</v>
      </c>
    </row>
    <row r="484" spans="1:17" x14ac:dyDescent="0.2">
      <c r="A484" s="222" t="e">
        <f t="shared" si="60"/>
        <v>#REF!</v>
      </c>
      <c r="B484" s="222" t="str">
        <f>IF(dadosexternosBMF_1!A487="DI1 - DI de 1 dia","DI1 - DI de 1 dia","")</f>
        <v/>
      </c>
      <c r="C484" s="222" t="e">
        <f>IF(dadosexternosBMF_1!A487="DOL - Dólar comercial","",IF(C483&lt;&gt;"",dadosexternosBMF_1!B487,IF(dadosexternosBMF_1!A487="DI1 - DI de 1 dia",dadosexternosBMF_1!B487,"")))</f>
        <v>#REF!</v>
      </c>
      <c r="D484" s="222" t="e">
        <f>IF(C484&lt;&gt;"",dadosexternosBMF_1!C487,"")</f>
        <v>#REF!</v>
      </c>
      <c r="E484" s="222" t="e">
        <f>IF(C484&lt;&gt;"",dadosexternosBMF_1!D487,"")</f>
        <v>#REF!</v>
      </c>
      <c r="G484" s="219" t="e">
        <f t="shared" si="61"/>
        <v>#REF!</v>
      </c>
      <c r="H484" s="219" t="e">
        <f t="shared" si="62"/>
        <v>#REF!</v>
      </c>
      <c r="I484" s="219" t="e">
        <f t="shared" si="63"/>
        <v>#REF!</v>
      </c>
      <c r="J484" s="219" t="e">
        <f>IF(I484="","",VLOOKUP(LEFT(C484,1),dadosexternosBMF_1!$L$2:$M$13,2,FALSE))</f>
        <v>#REF!</v>
      </c>
      <c r="K484" s="219" t="e">
        <f t="shared" si="64"/>
        <v>#REF!</v>
      </c>
      <c r="L484" s="422" t="e">
        <f t="shared" si="65"/>
        <v>#REF!</v>
      </c>
      <c r="M484" s="422" t="e">
        <f>IF(I484="","",WORKDAY(L484-1,1,FERIADOS!$A$2:$A$831))</f>
        <v>#REF!</v>
      </c>
      <c r="N484" s="219" t="e">
        <f>IF(I484="","",NETWORKDAYS(Curva!$M$2,M484,FERIADOS!$A$2:$A$831)-1)</f>
        <v>#REF!</v>
      </c>
      <c r="O484" s="423" t="e">
        <f>IF(C484&lt;&gt;"",IF(ISERROR((100000/E484)^(252/N484)-1),Curva!$B$2,((100000/E484)^(252/N484)-1)),"")</f>
        <v>#REF!</v>
      </c>
      <c r="P484" s="219" t="e">
        <f>IF(OR(G484=1,G484=2),dadosexternosBMF_1!B487,"")</f>
        <v>#REF!</v>
      </c>
      <c r="Q484" s="219" t="e">
        <f>IF(OR(G484=1,G484=2),dadosexternosBMF_1!D487,"")</f>
        <v>#REF!</v>
      </c>
    </row>
    <row r="485" spans="1:17" x14ac:dyDescent="0.2">
      <c r="A485" s="222" t="e">
        <f t="shared" si="60"/>
        <v>#REF!</v>
      </c>
      <c r="B485" s="222" t="str">
        <f>IF(dadosexternosBMF_1!A488="DI1 - DI de 1 dia","DI1 - DI de 1 dia","")</f>
        <v/>
      </c>
      <c r="C485" s="222" t="e">
        <f>IF(dadosexternosBMF_1!A488="DOL - Dólar comercial","",IF(C484&lt;&gt;"",dadosexternosBMF_1!B488,IF(dadosexternosBMF_1!A488="DI1 - DI de 1 dia",dadosexternosBMF_1!B488,"")))</f>
        <v>#REF!</v>
      </c>
      <c r="D485" s="222" t="e">
        <f>IF(C485&lt;&gt;"",dadosexternosBMF_1!C488,"")</f>
        <v>#REF!</v>
      </c>
      <c r="E485" s="222" t="e">
        <f>IF(C485&lt;&gt;"",dadosexternosBMF_1!D488,"")</f>
        <v>#REF!</v>
      </c>
      <c r="G485" s="219" t="e">
        <f t="shared" si="61"/>
        <v>#REF!</v>
      </c>
      <c r="H485" s="219" t="e">
        <f t="shared" si="62"/>
        <v>#REF!</v>
      </c>
      <c r="I485" s="219" t="e">
        <f t="shared" si="63"/>
        <v>#REF!</v>
      </c>
      <c r="J485" s="219" t="e">
        <f>IF(I485="","",VLOOKUP(LEFT(C485,1),dadosexternosBMF_1!$L$2:$M$13,2,FALSE))</f>
        <v>#REF!</v>
      </c>
      <c r="K485" s="219" t="e">
        <f t="shared" si="64"/>
        <v>#REF!</v>
      </c>
      <c r="L485" s="422" t="e">
        <f t="shared" si="65"/>
        <v>#REF!</v>
      </c>
      <c r="M485" s="422" t="e">
        <f>IF(I485="","",WORKDAY(L485-1,1,FERIADOS!$A$2:$A$831))</f>
        <v>#REF!</v>
      </c>
      <c r="N485" s="219" t="e">
        <f>IF(I485="","",NETWORKDAYS(Curva!$M$2,M485,FERIADOS!$A$2:$A$831)-1)</f>
        <v>#REF!</v>
      </c>
      <c r="O485" s="423" t="e">
        <f>IF(C485&lt;&gt;"",IF(ISERROR((100000/E485)^(252/N485)-1),Curva!$B$2,((100000/E485)^(252/N485)-1)),"")</f>
        <v>#REF!</v>
      </c>
      <c r="P485" s="219" t="e">
        <f>IF(OR(G485=1,G485=2),dadosexternosBMF_1!B488,"")</f>
        <v>#REF!</v>
      </c>
      <c r="Q485" s="219" t="e">
        <f>IF(OR(G485=1,G485=2),dadosexternosBMF_1!D488,"")</f>
        <v>#REF!</v>
      </c>
    </row>
    <row r="486" spans="1:17" x14ac:dyDescent="0.2">
      <c r="A486" s="222" t="e">
        <f t="shared" si="60"/>
        <v>#REF!</v>
      </c>
      <c r="B486" s="222" t="str">
        <f>IF(dadosexternosBMF_1!A489="DI1 - DI de 1 dia","DI1 - DI de 1 dia","")</f>
        <v/>
      </c>
      <c r="C486" s="222" t="e">
        <f>IF(dadosexternosBMF_1!A489="DOL - Dólar comercial","",IF(C485&lt;&gt;"",dadosexternosBMF_1!B489,IF(dadosexternosBMF_1!A489="DI1 - DI de 1 dia",dadosexternosBMF_1!B489,"")))</f>
        <v>#REF!</v>
      </c>
      <c r="D486" s="222" t="e">
        <f>IF(C486&lt;&gt;"",dadosexternosBMF_1!C489,"")</f>
        <v>#REF!</v>
      </c>
      <c r="E486" s="222" t="e">
        <f>IF(C486&lt;&gt;"",dadosexternosBMF_1!D489,"")</f>
        <v>#REF!</v>
      </c>
      <c r="G486" s="219" t="e">
        <f t="shared" si="61"/>
        <v>#REF!</v>
      </c>
      <c r="H486" s="219" t="e">
        <f t="shared" si="62"/>
        <v>#REF!</v>
      </c>
      <c r="I486" s="219" t="e">
        <f t="shared" si="63"/>
        <v>#REF!</v>
      </c>
      <c r="J486" s="219" t="e">
        <f>IF(I486="","",VLOOKUP(LEFT(C486,1),dadosexternosBMF_1!$L$2:$M$13,2,FALSE))</f>
        <v>#REF!</v>
      </c>
      <c r="K486" s="219" t="e">
        <f t="shared" si="64"/>
        <v>#REF!</v>
      </c>
      <c r="L486" s="422" t="e">
        <f t="shared" si="65"/>
        <v>#REF!</v>
      </c>
      <c r="M486" s="422" t="e">
        <f>IF(I486="","",WORKDAY(L486-1,1,FERIADOS!$A$2:$A$831))</f>
        <v>#REF!</v>
      </c>
      <c r="N486" s="219" t="e">
        <f>IF(I486="","",NETWORKDAYS(Curva!$M$2,M486,FERIADOS!$A$2:$A$831)-1)</f>
        <v>#REF!</v>
      </c>
      <c r="O486" s="423" t="e">
        <f>IF(C486&lt;&gt;"",IF(ISERROR((100000/E486)^(252/N486)-1),Curva!$B$2,((100000/E486)^(252/N486)-1)),"")</f>
        <v>#REF!</v>
      </c>
      <c r="P486" s="219" t="e">
        <f>IF(OR(G486=1,G486=2),dadosexternosBMF_1!B489,"")</f>
        <v>#REF!</v>
      </c>
      <c r="Q486" s="219" t="e">
        <f>IF(OR(G486=1,G486=2),dadosexternosBMF_1!D489,"")</f>
        <v>#REF!</v>
      </c>
    </row>
    <row r="487" spans="1:17" x14ac:dyDescent="0.2">
      <c r="A487" s="222" t="e">
        <f t="shared" si="60"/>
        <v>#REF!</v>
      </c>
      <c r="B487" s="222" t="str">
        <f>IF(dadosexternosBMF_1!A490="DI1 - DI de 1 dia","DI1 - DI de 1 dia","")</f>
        <v/>
      </c>
      <c r="C487" s="222" t="e">
        <f>IF(dadosexternosBMF_1!A490="DOL - Dólar comercial","",IF(C486&lt;&gt;"",dadosexternosBMF_1!B490,IF(dadosexternosBMF_1!A490="DI1 - DI de 1 dia",dadosexternosBMF_1!B490,"")))</f>
        <v>#REF!</v>
      </c>
      <c r="D487" s="222" t="e">
        <f>IF(C487&lt;&gt;"",dadosexternosBMF_1!C490,"")</f>
        <v>#REF!</v>
      </c>
      <c r="E487" s="222" t="e">
        <f>IF(C487&lt;&gt;"",dadosexternosBMF_1!D490,"")</f>
        <v>#REF!</v>
      </c>
      <c r="G487" s="219" t="e">
        <f t="shared" si="61"/>
        <v>#REF!</v>
      </c>
      <c r="H487" s="219" t="e">
        <f t="shared" si="62"/>
        <v>#REF!</v>
      </c>
      <c r="I487" s="219" t="e">
        <f t="shared" si="63"/>
        <v>#REF!</v>
      </c>
      <c r="J487" s="219" t="e">
        <f>IF(I487="","",VLOOKUP(LEFT(C487,1),dadosexternosBMF_1!$L$2:$M$13,2,FALSE))</f>
        <v>#REF!</v>
      </c>
      <c r="K487" s="219" t="e">
        <f t="shared" si="64"/>
        <v>#REF!</v>
      </c>
      <c r="L487" s="422" t="e">
        <f t="shared" si="65"/>
        <v>#REF!</v>
      </c>
      <c r="M487" s="422" t="e">
        <f>IF(I487="","",WORKDAY(L487-1,1,FERIADOS!$A$2:$A$831))</f>
        <v>#REF!</v>
      </c>
      <c r="N487" s="219" t="e">
        <f>IF(I487="","",NETWORKDAYS(Curva!$M$2,M487,FERIADOS!$A$2:$A$831)-1)</f>
        <v>#REF!</v>
      </c>
      <c r="O487" s="423" t="e">
        <f>IF(C487&lt;&gt;"",IF(ISERROR((100000/E487)^(252/N487)-1),Curva!$B$2,((100000/E487)^(252/N487)-1)),"")</f>
        <v>#REF!</v>
      </c>
      <c r="P487" s="219" t="e">
        <f>IF(OR(G487=1,G487=2),dadosexternosBMF_1!B490,"")</f>
        <v>#REF!</v>
      </c>
      <c r="Q487" s="219" t="e">
        <f>IF(OR(G487=1,G487=2),dadosexternosBMF_1!D490,"")</f>
        <v>#REF!</v>
      </c>
    </row>
    <row r="488" spans="1:17" x14ac:dyDescent="0.2">
      <c r="A488" s="222" t="e">
        <f t="shared" si="60"/>
        <v>#REF!</v>
      </c>
      <c r="B488" s="222" t="str">
        <f>IF(dadosexternosBMF_1!A491="DI1 - DI de 1 dia","DI1 - DI de 1 dia","")</f>
        <v/>
      </c>
      <c r="C488" s="222" t="e">
        <f>IF(dadosexternosBMF_1!A491="DOL - Dólar comercial","",IF(C487&lt;&gt;"",dadosexternosBMF_1!B491,IF(dadosexternosBMF_1!A491="DI1 - DI de 1 dia",dadosexternosBMF_1!B491,"")))</f>
        <v>#REF!</v>
      </c>
      <c r="D488" s="222" t="e">
        <f>IF(C488&lt;&gt;"",dadosexternosBMF_1!C491,"")</f>
        <v>#REF!</v>
      </c>
      <c r="E488" s="222" t="e">
        <f>IF(C488&lt;&gt;"",dadosexternosBMF_1!D491,"")</f>
        <v>#REF!</v>
      </c>
      <c r="G488" s="219" t="e">
        <f t="shared" si="61"/>
        <v>#REF!</v>
      </c>
      <c r="H488" s="219" t="e">
        <f t="shared" si="62"/>
        <v>#REF!</v>
      </c>
      <c r="I488" s="219" t="e">
        <f t="shared" si="63"/>
        <v>#REF!</v>
      </c>
      <c r="J488" s="219" t="e">
        <f>IF(I488="","",VLOOKUP(LEFT(C488,1),dadosexternosBMF_1!$L$2:$M$13,2,FALSE))</f>
        <v>#REF!</v>
      </c>
      <c r="K488" s="219" t="e">
        <f t="shared" si="64"/>
        <v>#REF!</v>
      </c>
      <c r="L488" s="422" t="e">
        <f t="shared" si="65"/>
        <v>#REF!</v>
      </c>
      <c r="M488" s="422" t="e">
        <f>IF(I488="","",WORKDAY(L488-1,1,FERIADOS!$A$2:$A$831))</f>
        <v>#REF!</v>
      </c>
      <c r="N488" s="219" t="e">
        <f>IF(I488="","",NETWORKDAYS(Curva!$M$2,M488,FERIADOS!$A$2:$A$831)-1)</f>
        <v>#REF!</v>
      </c>
      <c r="O488" s="423" t="e">
        <f>IF(C488&lt;&gt;"",IF(ISERROR((100000/E488)^(252/N488)-1),Curva!$B$2,((100000/E488)^(252/N488)-1)),"")</f>
        <v>#REF!</v>
      </c>
      <c r="P488" s="219" t="e">
        <f>IF(OR(G488=1,G488=2),dadosexternosBMF_1!B491,"")</f>
        <v>#REF!</v>
      </c>
      <c r="Q488" s="219" t="e">
        <f>IF(OR(G488=1,G488=2),dadosexternosBMF_1!D491,"")</f>
        <v>#REF!</v>
      </c>
    </row>
    <row r="489" spans="1:17" x14ac:dyDescent="0.2">
      <c r="A489" s="222" t="e">
        <f t="shared" si="60"/>
        <v>#REF!</v>
      </c>
      <c r="B489" s="222" t="str">
        <f>IF(dadosexternosBMF_1!A492="DI1 - DI de 1 dia","DI1 - DI de 1 dia","")</f>
        <v/>
      </c>
      <c r="C489" s="222" t="e">
        <f>IF(dadosexternosBMF_1!A492="DOL - Dólar comercial","",IF(C488&lt;&gt;"",dadosexternosBMF_1!B492,IF(dadosexternosBMF_1!A492="DI1 - DI de 1 dia",dadosexternosBMF_1!B492,"")))</f>
        <v>#REF!</v>
      </c>
      <c r="D489" s="222" t="e">
        <f>IF(C489&lt;&gt;"",dadosexternosBMF_1!C492,"")</f>
        <v>#REF!</v>
      </c>
      <c r="E489" s="222" t="e">
        <f>IF(C489&lt;&gt;"",dadosexternosBMF_1!D492,"")</f>
        <v>#REF!</v>
      </c>
      <c r="G489" s="219" t="e">
        <f t="shared" si="61"/>
        <v>#REF!</v>
      </c>
      <c r="H489" s="219" t="e">
        <f t="shared" si="62"/>
        <v>#REF!</v>
      </c>
      <c r="I489" s="219" t="e">
        <f t="shared" si="63"/>
        <v>#REF!</v>
      </c>
      <c r="J489" s="219" t="e">
        <f>IF(I489="","",VLOOKUP(LEFT(C489,1),dadosexternosBMF_1!$L$2:$M$13,2,FALSE))</f>
        <v>#REF!</v>
      </c>
      <c r="K489" s="219" t="e">
        <f t="shared" si="64"/>
        <v>#REF!</v>
      </c>
      <c r="L489" s="422" t="e">
        <f t="shared" si="65"/>
        <v>#REF!</v>
      </c>
      <c r="M489" s="422" t="e">
        <f>IF(I489="","",WORKDAY(L489-1,1,FERIADOS!$A$2:$A$831))</f>
        <v>#REF!</v>
      </c>
      <c r="N489" s="219" t="e">
        <f>IF(I489="","",NETWORKDAYS(Curva!$M$2,M489,FERIADOS!$A$2:$A$831)-1)</f>
        <v>#REF!</v>
      </c>
      <c r="O489" s="423" t="e">
        <f>IF(C489&lt;&gt;"",IF(ISERROR((100000/E489)^(252/N489)-1),Curva!$B$2,((100000/E489)^(252/N489)-1)),"")</f>
        <v>#REF!</v>
      </c>
      <c r="P489" s="219" t="e">
        <f>IF(OR(G489=1,G489=2),dadosexternosBMF_1!B492,"")</f>
        <v>#REF!</v>
      </c>
      <c r="Q489" s="219" t="e">
        <f>IF(OR(G489=1,G489=2),dadosexternosBMF_1!D492,"")</f>
        <v>#REF!</v>
      </c>
    </row>
    <row r="490" spans="1:17" x14ac:dyDescent="0.2">
      <c r="A490" s="222" t="e">
        <f t="shared" si="60"/>
        <v>#REF!</v>
      </c>
      <c r="B490" s="222" t="str">
        <f>IF(dadosexternosBMF_1!A493="DI1 - DI de 1 dia","DI1 - DI de 1 dia","")</f>
        <v/>
      </c>
      <c r="C490" s="222" t="e">
        <f>IF(dadosexternosBMF_1!A493="DOL - Dólar comercial","",IF(C489&lt;&gt;"",dadosexternosBMF_1!B493,IF(dadosexternosBMF_1!A493="DI1 - DI de 1 dia",dadosexternosBMF_1!B493,"")))</f>
        <v>#REF!</v>
      </c>
      <c r="D490" s="222" t="e">
        <f>IF(C490&lt;&gt;"",dadosexternosBMF_1!C493,"")</f>
        <v>#REF!</v>
      </c>
      <c r="E490" s="222" t="e">
        <f>IF(C490&lt;&gt;"",dadosexternosBMF_1!D493,"")</f>
        <v>#REF!</v>
      </c>
      <c r="G490" s="219" t="e">
        <f t="shared" si="61"/>
        <v>#REF!</v>
      </c>
      <c r="H490" s="219" t="e">
        <f t="shared" si="62"/>
        <v>#REF!</v>
      </c>
      <c r="I490" s="219" t="e">
        <f t="shared" si="63"/>
        <v>#REF!</v>
      </c>
      <c r="J490" s="219" t="e">
        <f>IF(I490="","",VLOOKUP(LEFT(C490,1),dadosexternosBMF_1!$L$2:$M$13,2,FALSE))</f>
        <v>#REF!</v>
      </c>
      <c r="K490" s="219" t="e">
        <f t="shared" si="64"/>
        <v>#REF!</v>
      </c>
      <c r="L490" s="422" t="e">
        <f t="shared" si="65"/>
        <v>#REF!</v>
      </c>
      <c r="M490" s="422" t="e">
        <f>IF(I490="","",WORKDAY(L490-1,1,FERIADOS!$A$2:$A$831))</f>
        <v>#REF!</v>
      </c>
      <c r="N490" s="219" t="e">
        <f>IF(I490="","",NETWORKDAYS(Curva!$M$2,M490,FERIADOS!$A$2:$A$831)-1)</f>
        <v>#REF!</v>
      </c>
      <c r="O490" s="423" t="e">
        <f>IF(C490&lt;&gt;"",IF(ISERROR((100000/E490)^(252/N490)-1),Curva!$B$2,((100000/E490)^(252/N490)-1)),"")</f>
        <v>#REF!</v>
      </c>
      <c r="P490" s="219" t="e">
        <f>IF(OR(G490=1,G490=2),dadosexternosBMF_1!B493,"")</f>
        <v>#REF!</v>
      </c>
      <c r="Q490" s="219" t="e">
        <f>IF(OR(G490=1,G490=2),dadosexternosBMF_1!D493,"")</f>
        <v>#REF!</v>
      </c>
    </row>
    <row r="491" spans="1:17" x14ac:dyDescent="0.2">
      <c r="A491" s="222" t="e">
        <f t="shared" si="60"/>
        <v>#REF!</v>
      </c>
      <c r="B491" s="222" t="str">
        <f>IF(dadosexternosBMF_1!A494="DI1 - DI de 1 dia","DI1 - DI de 1 dia","")</f>
        <v/>
      </c>
      <c r="C491" s="222" t="e">
        <f>IF(dadosexternosBMF_1!A494="DOL - Dólar comercial","",IF(C490&lt;&gt;"",dadosexternosBMF_1!B494,IF(dadosexternosBMF_1!A494="DI1 - DI de 1 dia",dadosexternosBMF_1!B494,"")))</f>
        <v>#REF!</v>
      </c>
      <c r="D491" s="222" t="e">
        <f>IF(C491&lt;&gt;"",dadosexternosBMF_1!C494,"")</f>
        <v>#REF!</v>
      </c>
      <c r="E491" s="222" t="e">
        <f>IF(C491&lt;&gt;"",dadosexternosBMF_1!D494,"")</f>
        <v>#REF!</v>
      </c>
      <c r="G491" s="219" t="e">
        <f t="shared" si="61"/>
        <v>#REF!</v>
      </c>
      <c r="H491" s="219" t="e">
        <f t="shared" si="62"/>
        <v>#REF!</v>
      </c>
      <c r="I491" s="219" t="e">
        <f t="shared" si="63"/>
        <v>#REF!</v>
      </c>
      <c r="J491" s="219" t="e">
        <f>IF(I491="","",VLOOKUP(LEFT(C491,1),dadosexternosBMF_1!$L$2:$M$13,2,FALSE))</f>
        <v>#REF!</v>
      </c>
      <c r="K491" s="219" t="e">
        <f t="shared" si="64"/>
        <v>#REF!</v>
      </c>
      <c r="L491" s="422" t="e">
        <f t="shared" si="65"/>
        <v>#REF!</v>
      </c>
      <c r="M491" s="422" t="e">
        <f>IF(I491="","",WORKDAY(L491-1,1,FERIADOS!$A$2:$A$831))</f>
        <v>#REF!</v>
      </c>
      <c r="N491" s="219" t="e">
        <f>IF(I491="","",NETWORKDAYS(Curva!$M$2,M491,FERIADOS!$A$2:$A$831)-1)</f>
        <v>#REF!</v>
      </c>
      <c r="O491" s="423" t="e">
        <f>IF(C491&lt;&gt;"",IF(ISERROR((100000/E491)^(252/N491)-1),Curva!$B$2,((100000/E491)^(252/N491)-1)),"")</f>
        <v>#REF!</v>
      </c>
      <c r="P491" s="219" t="e">
        <f>IF(OR(G491=1,G491=2),dadosexternosBMF_1!B494,"")</f>
        <v>#REF!</v>
      </c>
      <c r="Q491" s="219" t="e">
        <f>IF(OR(G491=1,G491=2),dadosexternosBMF_1!D494,"")</f>
        <v>#REF!</v>
      </c>
    </row>
    <row r="492" spans="1:17" x14ac:dyDescent="0.2">
      <c r="A492" s="222" t="e">
        <f t="shared" si="60"/>
        <v>#REF!</v>
      </c>
      <c r="B492" s="222" t="str">
        <f>IF(dadosexternosBMF_1!A495="DI1 - DI de 1 dia","DI1 - DI de 1 dia","")</f>
        <v/>
      </c>
      <c r="C492" s="222" t="e">
        <f>IF(dadosexternosBMF_1!A495="DOL - Dólar comercial","",IF(C491&lt;&gt;"",dadosexternosBMF_1!B495,IF(dadosexternosBMF_1!A495="DI1 - DI de 1 dia",dadosexternosBMF_1!B495,"")))</f>
        <v>#REF!</v>
      </c>
      <c r="D492" s="222" t="e">
        <f>IF(C492&lt;&gt;"",dadosexternosBMF_1!C495,"")</f>
        <v>#REF!</v>
      </c>
      <c r="E492" s="222" t="e">
        <f>IF(C492&lt;&gt;"",dadosexternosBMF_1!D495,"")</f>
        <v>#REF!</v>
      </c>
      <c r="G492" s="219" t="e">
        <f t="shared" si="61"/>
        <v>#REF!</v>
      </c>
      <c r="H492" s="219" t="e">
        <f t="shared" si="62"/>
        <v>#REF!</v>
      </c>
      <c r="I492" s="219" t="e">
        <f t="shared" si="63"/>
        <v>#REF!</v>
      </c>
      <c r="J492" s="219" t="e">
        <f>IF(I492="","",VLOOKUP(LEFT(C492,1),dadosexternosBMF_1!$L$2:$M$13,2,FALSE))</f>
        <v>#REF!</v>
      </c>
      <c r="K492" s="219" t="e">
        <f t="shared" si="64"/>
        <v>#REF!</v>
      </c>
      <c r="L492" s="422" t="e">
        <f t="shared" si="65"/>
        <v>#REF!</v>
      </c>
      <c r="M492" s="422" t="e">
        <f>IF(I492="","",WORKDAY(L492-1,1,FERIADOS!$A$2:$A$831))</f>
        <v>#REF!</v>
      </c>
      <c r="N492" s="219" t="e">
        <f>IF(I492="","",NETWORKDAYS(Curva!$M$2,M492,FERIADOS!$A$2:$A$831)-1)</f>
        <v>#REF!</v>
      </c>
      <c r="O492" s="423" t="e">
        <f>IF(C492&lt;&gt;"",IF(ISERROR((100000/E492)^(252/N492)-1),Curva!$B$2,((100000/E492)^(252/N492)-1)),"")</f>
        <v>#REF!</v>
      </c>
      <c r="P492" s="219" t="e">
        <f>IF(OR(G492=1,G492=2),dadosexternosBMF_1!B495,"")</f>
        <v>#REF!</v>
      </c>
      <c r="Q492" s="219" t="e">
        <f>IF(OR(G492=1,G492=2),dadosexternosBMF_1!D495,"")</f>
        <v>#REF!</v>
      </c>
    </row>
    <row r="493" spans="1:17" x14ac:dyDescent="0.2">
      <c r="A493" s="222" t="e">
        <f t="shared" si="60"/>
        <v>#REF!</v>
      </c>
      <c r="B493" s="222" t="str">
        <f>IF(dadosexternosBMF_1!A496="DI1 - DI de 1 dia","DI1 - DI de 1 dia","")</f>
        <v/>
      </c>
      <c r="C493" s="222" t="e">
        <f>IF(dadosexternosBMF_1!A496="DOL - Dólar comercial","",IF(C492&lt;&gt;"",dadosexternosBMF_1!B496,IF(dadosexternosBMF_1!A496="DI1 - DI de 1 dia",dadosexternosBMF_1!B496,"")))</f>
        <v>#REF!</v>
      </c>
      <c r="D493" s="222" t="e">
        <f>IF(C493&lt;&gt;"",dadosexternosBMF_1!C496,"")</f>
        <v>#REF!</v>
      </c>
      <c r="E493" s="222" t="e">
        <f>IF(C493&lt;&gt;"",dadosexternosBMF_1!D496,"")</f>
        <v>#REF!</v>
      </c>
      <c r="G493" s="219" t="e">
        <f t="shared" si="61"/>
        <v>#REF!</v>
      </c>
      <c r="H493" s="219" t="e">
        <f t="shared" si="62"/>
        <v>#REF!</v>
      </c>
      <c r="I493" s="219" t="e">
        <f t="shared" si="63"/>
        <v>#REF!</v>
      </c>
      <c r="J493" s="219" t="e">
        <f>IF(I493="","",VLOOKUP(LEFT(C493,1),dadosexternosBMF_1!$L$2:$M$13,2,FALSE))</f>
        <v>#REF!</v>
      </c>
      <c r="K493" s="219" t="e">
        <f t="shared" si="64"/>
        <v>#REF!</v>
      </c>
      <c r="L493" s="422" t="e">
        <f t="shared" si="65"/>
        <v>#REF!</v>
      </c>
      <c r="M493" s="422" t="e">
        <f>IF(I493="","",WORKDAY(L493-1,1,FERIADOS!$A$2:$A$831))</f>
        <v>#REF!</v>
      </c>
      <c r="N493" s="219" t="e">
        <f>IF(I493="","",NETWORKDAYS(Curva!$M$2,M493,FERIADOS!$A$2:$A$831)-1)</f>
        <v>#REF!</v>
      </c>
      <c r="O493" s="423" t="e">
        <f>IF(C493&lt;&gt;"",IF(ISERROR((100000/E493)^(252/N493)-1),Curva!$B$2,((100000/E493)^(252/N493)-1)),"")</f>
        <v>#REF!</v>
      </c>
      <c r="P493" s="219" t="e">
        <f>IF(OR(G493=1,G493=2),dadosexternosBMF_1!B496,"")</f>
        <v>#REF!</v>
      </c>
      <c r="Q493" s="219" t="e">
        <f>IF(OR(G493=1,G493=2),dadosexternosBMF_1!D496,"")</f>
        <v>#REF!</v>
      </c>
    </row>
    <row r="494" spans="1:17" x14ac:dyDescent="0.2">
      <c r="A494" s="222" t="e">
        <f t="shared" si="60"/>
        <v>#REF!</v>
      </c>
      <c r="B494" s="222" t="str">
        <f>IF(dadosexternosBMF_1!A497="DI1 - DI de 1 dia","DI1 - DI de 1 dia","")</f>
        <v/>
      </c>
      <c r="C494" s="222" t="e">
        <f>IF(dadosexternosBMF_1!A497="DOL - Dólar comercial","",IF(C493&lt;&gt;"",dadosexternosBMF_1!B497,IF(dadosexternosBMF_1!A497="DI1 - DI de 1 dia",dadosexternosBMF_1!B497,"")))</f>
        <v>#REF!</v>
      </c>
      <c r="D494" s="222" t="e">
        <f>IF(C494&lt;&gt;"",dadosexternosBMF_1!C497,"")</f>
        <v>#REF!</v>
      </c>
      <c r="E494" s="222" t="e">
        <f>IF(C494&lt;&gt;"",dadosexternosBMF_1!D497,"")</f>
        <v>#REF!</v>
      </c>
      <c r="G494" s="219" t="e">
        <f t="shared" si="61"/>
        <v>#REF!</v>
      </c>
      <c r="H494" s="219" t="e">
        <f t="shared" si="62"/>
        <v>#REF!</v>
      </c>
      <c r="I494" s="219" t="e">
        <f t="shared" si="63"/>
        <v>#REF!</v>
      </c>
      <c r="J494" s="219" t="e">
        <f>IF(I494="","",VLOOKUP(LEFT(C494,1),dadosexternosBMF_1!$L$2:$M$13,2,FALSE))</f>
        <v>#REF!</v>
      </c>
      <c r="K494" s="219" t="e">
        <f t="shared" si="64"/>
        <v>#REF!</v>
      </c>
      <c r="L494" s="422" t="e">
        <f t="shared" si="65"/>
        <v>#REF!</v>
      </c>
      <c r="M494" s="422" t="e">
        <f>IF(I494="","",WORKDAY(L494-1,1,FERIADOS!$A$2:$A$831))</f>
        <v>#REF!</v>
      </c>
      <c r="N494" s="219" t="e">
        <f>IF(I494="","",NETWORKDAYS(Curva!$M$2,M494,FERIADOS!$A$2:$A$831)-1)</f>
        <v>#REF!</v>
      </c>
      <c r="O494" s="423" t="e">
        <f>IF(C494&lt;&gt;"",IF(ISERROR((100000/E494)^(252/N494)-1),Curva!$B$2,((100000/E494)^(252/N494)-1)),"")</f>
        <v>#REF!</v>
      </c>
      <c r="P494" s="219" t="e">
        <f>IF(OR(G494=1,G494=2),dadosexternosBMF_1!B497,"")</f>
        <v>#REF!</v>
      </c>
      <c r="Q494" s="219" t="e">
        <f>IF(OR(G494=1,G494=2),dadosexternosBMF_1!D497,"")</f>
        <v>#REF!</v>
      </c>
    </row>
    <row r="495" spans="1:17" x14ac:dyDescent="0.2">
      <c r="A495" s="222" t="e">
        <f t="shared" si="60"/>
        <v>#REF!</v>
      </c>
      <c r="B495" s="222" t="str">
        <f>IF(dadosexternosBMF_1!A498="DI1 - DI de 1 dia","DI1 - DI de 1 dia","")</f>
        <v/>
      </c>
      <c r="C495" s="222" t="e">
        <f>IF(dadosexternosBMF_1!A498="DOL - Dólar comercial","",IF(C494&lt;&gt;"",dadosexternosBMF_1!B498,IF(dadosexternosBMF_1!A498="DI1 - DI de 1 dia",dadosexternosBMF_1!B498,"")))</f>
        <v>#REF!</v>
      </c>
      <c r="D495" s="222" t="e">
        <f>IF(C495&lt;&gt;"",dadosexternosBMF_1!C498,"")</f>
        <v>#REF!</v>
      </c>
      <c r="E495" s="222" t="e">
        <f>IF(C495&lt;&gt;"",dadosexternosBMF_1!D498,"")</f>
        <v>#REF!</v>
      </c>
      <c r="G495" s="219" t="e">
        <f t="shared" si="61"/>
        <v>#REF!</v>
      </c>
      <c r="H495" s="219" t="e">
        <f t="shared" si="62"/>
        <v>#REF!</v>
      </c>
      <c r="I495" s="219" t="e">
        <f t="shared" si="63"/>
        <v>#REF!</v>
      </c>
      <c r="J495" s="219" t="e">
        <f>IF(I495="","",VLOOKUP(LEFT(C495,1),dadosexternosBMF_1!$L$2:$M$13,2,FALSE))</f>
        <v>#REF!</v>
      </c>
      <c r="K495" s="219" t="e">
        <f t="shared" si="64"/>
        <v>#REF!</v>
      </c>
      <c r="L495" s="422" t="e">
        <f t="shared" si="65"/>
        <v>#REF!</v>
      </c>
      <c r="M495" s="422" t="e">
        <f>IF(I495="","",WORKDAY(L495-1,1,FERIADOS!$A$2:$A$831))</f>
        <v>#REF!</v>
      </c>
      <c r="N495" s="219" t="e">
        <f>IF(I495="","",NETWORKDAYS(Curva!$M$2,M495,FERIADOS!$A$2:$A$831)-1)</f>
        <v>#REF!</v>
      </c>
      <c r="O495" s="423" t="e">
        <f>IF(C495&lt;&gt;"",IF(ISERROR((100000/E495)^(252/N495)-1),Curva!$B$2,((100000/E495)^(252/N495)-1)),"")</f>
        <v>#REF!</v>
      </c>
      <c r="P495" s="219" t="e">
        <f>IF(OR(G495=1,G495=2),dadosexternosBMF_1!B498,"")</f>
        <v>#REF!</v>
      </c>
      <c r="Q495" s="219" t="e">
        <f>IF(OR(G495=1,G495=2),dadosexternosBMF_1!D498,"")</f>
        <v>#REF!</v>
      </c>
    </row>
    <row r="496" spans="1:17" x14ac:dyDescent="0.2">
      <c r="A496" s="222" t="e">
        <f t="shared" si="60"/>
        <v>#REF!</v>
      </c>
      <c r="B496" s="222" t="str">
        <f>IF(dadosexternosBMF_1!A499="DI1 - DI de 1 dia","DI1 - DI de 1 dia","")</f>
        <v/>
      </c>
      <c r="C496" s="222" t="e">
        <f>IF(dadosexternosBMF_1!A499="DOL - Dólar comercial","",IF(C495&lt;&gt;"",dadosexternosBMF_1!B499,IF(dadosexternosBMF_1!A499="DI1 - DI de 1 dia",dadosexternosBMF_1!B499,"")))</f>
        <v>#REF!</v>
      </c>
      <c r="D496" s="222" t="e">
        <f>IF(C496&lt;&gt;"",dadosexternosBMF_1!C499,"")</f>
        <v>#REF!</v>
      </c>
      <c r="E496" s="222" t="e">
        <f>IF(C496&lt;&gt;"",dadosexternosBMF_1!D499,"")</f>
        <v>#REF!</v>
      </c>
      <c r="G496" s="219" t="e">
        <f t="shared" si="61"/>
        <v>#REF!</v>
      </c>
      <c r="H496" s="219" t="e">
        <f t="shared" si="62"/>
        <v>#REF!</v>
      </c>
      <c r="I496" s="219" t="e">
        <f t="shared" si="63"/>
        <v>#REF!</v>
      </c>
      <c r="J496" s="219" t="e">
        <f>IF(I496="","",VLOOKUP(LEFT(C496,1),dadosexternosBMF_1!$L$2:$M$13,2,FALSE))</f>
        <v>#REF!</v>
      </c>
      <c r="K496" s="219" t="e">
        <f t="shared" si="64"/>
        <v>#REF!</v>
      </c>
      <c r="L496" s="422" t="e">
        <f t="shared" si="65"/>
        <v>#REF!</v>
      </c>
      <c r="M496" s="422" t="e">
        <f>IF(I496="","",WORKDAY(L496-1,1,FERIADOS!$A$2:$A$831))</f>
        <v>#REF!</v>
      </c>
      <c r="N496" s="219" t="e">
        <f>IF(I496="","",NETWORKDAYS(Curva!$M$2,M496,FERIADOS!$A$2:$A$831)-1)</f>
        <v>#REF!</v>
      </c>
      <c r="O496" s="423" t="e">
        <f>IF(C496&lt;&gt;"",IF(ISERROR((100000/E496)^(252/N496)-1),Curva!$B$2,((100000/E496)^(252/N496)-1)),"")</f>
        <v>#REF!</v>
      </c>
      <c r="P496" s="219" t="e">
        <f>IF(OR(G496=1,G496=2),dadosexternosBMF_1!B499,"")</f>
        <v>#REF!</v>
      </c>
      <c r="Q496" s="219" t="e">
        <f>IF(OR(G496=1,G496=2),dadosexternosBMF_1!D499,"")</f>
        <v>#REF!</v>
      </c>
    </row>
    <row r="497" spans="1:17" x14ac:dyDescent="0.2">
      <c r="A497" s="222" t="e">
        <f t="shared" si="60"/>
        <v>#REF!</v>
      </c>
      <c r="B497" s="222" t="str">
        <f>IF(dadosexternosBMF_1!A500="DI1 - DI de 1 dia","DI1 - DI de 1 dia","")</f>
        <v/>
      </c>
      <c r="C497" s="222" t="e">
        <f>IF(dadosexternosBMF_1!A500="DOL - Dólar comercial","",IF(C496&lt;&gt;"",dadosexternosBMF_1!B500,IF(dadosexternosBMF_1!A500="DI1 - DI de 1 dia",dadosexternosBMF_1!B500,"")))</f>
        <v>#REF!</v>
      </c>
      <c r="D497" s="222" t="e">
        <f>IF(C497&lt;&gt;"",dadosexternosBMF_1!C500,"")</f>
        <v>#REF!</v>
      </c>
      <c r="E497" s="222" t="e">
        <f>IF(C497&lt;&gt;"",dadosexternosBMF_1!D500,"")</f>
        <v>#REF!</v>
      </c>
      <c r="G497" s="219" t="e">
        <f t="shared" si="61"/>
        <v>#REF!</v>
      </c>
      <c r="H497" s="219" t="e">
        <f t="shared" si="62"/>
        <v>#REF!</v>
      </c>
      <c r="I497" s="219" t="e">
        <f t="shared" si="63"/>
        <v>#REF!</v>
      </c>
      <c r="J497" s="219" t="e">
        <f>IF(I497="","",VLOOKUP(LEFT(C497,1),dadosexternosBMF_1!$L$2:$M$13,2,FALSE))</f>
        <v>#REF!</v>
      </c>
      <c r="K497" s="219" t="e">
        <f t="shared" si="64"/>
        <v>#REF!</v>
      </c>
      <c r="L497" s="422" t="e">
        <f t="shared" si="65"/>
        <v>#REF!</v>
      </c>
      <c r="M497" s="422" t="e">
        <f>IF(I497="","",WORKDAY(L497-1,1,FERIADOS!$A$2:$A$831))</f>
        <v>#REF!</v>
      </c>
      <c r="N497" s="219" t="e">
        <f>IF(I497="","",NETWORKDAYS(Curva!$M$2,M497,FERIADOS!$A$2:$A$831)-1)</f>
        <v>#REF!</v>
      </c>
      <c r="O497" s="423" t="e">
        <f>IF(C497&lt;&gt;"",IF(ISERROR((100000/E497)^(252/N497)-1),Curva!$B$2,((100000/E497)^(252/N497)-1)),"")</f>
        <v>#REF!</v>
      </c>
      <c r="P497" s="219" t="e">
        <f>IF(OR(G497=1,G497=2),dadosexternosBMF_1!B500,"")</f>
        <v>#REF!</v>
      </c>
      <c r="Q497" s="219" t="e">
        <f>IF(OR(G497=1,G497=2),dadosexternosBMF_1!D500,"")</f>
        <v>#REF!</v>
      </c>
    </row>
    <row r="498" spans="1:17" x14ac:dyDescent="0.2">
      <c r="A498" s="222" t="e">
        <f t="shared" si="60"/>
        <v>#REF!</v>
      </c>
      <c r="B498" s="222" t="str">
        <f>IF(dadosexternosBMF_1!A501="DI1 - DI de 1 dia","DI1 - DI de 1 dia","")</f>
        <v/>
      </c>
      <c r="C498" s="222" t="e">
        <f>IF(dadosexternosBMF_1!A501="DOL - Dólar comercial","",IF(C497&lt;&gt;"",dadosexternosBMF_1!B501,IF(dadosexternosBMF_1!A501="DI1 - DI de 1 dia",dadosexternosBMF_1!B501,"")))</f>
        <v>#REF!</v>
      </c>
      <c r="D498" s="222" t="e">
        <f>IF(C498&lt;&gt;"",dadosexternosBMF_1!C501,"")</f>
        <v>#REF!</v>
      </c>
      <c r="E498" s="222" t="e">
        <f>IF(C498&lt;&gt;"",dadosexternosBMF_1!D501,"")</f>
        <v>#REF!</v>
      </c>
      <c r="G498" s="219" t="e">
        <f t="shared" si="61"/>
        <v>#REF!</v>
      </c>
      <c r="H498" s="219" t="e">
        <f t="shared" si="62"/>
        <v>#REF!</v>
      </c>
      <c r="I498" s="219" t="e">
        <f t="shared" si="63"/>
        <v>#REF!</v>
      </c>
      <c r="J498" s="219" t="e">
        <f>IF(I498="","",VLOOKUP(LEFT(C498,1),dadosexternosBMF_1!$L$2:$M$13,2,FALSE))</f>
        <v>#REF!</v>
      </c>
      <c r="K498" s="219" t="e">
        <f t="shared" si="64"/>
        <v>#REF!</v>
      </c>
      <c r="L498" s="422" t="e">
        <f t="shared" si="65"/>
        <v>#REF!</v>
      </c>
      <c r="M498" s="422" t="e">
        <f>IF(I498="","",WORKDAY(L498-1,1,FERIADOS!$A$2:$A$831))</f>
        <v>#REF!</v>
      </c>
      <c r="N498" s="219" t="e">
        <f>IF(I498="","",NETWORKDAYS(Curva!$M$2,M498,FERIADOS!$A$2:$A$831)-1)</f>
        <v>#REF!</v>
      </c>
      <c r="O498" s="423" t="e">
        <f>IF(C498&lt;&gt;"",IF(ISERROR((100000/E498)^(252/N498)-1),Curva!$B$2,((100000/E498)^(252/N498)-1)),"")</f>
        <v>#REF!</v>
      </c>
      <c r="P498" s="219" t="e">
        <f>IF(OR(G498=1,G498=2),dadosexternosBMF_1!B501,"")</f>
        <v>#REF!</v>
      </c>
      <c r="Q498" s="219" t="e">
        <f>IF(OR(G498=1,G498=2),dadosexternosBMF_1!D501,"")</f>
        <v>#REF!</v>
      </c>
    </row>
    <row r="499" spans="1:17" x14ac:dyDescent="0.2">
      <c r="A499" s="222" t="e">
        <f t="shared" si="60"/>
        <v>#REF!</v>
      </c>
      <c r="B499" s="222" t="str">
        <f>IF(dadosexternosBMF_1!A502="DI1 - DI de 1 dia","DI1 - DI de 1 dia","")</f>
        <v/>
      </c>
      <c r="C499" s="222" t="e">
        <f>IF(dadosexternosBMF_1!A502="DOL - Dólar comercial","",IF(C498&lt;&gt;"",dadosexternosBMF_1!B502,IF(dadosexternosBMF_1!A502="DI1 - DI de 1 dia",dadosexternosBMF_1!B502,"")))</f>
        <v>#REF!</v>
      </c>
      <c r="D499" s="222" t="e">
        <f>IF(C499&lt;&gt;"",dadosexternosBMF_1!C502,"")</f>
        <v>#REF!</v>
      </c>
      <c r="E499" s="222" t="e">
        <f>IF(C499&lt;&gt;"",dadosexternosBMF_1!D502,"")</f>
        <v>#REF!</v>
      </c>
      <c r="G499" s="219" t="e">
        <f t="shared" si="61"/>
        <v>#REF!</v>
      </c>
      <c r="H499" s="219" t="e">
        <f t="shared" si="62"/>
        <v>#REF!</v>
      </c>
      <c r="I499" s="219" t="e">
        <f t="shared" si="63"/>
        <v>#REF!</v>
      </c>
      <c r="J499" s="219" t="e">
        <f>IF(I499="","",VLOOKUP(LEFT(C499,1),dadosexternosBMF_1!$L$2:$M$13,2,FALSE))</f>
        <v>#REF!</v>
      </c>
      <c r="K499" s="219" t="e">
        <f t="shared" si="64"/>
        <v>#REF!</v>
      </c>
      <c r="L499" s="422" t="e">
        <f t="shared" si="65"/>
        <v>#REF!</v>
      </c>
      <c r="M499" s="422" t="e">
        <f>IF(I499="","",WORKDAY(L499-1,1,FERIADOS!$A$2:$A$831))</f>
        <v>#REF!</v>
      </c>
      <c r="N499" s="219" t="e">
        <f>IF(I499="","",NETWORKDAYS(Curva!$M$2,M499,FERIADOS!$A$2:$A$831)-1)</f>
        <v>#REF!</v>
      </c>
      <c r="O499" s="423" t="e">
        <f>IF(C499&lt;&gt;"",IF(ISERROR((100000/E499)^(252/N499)-1),Curva!$B$2,((100000/E499)^(252/N499)-1)),"")</f>
        <v>#REF!</v>
      </c>
      <c r="P499" s="219" t="e">
        <f>IF(OR(G499=1,G499=2),dadosexternosBMF_1!B502,"")</f>
        <v>#REF!</v>
      </c>
      <c r="Q499" s="219" t="e">
        <f>IF(OR(G499=1,G499=2),dadosexternosBMF_1!D502,"")</f>
        <v>#REF!</v>
      </c>
    </row>
    <row r="500" spans="1:17" x14ac:dyDescent="0.2">
      <c r="A500" s="222" t="e">
        <f t="shared" si="60"/>
        <v>#REF!</v>
      </c>
      <c r="B500" s="222" t="str">
        <f>IF(dadosexternosBMF_1!A503="DI1 - DI de 1 dia","DI1 - DI de 1 dia","")</f>
        <v/>
      </c>
      <c r="C500" s="222" t="e">
        <f>IF(dadosexternosBMF_1!A503="DOL - Dólar comercial","",IF(C499&lt;&gt;"",dadosexternosBMF_1!B503,IF(dadosexternosBMF_1!A503="DI1 - DI de 1 dia",dadosexternosBMF_1!B503,"")))</f>
        <v>#REF!</v>
      </c>
      <c r="D500" s="222" t="e">
        <f>IF(C500&lt;&gt;"",dadosexternosBMF_1!C503,"")</f>
        <v>#REF!</v>
      </c>
      <c r="E500" s="222" t="e">
        <f>IF(C500&lt;&gt;"",dadosexternosBMF_1!D503,"")</f>
        <v>#REF!</v>
      </c>
      <c r="G500" s="219" t="e">
        <f t="shared" si="61"/>
        <v>#REF!</v>
      </c>
      <c r="H500" s="219" t="e">
        <f t="shared" si="62"/>
        <v>#REF!</v>
      </c>
      <c r="I500" s="219" t="e">
        <f t="shared" si="63"/>
        <v>#REF!</v>
      </c>
      <c r="J500" s="219" t="e">
        <f>IF(I500="","",VLOOKUP(LEFT(C500,1),dadosexternosBMF_1!$L$2:$M$13,2,FALSE))</f>
        <v>#REF!</v>
      </c>
      <c r="K500" s="219" t="e">
        <f t="shared" si="64"/>
        <v>#REF!</v>
      </c>
      <c r="L500" s="422" t="e">
        <f t="shared" si="65"/>
        <v>#REF!</v>
      </c>
      <c r="M500" s="422" t="e">
        <f>IF(I500="","",WORKDAY(L500-1,1,FERIADOS!$A$2:$A$831))</f>
        <v>#REF!</v>
      </c>
      <c r="N500" s="219" t="e">
        <f>IF(I500="","",NETWORKDAYS(Curva!$M$2,M500,FERIADOS!$A$2:$A$831)-1)</f>
        <v>#REF!</v>
      </c>
      <c r="O500" s="423" t="e">
        <f>IF(C500&lt;&gt;"",IF(ISERROR((100000/E500)^(252/N500)-1),Curva!$B$2,((100000/E500)^(252/N500)-1)),"")</f>
        <v>#REF!</v>
      </c>
      <c r="P500" s="219" t="e">
        <f>IF(OR(G500=1,G500=2),dadosexternosBMF_1!B503,"")</f>
        <v>#REF!</v>
      </c>
      <c r="Q500" s="219" t="e">
        <f>IF(OR(G500=1,G500=2),dadosexternosBMF_1!D503,"")</f>
        <v>#REF!</v>
      </c>
    </row>
    <row r="501" spans="1:17" x14ac:dyDescent="0.2">
      <c r="A501" s="222" t="e">
        <f t="shared" si="60"/>
        <v>#REF!</v>
      </c>
      <c r="B501" s="222" t="str">
        <f>IF(dadosexternosBMF_1!A504="DI1 - DI de 1 dia","DI1 - DI de 1 dia","")</f>
        <v/>
      </c>
      <c r="C501" s="222" t="e">
        <f>IF(dadosexternosBMF_1!A504="DOL - Dólar comercial","",IF(C500&lt;&gt;"",dadosexternosBMF_1!B504,IF(dadosexternosBMF_1!A504="DI1 - DI de 1 dia",dadosexternosBMF_1!B504,"")))</f>
        <v>#REF!</v>
      </c>
      <c r="D501" s="222" t="e">
        <f>IF(C501&lt;&gt;"",dadosexternosBMF_1!C504,"")</f>
        <v>#REF!</v>
      </c>
      <c r="E501" s="222" t="e">
        <f>IF(C501&lt;&gt;"",dadosexternosBMF_1!D504,"")</f>
        <v>#REF!</v>
      </c>
      <c r="G501" s="219" t="e">
        <f t="shared" si="61"/>
        <v>#REF!</v>
      </c>
      <c r="H501" s="219" t="e">
        <f t="shared" si="62"/>
        <v>#REF!</v>
      </c>
      <c r="I501" s="219" t="e">
        <f t="shared" si="63"/>
        <v>#REF!</v>
      </c>
      <c r="J501" s="219" t="e">
        <f>IF(I501="","",VLOOKUP(LEFT(C501,1),dadosexternosBMF_1!$L$2:$M$13,2,FALSE))</f>
        <v>#REF!</v>
      </c>
      <c r="K501" s="219" t="e">
        <f t="shared" si="64"/>
        <v>#REF!</v>
      </c>
      <c r="L501" s="422" t="e">
        <f t="shared" si="65"/>
        <v>#REF!</v>
      </c>
      <c r="M501" s="422" t="e">
        <f>IF(I501="","",WORKDAY(L501-1,1,FERIADOS!$A$2:$A$831))</f>
        <v>#REF!</v>
      </c>
      <c r="N501" s="219" t="e">
        <f>IF(I501="","",NETWORKDAYS(Curva!$M$2,M501,FERIADOS!$A$2:$A$831)-1)</f>
        <v>#REF!</v>
      </c>
      <c r="O501" s="423" t="e">
        <f>IF(C501&lt;&gt;"",IF(ISERROR((100000/E501)^(252/N501)-1),Curva!$B$2,((100000/E501)^(252/N501)-1)),"")</f>
        <v>#REF!</v>
      </c>
      <c r="P501" s="219" t="e">
        <f>IF(OR(G501=1,G501=2),dadosexternosBMF_1!B504,"")</f>
        <v>#REF!</v>
      </c>
      <c r="Q501" s="219" t="e">
        <f>IF(OR(G501=1,G501=2),dadosexternosBMF_1!D504,"")</f>
        <v>#REF!</v>
      </c>
    </row>
    <row r="502" spans="1:17" x14ac:dyDescent="0.2">
      <c r="A502" s="222" t="e">
        <f t="shared" si="60"/>
        <v>#REF!</v>
      </c>
      <c r="B502" s="222" t="str">
        <f>IF(dadosexternosBMF_1!A505="DI1 - DI de 1 dia","DI1 - DI de 1 dia","")</f>
        <v/>
      </c>
      <c r="C502" s="222" t="e">
        <f>IF(dadosexternosBMF_1!A505="DOL - Dólar comercial","",IF(C501&lt;&gt;"",dadosexternosBMF_1!B505,IF(dadosexternosBMF_1!A505="DI1 - DI de 1 dia",dadosexternosBMF_1!B505,"")))</f>
        <v>#REF!</v>
      </c>
      <c r="D502" s="222" t="e">
        <f>IF(C502&lt;&gt;"",dadosexternosBMF_1!C505,"")</f>
        <v>#REF!</v>
      </c>
      <c r="E502" s="222" t="e">
        <f>IF(C502&lt;&gt;"",dadosexternosBMF_1!D505,"")</f>
        <v>#REF!</v>
      </c>
      <c r="G502" s="219" t="e">
        <f t="shared" si="61"/>
        <v>#REF!</v>
      </c>
      <c r="H502" s="219" t="e">
        <f t="shared" si="62"/>
        <v>#REF!</v>
      </c>
      <c r="I502" s="219" t="e">
        <f t="shared" si="63"/>
        <v>#REF!</v>
      </c>
      <c r="J502" s="219" t="e">
        <f>IF(I502="","",VLOOKUP(LEFT(C502,1),dadosexternosBMF_1!$L$2:$M$13,2,FALSE))</f>
        <v>#REF!</v>
      </c>
      <c r="K502" s="219" t="e">
        <f t="shared" si="64"/>
        <v>#REF!</v>
      </c>
      <c r="L502" s="422" t="e">
        <f t="shared" si="65"/>
        <v>#REF!</v>
      </c>
      <c r="M502" s="422" t="e">
        <f>IF(I502="","",WORKDAY(L502-1,1,FERIADOS!$A$2:$A$831))</f>
        <v>#REF!</v>
      </c>
      <c r="N502" s="219" t="e">
        <f>IF(I502="","",NETWORKDAYS(Curva!$M$2,M502,FERIADOS!$A$2:$A$831)-1)</f>
        <v>#REF!</v>
      </c>
      <c r="O502" s="423" t="e">
        <f>IF(C502&lt;&gt;"",IF(ISERROR((100000/E502)^(252/N502)-1),Curva!$B$2,((100000/E502)^(252/N502)-1)),"")</f>
        <v>#REF!</v>
      </c>
      <c r="P502" s="219" t="e">
        <f>IF(OR(G502=1,G502=2),dadosexternosBMF_1!B505,"")</f>
        <v>#REF!</v>
      </c>
      <c r="Q502" s="219" t="e">
        <f>IF(OR(G502=1,G502=2),dadosexternosBMF_1!D505,"")</f>
        <v>#REF!</v>
      </c>
    </row>
    <row r="503" spans="1:17" x14ac:dyDescent="0.2">
      <c r="A503" s="222" t="e">
        <f t="shared" si="60"/>
        <v>#REF!</v>
      </c>
      <c r="B503" s="222" t="str">
        <f>IF(dadosexternosBMF_1!A506="DI1 - DI de 1 dia","DI1 - DI de 1 dia","")</f>
        <v/>
      </c>
      <c r="C503" s="222" t="e">
        <f>IF(dadosexternosBMF_1!A506="DOL - Dólar comercial","",IF(C502&lt;&gt;"",dadosexternosBMF_1!B506,IF(dadosexternosBMF_1!A506="DI1 - DI de 1 dia",dadosexternosBMF_1!B506,"")))</f>
        <v>#REF!</v>
      </c>
      <c r="D503" s="222" t="e">
        <f>IF(C503&lt;&gt;"",dadosexternosBMF_1!C506,"")</f>
        <v>#REF!</v>
      </c>
      <c r="E503" s="222" t="e">
        <f>IF(C503&lt;&gt;"",dadosexternosBMF_1!D506,"")</f>
        <v>#REF!</v>
      </c>
      <c r="G503" s="219" t="e">
        <f t="shared" si="61"/>
        <v>#REF!</v>
      </c>
      <c r="H503" s="219" t="e">
        <f t="shared" si="62"/>
        <v>#REF!</v>
      </c>
      <c r="I503" s="219" t="e">
        <f t="shared" si="63"/>
        <v>#REF!</v>
      </c>
      <c r="J503" s="219" t="e">
        <f>IF(I503="","",VLOOKUP(LEFT(C503,1),dadosexternosBMF_1!$L$2:$M$13,2,FALSE))</f>
        <v>#REF!</v>
      </c>
      <c r="K503" s="219" t="e">
        <f t="shared" si="64"/>
        <v>#REF!</v>
      </c>
      <c r="L503" s="422" t="e">
        <f t="shared" si="65"/>
        <v>#REF!</v>
      </c>
      <c r="M503" s="422" t="e">
        <f>IF(I503="","",WORKDAY(L503-1,1,FERIADOS!$A$2:$A$831))</f>
        <v>#REF!</v>
      </c>
      <c r="N503" s="219" t="e">
        <f>IF(I503="","",NETWORKDAYS(Curva!$M$2,M503,FERIADOS!$A$2:$A$831)-1)</f>
        <v>#REF!</v>
      </c>
      <c r="O503" s="423" t="e">
        <f>IF(C503&lt;&gt;"",IF(ISERROR((100000/E503)^(252/N503)-1),Curva!$B$2,((100000/E503)^(252/N503)-1)),"")</f>
        <v>#REF!</v>
      </c>
      <c r="P503" s="219" t="e">
        <f>IF(OR(G503=1,G503=2),dadosexternosBMF_1!B506,"")</f>
        <v>#REF!</v>
      </c>
      <c r="Q503" s="219" t="e">
        <f>IF(OR(G503=1,G503=2),dadosexternosBMF_1!D506,"")</f>
        <v>#REF!</v>
      </c>
    </row>
    <row r="504" spans="1:17" x14ac:dyDescent="0.2">
      <c r="A504" s="222" t="e">
        <f t="shared" si="60"/>
        <v>#REF!</v>
      </c>
      <c r="B504" s="222" t="str">
        <f>IF(dadosexternosBMF_1!A507="DI1 - DI de 1 dia","DI1 - DI de 1 dia","")</f>
        <v/>
      </c>
      <c r="C504" s="222" t="e">
        <f>IF(dadosexternosBMF_1!A507="DOL - Dólar comercial","",IF(C503&lt;&gt;"",dadosexternosBMF_1!B507,IF(dadosexternosBMF_1!A507="DI1 - DI de 1 dia",dadosexternosBMF_1!B507,"")))</f>
        <v>#REF!</v>
      </c>
      <c r="D504" s="222" t="e">
        <f>IF(C504&lt;&gt;"",dadosexternosBMF_1!C507,"")</f>
        <v>#REF!</v>
      </c>
      <c r="E504" s="222" t="e">
        <f>IF(C504&lt;&gt;"",dadosexternosBMF_1!D507,"")</f>
        <v>#REF!</v>
      </c>
      <c r="G504" s="219" t="e">
        <f t="shared" si="61"/>
        <v>#REF!</v>
      </c>
      <c r="H504" s="219" t="e">
        <f t="shared" si="62"/>
        <v>#REF!</v>
      </c>
      <c r="I504" s="219" t="e">
        <f t="shared" si="63"/>
        <v>#REF!</v>
      </c>
      <c r="J504" s="219" t="e">
        <f>IF(I504="","",VLOOKUP(LEFT(C504,1),dadosexternosBMF_1!$L$2:$M$13,2,FALSE))</f>
        <v>#REF!</v>
      </c>
      <c r="K504" s="219" t="e">
        <f t="shared" si="64"/>
        <v>#REF!</v>
      </c>
      <c r="L504" s="422" t="e">
        <f t="shared" si="65"/>
        <v>#REF!</v>
      </c>
      <c r="M504" s="422" t="e">
        <f>IF(I504="","",WORKDAY(L504-1,1,FERIADOS!$A$2:$A$831))</f>
        <v>#REF!</v>
      </c>
      <c r="N504" s="219" t="e">
        <f>IF(I504="","",NETWORKDAYS(Curva!$M$2,M504,FERIADOS!$A$2:$A$831)-1)</f>
        <v>#REF!</v>
      </c>
      <c r="O504" s="423" t="e">
        <f>IF(C504&lt;&gt;"",IF(ISERROR((100000/E504)^(252/N504)-1),Curva!$B$2,((100000/E504)^(252/N504)-1)),"")</f>
        <v>#REF!</v>
      </c>
      <c r="P504" s="219" t="e">
        <f>IF(OR(G504=1,G504=2),dadosexternosBMF_1!B507,"")</f>
        <v>#REF!</v>
      </c>
      <c r="Q504" s="219" t="e">
        <f>IF(OR(G504=1,G504=2),dadosexternosBMF_1!D507,"")</f>
        <v>#REF!</v>
      </c>
    </row>
    <row r="505" spans="1:17" x14ac:dyDescent="0.2">
      <c r="A505" s="222" t="e">
        <f t="shared" si="60"/>
        <v>#REF!</v>
      </c>
      <c r="B505" s="222" t="str">
        <f>IF(dadosexternosBMF_1!A508="DI1 - DI de 1 dia","DI1 - DI de 1 dia","")</f>
        <v/>
      </c>
      <c r="C505" s="222" t="e">
        <f>IF(dadosexternosBMF_1!A508="DOL - Dólar comercial","",IF(C504&lt;&gt;"",dadosexternosBMF_1!B508,IF(dadosexternosBMF_1!A508="DI1 - DI de 1 dia",dadosexternosBMF_1!B508,"")))</f>
        <v>#REF!</v>
      </c>
      <c r="D505" s="222" t="e">
        <f>IF(C505&lt;&gt;"",dadosexternosBMF_1!C508,"")</f>
        <v>#REF!</v>
      </c>
      <c r="E505" s="222" t="e">
        <f>IF(C505&lt;&gt;"",dadosexternosBMF_1!D508,"")</f>
        <v>#REF!</v>
      </c>
      <c r="G505" s="219" t="e">
        <f t="shared" si="61"/>
        <v>#REF!</v>
      </c>
      <c r="H505" s="219" t="e">
        <f t="shared" si="62"/>
        <v>#REF!</v>
      </c>
      <c r="I505" s="219" t="e">
        <f t="shared" si="63"/>
        <v>#REF!</v>
      </c>
      <c r="J505" s="219" t="e">
        <f>IF(I505="","",VLOOKUP(LEFT(C505,1),dadosexternosBMF_1!$L$2:$M$13,2,FALSE))</f>
        <v>#REF!</v>
      </c>
      <c r="K505" s="219" t="e">
        <f t="shared" si="64"/>
        <v>#REF!</v>
      </c>
      <c r="L505" s="422" t="e">
        <f t="shared" si="65"/>
        <v>#REF!</v>
      </c>
      <c r="M505" s="422" t="e">
        <f>IF(I505="","",WORKDAY(L505-1,1,FERIADOS!$A$2:$A$831))</f>
        <v>#REF!</v>
      </c>
      <c r="N505" s="219" t="e">
        <f>IF(I505="","",NETWORKDAYS(Curva!$M$2,M505,FERIADOS!$A$2:$A$831)-1)</f>
        <v>#REF!</v>
      </c>
      <c r="O505" s="423" t="e">
        <f>IF(C505&lt;&gt;"",IF(ISERROR((100000/E505)^(252/N505)-1),Curva!$B$2,((100000/E505)^(252/N505)-1)),"")</f>
        <v>#REF!</v>
      </c>
      <c r="P505" s="219" t="e">
        <f>IF(OR(G505=1,G505=2),dadosexternosBMF_1!B508,"")</f>
        <v>#REF!</v>
      </c>
      <c r="Q505" s="219" t="e">
        <f>IF(OR(G505=1,G505=2),dadosexternosBMF_1!D508,"")</f>
        <v>#REF!</v>
      </c>
    </row>
    <row r="506" spans="1:17" x14ac:dyDescent="0.2">
      <c r="A506" s="222" t="e">
        <f t="shared" si="60"/>
        <v>#REF!</v>
      </c>
      <c r="B506" s="222" t="str">
        <f>IF(dadosexternosBMF_1!A509="DI1 - DI de 1 dia","DI1 - DI de 1 dia","")</f>
        <v/>
      </c>
      <c r="C506" s="222" t="e">
        <f>IF(dadosexternosBMF_1!A509="DOL - Dólar comercial","",IF(C505&lt;&gt;"",dadosexternosBMF_1!B509,IF(dadosexternosBMF_1!A509="DI1 - DI de 1 dia",dadosexternosBMF_1!B509,"")))</f>
        <v>#REF!</v>
      </c>
      <c r="D506" s="222" t="e">
        <f>IF(C506&lt;&gt;"",dadosexternosBMF_1!C509,"")</f>
        <v>#REF!</v>
      </c>
      <c r="E506" s="222" t="e">
        <f>IF(C506&lt;&gt;"",dadosexternosBMF_1!D509,"")</f>
        <v>#REF!</v>
      </c>
      <c r="G506" s="219" t="e">
        <f t="shared" si="61"/>
        <v>#REF!</v>
      </c>
      <c r="H506" s="219" t="e">
        <f t="shared" si="62"/>
        <v>#REF!</v>
      </c>
      <c r="I506" s="219" t="e">
        <f t="shared" si="63"/>
        <v>#REF!</v>
      </c>
      <c r="J506" s="219" t="e">
        <f>IF(I506="","",VLOOKUP(LEFT(C506,1),dadosexternosBMF_1!$L$2:$M$13,2,FALSE))</f>
        <v>#REF!</v>
      </c>
      <c r="K506" s="219" t="e">
        <f t="shared" si="64"/>
        <v>#REF!</v>
      </c>
      <c r="L506" s="422" t="e">
        <f t="shared" si="65"/>
        <v>#REF!</v>
      </c>
      <c r="M506" s="422" t="e">
        <f>IF(I506="","",WORKDAY(L506-1,1,FERIADOS!$A$2:$A$831))</f>
        <v>#REF!</v>
      </c>
      <c r="N506" s="219" t="e">
        <f>IF(I506="","",NETWORKDAYS(Curva!$M$2,M506,FERIADOS!$A$2:$A$831)-1)</f>
        <v>#REF!</v>
      </c>
      <c r="O506" s="423" t="e">
        <f>IF(C506&lt;&gt;"",IF(ISERROR((100000/E506)^(252/N506)-1),Curva!$B$2,((100000/E506)^(252/N506)-1)),"")</f>
        <v>#REF!</v>
      </c>
      <c r="P506" s="219" t="e">
        <f>IF(OR(G506=1,G506=2),dadosexternosBMF_1!B509,"")</f>
        <v>#REF!</v>
      </c>
      <c r="Q506" s="219" t="e">
        <f>IF(OR(G506=1,G506=2),dadosexternosBMF_1!D509,"")</f>
        <v>#REF!</v>
      </c>
    </row>
    <row r="507" spans="1:17" x14ac:dyDescent="0.2">
      <c r="A507" s="222" t="e">
        <f t="shared" si="60"/>
        <v>#REF!</v>
      </c>
      <c r="B507" s="222" t="str">
        <f>IF(dadosexternosBMF_1!A510="DI1 - DI de 1 dia","DI1 - DI de 1 dia","")</f>
        <v/>
      </c>
      <c r="C507" s="222" t="e">
        <f>IF(dadosexternosBMF_1!A510="DOL - Dólar comercial","",IF(C506&lt;&gt;"",dadosexternosBMF_1!B510,IF(dadosexternosBMF_1!A510="DI1 - DI de 1 dia",dadosexternosBMF_1!B510,"")))</f>
        <v>#REF!</v>
      </c>
      <c r="D507" s="222" t="e">
        <f>IF(C507&lt;&gt;"",dadosexternosBMF_1!C510,"")</f>
        <v>#REF!</v>
      </c>
      <c r="E507" s="222" t="e">
        <f>IF(C507&lt;&gt;"",dadosexternosBMF_1!D510,"")</f>
        <v>#REF!</v>
      </c>
      <c r="G507" s="219" t="e">
        <f t="shared" si="61"/>
        <v>#REF!</v>
      </c>
      <c r="H507" s="219" t="e">
        <f t="shared" si="62"/>
        <v>#REF!</v>
      </c>
      <c r="I507" s="219" t="e">
        <f t="shared" si="63"/>
        <v>#REF!</v>
      </c>
      <c r="J507" s="219" t="e">
        <f>IF(I507="","",VLOOKUP(LEFT(C507,1),dadosexternosBMF_1!$L$2:$M$13,2,FALSE))</f>
        <v>#REF!</v>
      </c>
      <c r="K507" s="219" t="e">
        <f t="shared" si="64"/>
        <v>#REF!</v>
      </c>
      <c r="L507" s="422" t="e">
        <f t="shared" si="65"/>
        <v>#REF!</v>
      </c>
      <c r="M507" s="422" t="e">
        <f>IF(I507="","",WORKDAY(L507-1,1,FERIADOS!$A$2:$A$831))</f>
        <v>#REF!</v>
      </c>
      <c r="N507" s="219" t="e">
        <f>IF(I507="","",NETWORKDAYS(Curva!$M$2,M507,FERIADOS!$A$2:$A$831)-1)</f>
        <v>#REF!</v>
      </c>
      <c r="O507" s="423" t="e">
        <f>IF(C507&lt;&gt;"",IF(ISERROR((100000/E507)^(252/N507)-1),Curva!$B$2,((100000/E507)^(252/N507)-1)),"")</f>
        <v>#REF!</v>
      </c>
      <c r="P507" s="219" t="e">
        <f>IF(OR(G507=1,G507=2),dadosexternosBMF_1!B510,"")</f>
        <v>#REF!</v>
      </c>
      <c r="Q507" s="219" t="e">
        <f>IF(OR(G507=1,G507=2),dadosexternosBMF_1!D510,"")</f>
        <v>#REF!</v>
      </c>
    </row>
    <row r="508" spans="1:17" x14ac:dyDescent="0.2">
      <c r="A508" s="222" t="e">
        <f t="shared" si="60"/>
        <v>#REF!</v>
      </c>
      <c r="B508" s="222" t="str">
        <f>IF(dadosexternosBMF_1!A511="DI1 - DI de 1 dia","DI1 - DI de 1 dia","")</f>
        <v/>
      </c>
      <c r="C508" s="222" t="e">
        <f>IF(dadosexternosBMF_1!A511="DOL - Dólar comercial","",IF(C507&lt;&gt;"",dadosexternosBMF_1!B511,IF(dadosexternosBMF_1!A511="DI1 - DI de 1 dia",dadosexternosBMF_1!B511,"")))</f>
        <v>#REF!</v>
      </c>
      <c r="D508" s="222" t="e">
        <f>IF(C508&lt;&gt;"",dadosexternosBMF_1!C511,"")</f>
        <v>#REF!</v>
      </c>
      <c r="E508" s="222" t="e">
        <f>IF(C508&lt;&gt;"",dadosexternosBMF_1!D511,"")</f>
        <v>#REF!</v>
      </c>
      <c r="G508" s="219" t="e">
        <f t="shared" si="61"/>
        <v>#REF!</v>
      </c>
      <c r="H508" s="219" t="e">
        <f t="shared" si="62"/>
        <v>#REF!</v>
      </c>
      <c r="I508" s="219" t="e">
        <f t="shared" si="63"/>
        <v>#REF!</v>
      </c>
      <c r="J508" s="219" t="e">
        <f>IF(I508="","",VLOOKUP(LEFT(C508,1),dadosexternosBMF_1!$L$2:$M$13,2,FALSE))</f>
        <v>#REF!</v>
      </c>
      <c r="K508" s="219" t="e">
        <f t="shared" si="64"/>
        <v>#REF!</v>
      </c>
      <c r="L508" s="422" t="e">
        <f t="shared" si="65"/>
        <v>#REF!</v>
      </c>
      <c r="M508" s="422" t="e">
        <f>IF(I508="","",WORKDAY(L508-1,1,FERIADOS!$A$2:$A$831))</f>
        <v>#REF!</v>
      </c>
      <c r="N508" s="219" t="e">
        <f>IF(I508="","",NETWORKDAYS(Curva!$M$2,M508,FERIADOS!$A$2:$A$831)-1)</f>
        <v>#REF!</v>
      </c>
      <c r="O508" s="423" t="e">
        <f>IF(C508&lt;&gt;"",IF(ISERROR((100000/E508)^(252/N508)-1),Curva!$B$2,((100000/E508)^(252/N508)-1)),"")</f>
        <v>#REF!</v>
      </c>
      <c r="P508" s="219" t="e">
        <f>IF(OR(G508=1,G508=2),dadosexternosBMF_1!B511,"")</f>
        <v>#REF!</v>
      </c>
      <c r="Q508" s="219" t="e">
        <f>IF(OR(G508=1,G508=2),dadosexternosBMF_1!D511,"")</f>
        <v>#REF!</v>
      </c>
    </row>
    <row r="509" spans="1:17" x14ac:dyDescent="0.2">
      <c r="A509" s="222" t="e">
        <f t="shared" si="60"/>
        <v>#REF!</v>
      </c>
      <c r="B509" s="222" t="str">
        <f>IF(dadosexternosBMF_1!A512="DI1 - DI de 1 dia","DI1 - DI de 1 dia","")</f>
        <v/>
      </c>
      <c r="C509" s="222" t="e">
        <f>IF(dadosexternosBMF_1!A512="DOL - Dólar comercial","",IF(C508&lt;&gt;"",dadosexternosBMF_1!B512,IF(dadosexternosBMF_1!A512="DI1 - DI de 1 dia",dadosexternosBMF_1!B512,"")))</f>
        <v>#REF!</v>
      </c>
      <c r="D509" s="222" t="e">
        <f>IF(C509&lt;&gt;"",dadosexternosBMF_1!C512,"")</f>
        <v>#REF!</v>
      </c>
      <c r="E509" s="222" t="e">
        <f>IF(C509&lt;&gt;"",dadosexternosBMF_1!D512,"")</f>
        <v>#REF!</v>
      </c>
      <c r="G509" s="219" t="e">
        <f t="shared" si="61"/>
        <v>#REF!</v>
      </c>
      <c r="H509" s="219" t="e">
        <f t="shared" si="62"/>
        <v>#REF!</v>
      </c>
      <c r="I509" s="219" t="e">
        <f t="shared" si="63"/>
        <v>#REF!</v>
      </c>
      <c r="J509" s="219" t="e">
        <f>IF(I509="","",VLOOKUP(LEFT(C509,1),dadosexternosBMF_1!$L$2:$M$13,2,FALSE))</f>
        <v>#REF!</v>
      </c>
      <c r="K509" s="219" t="e">
        <f t="shared" si="64"/>
        <v>#REF!</v>
      </c>
      <c r="L509" s="422" t="e">
        <f t="shared" si="65"/>
        <v>#REF!</v>
      </c>
      <c r="M509" s="422" t="e">
        <f>IF(I509="","",WORKDAY(L509-1,1,FERIADOS!$A$2:$A$831))</f>
        <v>#REF!</v>
      </c>
      <c r="N509" s="219" t="e">
        <f>IF(I509="","",NETWORKDAYS(Curva!$M$2,M509,FERIADOS!$A$2:$A$831)-1)</f>
        <v>#REF!</v>
      </c>
      <c r="O509" s="423" t="e">
        <f>IF(C509&lt;&gt;"",IF(ISERROR((100000/E509)^(252/N509)-1),Curva!$B$2,((100000/E509)^(252/N509)-1)),"")</f>
        <v>#REF!</v>
      </c>
      <c r="P509" s="219" t="e">
        <f>IF(OR(G509=1,G509=2),dadosexternosBMF_1!B512,"")</f>
        <v>#REF!</v>
      </c>
      <c r="Q509" s="219" t="e">
        <f>IF(OR(G509=1,G509=2),dadosexternosBMF_1!D512,"")</f>
        <v>#REF!</v>
      </c>
    </row>
    <row r="510" spans="1:17" x14ac:dyDescent="0.2">
      <c r="A510" s="222" t="e">
        <f t="shared" si="60"/>
        <v>#REF!</v>
      </c>
      <c r="B510" s="222" t="str">
        <f>IF(dadosexternosBMF_1!A513="DI1 - DI de 1 dia","DI1 - DI de 1 dia","")</f>
        <v/>
      </c>
      <c r="C510" s="222" t="e">
        <f>IF(dadosexternosBMF_1!A513="DOL - Dólar comercial","",IF(C509&lt;&gt;"",dadosexternosBMF_1!B513,IF(dadosexternosBMF_1!A513="DI1 - DI de 1 dia",dadosexternosBMF_1!B513,"")))</f>
        <v>#REF!</v>
      </c>
      <c r="D510" s="222" t="e">
        <f>IF(C510&lt;&gt;"",dadosexternosBMF_1!C513,"")</f>
        <v>#REF!</v>
      </c>
      <c r="E510" s="222" t="e">
        <f>IF(C510&lt;&gt;"",dadosexternosBMF_1!D513,"")</f>
        <v>#REF!</v>
      </c>
      <c r="G510" s="219" t="e">
        <f t="shared" si="61"/>
        <v>#REF!</v>
      </c>
      <c r="H510" s="219" t="e">
        <f t="shared" si="62"/>
        <v>#REF!</v>
      </c>
      <c r="I510" s="219" t="e">
        <f t="shared" si="63"/>
        <v>#REF!</v>
      </c>
      <c r="J510" s="219" t="e">
        <f>IF(I510="","",VLOOKUP(LEFT(C510,1),dadosexternosBMF_1!$L$2:$M$13,2,FALSE))</f>
        <v>#REF!</v>
      </c>
      <c r="K510" s="219" t="e">
        <f t="shared" si="64"/>
        <v>#REF!</v>
      </c>
      <c r="L510" s="422" t="e">
        <f t="shared" si="65"/>
        <v>#REF!</v>
      </c>
      <c r="M510" s="422" t="e">
        <f>IF(I510="","",WORKDAY(L510-1,1,FERIADOS!$A$2:$A$831))</f>
        <v>#REF!</v>
      </c>
      <c r="N510" s="219" t="e">
        <f>IF(I510="","",NETWORKDAYS(Curva!$M$2,M510,FERIADOS!$A$2:$A$831)-1)</f>
        <v>#REF!</v>
      </c>
      <c r="O510" s="423" t="e">
        <f>IF(C510&lt;&gt;"",IF(ISERROR((100000/E510)^(252/N510)-1),Curva!$B$2,((100000/E510)^(252/N510)-1)),"")</f>
        <v>#REF!</v>
      </c>
      <c r="P510" s="219" t="e">
        <f>IF(OR(G510=1,G510=2),dadosexternosBMF_1!B513,"")</f>
        <v>#REF!</v>
      </c>
      <c r="Q510" s="219" t="e">
        <f>IF(OR(G510=1,G510=2),dadosexternosBMF_1!D513,"")</f>
        <v>#REF!</v>
      </c>
    </row>
    <row r="511" spans="1:17" x14ac:dyDescent="0.2">
      <c r="A511" s="222" t="e">
        <f t="shared" si="60"/>
        <v>#REF!</v>
      </c>
      <c r="B511" s="222" t="str">
        <f>IF(dadosexternosBMF_1!A514="DI1 - DI de 1 dia","DI1 - DI de 1 dia","")</f>
        <v/>
      </c>
      <c r="C511" s="222" t="e">
        <f>IF(dadosexternosBMF_1!A514="DOL - Dólar comercial","",IF(C510&lt;&gt;"",dadosexternosBMF_1!B514,IF(dadosexternosBMF_1!A514="DI1 - DI de 1 dia",dadosexternosBMF_1!B514,"")))</f>
        <v>#REF!</v>
      </c>
      <c r="D511" s="222" t="e">
        <f>IF(C511&lt;&gt;"",dadosexternosBMF_1!C514,"")</f>
        <v>#REF!</v>
      </c>
      <c r="E511" s="222" t="e">
        <f>IF(C511&lt;&gt;"",dadosexternosBMF_1!D514,"")</f>
        <v>#REF!</v>
      </c>
      <c r="G511" s="219" t="e">
        <f t="shared" si="61"/>
        <v>#REF!</v>
      </c>
      <c r="H511" s="219" t="e">
        <f t="shared" si="62"/>
        <v>#REF!</v>
      </c>
      <c r="I511" s="219" t="e">
        <f t="shared" si="63"/>
        <v>#REF!</v>
      </c>
      <c r="J511" s="219" t="e">
        <f>IF(I511="","",VLOOKUP(LEFT(C511,1),dadosexternosBMF_1!$L$2:$M$13,2,FALSE))</f>
        <v>#REF!</v>
      </c>
      <c r="K511" s="219" t="e">
        <f t="shared" si="64"/>
        <v>#REF!</v>
      </c>
      <c r="L511" s="422" t="e">
        <f t="shared" si="65"/>
        <v>#REF!</v>
      </c>
      <c r="M511" s="422" t="e">
        <f>IF(I511="","",WORKDAY(L511-1,1,FERIADOS!$A$2:$A$831))</f>
        <v>#REF!</v>
      </c>
      <c r="N511" s="219" t="e">
        <f>IF(I511="","",NETWORKDAYS(Curva!$M$2,M511,FERIADOS!$A$2:$A$831)-1)</f>
        <v>#REF!</v>
      </c>
      <c r="O511" s="423" t="e">
        <f>IF(C511&lt;&gt;"",IF(ISERROR((100000/E511)^(252/N511)-1),Curva!$B$2,((100000/E511)^(252/N511)-1)),"")</f>
        <v>#REF!</v>
      </c>
      <c r="P511" s="219" t="e">
        <f>IF(OR(G511=1,G511=2),dadosexternosBMF_1!B514,"")</f>
        <v>#REF!</v>
      </c>
      <c r="Q511" s="219" t="e">
        <f>IF(OR(G511=1,G511=2),dadosexternosBMF_1!D514,"")</f>
        <v>#REF!</v>
      </c>
    </row>
    <row r="512" spans="1:17" x14ac:dyDescent="0.2">
      <c r="A512" s="222" t="e">
        <f t="shared" si="60"/>
        <v>#REF!</v>
      </c>
      <c r="B512" s="222" t="str">
        <f>IF(dadosexternosBMF_1!A515="DI1 - DI de 1 dia","DI1 - DI de 1 dia","")</f>
        <v/>
      </c>
      <c r="C512" s="222" t="e">
        <f>IF(dadosexternosBMF_1!A515="DOL - Dólar comercial","",IF(C511&lt;&gt;"",dadosexternosBMF_1!B515,IF(dadosexternosBMF_1!A515="DI1 - DI de 1 dia",dadosexternosBMF_1!B515,"")))</f>
        <v>#REF!</v>
      </c>
      <c r="D512" s="222" t="e">
        <f>IF(C512&lt;&gt;"",dadosexternosBMF_1!C515,"")</f>
        <v>#REF!</v>
      </c>
      <c r="E512" s="222" t="e">
        <f>IF(C512&lt;&gt;"",dadosexternosBMF_1!D515,"")</f>
        <v>#REF!</v>
      </c>
      <c r="G512" s="219" t="e">
        <f t="shared" si="61"/>
        <v>#REF!</v>
      </c>
      <c r="H512" s="219" t="e">
        <f t="shared" si="62"/>
        <v>#REF!</v>
      </c>
      <c r="I512" s="219" t="e">
        <f t="shared" si="63"/>
        <v>#REF!</v>
      </c>
      <c r="J512" s="219" t="e">
        <f>IF(I512="","",VLOOKUP(LEFT(C512,1),dadosexternosBMF_1!$L$2:$M$13,2,FALSE))</f>
        <v>#REF!</v>
      </c>
      <c r="K512" s="219" t="e">
        <f t="shared" si="64"/>
        <v>#REF!</v>
      </c>
      <c r="L512" s="422" t="e">
        <f t="shared" si="65"/>
        <v>#REF!</v>
      </c>
      <c r="M512" s="422" t="e">
        <f>IF(I512="","",WORKDAY(L512-1,1,FERIADOS!$A$2:$A$831))</f>
        <v>#REF!</v>
      </c>
      <c r="N512" s="219" t="e">
        <f>IF(I512="","",NETWORKDAYS(Curva!$M$2,M512,FERIADOS!$A$2:$A$831)-1)</f>
        <v>#REF!</v>
      </c>
      <c r="O512" s="423" t="e">
        <f>IF(C512&lt;&gt;"",IF(ISERROR((100000/E512)^(252/N512)-1),Curva!$B$2,((100000/E512)^(252/N512)-1)),"")</f>
        <v>#REF!</v>
      </c>
      <c r="P512" s="219" t="e">
        <f>IF(OR(G512=1,G512=2),dadosexternosBMF_1!B515,"")</f>
        <v>#REF!</v>
      </c>
      <c r="Q512" s="219" t="e">
        <f>IF(OR(G512=1,G512=2),dadosexternosBMF_1!D515,"")</f>
        <v>#REF!</v>
      </c>
    </row>
    <row r="513" spans="1:17" x14ac:dyDescent="0.2">
      <c r="A513" s="222" t="e">
        <f t="shared" si="60"/>
        <v>#REF!</v>
      </c>
      <c r="B513" s="222" t="str">
        <f>IF(dadosexternosBMF_1!A516="DI1 - DI de 1 dia","DI1 - DI de 1 dia","")</f>
        <v/>
      </c>
      <c r="C513" s="222" t="e">
        <f>IF(dadosexternosBMF_1!A516="DOL - Dólar comercial","",IF(C512&lt;&gt;"",dadosexternosBMF_1!B516,IF(dadosexternosBMF_1!A516="DI1 - DI de 1 dia",dadosexternosBMF_1!B516,"")))</f>
        <v>#REF!</v>
      </c>
      <c r="D513" s="222" t="e">
        <f>IF(C513&lt;&gt;"",dadosexternosBMF_1!C516,"")</f>
        <v>#REF!</v>
      </c>
      <c r="E513" s="222" t="e">
        <f>IF(C513&lt;&gt;"",dadosexternosBMF_1!D516,"")</f>
        <v>#REF!</v>
      </c>
      <c r="G513" s="219" t="e">
        <f t="shared" si="61"/>
        <v>#REF!</v>
      </c>
      <c r="H513" s="219" t="e">
        <f t="shared" si="62"/>
        <v>#REF!</v>
      </c>
      <c r="I513" s="219" t="e">
        <f t="shared" si="63"/>
        <v>#REF!</v>
      </c>
      <c r="J513" s="219" t="e">
        <f>IF(I513="","",VLOOKUP(LEFT(C513,1),dadosexternosBMF_1!$L$2:$M$13,2,FALSE))</f>
        <v>#REF!</v>
      </c>
      <c r="K513" s="219" t="e">
        <f t="shared" si="64"/>
        <v>#REF!</v>
      </c>
      <c r="L513" s="422" t="e">
        <f t="shared" si="65"/>
        <v>#REF!</v>
      </c>
      <c r="M513" s="422" t="e">
        <f>IF(I513="","",WORKDAY(L513-1,1,FERIADOS!$A$2:$A$831))</f>
        <v>#REF!</v>
      </c>
      <c r="N513" s="219" t="e">
        <f>IF(I513="","",NETWORKDAYS(Curva!$M$2,M513,FERIADOS!$A$2:$A$831)-1)</f>
        <v>#REF!</v>
      </c>
      <c r="O513" s="423" t="e">
        <f>IF(C513&lt;&gt;"",IF(ISERROR((100000/E513)^(252/N513)-1),Curva!$B$2,((100000/E513)^(252/N513)-1)),"")</f>
        <v>#REF!</v>
      </c>
      <c r="P513" s="219" t="e">
        <f>IF(OR(G513=1,G513=2),dadosexternosBMF_1!B516,"")</f>
        <v>#REF!</v>
      </c>
      <c r="Q513" s="219" t="e">
        <f>IF(OR(G513=1,G513=2),dadosexternosBMF_1!D516,"")</f>
        <v>#REF!</v>
      </c>
    </row>
    <row r="514" spans="1:17" x14ac:dyDescent="0.2">
      <c r="A514" s="222" t="e">
        <f t="shared" si="60"/>
        <v>#REF!</v>
      </c>
      <c r="B514" s="222" t="str">
        <f>IF(dadosexternosBMF_1!A517="DI1 - DI de 1 dia","DI1 - DI de 1 dia","")</f>
        <v/>
      </c>
      <c r="C514" s="222" t="e">
        <f>IF(dadosexternosBMF_1!A517="DOL - Dólar comercial","",IF(C513&lt;&gt;"",dadosexternosBMF_1!B517,IF(dadosexternosBMF_1!A517="DI1 - DI de 1 dia",dadosexternosBMF_1!B517,"")))</f>
        <v>#REF!</v>
      </c>
      <c r="D514" s="222" t="e">
        <f>IF(C514&lt;&gt;"",dadosexternosBMF_1!C517,"")</f>
        <v>#REF!</v>
      </c>
      <c r="E514" s="222" t="e">
        <f>IF(C514&lt;&gt;"",dadosexternosBMF_1!D517,"")</f>
        <v>#REF!</v>
      </c>
      <c r="G514" s="219" t="e">
        <f t="shared" si="61"/>
        <v>#REF!</v>
      </c>
      <c r="H514" s="219" t="e">
        <f t="shared" si="62"/>
        <v>#REF!</v>
      </c>
      <c r="I514" s="219" t="e">
        <f t="shared" si="63"/>
        <v>#REF!</v>
      </c>
      <c r="J514" s="219" t="e">
        <f>IF(I514="","",VLOOKUP(LEFT(C514,1),dadosexternosBMF_1!$L$2:$M$13,2,FALSE))</f>
        <v>#REF!</v>
      </c>
      <c r="K514" s="219" t="e">
        <f t="shared" si="64"/>
        <v>#REF!</v>
      </c>
      <c r="L514" s="422" t="e">
        <f t="shared" si="65"/>
        <v>#REF!</v>
      </c>
      <c r="M514" s="422" t="e">
        <f>IF(I514="","",WORKDAY(L514-1,1,FERIADOS!$A$2:$A$831))</f>
        <v>#REF!</v>
      </c>
      <c r="N514" s="219" t="e">
        <f>IF(I514="","",NETWORKDAYS(Curva!$M$2,M514,FERIADOS!$A$2:$A$831)-1)</f>
        <v>#REF!</v>
      </c>
      <c r="O514" s="423" t="e">
        <f>IF(C514&lt;&gt;"",IF(ISERROR((100000/E514)^(252/N514)-1),Curva!$B$2,((100000/E514)^(252/N514)-1)),"")</f>
        <v>#REF!</v>
      </c>
      <c r="P514" s="219" t="e">
        <f>IF(OR(G514=1,G514=2),dadosexternosBMF_1!B517,"")</f>
        <v>#REF!</v>
      </c>
      <c r="Q514" s="219" t="e">
        <f>IF(OR(G514=1,G514=2),dadosexternosBMF_1!D517,"")</f>
        <v>#REF!</v>
      </c>
    </row>
    <row r="515" spans="1:17" x14ac:dyDescent="0.2">
      <c r="A515" s="222" t="e">
        <f t="shared" si="60"/>
        <v>#REF!</v>
      </c>
      <c r="B515" s="222" t="str">
        <f>IF(dadosexternosBMF_1!A518="DI1 - DI de 1 dia","DI1 - DI de 1 dia","")</f>
        <v/>
      </c>
      <c r="C515" s="222" t="e">
        <f>IF(dadosexternosBMF_1!A518="DOL - Dólar comercial","",IF(C514&lt;&gt;"",dadosexternosBMF_1!B518,IF(dadosexternosBMF_1!A518="DI1 - DI de 1 dia",dadosexternosBMF_1!B518,"")))</f>
        <v>#REF!</v>
      </c>
      <c r="D515" s="222" t="e">
        <f>IF(C515&lt;&gt;"",dadosexternosBMF_1!C518,"")</f>
        <v>#REF!</v>
      </c>
      <c r="E515" s="222" t="e">
        <f>IF(C515&lt;&gt;"",dadosexternosBMF_1!D518,"")</f>
        <v>#REF!</v>
      </c>
      <c r="G515" s="219" t="e">
        <f t="shared" si="61"/>
        <v>#REF!</v>
      </c>
      <c r="H515" s="219" t="e">
        <f t="shared" si="62"/>
        <v>#REF!</v>
      </c>
      <c r="I515" s="219" t="e">
        <f t="shared" si="63"/>
        <v>#REF!</v>
      </c>
      <c r="J515" s="219" t="e">
        <f>IF(I515="","",VLOOKUP(LEFT(C515,1),dadosexternosBMF_1!$L$2:$M$13,2,FALSE))</f>
        <v>#REF!</v>
      </c>
      <c r="K515" s="219" t="e">
        <f t="shared" si="64"/>
        <v>#REF!</v>
      </c>
      <c r="L515" s="422" t="e">
        <f t="shared" si="65"/>
        <v>#REF!</v>
      </c>
      <c r="M515" s="422" t="e">
        <f>IF(I515="","",WORKDAY(L515-1,1,FERIADOS!$A$2:$A$831))</f>
        <v>#REF!</v>
      </c>
      <c r="N515" s="219" t="e">
        <f>IF(I515="","",NETWORKDAYS(Curva!$M$2,M515,FERIADOS!$A$2:$A$831)-1)</f>
        <v>#REF!</v>
      </c>
      <c r="O515" s="423" t="e">
        <f>IF(C515&lt;&gt;"",IF(ISERROR((100000/E515)^(252/N515)-1),Curva!$B$2,((100000/E515)^(252/N515)-1)),"")</f>
        <v>#REF!</v>
      </c>
      <c r="P515" s="219" t="e">
        <f>IF(OR(G515=1,G515=2),dadosexternosBMF_1!B518,"")</f>
        <v>#REF!</v>
      </c>
      <c r="Q515" s="219" t="e">
        <f>IF(OR(G515=1,G515=2),dadosexternosBMF_1!D518,"")</f>
        <v>#REF!</v>
      </c>
    </row>
    <row r="516" spans="1:17" x14ac:dyDescent="0.2">
      <c r="A516" s="222" t="e">
        <f t="shared" si="60"/>
        <v>#REF!</v>
      </c>
      <c r="B516" s="222" t="str">
        <f>IF(dadosexternosBMF_1!A519="DI1 - DI de 1 dia","DI1 - DI de 1 dia","")</f>
        <v/>
      </c>
      <c r="C516" s="222" t="e">
        <f>IF(dadosexternosBMF_1!A519="DOL - Dólar comercial","",IF(C515&lt;&gt;"",dadosexternosBMF_1!B519,IF(dadosexternosBMF_1!A519="DI1 - DI de 1 dia",dadosexternosBMF_1!B519,"")))</f>
        <v>#REF!</v>
      </c>
      <c r="D516" s="222" t="e">
        <f>IF(C516&lt;&gt;"",dadosexternosBMF_1!C519,"")</f>
        <v>#REF!</v>
      </c>
      <c r="E516" s="222" t="e">
        <f>IF(C516&lt;&gt;"",dadosexternosBMF_1!D519,"")</f>
        <v>#REF!</v>
      </c>
      <c r="G516" s="219" t="e">
        <f t="shared" si="61"/>
        <v>#REF!</v>
      </c>
      <c r="H516" s="219" t="e">
        <f t="shared" si="62"/>
        <v>#REF!</v>
      </c>
      <c r="I516" s="219" t="e">
        <f t="shared" si="63"/>
        <v>#REF!</v>
      </c>
      <c r="J516" s="219" t="e">
        <f>IF(I516="","",VLOOKUP(LEFT(C516,1),dadosexternosBMF_1!$L$2:$M$13,2,FALSE))</f>
        <v>#REF!</v>
      </c>
      <c r="K516" s="219" t="e">
        <f t="shared" si="64"/>
        <v>#REF!</v>
      </c>
      <c r="L516" s="422" t="e">
        <f t="shared" si="65"/>
        <v>#REF!</v>
      </c>
      <c r="M516" s="422" t="e">
        <f>IF(I516="","",WORKDAY(L516-1,1,FERIADOS!$A$2:$A$831))</f>
        <v>#REF!</v>
      </c>
      <c r="N516" s="219" t="e">
        <f>IF(I516="","",NETWORKDAYS(Curva!$M$2,M516,FERIADOS!$A$2:$A$831)-1)</f>
        <v>#REF!</v>
      </c>
      <c r="O516" s="423" t="e">
        <f>IF(C516&lt;&gt;"",IF(ISERROR((100000/E516)^(252/N516)-1),Curva!$B$2,((100000/E516)^(252/N516)-1)),"")</f>
        <v>#REF!</v>
      </c>
      <c r="P516" s="219" t="e">
        <f>IF(OR(G516=1,G516=2),dadosexternosBMF_1!B519,"")</f>
        <v>#REF!</v>
      </c>
      <c r="Q516" s="219" t="e">
        <f>IF(OR(G516=1,G516=2),dadosexternosBMF_1!D519,"")</f>
        <v>#REF!</v>
      </c>
    </row>
    <row r="517" spans="1:17" x14ac:dyDescent="0.2">
      <c r="A517" s="222" t="e">
        <f t="shared" si="60"/>
        <v>#REF!</v>
      </c>
      <c r="B517" s="222" t="str">
        <f>IF(dadosexternosBMF_1!A520="DI1 - DI de 1 dia","DI1 - DI de 1 dia","")</f>
        <v/>
      </c>
      <c r="C517" s="222" t="e">
        <f>IF(dadosexternosBMF_1!A520="DOL - Dólar comercial","",IF(C516&lt;&gt;"",dadosexternosBMF_1!B520,IF(dadosexternosBMF_1!A520="DI1 - DI de 1 dia",dadosexternosBMF_1!B520,"")))</f>
        <v>#REF!</v>
      </c>
      <c r="D517" s="222" t="e">
        <f>IF(C517&lt;&gt;"",dadosexternosBMF_1!C520,"")</f>
        <v>#REF!</v>
      </c>
      <c r="E517" s="222" t="e">
        <f>IF(C517&lt;&gt;"",dadosexternosBMF_1!D520,"")</f>
        <v>#REF!</v>
      </c>
      <c r="G517" s="219" t="e">
        <f t="shared" si="61"/>
        <v>#REF!</v>
      </c>
      <c r="H517" s="219" t="e">
        <f t="shared" si="62"/>
        <v>#REF!</v>
      </c>
      <c r="I517" s="219" t="e">
        <f t="shared" si="63"/>
        <v>#REF!</v>
      </c>
      <c r="J517" s="219" t="e">
        <f>IF(I517="","",VLOOKUP(LEFT(C517,1),dadosexternosBMF_1!$L$2:$M$13,2,FALSE))</f>
        <v>#REF!</v>
      </c>
      <c r="K517" s="219" t="e">
        <f t="shared" si="64"/>
        <v>#REF!</v>
      </c>
      <c r="L517" s="422" t="e">
        <f t="shared" si="65"/>
        <v>#REF!</v>
      </c>
      <c r="M517" s="422" t="e">
        <f>IF(I517="","",WORKDAY(L517-1,1,FERIADOS!$A$2:$A$831))</f>
        <v>#REF!</v>
      </c>
      <c r="N517" s="219" t="e">
        <f>IF(I517="","",NETWORKDAYS(Curva!$M$2,M517,FERIADOS!$A$2:$A$831)-1)</f>
        <v>#REF!</v>
      </c>
      <c r="O517" s="423" t="e">
        <f>IF(C517&lt;&gt;"",IF(ISERROR((100000/E517)^(252/N517)-1),Curva!$B$2,((100000/E517)^(252/N517)-1)),"")</f>
        <v>#REF!</v>
      </c>
      <c r="P517" s="219" t="e">
        <f>IF(OR(G517=1,G517=2),dadosexternosBMF_1!B520,"")</f>
        <v>#REF!</v>
      </c>
      <c r="Q517" s="219" t="e">
        <f>IF(OR(G517=1,G517=2),dadosexternosBMF_1!D520,"")</f>
        <v>#REF!</v>
      </c>
    </row>
    <row r="518" spans="1:17" x14ac:dyDescent="0.2">
      <c r="A518" s="222" t="e">
        <f t="shared" si="60"/>
        <v>#REF!</v>
      </c>
      <c r="B518" s="222" t="str">
        <f>IF(dadosexternosBMF_1!A521="DI1 - DI de 1 dia","DI1 - DI de 1 dia","")</f>
        <v/>
      </c>
      <c r="C518" s="222" t="e">
        <f>IF(dadosexternosBMF_1!A521="DOL - Dólar comercial","",IF(C517&lt;&gt;"",dadosexternosBMF_1!B521,IF(dadosexternosBMF_1!A521="DI1 - DI de 1 dia",dadosexternosBMF_1!B521,"")))</f>
        <v>#REF!</v>
      </c>
      <c r="D518" s="222" t="e">
        <f>IF(C518&lt;&gt;"",dadosexternosBMF_1!C521,"")</f>
        <v>#REF!</v>
      </c>
      <c r="E518" s="222" t="e">
        <f>IF(C518&lt;&gt;"",dadosexternosBMF_1!D521,"")</f>
        <v>#REF!</v>
      </c>
      <c r="G518" s="219" t="e">
        <f t="shared" si="61"/>
        <v>#REF!</v>
      </c>
      <c r="H518" s="219" t="e">
        <f t="shared" si="62"/>
        <v>#REF!</v>
      </c>
      <c r="I518" s="219" t="e">
        <f t="shared" si="63"/>
        <v>#REF!</v>
      </c>
      <c r="J518" s="219" t="e">
        <f>IF(I518="","",VLOOKUP(LEFT(C518,1),dadosexternosBMF_1!$L$2:$M$13,2,FALSE))</f>
        <v>#REF!</v>
      </c>
      <c r="K518" s="219" t="e">
        <f t="shared" si="64"/>
        <v>#REF!</v>
      </c>
      <c r="L518" s="422" t="e">
        <f t="shared" si="65"/>
        <v>#REF!</v>
      </c>
      <c r="M518" s="422" t="e">
        <f>IF(I518="","",WORKDAY(L518-1,1,FERIADOS!$A$2:$A$831))</f>
        <v>#REF!</v>
      </c>
      <c r="N518" s="219" t="e">
        <f>IF(I518="","",NETWORKDAYS(Curva!$M$2,M518,FERIADOS!$A$2:$A$831)-1)</f>
        <v>#REF!</v>
      </c>
      <c r="O518" s="423" t="e">
        <f>IF(C518&lt;&gt;"",IF(ISERROR((100000/E518)^(252/N518)-1),Curva!$B$2,((100000/E518)^(252/N518)-1)),"")</f>
        <v>#REF!</v>
      </c>
      <c r="P518" s="219" t="e">
        <f>IF(OR(G518=1,G518=2),dadosexternosBMF_1!B521,"")</f>
        <v>#REF!</v>
      </c>
      <c r="Q518" s="219" t="e">
        <f>IF(OR(G518=1,G518=2),dadosexternosBMF_1!D521,"")</f>
        <v>#REF!</v>
      </c>
    </row>
    <row r="519" spans="1:17" x14ac:dyDescent="0.2">
      <c r="A519" s="222" t="e">
        <f t="shared" si="60"/>
        <v>#REF!</v>
      </c>
      <c r="B519" s="222" t="str">
        <f>IF(dadosexternosBMF_1!A522="DI1 - DI de 1 dia","DI1 - DI de 1 dia","")</f>
        <v/>
      </c>
      <c r="C519" s="222" t="e">
        <f>IF(dadosexternosBMF_1!A522="DOL - Dólar comercial","",IF(C518&lt;&gt;"",dadosexternosBMF_1!B522,IF(dadosexternosBMF_1!A522="DI1 - DI de 1 dia",dadosexternosBMF_1!B522,"")))</f>
        <v>#REF!</v>
      </c>
      <c r="D519" s="222" t="e">
        <f>IF(C519&lt;&gt;"",dadosexternosBMF_1!C522,"")</f>
        <v>#REF!</v>
      </c>
      <c r="E519" s="222" t="e">
        <f>IF(C519&lt;&gt;"",dadosexternosBMF_1!D522,"")</f>
        <v>#REF!</v>
      </c>
      <c r="G519" s="219" t="e">
        <f t="shared" si="61"/>
        <v>#REF!</v>
      </c>
      <c r="H519" s="219" t="e">
        <f t="shared" si="62"/>
        <v>#REF!</v>
      </c>
      <c r="I519" s="219" t="e">
        <f t="shared" si="63"/>
        <v>#REF!</v>
      </c>
      <c r="J519" s="219" t="e">
        <f>IF(I519="","",VLOOKUP(LEFT(C519,1),dadosexternosBMF_1!$L$2:$M$13,2,FALSE))</f>
        <v>#REF!</v>
      </c>
      <c r="K519" s="219" t="e">
        <f t="shared" si="64"/>
        <v>#REF!</v>
      </c>
      <c r="L519" s="422" t="e">
        <f t="shared" si="65"/>
        <v>#REF!</v>
      </c>
      <c r="M519" s="422" t="e">
        <f>IF(I519="","",WORKDAY(L519-1,1,FERIADOS!$A$2:$A$831))</f>
        <v>#REF!</v>
      </c>
      <c r="N519" s="219" t="e">
        <f>IF(I519="","",NETWORKDAYS(Curva!$M$2,M519,FERIADOS!$A$2:$A$831)-1)</f>
        <v>#REF!</v>
      </c>
      <c r="O519" s="423" t="e">
        <f>IF(C519&lt;&gt;"",IF(ISERROR((100000/E519)^(252/N519)-1),Curva!$B$2,((100000/E519)^(252/N519)-1)),"")</f>
        <v>#REF!</v>
      </c>
      <c r="P519" s="219" t="e">
        <f>IF(OR(G519=1,G519=2),dadosexternosBMF_1!B522,"")</f>
        <v>#REF!</v>
      </c>
      <c r="Q519" s="219" t="e">
        <f>IF(OR(G519=1,G519=2),dadosexternosBMF_1!D522,"")</f>
        <v>#REF!</v>
      </c>
    </row>
    <row r="520" spans="1:17" x14ac:dyDescent="0.2">
      <c r="A520" s="222" t="e">
        <f t="shared" si="60"/>
        <v>#REF!</v>
      </c>
      <c r="B520" s="222" t="str">
        <f>IF(dadosexternosBMF_1!A523="DI1 - DI de 1 dia","DI1 - DI de 1 dia","")</f>
        <v/>
      </c>
      <c r="C520" s="222" t="e">
        <f>IF(dadosexternosBMF_1!A523="DOL - Dólar comercial","",IF(C519&lt;&gt;"",dadosexternosBMF_1!B523,IF(dadosexternosBMF_1!A523="DI1 - DI de 1 dia",dadosexternosBMF_1!B523,"")))</f>
        <v>#REF!</v>
      </c>
      <c r="D520" s="222" t="e">
        <f>IF(C520&lt;&gt;"",dadosexternosBMF_1!C523,"")</f>
        <v>#REF!</v>
      </c>
      <c r="E520" s="222" t="e">
        <f>IF(C520&lt;&gt;"",dadosexternosBMF_1!D523,"")</f>
        <v>#REF!</v>
      </c>
      <c r="G520" s="219" t="e">
        <f t="shared" si="61"/>
        <v>#REF!</v>
      </c>
      <c r="H520" s="219" t="e">
        <f t="shared" si="62"/>
        <v>#REF!</v>
      </c>
      <c r="I520" s="219" t="e">
        <f t="shared" si="63"/>
        <v>#REF!</v>
      </c>
      <c r="J520" s="219" t="e">
        <f>IF(I520="","",VLOOKUP(LEFT(C520,1),dadosexternosBMF_1!$L$2:$M$13,2,FALSE))</f>
        <v>#REF!</v>
      </c>
      <c r="K520" s="219" t="e">
        <f t="shared" si="64"/>
        <v>#REF!</v>
      </c>
      <c r="L520" s="422" t="e">
        <f t="shared" si="65"/>
        <v>#REF!</v>
      </c>
      <c r="M520" s="422" t="e">
        <f>IF(I520="","",WORKDAY(L520-1,1,FERIADOS!$A$2:$A$831))</f>
        <v>#REF!</v>
      </c>
      <c r="N520" s="219" t="e">
        <f>IF(I520="","",NETWORKDAYS(Curva!$M$2,M520,FERIADOS!$A$2:$A$831)-1)</f>
        <v>#REF!</v>
      </c>
      <c r="O520" s="423" t="e">
        <f>IF(C520&lt;&gt;"",IF(ISERROR((100000/E520)^(252/N520)-1),Curva!$B$2,((100000/E520)^(252/N520)-1)),"")</f>
        <v>#REF!</v>
      </c>
      <c r="P520" s="219" t="e">
        <f>IF(OR(G520=1,G520=2),dadosexternosBMF_1!B523,"")</f>
        <v>#REF!</v>
      </c>
      <c r="Q520" s="219" t="e">
        <f>IF(OR(G520=1,G520=2),dadosexternosBMF_1!D523,"")</f>
        <v>#REF!</v>
      </c>
    </row>
    <row r="521" spans="1:17" x14ac:dyDescent="0.2">
      <c r="A521" s="222" t="e">
        <f t="shared" si="60"/>
        <v>#REF!</v>
      </c>
      <c r="B521" s="222" t="str">
        <f>IF(dadosexternosBMF_1!A524="DI1 - DI de 1 dia","DI1 - DI de 1 dia","")</f>
        <v/>
      </c>
      <c r="C521" s="222" t="e">
        <f>IF(dadosexternosBMF_1!A524="DOL - Dólar comercial","",IF(C520&lt;&gt;"",dadosexternosBMF_1!B524,IF(dadosexternosBMF_1!A524="DI1 - DI de 1 dia",dadosexternosBMF_1!B524,"")))</f>
        <v>#REF!</v>
      </c>
      <c r="D521" s="222" t="e">
        <f>IF(C521&lt;&gt;"",dadosexternosBMF_1!C524,"")</f>
        <v>#REF!</v>
      </c>
      <c r="E521" s="222" t="e">
        <f>IF(C521&lt;&gt;"",dadosexternosBMF_1!D524,"")</f>
        <v>#REF!</v>
      </c>
      <c r="G521" s="219" t="e">
        <f t="shared" si="61"/>
        <v>#REF!</v>
      </c>
      <c r="H521" s="219" t="e">
        <f t="shared" si="62"/>
        <v>#REF!</v>
      </c>
      <c r="I521" s="219" t="e">
        <f t="shared" si="63"/>
        <v>#REF!</v>
      </c>
      <c r="J521" s="219" t="e">
        <f>IF(I521="","",VLOOKUP(LEFT(C521,1),dadosexternosBMF_1!$L$2:$M$13,2,FALSE))</f>
        <v>#REF!</v>
      </c>
      <c r="K521" s="219" t="e">
        <f t="shared" si="64"/>
        <v>#REF!</v>
      </c>
      <c r="L521" s="422" t="e">
        <f t="shared" si="65"/>
        <v>#REF!</v>
      </c>
      <c r="M521" s="422" t="e">
        <f>IF(I521="","",WORKDAY(L521-1,1,FERIADOS!$A$2:$A$831))</f>
        <v>#REF!</v>
      </c>
      <c r="N521" s="219" t="e">
        <f>IF(I521="","",NETWORKDAYS(Curva!$M$2,M521,FERIADOS!$A$2:$A$831)-1)</f>
        <v>#REF!</v>
      </c>
      <c r="O521" s="423" t="e">
        <f>IF(C521&lt;&gt;"",IF(ISERROR((100000/E521)^(252/N521)-1),Curva!$B$2,((100000/E521)^(252/N521)-1)),"")</f>
        <v>#REF!</v>
      </c>
      <c r="P521" s="219" t="e">
        <f>IF(OR(G521=1,G521=2),dadosexternosBMF_1!B524,"")</f>
        <v>#REF!</v>
      </c>
      <c r="Q521" s="219" t="e">
        <f>IF(OR(G521=1,G521=2),dadosexternosBMF_1!D524,"")</f>
        <v>#REF!</v>
      </c>
    </row>
    <row r="522" spans="1:17" x14ac:dyDescent="0.2">
      <c r="A522" s="222" t="e">
        <f t="shared" si="60"/>
        <v>#REF!</v>
      </c>
      <c r="B522" s="222" t="str">
        <f>IF(dadosexternosBMF_1!A525="DI1 - DI de 1 dia","DI1 - DI de 1 dia","")</f>
        <v/>
      </c>
      <c r="C522" s="222" t="e">
        <f>IF(dadosexternosBMF_1!A525="DOL - Dólar comercial","",IF(C521&lt;&gt;"",dadosexternosBMF_1!B525,IF(dadosexternosBMF_1!A525="DI1 - DI de 1 dia",dadosexternosBMF_1!B525,"")))</f>
        <v>#REF!</v>
      </c>
      <c r="D522" s="222" t="e">
        <f>IF(C522&lt;&gt;"",dadosexternosBMF_1!C525,"")</f>
        <v>#REF!</v>
      </c>
      <c r="E522" s="222" t="e">
        <f>IF(C522&lt;&gt;"",dadosexternosBMF_1!D525,"")</f>
        <v>#REF!</v>
      </c>
      <c r="G522" s="219" t="e">
        <f t="shared" si="61"/>
        <v>#REF!</v>
      </c>
      <c r="H522" s="219" t="e">
        <f t="shared" si="62"/>
        <v>#REF!</v>
      </c>
      <c r="I522" s="219" t="e">
        <f t="shared" si="63"/>
        <v>#REF!</v>
      </c>
      <c r="J522" s="219" t="e">
        <f>IF(I522="","",VLOOKUP(LEFT(C522,1),dadosexternosBMF_1!$L$2:$M$13,2,FALSE))</f>
        <v>#REF!</v>
      </c>
      <c r="K522" s="219" t="e">
        <f t="shared" si="64"/>
        <v>#REF!</v>
      </c>
      <c r="L522" s="422" t="e">
        <f t="shared" si="65"/>
        <v>#REF!</v>
      </c>
      <c r="M522" s="422" t="e">
        <f>IF(I522="","",WORKDAY(L522-1,1,FERIADOS!$A$2:$A$831))</f>
        <v>#REF!</v>
      </c>
      <c r="N522" s="219" t="e">
        <f>IF(I522="","",NETWORKDAYS(Curva!$M$2,M522,FERIADOS!$A$2:$A$831)-1)</f>
        <v>#REF!</v>
      </c>
      <c r="O522" s="423" t="e">
        <f>IF(C522&lt;&gt;"",IF(ISERROR((100000/E522)^(252/N522)-1),Curva!$B$2,((100000/E522)^(252/N522)-1)),"")</f>
        <v>#REF!</v>
      </c>
      <c r="P522" s="219" t="e">
        <f>IF(OR(G522=1,G522=2),dadosexternosBMF_1!B525,"")</f>
        <v>#REF!</v>
      </c>
      <c r="Q522" s="219" t="e">
        <f>IF(OR(G522=1,G522=2),dadosexternosBMF_1!D525,"")</f>
        <v>#REF!</v>
      </c>
    </row>
    <row r="523" spans="1:17" x14ac:dyDescent="0.2">
      <c r="A523" s="222" t="e">
        <f t="shared" si="60"/>
        <v>#REF!</v>
      </c>
      <c r="B523" s="222" t="str">
        <f>IF(dadosexternosBMF_1!A526="DI1 - DI de 1 dia","DI1 - DI de 1 dia","")</f>
        <v/>
      </c>
      <c r="C523" s="222" t="e">
        <f>IF(dadosexternosBMF_1!A526="DOL - Dólar comercial","",IF(C522&lt;&gt;"",dadosexternosBMF_1!B526,IF(dadosexternosBMF_1!A526="DI1 - DI de 1 dia",dadosexternosBMF_1!B526,"")))</f>
        <v>#REF!</v>
      </c>
      <c r="D523" s="222" t="e">
        <f>IF(C523&lt;&gt;"",dadosexternosBMF_1!C526,"")</f>
        <v>#REF!</v>
      </c>
      <c r="E523" s="222" t="e">
        <f>IF(C523&lt;&gt;"",dadosexternosBMF_1!D526,"")</f>
        <v>#REF!</v>
      </c>
      <c r="G523" s="219" t="e">
        <f t="shared" si="61"/>
        <v>#REF!</v>
      </c>
      <c r="H523" s="219" t="e">
        <f t="shared" si="62"/>
        <v>#REF!</v>
      </c>
      <c r="I523" s="219" t="e">
        <f t="shared" si="63"/>
        <v>#REF!</v>
      </c>
      <c r="J523" s="219" t="e">
        <f>IF(I523="","",VLOOKUP(LEFT(C523,1),dadosexternosBMF_1!$L$2:$M$13,2,FALSE))</f>
        <v>#REF!</v>
      </c>
      <c r="K523" s="219" t="e">
        <f t="shared" si="64"/>
        <v>#REF!</v>
      </c>
      <c r="L523" s="422" t="e">
        <f t="shared" si="65"/>
        <v>#REF!</v>
      </c>
      <c r="M523" s="422" t="e">
        <f>IF(I523="","",WORKDAY(L523-1,1,FERIADOS!$A$2:$A$831))</f>
        <v>#REF!</v>
      </c>
      <c r="N523" s="219" t="e">
        <f>IF(I523="","",NETWORKDAYS(Curva!$M$2,M523,FERIADOS!$A$2:$A$831)-1)</f>
        <v>#REF!</v>
      </c>
      <c r="O523" s="423" t="e">
        <f>IF(C523&lt;&gt;"",IF(ISERROR((100000/E523)^(252/N523)-1),Curva!$B$2,((100000/E523)^(252/N523)-1)),"")</f>
        <v>#REF!</v>
      </c>
      <c r="P523" s="219" t="e">
        <f>IF(OR(G523=1,G523=2),dadosexternosBMF_1!B526,"")</f>
        <v>#REF!</v>
      </c>
      <c r="Q523" s="219" t="e">
        <f>IF(OR(G523=1,G523=2),dadosexternosBMF_1!D526,"")</f>
        <v>#REF!</v>
      </c>
    </row>
    <row r="524" spans="1:17" x14ac:dyDescent="0.2">
      <c r="A524" s="222" t="e">
        <f t="shared" si="60"/>
        <v>#REF!</v>
      </c>
      <c r="B524" s="222" t="str">
        <f>IF(dadosexternosBMF_1!A527="DI1 - DI de 1 dia","DI1 - DI de 1 dia","")</f>
        <v/>
      </c>
      <c r="C524" s="222" t="e">
        <f>IF(dadosexternosBMF_1!A527="DOL - Dólar comercial","",IF(C523&lt;&gt;"",dadosexternosBMF_1!B527,IF(dadosexternosBMF_1!A527="DI1 - DI de 1 dia",dadosexternosBMF_1!B527,"")))</f>
        <v>#REF!</v>
      </c>
      <c r="D524" s="222" t="e">
        <f>IF(C524&lt;&gt;"",dadosexternosBMF_1!C527,"")</f>
        <v>#REF!</v>
      </c>
      <c r="E524" s="222" t="e">
        <f>IF(C524&lt;&gt;"",dadosexternosBMF_1!D527,"")</f>
        <v>#REF!</v>
      </c>
      <c r="G524" s="219" t="e">
        <f t="shared" si="61"/>
        <v>#REF!</v>
      </c>
      <c r="H524" s="219" t="e">
        <f t="shared" si="62"/>
        <v>#REF!</v>
      </c>
      <c r="I524" s="219" t="e">
        <f t="shared" si="63"/>
        <v>#REF!</v>
      </c>
      <c r="J524" s="219" t="e">
        <f>IF(I524="","",VLOOKUP(LEFT(C524,1),dadosexternosBMF_1!$L$2:$M$13,2,FALSE))</f>
        <v>#REF!</v>
      </c>
      <c r="K524" s="219" t="e">
        <f t="shared" si="64"/>
        <v>#REF!</v>
      </c>
      <c r="L524" s="422" t="e">
        <f t="shared" si="65"/>
        <v>#REF!</v>
      </c>
      <c r="M524" s="422" t="e">
        <f>IF(I524="","",WORKDAY(L524-1,1,FERIADOS!$A$2:$A$831))</f>
        <v>#REF!</v>
      </c>
      <c r="N524" s="219" t="e">
        <f>IF(I524="","",NETWORKDAYS(Curva!$M$2,M524,FERIADOS!$A$2:$A$831)-1)</f>
        <v>#REF!</v>
      </c>
      <c r="O524" s="423" t="e">
        <f>IF(C524&lt;&gt;"",IF(ISERROR((100000/E524)^(252/N524)-1),Curva!$B$2,((100000/E524)^(252/N524)-1)),"")</f>
        <v>#REF!</v>
      </c>
      <c r="P524" s="219" t="e">
        <f>IF(OR(G524=1,G524=2),dadosexternosBMF_1!B527,"")</f>
        <v>#REF!</v>
      </c>
      <c r="Q524" s="219" t="e">
        <f>IF(OR(G524=1,G524=2),dadosexternosBMF_1!D527,"")</f>
        <v>#REF!</v>
      </c>
    </row>
    <row r="525" spans="1:17" x14ac:dyDescent="0.2">
      <c r="A525" s="222" t="e">
        <f t="shared" si="60"/>
        <v>#REF!</v>
      </c>
      <c r="B525" s="222" t="str">
        <f>IF(dadosexternosBMF_1!A528="DI1 - DI de 1 dia","DI1 - DI de 1 dia","")</f>
        <v/>
      </c>
      <c r="C525" s="222" t="e">
        <f>IF(dadosexternosBMF_1!A528="DOL - Dólar comercial","",IF(C524&lt;&gt;"",dadosexternosBMF_1!B528,IF(dadosexternosBMF_1!A528="DI1 - DI de 1 dia",dadosexternosBMF_1!B528,"")))</f>
        <v>#REF!</v>
      </c>
      <c r="D525" s="222" t="e">
        <f>IF(C525&lt;&gt;"",dadosexternosBMF_1!C528,"")</f>
        <v>#REF!</v>
      </c>
      <c r="E525" s="222" t="e">
        <f>IF(C525&lt;&gt;"",dadosexternosBMF_1!D528,"")</f>
        <v>#REF!</v>
      </c>
      <c r="G525" s="219" t="e">
        <f t="shared" si="61"/>
        <v>#REF!</v>
      </c>
      <c r="H525" s="219" t="e">
        <f t="shared" si="62"/>
        <v>#REF!</v>
      </c>
      <c r="I525" s="219" t="e">
        <f t="shared" si="63"/>
        <v>#REF!</v>
      </c>
      <c r="J525" s="219" t="e">
        <f>IF(I525="","",VLOOKUP(LEFT(C525,1),dadosexternosBMF_1!$L$2:$M$13,2,FALSE))</f>
        <v>#REF!</v>
      </c>
      <c r="K525" s="219" t="e">
        <f t="shared" si="64"/>
        <v>#REF!</v>
      </c>
      <c r="L525" s="422" t="e">
        <f t="shared" si="65"/>
        <v>#REF!</v>
      </c>
      <c r="M525" s="422" t="e">
        <f>IF(I525="","",WORKDAY(L525-1,1,FERIADOS!$A$2:$A$831))</f>
        <v>#REF!</v>
      </c>
      <c r="N525" s="219" t="e">
        <f>IF(I525="","",NETWORKDAYS(Curva!$M$2,M525,FERIADOS!$A$2:$A$831)-1)</f>
        <v>#REF!</v>
      </c>
      <c r="O525" s="423" t="e">
        <f>IF(C525&lt;&gt;"",IF(ISERROR((100000/E525)^(252/N525)-1),Curva!$B$2,((100000/E525)^(252/N525)-1)),"")</f>
        <v>#REF!</v>
      </c>
      <c r="P525" s="219" t="e">
        <f>IF(OR(G525=1,G525=2),dadosexternosBMF_1!B528,"")</f>
        <v>#REF!</v>
      </c>
      <c r="Q525" s="219" t="e">
        <f>IF(OR(G525=1,G525=2),dadosexternosBMF_1!D528,"")</f>
        <v>#REF!</v>
      </c>
    </row>
    <row r="526" spans="1:17" x14ac:dyDescent="0.2">
      <c r="A526" s="222" t="e">
        <f t="shared" si="60"/>
        <v>#REF!</v>
      </c>
      <c r="B526" s="222" t="str">
        <f>IF(dadosexternosBMF_1!A529="DI1 - DI de 1 dia","DI1 - DI de 1 dia","")</f>
        <v/>
      </c>
      <c r="C526" s="222" t="e">
        <f>IF(dadosexternosBMF_1!A529="DOL - Dólar comercial","",IF(C525&lt;&gt;"",dadosexternosBMF_1!B529,IF(dadosexternosBMF_1!A529="DI1 - DI de 1 dia",dadosexternosBMF_1!B529,"")))</f>
        <v>#REF!</v>
      </c>
      <c r="D526" s="222" t="e">
        <f>IF(C526&lt;&gt;"",dadosexternosBMF_1!C529,"")</f>
        <v>#REF!</v>
      </c>
      <c r="E526" s="222" t="e">
        <f>IF(C526&lt;&gt;"",dadosexternosBMF_1!D529,"")</f>
        <v>#REF!</v>
      </c>
      <c r="G526" s="219" t="e">
        <f t="shared" si="61"/>
        <v>#REF!</v>
      </c>
      <c r="H526" s="219" t="e">
        <f t="shared" si="62"/>
        <v>#REF!</v>
      </c>
      <c r="I526" s="219" t="e">
        <f t="shared" si="63"/>
        <v>#REF!</v>
      </c>
      <c r="J526" s="219" t="e">
        <f>IF(I526="","",VLOOKUP(LEFT(C526,1),dadosexternosBMF_1!$L$2:$M$13,2,FALSE))</f>
        <v>#REF!</v>
      </c>
      <c r="K526" s="219" t="e">
        <f t="shared" si="64"/>
        <v>#REF!</v>
      </c>
      <c r="L526" s="422" t="e">
        <f t="shared" si="65"/>
        <v>#REF!</v>
      </c>
      <c r="M526" s="422" t="e">
        <f>IF(I526="","",WORKDAY(L526-1,1,FERIADOS!$A$2:$A$831))</f>
        <v>#REF!</v>
      </c>
      <c r="N526" s="219" t="e">
        <f>IF(I526="","",NETWORKDAYS(Curva!$M$2,M526,FERIADOS!$A$2:$A$831)-1)</f>
        <v>#REF!</v>
      </c>
      <c r="O526" s="423" t="e">
        <f>IF(C526&lt;&gt;"",IF(ISERROR((100000/E526)^(252/N526)-1),Curva!$B$2,((100000/E526)^(252/N526)-1)),"")</f>
        <v>#REF!</v>
      </c>
      <c r="P526" s="219" t="e">
        <f>IF(OR(G526=1,G526=2),dadosexternosBMF_1!B529,"")</f>
        <v>#REF!</v>
      </c>
      <c r="Q526" s="219" t="e">
        <f>IF(OR(G526=1,G526=2),dadosexternosBMF_1!D529,"")</f>
        <v>#REF!</v>
      </c>
    </row>
    <row r="527" spans="1:17" x14ac:dyDescent="0.2">
      <c r="A527" s="222" t="e">
        <f t="shared" si="60"/>
        <v>#REF!</v>
      </c>
      <c r="B527" s="222" t="str">
        <f>IF(dadosexternosBMF_1!A530="DI1 - DI de 1 dia","DI1 - DI de 1 dia","")</f>
        <v/>
      </c>
      <c r="C527" s="222" t="e">
        <f>IF(dadosexternosBMF_1!A530="DOL - Dólar comercial","",IF(C526&lt;&gt;"",dadosexternosBMF_1!B530,IF(dadosexternosBMF_1!A530="DI1 - DI de 1 dia",dadosexternosBMF_1!B530,"")))</f>
        <v>#REF!</v>
      </c>
      <c r="D527" s="222" t="e">
        <f>IF(C527&lt;&gt;"",dadosexternosBMF_1!C530,"")</f>
        <v>#REF!</v>
      </c>
      <c r="E527" s="222" t="e">
        <f>IF(C527&lt;&gt;"",dadosexternosBMF_1!D530,"")</f>
        <v>#REF!</v>
      </c>
      <c r="G527" s="219" t="e">
        <f t="shared" si="61"/>
        <v>#REF!</v>
      </c>
      <c r="H527" s="219" t="e">
        <f t="shared" si="62"/>
        <v>#REF!</v>
      </c>
      <c r="I527" s="219" t="e">
        <f t="shared" si="63"/>
        <v>#REF!</v>
      </c>
      <c r="J527" s="219" t="e">
        <f>IF(I527="","",VLOOKUP(LEFT(C527,1),dadosexternosBMF_1!$L$2:$M$13,2,FALSE))</f>
        <v>#REF!</v>
      </c>
      <c r="K527" s="219" t="e">
        <f t="shared" si="64"/>
        <v>#REF!</v>
      </c>
      <c r="L527" s="422" t="e">
        <f t="shared" si="65"/>
        <v>#REF!</v>
      </c>
      <c r="M527" s="422" t="e">
        <f>IF(I527="","",WORKDAY(L527-1,1,FERIADOS!$A$2:$A$831))</f>
        <v>#REF!</v>
      </c>
      <c r="N527" s="219" t="e">
        <f>IF(I527="","",NETWORKDAYS(Curva!$M$2,M527,FERIADOS!$A$2:$A$831)-1)</f>
        <v>#REF!</v>
      </c>
      <c r="O527" s="423" t="e">
        <f>IF(C527&lt;&gt;"",IF(ISERROR((100000/E527)^(252/N527)-1),Curva!$B$2,((100000/E527)^(252/N527)-1)),"")</f>
        <v>#REF!</v>
      </c>
      <c r="P527" s="219" t="e">
        <f>IF(OR(G527=1,G527=2),dadosexternosBMF_1!B530,"")</f>
        <v>#REF!</v>
      </c>
      <c r="Q527" s="219" t="e">
        <f>IF(OR(G527=1,G527=2),dadosexternosBMF_1!D530,"")</f>
        <v>#REF!</v>
      </c>
    </row>
    <row r="528" spans="1:17" x14ac:dyDescent="0.2">
      <c r="A528" s="222" t="e">
        <f t="shared" si="60"/>
        <v>#REF!</v>
      </c>
      <c r="B528" s="222" t="str">
        <f>IF(dadosexternosBMF_1!A531="DI1 - DI de 1 dia","DI1 - DI de 1 dia","")</f>
        <v/>
      </c>
      <c r="C528" s="222" t="e">
        <f>IF(dadosexternosBMF_1!A531="DOL - Dólar comercial","",IF(C527&lt;&gt;"",dadosexternosBMF_1!B531,IF(dadosexternosBMF_1!A531="DI1 - DI de 1 dia",dadosexternosBMF_1!B531,"")))</f>
        <v>#REF!</v>
      </c>
      <c r="D528" s="222" t="e">
        <f>IF(C528&lt;&gt;"",dadosexternosBMF_1!C531,"")</f>
        <v>#REF!</v>
      </c>
      <c r="E528" s="222" t="e">
        <f>IF(C528&lt;&gt;"",dadosexternosBMF_1!D531,"")</f>
        <v>#REF!</v>
      </c>
      <c r="G528" s="219" t="e">
        <f t="shared" si="61"/>
        <v>#REF!</v>
      </c>
      <c r="H528" s="219" t="e">
        <f t="shared" si="62"/>
        <v>#REF!</v>
      </c>
      <c r="I528" s="219" t="e">
        <f t="shared" si="63"/>
        <v>#REF!</v>
      </c>
      <c r="J528" s="219" t="e">
        <f>IF(I528="","",VLOOKUP(LEFT(C528,1),dadosexternosBMF_1!$L$2:$M$13,2,FALSE))</f>
        <v>#REF!</v>
      </c>
      <c r="K528" s="219" t="e">
        <f t="shared" si="64"/>
        <v>#REF!</v>
      </c>
      <c r="L528" s="422" t="e">
        <f t="shared" si="65"/>
        <v>#REF!</v>
      </c>
      <c r="M528" s="422" t="e">
        <f>IF(I528="","",WORKDAY(L528-1,1,FERIADOS!$A$2:$A$831))</f>
        <v>#REF!</v>
      </c>
      <c r="N528" s="219" t="e">
        <f>IF(I528="","",NETWORKDAYS(Curva!$M$2,M528,FERIADOS!$A$2:$A$831)-1)</f>
        <v>#REF!</v>
      </c>
      <c r="O528" s="423" t="e">
        <f>IF(C528&lt;&gt;"",IF(ISERROR((100000/E528)^(252/N528)-1),Curva!$B$2,((100000/E528)^(252/N528)-1)),"")</f>
        <v>#REF!</v>
      </c>
      <c r="P528" s="219" t="e">
        <f>IF(OR(G528=1,G528=2),dadosexternosBMF_1!B531,"")</f>
        <v>#REF!</v>
      </c>
      <c r="Q528" s="219" t="e">
        <f>IF(OR(G528=1,G528=2),dadosexternosBMF_1!D531,"")</f>
        <v>#REF!</v>
      </c>
    </row>
    <row r="529" spans="1:17" x14ac:dyDescent="0.2">
      <c r="A529" s="222" t="e">
        <f t="shared" si="60"/>
        <v>#REF!</v>
      </c>
      <c r="B529" s="222" t="str">
        <f>IF(dadosexternosBMF_1!A532="DI1 - DI de 1 dia","DI1 - DI de 1 dia","")</f>
        <v/>
      </c>
      <c r="C529" s="222" t="e">
        <f>IF(dadosexternosBMF_1!A532="DOL - Dólar comercial","",IF(C528&lt;&gt;"",dadosexternosBMF_1!B532,IF(dadosexternosBMF_1!A532="DI1 - DI de 1 dia",dadosexternosBMF_1!B532,"")))</f>
        <v>#REF!</v>
      </c>
      <c r="D529" s="222" t="e">
        <f>IF(C529&lt;&gt;"",dadosexternosBMF_1!C532,"")</f>
        <v>#REF!</v>
      </c>
      <c r="E529" s="222" t="e">
        <f>IF(C529&lt;&gt;"",dadosexternosBMF_1!D532,"")</f>
        <v>#REF!</v>
      </c>
      <c r="G529" s="219" t="e">
        <f t="shared" si="61"/>
        <v>#REF!</v>
      </c>
      <c r="H529" s="219" t="e">
        <f t="shared" si="62"/>
        <v>#REF!</v>
      </c>
      <c r="I529" s="219" t="e">
        <f t="shared" si="63"/>
        <v>#REF!</v>
      </c>
      <c r="J529" s="219" t="e">
        <f>IF(I529="","",VLOOKUP(LEFT(C529,1),dadosexternosBMF_1!$L$2:$M$13,2,FALSE))</f>
        <v>#REF!</v>
      </c>
      <c r="K529" s="219" t="e">
        <f t="shared" si="64"/>
        <v>#REF!</v>
      </c>
      <c r="L529" s="422" t="e">
        <f t="shared" si="65"/>
        <v>#REF!</v>
      </c>
      <c r="M529" s="422" t="e">
        <f>IF(I529="","",WORKDAY(L529-1,1,FERIADOS!$A$2:$A$831))</f>
        <v>#REF!</v>
      </c>
      <c r="N529" s="219" t="e">
        <f>IF(I529="","",NETWORKDAYS(Curva!$M$2,M529,FERIADOS!$A$2:$A$831)-1)</f>
        <v>#REF!</v>
      </c>
      <c r="O529" s="423" t="e">
        <f>IF(C529&lt;&gt;"",IF(ISERROR((100000/E529)^(252/N529)-1),Curva!$B$2,((100000/E529)^(252/N529)-1)),"")</f>
        <v>#REF!</v>
      </c>
      <c r="P529" s="219" t="e">
        <f>IF(OR(G529=1,G529=2),dadosexternosBMF_1!B532,"")</f>
        <v>#REF!</v>
      </c>
      <c r="Q529" s="219" t="e">
        <f>IF(OR(G529=1,G529=2),dadosexternosBMF_1!D532,"")</f>
        <v>#REF!</v>
      </c>
    </row>
    <row r="530" spans="1:17" x14ac:dyDescent="0.2">
      <c r="A530" s="222" t="e">
        <f t="shared" si="60"/>
        <v>#REF!</v>
      </c>
      <c r="B530" s="222" t="str">
        <f>IF(dadosexternosBMF_1!A533="DI1 - DI de 1 dia","DI1 - DI de 1 dia","")</f>
        <v/>
      </c>
      <c r="C530" s="222" t="e">
        <f>IF(dadosexternosBMF_1!A533="DOL - Dólar comercial","",IF(C529&lt;&gt;"",dadosexternosBMF_1!B533,IF(dadosexternosBMF_1!A533="DI1 - DI de 1 dia",dadosexternosBMF_1!B533,"")))</f>
        <v>#REF!</v>
      </c>
      <c r="D530" s="222" t="e">
        <f>IF(C530&lt;&gt;"",dadosexternosBMF_1!C533,"")</f>
        <v>#REF!</v>
      </c>
      <c r="E530" s="222" t="e">
        <f>IF(C530&lt;&gt;"",dadosexternosBMF_1!D533,"")</f>
        <v>#REF!</v>
      </c>
      <c r="G530" s="219" t="e">
        <f t="shared" si="61"/>
        <v>#REF!</v>
      </c>
      <c r="H530" s="219" t="e">
        <f t="shared" si="62"/>
        <v>#REF!</v>
      </c>
      <c r="I530" s="219" t="e">
        <f t="shared" si="63"/>
        <v>#REF!</v>
      </c>
      <c r="J530" s="219" t="e">
        <f>IF(I530="","",VLOOKUP(LEFT(C530,1),dadosexternosBMF_1!$L$2:$M$13,2,FALSE))</f>
        <v>#REF!</v>
      </c>
      <c r="K530" s="219" t="e">
        <f t="shared" si="64"/>
        <v>#REF!</v>
      </c>
      <c r="L530" s="422" t="e">
        <f t="shared" si="65"/>
        <v>#REF!</v>
      </c>
      <c r="M530" s="422" t="e">
        <f>IF(I530="","",WORKDAY(L530-1,1,FERIADOS!$A$2:$A$831))</f>
        <v>#REF!</v>
      </c>
      <c r="N530" s="219" t="e">
        <f>IF(I530="","",NETWORKDAYS(Curva!$M$2,M530,FERIADOS!$A$2:$A$831)-1)</f>
        <v>#REF!</v>
      </c>
      <c r="O530" s="423" t="e">
        <f>IF(C530&lt;&gt;"",IF(ISERROR((100000/E530)^(252/N530)-1),Curva!$B$2,((100000/E530)^(252/N530)-1)),"")</f>
        <v>#REF!</v>
      </c>
      <c r="P530" s="219" t="e">
        <f>IF(OR(G530=1,G530=2),dadosexternosBMF_1!B533,"")</f>
        <v>#REF!</v>
      </c>
      <c r="Q530" s="219" t="e">
        <f>IF(OR(G530=1,G530=2),dadosexternosBMF_1!D533,"")</f>
        <v>#REF!</v>
      </c>
    </row>
    <row r="531" spans="1:17" x14ac:dyDescent="0.2">
      <c r="A531" s="222" t="e">
        <f t="shared" si="60"/>
        <v>#REF!</v>
      </c>
      <c r="B531" s="222" t="str">
        <f>IF(dadosexternosBMF_1!A534="DI1 - DI de 1 dia","DI1 - DI de 1 dia","")</f>
        <v/>
      </c>
      <c r="C531" s="222" t="e">
        <f>IF(dadosexternosBMF_1!A534="DOL - Dólar comercial","",IF(C530&lt;&gt;"",dadosexternosBMF_1!B534,IF(dadosexternosBMF_1!A534="DI1 - DI de 1 dia",dadosexternosBMF_1!B534,"")))</f>
        <v>#REF!</v>
      </c>
      <c r="D531" s="222" t="e">
        <f>IF(C531&lt;&gt;"",dadosexternosBMF_1!C534,"")</f>
        <v>#REF!</v>
      </c>
      <c r="E531" s="222" t="e">
        <f>IF(C531&lt;&gt;"",dadosexternosBMF_1!D534,"")</f>
        <v>#REF!</v>
      </c>
      <c r="G531" s="219" t="e">
        <f t="shared" si="61"/>
        <v>#REF!</v>
      </c>
      <c r="H531" s="219" t="e">
        <f t="shared" si="62"/>
        <v>#REF!</v>
      </c>
      <c r="I531" s="219" t="e">
        <f t="shared" si="63"/>
        <v>#REF!</v>
      </c>
      <c r="J531" s="219" t="e">
        <f>IF(I531="","",VLOOKUP(LEFT(C531,1),dadosexternosBMF_1!$L$2:$M$13,2,FALSE))</f>
        <v>#REF!</v>
      </c>
      <c r="K531" s="219" t="e">
        <f t="shared" si="64"/>
        <v>#REF!</v>
      </c>
      <c r="L531" s="422" t="e">
        <f t="shared" si="65"/>
        <v>#REF!</v>
      </c>
      <c r="M531" s="422" t="e">
        <f>IF(I531="","",WORKDAY(L531-1,1,FERIADOS!$A$2:$A$831))</f>
        <v>#REF!</v>
      </c>
      <c r="N531" s="219" t="e">
        <f>IF(I531="","",NETWORKDAYS(Curva!$M$2,M531,FERIADOS!$A$2:$A$831)-1)</f>
        <v>#REF!</v>
      </c>
      <c r="O531" s="423" t="e">
        <f>IF(C531&lt;&gt;"",IF(ISERROR((100000/E531)^(252/N531)-1),Curva!$B$2,((100000/E531)^(252/N531)-1)),"")</f>
        <v>#REF!</v>
      </c>
      <c r="P531" s="219" t="e">
        <f>IF(OR(G531=1,G531=2),dadosexternosBMF_1!B534,"")</f>
        <v>#REF!</v>
      </c>
      <c r="Q531" s="219" t="e">
        <f>IF(OR(G531=1,G531=2),dadosexternosBMF_1!D534,"")</f>
        <v>#REF!</v>
      </c>
    </row>
    <row r="532" spans="1:17" x14ac:dyDescent="0.2">
      <c r="A532" s="222" t="e">
        <f t="shared" si="60"/>
        <v>#REF!</v>
      </c>
      <c r="B532" s="222" t="str">
        <f>IF(dadosexternosBMF_1!A535="DI1 - DI de 1 dia","DI1 - DI de 1 dia","")</f>
        <v/>
      </c>
      <c r="C532" s="222" t="e">
        <f>IF(dadosexternosBMF_1!A535="DOL - Dólar comercial","",IF(C531&lt;&gt;"",dadosexternosBMF_1!B535,IF(dadosexternosBMF_1!A535="DI1 - DI de 1 dia",dadosexternosBMF_1!B535,"")))</f>
        <v>#REF!</v>
      </c>
      <c r="D532" s="222" t="e">
        <f>IF(C532&lt;&gt;"",dadosexternosBMF_1!C535,"")</f>
        <v>#REF!</v>
      </c>
      <c r="E532" s="222" t="e">
        <f>IF(C532&lt;&gt;"",dadosexternosBMF_1!D535,"")</f>
        <v>#REF!</v>
      </c>
      <c r="G532" s="219" t="e">
        <f t="shared" si="61"/>
        <v>#REF!</v>
      </c>
      <c r="H532" s="219" t="e">
        <f t="shared" si="62"/>
        <v>#REF!</v>
      </c>
      <c r="I532" s="219" t="e">
        <f t="shared" si="63"/>
        <v>#REF!</v>
      </c>
      <c r="J532" s="219" t="e">
        <f>IF(I532="","",VLOOKUP(LEFT(C532,1),dadosexternosBMF_1!$L$2:$M$13,2,FALSE))</f>
        <v>#REF!</v>
      </c>
      <c r="K532" s="219" t="e">
        <f t="shared" si="64"/>
        <v>#REF!</v>
      </c>
      <c r="L532" s="422" t="e">
        <f t="shared" si="65"/>
        <v>#REF!</v>
      </c>
      <c r="M532" s="422" t="e">
        <f>IF(I532="","",WORKDAY(L532-1,1,FERIADOS!$A$2:$A$831))</f>
        <v>#REF!</v>
      </c>
      <c r="N532" s="219" t="e">
        <f>IF(I532="","",NETWORKDAYS(Curva!$M$2,M532,FERIADOS!$A$2:$A$831)-1)</f>
        <v>#REF!</v>
      </c>
      <c r="O532" s="423" t="e">
        <f>IF(C532&lt;&gt;"",IF(ISERROR((100000/E532)^(252/N532)-1),Curva!$B$2,((100000/E532)^(252/N532)-1)),"")</f>
        <v>#REF!</v>
      </c>
      <c r="P532" s="219" t="e">
        <f>IF(OR(G532=1,G532=2),dadosexternosBMF_1!B535,"")</f>
        <v>#REF!</v>
      </c>
      <c r="Q532" s="219" t="e">
        <f>IF(OR(G532=1,G532=2),dadosexternosBMF_1!D535,"")</f>
        <v>#REF!</v>
      </c>
    </row>
    <row r="533" spans="1:17" x14ac:dyDescent="0.2">
      <c r="A533" s="222" t="e">
        <f t="shared" si="60"/>
        <v>#REF!</v>
      </c>
      <c r="B533" s="222" t="str">
        <f>IF(dadosexternosBMF_1!A536="DI1 - DI de 1 dia","DI1 - DI de 1 dia","")</f>
        <v/>
      </c>
      <c r="C533" s="222" t="e">
        <f>IF(dadosexternosBMF_1!A536="DOL - Dólar comercial","",IF(C532&lt;&gt;"",dadosexternosBMF_1!B536,IF(dadosexternosBMF_1!A536="DI1 - DI de 1 dia",dadosexternosBMF_1!B536,"")))</f>
        <v>#REF!</v>
      </c>
      <c r="D533" s="222" t="e">
        <f>IF(C533&lt;&gt;"",dadosexternosBMF_1!C536,"")</f>
        <v>#REF!</v>
      </c>
      <c r="E533" s="222" t="e">
        <f>IF(C533&lt;&gt;"",dadosexternosBMF_1!D536,"")</f>
        <v>#REF!</v>
      </c>
      <c r="G533" s="219" t="e">
        <f t="shared" si="61"/>
        <v>#REF!</v>
      </c>
      <c r="H533" s="219" t="e">
        <f t="shared" si="62"/>
        <v>#REF!</v>
      </c>
      <c r="I533" s="219" t="e">
        <f t="shared" si="63"/>
        <v>#REF!</v>
      </c>
      <c r="J533" s="219" t="e">
        <f>IF(I533="","",VLOOKUP(LEFT(C533,1),dadosexternosBMF_1!$L$2:$M$13,2,FALSE))</f>
        <v>#REF!</v>
      </c>
      <c r="K533" s="219" t="e">
        <f t="shared" si="64"/>
        <v>#REF!</v>
      </c>
      <c r="L533" s="422" t="e">
        <f t="shared" si="65"/>
        <v>#REF!</v>
      </c>
      <c r="M533" s="422" t="e">
        <f>IF(I533="","",WORKDAY(L533-1,1,FERIADOS!$A$2:$A$831))</f>
        <v>#REF!</v>
      </c>
      <c r="N533" s="219" t="e">
        <f>IF(I533="","",NETWORKDAYS(Curva!$M$2,M533,FERIADOS!$A$2:$A$831)-1)</f>
        <v>#REF!</v>
      </c>
      <c r="O533" s="423" t="e">
        <f>IF(C533&lt;&gt;"",IF(ISERROR((100000/E533)^(252/N533)-1),Curva!$B$2,((100000/E533)^(252/N533)-1)),"")</f>
        <v>#REF!</v>
      </c>
      <c r="P533" s="219" t="e">
        <f>IF(OR(G533=1,G533=2),dadosexternosBMF_1!B536,"")</f>
        <v>#REF!</v>
      </c>
      <c r="Q533" s="219" t="e">
        <f>IF(OR(G533=1,G533=2),dadosexternosBMF_1!D536,"")</f>
        <v>#REF!</v>
      </c>
    </row>
    <row r="534" spans="1:17" x14ac:dyDescent="0.2">
      <c r="A534" s="222" t="e">
        <f t="shared" si="60"/>
        <v>#REF!</v>
      </c>
      <c r="B534" s="222" t="str">
        <f>IF(dadosexternosBMF_1!A537="DI1 - DI de 1 dia","DI1 - DI de 1 dia","")</f>
        <v/>
      </c>
      <c r="C534" s="222" t="e">
        <f>IF(dadosexternosBMF_1!A537="DOL - Dólar comercial","",IF(C533&lt;&gt;"",dadosexternosBMF_1!B537,IF(dadosexternosBMF_1!A537="DI1 - DI de 1 dia",dadosexternosBMF_1!B537,"")))</f>
        <v>#REF!</v>
      </c>
      <c r="D534" s="222" t="e">
        <f>IF(C534&lt;&gt;"",dadosexternosBMF_1!C537,"")</f>
        <v>#REF!</v>
      </c>
      <c r="E534" s="222" t="e">
        <f>IF(C534&lt;&gt;"",dadosexternosBMF_1!D537,"")</f>
        <v>#REF!</v>
      </c>
      <c r="G534" s="219" t="e">
        <f t="shared" si="61"/>
        <v>#REF!</v>
      </c>
      <c r="H534" s="219" t="e">
        <f t="shared" si="62"/>
        <v>#REF!</v>
      </c>
      <c r="I534" s="219" t="e">
        <f t="shared" si="63"/>
        <v>#REF!</v>
      </c>
      <c r="J534" s="219" t="e">
        <f>IF(I534="","",VLOOKUP(LEFT(C534,1),dadosexternosBMF_1!$L$2:$M$13,2,FALSE))</f>
        <v>#REF!</v>
      </c>
      <c r="K534" s="219" t="e">
        <f t="shared" si="64"/>
        <v>#REF!</v>
      </c>
      <c r="L534" s="422" t="e">
        <f t="shared" si="65"/>
        <v>#REF!</v>
      </c>
      <c r="M534" s="422" t="e">
        <f>IF(I534="","",WORKDAY(L534-1,1,FERIADOS!$A$2:$A$831))</f>
        <v>#REF!</v>
      </c>
      <c r="N534" s="219" t="e">
        <f>IF(I534="","",NETWORKDAYS(Curva!$M$2,M534,FERIADOS!$A$2:$A$831)-1)</f>
        <v>#REF!</v>
      </c>
      <c r="O534" s="423" t="e">
        <f>IF(C534&lt;&gt;"",IF(ISERROR((100000/E534)^(252/N534)-1),Curva!$B$2,((100000/E534)^(252/N534)-1)),"")</f>
        <v>#REF!</v>
      </c>
      <c r="P534" s="219" t="e">
        <f>IF(OR(G534=1,G534=2),dadosexternosBMF_1!B537,"")</f>
        <v>#REF!</v>
      </c>
      <c r="Q534" s="219" t="e">
        <f>IF(OR(G534=1,G534=2),dadosexternosBMF_1!D537,"")</f>
        <v>#REF!</v>
      </c>
    </row>
    <row r="535" spans="1:17" x14ac:dyDescent="0.2">
      <c r="A535" s="222" t="e">
        <f t="shared" si="60"/>
        <v>#REF!</v>
      </c>
      <c r="B535" s="222" t="str">
        <f>IF(dadosexternosBMF_1!A538="DI1 - DI de 1 dia","DI1 - DI de 1 dia","")</f>
        <v/>
      </c>
      <c r="C535" s="222" t="e">
        <f>IF(dadosexternosBMF_1!A538="DOL - Dólar comercial","",IF(C534&lt;&gt;"",dadosexternosBMF_1!B538,IF(dadosexternosBMF_1!A538="DI1 - DI de 1 dia",dadosexternosBMF_1!B538,"")))</f>
        <v>#REF!</v>
      </c>
      <c r="D535" s="222" t="e">
        <f>IF(C535&lt;&gt;"",dadosexternosBMF_1!C538,"")</f>
        <v>#REF!</v>
      </c>
      <c r="E535" s="222" t="e">
        <f>IF(C535&lt;&gt;"",dadosexternosBMF_1!D538,"")</f>
        <v>#REF!</v>
      </c>
      <c r="G535" s="219" t="e">
        <f t="shared" si="61"/>
        <v>#REF!</v>
      </c>
      <c r="H535" s="219" t="e">
        <f t="shared" si="62"/>
        <v>#REF!</v>
      </c>
      <c r="I535" s="219" t="e">
        <f t="shared" si="63"/>
        <v>#REF!</v>
      </c>
      <c r="J535" s="219" t="e">
        <f>IF(I535="","",VLOOKUP(LEFT(C535,1),dadosexternosBMF_1!$L$2:$M$13,2,FALSE))</f>
        <v>#REF!</v>
      </c>
      <c r="K535" s="219" t="e">
        <f t="shared" si="64"/>
        <v>#REF!</v>
      </c>
      <c r="L535" s="422" t="e">
        <f t="shared" si="65"/>
        <v>#REF!</v>
      </c>
      <c r="M535" s="422" t="e">
        <f>IF(I535="","",WORKDAY(L535-1,1,FERIADOS!$A$2:$A$831))</f>
        <v>#REF!</v>
      </c>
      <c r="N535" s="219" t="e">
        <f>IF(I535="","",NETWORKDAYS(Curva!$M$2,M535,FERIADOS!$A$2:$A$831)-1)</f>
        <v>#REF!</v>
      </c>
      <c r="O535" s="423" t="e">
        <f>IF(C535&lt;&gt;"",IF(ISERROR((100000/E535)^(252/N535)-1),Curva!$B$2,((100000/E535)^(252/N535)-1)),"")</f>
        <v>#REF!</v>
      </c>
      <c r="P535" s="219" t="e">
        <f>IF(OR(G535=1,G535=2),dadosexternosBMF_1!B538,"")</f>
        <v>#REF!</v>
      </c>
      <c r="Q535" s="219" t="e">
        <f>IF(OR(G535=1,G535=2),dadosexternosBMF_1!D538,"")</f>
        <v>#REF!</v>
      </c>
    </row>
    <row r="536" spans="1:17" x14ac:dyDescent="0.2">
      <c r="A536" s="222" t="e">
        <f t="shared" si="60"/>
        <v>#REF!</v>
      </c>
      <c r="B536" s="222" t="str">
        <f>IF(dadosexternosBMF_1!A539="DI1 - DI de 1 dia","DI1 - DI de 1 dia","")</f>
        <v/>
      </c>
      <c r="C536" s="222" t="e">
        <f>IF(dadosexternosBMF_1!A539="DOL - Dólar comercial","",IF(C535&lt;&gt;"",dadosexternosBMF_1!B539,IF(dadosexternosBMF_1!A539="DI1 - DI de 1 dia",dadosexternosBMF_1!B539,"")))</f>
        <v>#REF!</v>
      </c>
      <c r="D536" s="222" t="e">
        <f>IF(C536&lt;&gt;"",dadosexternosBMF_1!C539,"")</f>
        <v>#REF!</v>
      </c>
      <c r="E536" s="222" t="e">
        <f>IF(C536&lt;&gt;"",dadosexternosBMF_1!D539,"")</f>
        <v>#REF!</v>
      </c>
      <c r="G536" s="219" t="e">
        <f t="shared" si="61"/>
        <v>#REF!</v>
      </c>
      <c r="H536" s="219" t="e">
        <f t="shared" si="62"/>
        <v>#REF!</v>
      </c>
      <c r="I536" s="219" t="e">
        <f t="shared" si="63"/>
        <v>#REF!</v>
      </c>
      <c r="J536" s="219" t="e">
        <f>IF(I536="","",VLOOKUP(LEFT(C536,1),dadosexternosBMF_1!$L$2:$M$13,2,FALSE))</f>
        <v>#REF!</v>
      </c>
      <c r="K536" s="219" t="e">
        <f t="shared" si="64"/>
        <v>#REF!</v>
      </c>
      <c r="L536" s="422" t="e">
        <f t="shared" si="65"/>
        <v>#REF!</v>
      </c>
      <c r="M536" s="422" t="e">
        <f>IF(I536="","",WORKDAY(L536-1,1,FERIADOS!$A$2:$A$831))</f>
        <v>#REF!</v>
      </c>
      <c r="N536" s="219" t="e">
        <f>IF(I536="","",NETWORKDAYS(Curva!$M$2,M536,FERIADOS!$A$2:$A$831)-1)</f>
        <v>#REF!</v>
      </c>
      <c r="O536" s="423" t="e">
        <f>IF(C536&lt;&gt;"",IF(ISERROR((100000/E536)^(252/N536)-1),Curva!$B$2,((100000/E536)^(252/N536)-1)),"")</f>
        <v>#REF!</v>
      </c>
      <c r="P536" s="219" t="e">
        <f>IF(OR(G536=1,G536=2),dadosexternosBMF_1!B539,"")</f>
        <v>#REF!</v>
      </c>
      <c r="Q536" s="219" t="e">
        <f>IF(OR(G536=1,G536=2),dadosexternosBMF_1!D539,"")</f>
        <v>#REF!</v>
      </c>
    </row>
    <row r="537" spans="1:17" x14ac:dyDescent="0.2">
      <c r="A537" s="222" t="e">
        <f t="shared" si="60"/>
        <v>#REF!</v>
      </c>
      <c r="B537" s="222" t="str">
        <f>IF(dadosexternosBMF_1!A540="DI1 - DI de 1 dia","DI1 - DI de 1 dia","")</f>
        <v/>
      </c>
      <c r="C537" s="222" t="e">
        <f>IF(dadosexternosBMF_1!A540="DOL - Dólar comercial","",IF(C536&lt;&gt;"",dadosexternosBMF_1!B540,IF(dadosexternosBMF_1!A540="DI1 - DI de 1 dia",dadosexternosBMF_1!B540,"")))</f>
        <v>#REF!</v>
      </c>
      <c r="D537" s="222" t="e">
        <f>IF(C537&lt;&gt;"",dadosexternosBMF_1!C540,"")</f>
        <v>#REF!</v>
      </c>
      <c r="E537" s="222" t="e">
        <f>IF(C537&lt;&gt;"",dadosexternosBMF_1!D540,"")</f>
        <v>#REF!</v>
      </c>
      <c r="G537" s="219" t="e">
        <f t="shared" si="61"/>
        <v>#REF!</v>
      </c>
      <c r="H537" s="219" t="e">
        <f t="shared" si="62"/>
        <v>#REF!</v>
      </c>
      <c r="I537" s="219" t="e">
        <f t="shared" si="63"/>
        <v>#REF!</v>
      </c>
      <c r="J537" s="219" t="e">
        <f>IF(I537="","",VLOOKUP(LEFT(C537,1),dadosexternosBMF_1!$L$2:$M$13,2,FALSE))</f>
        <v>#REF!</v>
      </c>
      <c r="K537" s="219" t="e">
        <f t="shared" si="64"/>
        <v>#REF!</v>
      </c>
      <c r="L537" s="422" t="e">
        <f t="shared" si="65"/>
        <v>#REF!</v>
      </c>
      <c r="M537" s="422" t="e">
        <f>IF(I537="","",WORKDAY(L537-1,1,FERIADOS!$A$2:$A$831))</f>
        <v>#REF!</v>
      </c>
      <c r="N537" s="219" t="e">
        <f>IF(I537="","",NETWORKDAYS(Curva!$M$2,M537,FERIADOS!$A$2:$A$831)-1)</f>
        <v>#REF!</v>
      </c>
      <c r="O537" s="423" t="e">
        <f>IF(C537&lt;&gt;"",IF(ISERROR((100000/E537)^(252/N537)-1),Curva!$B$2,((100000/E537)^(252/N537)-1)),"")</f>
        <v>#REF!</v>
      </c>
      <c r="P537" s="219" t="e">
        <f>IF(OR(G537=1,G537=2),dadosexternosBMF_1!B540,"")</f>
        <v>#REF!</v>
      </c>
      <c r="Q537" s="219" t="e">
        <f>IF(OR(G537=1,G537=2),dadosexternosBMF_1!D540,"")</f>
        <v>#REF!</v>
      </c>
    </row>
    <row r="538" spans="1:17" x14ac:dyDescent="0.2">
      <c r="A538" s="222" t="e">
        <f t="shared" si="60"/>
        <v>#REF!</v>
      </c>
      <c r="B538" s="222" t="str">
        <f>IF(dadosexternosBMF_1!A541="DI1 - DI de 1 dia","DI1 - DI de 1 dia","")</f>
        <v/>
      </c>
      <c r="C538" s="222" t="e">
        <f>IF(dadosexternosBMF_1!A541="DOL - Dólar comercial","",IF(C537&lt;&gt;"",dadosexternosBMF_1!B541,IF(dadosexternosBMF_1!A541="DI1 - DI de 1 dia",dadosexternosBMF_1!B541,"")))</f>
        <v>#REF!</v>
      </c>
      <c r="D538" s="222" t="e">
        <f>IF(C538&lt;&gt;"",dadosexternosBMF_1!C541,"")</f>
        <v>#REF!</v>
      </c>
      <c r="E538" s="222" t="e">
        <f>IF(C538&lt;&gt;"",dadosexternosBMF_1!D541,"")</f>
        <v>#REF!</v>
      </c>
      <c r="G538" s="219" t="e">
        <f t="shared" si="61"/>
        <v>#REF!</v>
      </c>
      <c r="H538" s="219" t="e">
        <f t="shared" si="62"/>
        <v>#REF!</v>
      </c>
      <c r="I538" s="219" t="e">
        <f t="shared" si="63"/>
        <v>#REF!</v>
      </c>
      <c r="J538" s="219" t="e">
        <f>IF(I538="","",VLOOKUP(LEFT(C538,1),dadosexternosBMF_1!$L$2:$M$13,2,FALSE))</f>
        <v>#REF!</v>
      </c>
      <c r="K538" s="219" t="e">
        <f t="shared" si="64"/>
        <v>#REF!</v>
      </c>
      <c r="L538" s="422" t="e">
        <f t="shared" si="65"/>
        <v>#REF!</v>
      </c>
      <c r="M538" s="422" t="e">
        <f>IF(I538="","",WORKDAY(L538-1,1,FERIADOS!$A$2:$A$831))</f>
        <v>#REF!</v>
      </c>
      <c r="N538" s="219" t="e">
        <f>IF(I538="","",NETWORKDAYS(Curva!$M$2,M538,FERIADOS!$A$2:$A$831)-1)</f>
        <v>#REF!</v>
      </c>
      <c r="O538" s="423" t="e">
        <f>IF(C538&lt;&gt;"",IF(ISERROR((100000/E538)^(252/N538)-1),Curva!$B$2,((100000/E538)^(252/N538)-1)),"")</f>
        <v>#REF!</v>
      </c>
      <c r="P538" s="219" t="e">
        <f>IF(OR(G538=1,G538=2),dadosexternosBMF_1!B541,"")</f>
        <v>#REF!</v>
      </c>
      <c r="Q538" s="219" t="e">
        <f>IF(OR(G538=1,G538=2),dadosexternosBMF_1!D541,"")</f>
        <v>#REF!</v>
      </c>
    </row>
    <row r="539" spans="1:17" x14ac:dyDescent="0.2">
      <c r="A539" s="222" t="e">
        <f t="shared" ref="A539:A602" si="66">IF(AND(A538&lt;&gt;"",C539&lt;&gt;""),A538+1,IF(B539="DI1 - DI de 1 dia",1,""))</f>
        <v>#REF!</v>
      </c>
      <c r="B539" s="222" t="str">
        <f>IF(dadosexternosBMF_1!A542="DI1 - DI de 1 dia","DI1 - DI de 1 dia","")</f>
        <v/>
      </c>
      <c r="C539" s="222" t="e">
        <f>IF(dadosexternosBMF_1!A542="DOL - Dólar comercial","",IF(C538&lt;&gt;"",dadosexternosBMF_1!B542,IF(dadosexternosBMF_1!A542="DI1 - DI de 1 dia",dadosexternosBMF_1!B542,"")))</f>
        <v>#REF!</v>
      </c>
      <c r="D539" s="222" t="e">
        <f>IF(C539&lt;&gt;"",dadosexternosBMF_1!C542,"")</f>
        <v>#REF!</v>
      </c>
      <c r="E539" s="222" t="e">
        <f>IF(C539&lt;&gt;"",dadosexternosBMF_1!D542,"")</f>
        <v>#REF!</v>
      </c>
      <c r="G539" s="219" t="e">
        <f t="shared" ref="G539:G602" si="67">IF(G538=1,2,IF(AND(H539="",H538&lt;&gt;""),1,""))</f>
        <v>#REF!</v>
      </c>
      <c r="H539" s="219" t="e">
        <f t="shared" ref="H539:H602" si="68">IF(A539&lt;&gt;"",A539,"")</f>
        <v>#REF!</v>
      </c>
      <c r="I539" s="219" t="e">
        <f t="shared" ref="I539:I602" si="69">IF(A539&lt;&gt;"",(CONCATENATE("DI1",C539)),"")</f>
        <v>#REF!</v>
      </c>
      <c r="J539" s="219" t="e">
        <f>IF(I539="","",VLOOKUP(LEFT(C539,1),dadosexternosBMF_1!$L$2:$M$13,2,FALSE))</f>
        <v>#REF!</v>
      </c>
      <c r="K539" s="219" t="e">
        <f t="shared" ref="K539:K602" si="70">IF(I539="","",1+CONCATENATE(20,RIGHT(C539,2))-1)</f>
        <v>#REF!</v>
      </c>
      <c r="L539" s="422" t="e">
        <f t="shared" ref="L539:L602" si="71">IF(I539="","",CONCATENATE(1,"/",J539,"/",K539)+1-1)</f>
        <v>#REF!</v>
      </c>
      <c r="M539" s="422" t="e">
        <f>IF(I539="","",WORKDAY(L539-1,1,FERIADOS!$A$2:$A$831))</f>
        <v>#REF!</v>
      </c>
      <c r="N539" s="219" t="e">
        <f>IF(I539="","",NETWORKDAYS(Curva!$M$2,M539,FERIADOS!$A$2:$A$831)-1)</f>
        <v>#REF!</v>
      </c>
      <c r="O539" s="423" t="e">
        <f>IF(C539&lt;&gt;"",IF(ISERROR((100000/E539)^(252/N539)-1),Curva!$B$2,((100000/E539)^(252/N539)-1)),"")</f>
        <v>#REF!</v>
      </c>
      <c r="P539" s="219" t="e">
        <f>IF(OR(G539=1,G539=2),dadosexternosBMF_1!B542,"")</f>
        <v>#REF!</v>
      </c>
      <c r="Q539" s="219" t="e">
        <f>IF(OR(G539=1,G539=2),dadosexternosBMF_1!D542,"")</f>
        <v>#REF!</v>
      </c>
    </row>
    <row r="540" spans="1:17" x14ac:dyDescent="0.2">
      <c r="A540" s="222" t="e">
        <f t="shared" si="66"/>
        <v>#REF!</v>
      </c>
      <c r="B540" s="222" t="str">
        <f>IF(dadosexternosBMF_1!A543="DI1 - DI de 1 dia","DI1 - DI de 1 dia","")</f>
        <v/>
      </c>
      <c r="C540" s="222" t="e">
        <f>IF(dadosexternosBMF_1!A543="DOL - Dólar comercial","",IF(C539&lt;&gt;"",dadosexternosBMF_1!B543,IF(dadosexternosBMF_1!A543="DI1 - DI de 1 dia",dadosexternosBMF_1!B543,"")))</f>
        <v>#REF!</v>
      </c>
      <c r="D540" s="222" t="e">
        <f>IF(C540&lt;&gt;"",dadosexternosBMF_1!C543,"")</f>
        <v>#REF!</v>
      </c>
      <c r="E540" s="222" t="e">
        <f>IF(C540&lt;&gt;"",dadosexternosBMF_1!D543,"")</f>
        <v>#REF!</v>
      </c>
      <c r="G540" s="219" t="e">
        <f t="shared" si="67"/>
        <v>#REF!</v>
      </c>
      <c r="H540" s="219" t="e">
        <f t="shared" si="68"/>
        <v>#REF!</v>
      </c>
      <c r="I540" s="219" t="e">
        <f t="shared" si="69"/>
        <v>#REF!</v>
      </c>
      <c r="J540" s="219" t="e">
        <f>IF(I540="","",VLOOKUP(LEFT(C540,1),dadosexternosBMF_1!$L$2:$M$13,2,FALSE))</f>
        <v>#REF!</v>
      </c>
      <c r="K540" s="219" t="e">
        <f t="shared" si="70"/>
        <v>#REF!</v>
      </c>
      <c r="L540" s="422" t="e">
        <f t="shared" si="71"/>
        <v>#REF!</v>
      </c>
      <c r="M540" s="422" t="e">
        <f>IF(I540="","",WORKDAY(L540-1,1,FERIADOS!$A$2:$A$831))</f>
        <v>#REF!</v>
      </c>
      <c r="N540" s="219" t="e">
        <f>IF(I540="","",NETWORKDAYS(Curva!$M$2,M540,FERIADOS!$A$2:$A$831)-1)</f>
        <v>#REF!</v>
      </c>
      <c r="O540" s="423" t="e">
        <f>IF(C540&lt;&gt;"",IF(ISERROR((100000/E540)^(252/N540)-1),Curva!$B$2,((100000/E540)^(252/N540)-1)),"")</f>
        <v>#REF!</v>
      </c>
      <c r="P540" s="219" t="e">
        <f>IF(OR(G540=1,G540=2),dadosexternosBMF_1!B543,"")</f>
        <v>#REF!</v>
      </c>
      <c r="Q540" s="219" t="e">
        <f>IF(OR(G540=1,G540=2),dadosexternosBMF_1!D543,"")</f>
        <v>#REF!</v>
      </c>
    </row>
    <row r="541" spans="1:17" x14ac:dyDescent="0.2">
      <c r="A541" s="222" t="e">
        <f t="shared" si="66"/>
        <v>#REF!</v>
      </c>
      <c r="B541" s="222" t="str">
        <f>IF(dadosexternosBMF_1!A544="DI1 - DI de 1 dia","DI1 - DI de 1 dia","")</f>
        <v/>
      </c>
      <c r="C541" s="222" t="e">
        <f>IF(dadosexternosBMF_1!A544="DOL - Dólar comercial","",IF(C540&lt;&gt;"",dadosexternosBMF_1!B544,IF(dadosexternosBMF_1!A544="DI1 - DI de 1 dia",dadosexternosBMF_1!B544,"")))</f>
        <v>#REF!</v>
      </c>
      <c r="D541" s="222" t="e">
        <f>IF(C541&lt;&gt;"",dadosexternosBMF_1!C544,"")</f>
        <v>#REF!</v>
      </c>
      <c r="E541" s="222" t="e">
        <f>IF(C541&lt;&gt;"",dadosexternosBMF_1!D544,"")</f>
        <v>#REF!</v>
      </c>
      <c r="G541" s="219" t="e">
        <f t="shared" si="67"/>
        <v>#REF!</v>
      </c>
      <c r="H541" s="219" t="e">
        <f t="shared" si="68"/>
        <v>#REF!</v>
      </c>
      <c r="I541" s="219" t="e">
        <f t="shared" si="69"/>
        <v>#REF!</v>
      </c>
      <c r="J541" s="219" t="e">
        <f>IF(I541="","",VLOOKUP(LEFT(C541,1),dadosexternosBMF_1!$L$2:$M$13,2,FALSE))</f>
        <v>#REF!</v>
      </c>
      <c r="K541" s="219" t="e">
        <f t="shared" si="70"/>
        <v>#REF!</v>
      </c>
      <c r="L541" s="422" t="e">
        <f t="shared" si="71"/>
        <v>#REF!</v>
      </c>
      <c r="M541" s="422" t="e">
        <f>IF(I541="","",WORKDAY(L541-1,1,FERIADOS!$A$2:$A$831))</f>
        <v>#REF!</v>
      </c>
      <c r="N541" s="219" t="e">
        <f>IF(I541="","",NETWORKDAYS(Curva!$M$2,M541,FERIADOS!$A$2:$A$831)-1)</f>
        <v>#REF!</v>
      </c>
      <c r="O541" s="423" t="e">
        <f>IF(C541&lt;&gt;"",IF(ISERROR((100000/E541)^(252/N541)-1),Curva!$B$2,((100000/E541)^(252/N541)-1)),"")</f>
        <v>#REF!</v>
      </c>
      <c r="P541" s="219" t="e">
        <f>IF(OR(G541=1,G541=2),dadosexternosBMF_1!B544,"")</f>
        <v>#REF!</v>
      </c>
      <c r="Q541" s="219" t="e">
        <f>IF(OR(G541=1,G541=2),dadosexternosBMF_1!D544,"")</f>
        <v>#REF!</v>
      </c>
    </row>
    <row r="542" spans="1:17" x14ac:dyDescent="0.2">
      <c r="A542" s="222" t="e">
        <f t="shared" si="66"/>
        <v>#REF!</v>
      </c>
      <c r="B542" s="222" t="str">
        <f>IF(dadosexternosBMF_1!A545="DI1 - DI de 1 dia","DI1 - DI de 1 dia","")</f>
        <v/>
      </c>
      <c r="C542" s="222" t="e">
        <f>IF(dadosexternosBMF_1!A545="DOL - Dólar comercial","",IF(C541&lt;&gt;"",dadosexternosBMF_1!B545,IF(dadosexternosBMF_1!A545="DI1 - DI de 1 dia",dadosexternosBMF_1!B545,"")))</f>
        <v>#REF!</v>
      </c>
      <c r="D542" s="222" t="e">
        <f>IF(C542&lt;&gt;"",dadosexternosBMF_1!C545,"")</f>
        <v>#REF!</v>
      </c>
      <c r="E542" s="222" t="e">
        <f>IF(C542&lt;&gt;"",dadosexternosBMF_1!D545,"")</f>
        <v>#REF!</v>
      </c>
      <c r="G542" s="219" t="e">
        <f t="shared" si="67"/>
        <v>#REF!</v>
      </c>
      <c r="H542" s="219" t="e">
        <f t="shared" si="68"/>
        <v>#REF!</v>
      </c>
      <c r="I542" s="219" t="e">
        <f t="shared" si="69"/>
        <v>#REF!</v>
      </c>
      <c r="J542" s="219" t="e">
        <f>IF(I542="","",VLOOKUP(LEFT(C542,1),dadosexternosBMF_1!$L$2:$M$13,2,FALSE))</f>
        <v>#REF!</v>
      </c>
      <c r="K542" s="219" t="e">
        <f t="shared" si="70"/>
        <v>#REF!</v>
      </c>
      <c r="L542" s="422" t="e">
        <f t="shared" si="71"/>
        <v>#REF!</v>
      </c>
      <c r="M542" s="422" t="e">
        <f>IF(I542="","",WORKDAY(L542-1,1,FERIADOS!$A$2:$A$831))</f>
        <v>#REF!</v>
      </c>
      <c r="N542" s="219" t="e">
        <f>IF(I542="","",NETWORKDAYS(Curva!$M$2,M542,FERIADOS!$A$2:$A$831)-1)</f>
        <v>#REF!</v>
      </c>
      <c r="O542" s="423" t="e">
        <f>IF(C542&lt;&gt;"",IF(ISERROR((100000/E542)^(252/N542)-1),Curva!$B$2,((100000/E542)^(252/N542)-1)),"")</f>
        <v>#REF!</v>
      </c>
      <c r="P542" s="219" t="e">
        <f>IF(OR(G542=1,G542=2),dadosexternosBMF_1!B545,"")</f>
        <v>#REF!</v>
      </c>
      <c r="Q542" s="219" t="e">
        <f>IF(OR(G542=1,G542=2),dadosexternosBMF_1!D545,"")</f>
        <v>#REF!</v>
      </c>
    </row>
    <row r="543" spans="1:17" x14ac:dyDescent="0.2">
      <c r="A543" s="222" t="e">
        <f t="shared" si="66"/>
        <v>#REF!</v>
      </c>
      <c r="B543" s="222" t="str">
        <f>IF(dadosexternosBMF_1!A546="DI1 - DI de 1 dia","DI1 - DI de 1 dia","")</f>
        <v/>
      </c>
      <c r="C543" s="222" t="e">
        <f>IF(dadosexternosBMF_1!A546="DOL - Dólar comercial","",IF(C542&lt;&gt;"",dadosexternosBMF_1!B546,IF(dadosexternosBMF_1!A546="DI1 - DI de 1 dia",dadosexternosBMF_1!B546,"")))</f>
        <v>#REF!</v>
      </c>
      <c r="D543" s="222" t="e">
        <f>IF(C543&lt;&gt;"",dadosexternosBMF_1!C546,"")</f>
        <v>#REF!</v>
      </c>
      <c r="E543" s="222" t="e">
        <f>IF(C543&lt;&gt;"",dadosexternosBMF_1!D546,"")</f>
        <v>#REF!</v>
      </c>
      <c r="G543" s="219" t="e">
        <f t="shared" si="67"/>
        <v>#REF!</v>
      </c>
      <c r="H543" s="219" t="e">
        <f t="shared" si="68"/>
        <v>#REF!</v>
      </c>
      <c r="I543" s="219" t="e">
        <f t="shared" si="69"/>
        <v>#REF!</v>
      </c>
      <c r="J543" s="219" t="e">
        <f>IF(I543="","",VLOOKUP(LEFT(C543,1),dadosexternosBMF_1!$L$2:$M$13,2,FALSE))</f>
        <v>#REF!</v>
      </c>
      <c r="K543" s="219" t="e">
        <f t="shared" si="70"/>
        <v>#REF!</v>
      </c>
      <c r="L543" s="422" t="e">
        <f t="shared" si="71"/>
        <v>#REF!</v>
      </c>
      <c r="M543" s="422" t="e">
        <f>IF(I543="","",WORKDAY(L543-1,1,FERIADOS!$A$2:$A$831))</f>
        <v>#REF!</v>
      </c>
      <c r="N543" s="219" t="e">
        <f>IF(I543="","",NETWORKDAYS(Curva!$M$2,M543,FERIADOS!$A$2:$A$831)-1)</f>
        <v>#REF!</v>
      </c>
      <c r="O543" s="423" t="e">
        <f>IF(C543&lt;&gt;"",IF(ISERROR((100000/E543)^(252/N543)-1),Curva!$B$2,((100000/E543)^(252/N543)-1)),"")</f>
        <v>#REF!</v>
      </c>
      <c r="P543" s="219" t="e">
        <f>IF(OR(G543=1,G543=2),dadosexternosBMF_1!B546,"")</f>
        <v>#REF!</v>
      </c>
      <c r="Q543" s="219" t="e">
        <f>IF(OR(G543=1,G543=2),dadosexternosBMF_1!D546,"")</f>
        <v>#REF!</v>
      </c>
    </row>
    <row r="544" spans="1:17" x14ac:dyDescent="0.2">
      <c r="A544" s="222" t="e">
        <f t="shared" si="66"/>
        <v>#REF!</v>
      </c>
      <c r="B544" s="222" t="str">
        <f>IF(dadosexternosBMF_1!A547="DI1 - DI de 1 dia","DI1 - DI de 1 dia","")</f>
        <v/>
      </c>
      <c r="C544" s="222" t="e">
        <f>IF(dadosexternosBMF_1!A547="DOL - Dólar comercial","",IF(C543&lt;&gt;"",dadosexternosBMF_1!B547,IF(dadosexternosBMF_1!A547="DI1 - DI de 1 dia",dadosexternosBMF_1!B547,"")))</f>
        <v>#REF!</v>
      </c>
      <c r="D544" s="222" t="e">
        <f>IF(C544&lt;&gt;"",dadosexternosBMF_1!C547,"")</f>
        <v>#REF!</v>
      </c>
      <c r="E544" s="222" t="e">
        <f>IF(C544&lt;&gt;"",dadosexternosBMF_1!D547,"")</f>
        <v>#REF!</v>
      </c>
      <c r="G544" s="219" t="e">
        <f t="shared" si="67"/>
        <v>#REF!</v>
      </c>
      <c r="H544" s="219" t="e">
        <f t="shared" si="68"/>
        <v>#REF!</v>
      </c>
      <c r="I544" s="219" t="e">
        <f t="shared" si="69"/>
        <v>#REF!</v>
      </c>
      <c r="J544" s="219" t="e">
        <f>IF(I544="","",VLOOKUP(LEFT(C544,1),dadosexternosBMF_1!$L$2:$M$13,2,FALSE))</f>
        <v>#REF!</v>
      </c>
      <c r="K544" s="219" t="e">
        <f t="shared" si="70"/>
        <v>#REF!</v>
      </c>
      <c r="L544" s="422" t="e">
        <f t="shared" si="71"/>
        <v>#REF!</v>
      </c>
      <c r="M544" s="422" t="e">
        <f>IF(I544="","",WORKDAY(L544-1,1,FERIADOS!$A$2:$A$831))</f>
        <v>#REF!</v>
      </c>
      <c r="N544" s="219" t="e">
        <f>IF(I544="","",NETWORKDAYS(Curva!$M$2,M544,FERIADOS!$A$2:$A$831)-1)</f>
        <v>#REF!</v>
      </c>
      <c r="O544" s="423" t="e">
        <f>IF(C544&lt;&gt;"",IF(ISERROR((100000/E544)^(252/N544)-1),Curva!$B$2,((100000/E544)^(252/N544)-1)),"")</f>
        <v>#REF!</v>
      </c>
      <c r="P544" s="219" t="e">
        <f>IF(OR(G544=1,G544=2),dadosexternosBMF_1!B547,"")</f>
        <v>#REF!</v>
      </c>
      <c r="Q544" s="219" t="e">
        <f>IF(OR(G544=1,G544=2),dadosexternosBMF_1!D547,"")</f>
        <v>#REF!</v>
      </c>
    </row>
    <row r="545" spans="1:17" x14ac:dyDescent="0.2">
      <c r="A545" s="222" t="e">
        <f t="shared" si="66"/>
        <v>#REF!</v>
      </c>
      <c r="B545" s="222" t="str">
        <f>IF(dadosexternosBMF_1!A548="DI1 - DI de 1 dia","DI1 - DI de 1 dia","")</f>
        <v/>
      </c>
      <c r="C545" s="222" t="e">
        <f>IF(dadosexternosBMF_1!A548="DOL - Dólar comercial","",IF(C544&lt;&gt;"",dadosexternosBMF_1!B548,IF(dadosexternosBMF_1!A548="DI1 - DI de 1 dia",dadosexternosBMF_1!B548,"")))</f>
        <v>#REF!</v>
      </c>
      <c r="D545" s="222" t="e">
        <f>IF(C545&lt;&gt;"",dadosexternosBMF_1!C548,"")</f>
        <v>#REF!</v>
      </c>
      <c r="E545" s="222" t="e">
        <f>IF(C545&lt;&gt;"",dadosexternosBMF_1!D548,"")</f>
        <v>#REF!</v>
      </c>
      <c r="G545" s="219" t="e">
        <f t="shared" si="67"/>
        <v>#REF!</v>
      </c>
      <c r="H545" s="219" t="e">
        <f t="shared" si="68"/>
        <v>#REF!</v>
      </c>
      <c r="I545" s="219" t="e">
        <f t="shared" si="69"/>
        <v>#REF!</v>
      </c>
      <c r="J545" s="219" t="e">
        <f>IF(I545="","",VLOOKUP(LEFT(C545,1),dadosexternosBMF_1!$L$2:$M$13,2,FALSE))</f>
        <v>#REF!</v>
      </c>
      <c r="K545" s="219" t="e">
        <f t="shared" si="70"/>
        <v>#REF!</v>
      </c>
      <c r="L545" s="422" t="e">
        <f t="shared" si="71"/>
        <v>#REF!</v>
      </c>
      <c r="M545" s="422" t="e">
        <f>IF(I545="","",WORKDAY(L545-1,1,FERIADOS!$A$2:$A$831))</f>
        <v>#REF!</v>
      </c>
      <c r="N545" s="219" t="e">
        <f>IF(I545="","",NETWORKDAYS(Curva!$M$2,M545,FERIADOS!$A$2:$A$831)-1)</f>
        <v>#REF!</v>
      </c>
      <c r="O545" s="423" t="e">
        <f>IF(C545&lt;&gt;"",IF(ISERROR((100000/E545)^(252/N545)-1),Curva!$B$2,((100000/E545)^(252/N545)-1)),"")</f>
        <v>#REF!</v>
      </c>
      <c r="P545" s="219" t="e">
        <f>IF(OR(G545=1,G545=2),dadosexternosBMF_1!B548,"")</f>
        <v>#REF!</v>
      </c>
      <c r="Q545" s="219" t="e">
        <f>IF(OR(G545=1,G545=2),dadosexternosBMF_1!D548,"")</f>
        <v>#REF!</v>
      </c>
    </row>
    <row r="546" spans="1:17" x14ac:dyDescent="0.2">
      <c r="A546" s="222" t="e">
        <f t="shared" si="66"/>
        <v>#REF!</v>
      </c>
      <c r="B546" s="222" t="str">
        <f>IF(dadosexternosBMF_1!A549="DI1 - DI de 1 dia","DI1 - DI de 1 dia","")</f>
        <v/>
      </c>
      <c r="C546" s="222" t="e">
        <f>IF(dadosexternosBMF_1!A549="DOL - Dólar comercial","",IF(C545&lt;&gt;"",dadosexternosBMF_1!B549,IF(dadosexternosBMF_1!A549="DI1 - DI de 1 dia",dadosexternosBMF_1!B549,"")))</f>
        <v>#REF!</v>
      </c>
      <c r="D546" s="222" t="e">
        <f>IF(C546&lt;&gt;"",dadosexternosBMF_1!C549,"")</f>
        <v>#REF!</v>
      </c>
      <c r="E546" s="222" t="e">
        <f>IF(C546&lt;&gt;"",dadosexternosBMF_1!D549,"")</f>
        <v>#REF!</v>
      </c>
      <c r="G546" s="219" t="e">
        <f t="shared" si="67"/>
        <v>#REF!</v>
      </c>
      <c r="H546" s="219" t="e">
        <f t="shared" si="68"/>
        <v>#REF!</v>
      </c>
      <c r="I546" s="219" t="e">
        <f t="shared" si="69"/>
        <v>#REF!</v>
      </c>
      <c r="J546" s="219" t="e">
        <f>IF(I546="","",VLOOKUP(LEFT(C546,1),dadosexternosBMF_1!$L$2:$M$13,2,FALSE))</f>
        <v>#REF!</v>
      </c>
      <c r="K546" s="219" t="e">
        <f t="shared" si="70"/>
        <v>#REF!</v>
      </c>
      <c r="L546" s="422" t="e">
        <f t="shared" si="71"/>
        <v>#REF!</v>
      </c>
      <c r="M546" s="422" t="e">
        <f>IF(I546="","",WORKDAY(L546-1,1,FERIADOS!$A$2:$A$831))</f>
        <v>#REF!</v>
      </c>
      <c r="N546" s="219" t="e">
        <f>IF(I546="","",NETWORKDAYS(Curva!$M$2,M546,FERIADOS!$A$2:$A$831)-1)</f>
        <v>#REF!</v>
      </c>
      <c r="O546" s="423" t="e">
        <f>IF(C546&lt;&gt;"",IF(ISERROR((100000/E546)^(252/N546)-1),Curva!$B$2,((100000/E546)^(252/N546)-1)),"")</f>
        <v>#REF!</v>
      </c>
      <c r="P546" s="219" t="e">
        <f>IF(OR(G546=1,G546=2),dadosexternosBMF_1!B549,"")</f>
        <v>#REF!</v>
      </c>
      <c r="Q546" s="219" t="e">
        <f>IF(OR(G546=1,G546=2),dadosexternosBMF_1!D549,"")</f>
        <v>#REF!</v>
      </c>
    </row>
    <row r="547" spans="1:17" x14ac:dyDescent="0.2">
      <c r="A547" s="222" t="e">
        <f t="shared" si="66"/>
        <v>#REF!</v>
      </c>
      <c r="B547" s="222" t="str">
        <f>IF(dadosexternosBMF_1!A550="DI1 - DI de 1 dia","DI1 - DI de 1 dia","")</f>
        <v/>
      </c>
      <c r="C547" s="222" t="e">
        <f>IF(dadosexternosBMF_1!A550="DOL - Dólar comercial","",IF(C546&lt;&gt;"",dadosexternosBMF_1!B550,IF(dadosexternosBMF_1!A550="DI1 - DI de 1 dia",dadosexternosBMF_1!B550,"")))</f>
        <v>#REF!</v>
      </c>
      <c r="D547" s="222" t="e">
        <f>IF(C547&lt;&gt;"",dadosexternosBMF_1!C550,"")</f>
        <v>#REF!</v>
      </c>
      <c r="E547" s="222" t="e">
        <f>IF(C547&lt;&gt;"",dadosexternosBMF_1!D550,"")</f>
        <v>#REF!</v>
      </c>
      <c r="G547" s="219" t="e">
        <f t="shared" si="67"/>
        <v>#REF!</v>
      </c>
      <c r="H547" s="219" t="e">
        <f t="shared" si="68"/>
        <v>#REF!</v>
      </c>
      <c r="I547" s="219" t="e">
        <f t="shared" si="69"/>
        <v>#REF!</v>
      </c>
      <c r="J547" s="219" t="e">
        <f>IF(I547="","",VLOOKUP(LEFT(C547,1),dadosexternosBMF_1!$L$2:$M$13,2,FALSE))</f>
        <v>#REF!</v>
      </c>
      <c r="K547" s="219" t="e">
        <f t="shared" si="70"/>
        <v>#REF!</v>
      </c>
      <c r="L547" s="422" t="e">
        <f t="shared" si="71"/>
        <v>#REF!</v>
      </c>
      <c r="M547" s="422" t="e">
        <f>IF(I547="","",WORKDAY(L547-1,1,FERIADOS!$A$2:$A$831))</f>
        <v>#REF!</v>
      </c>
      <c r="N547" s="219" t="e">
        <f>IF(I547="","",NETWORKDAYS(Curva!$M$2,M547,FERIADOS!$A$2:$A$831)-1)</f>
        <v>#REF!</v>
      </c>
      <c r="O547" s="423" t="e">
        <f>IF(C547&lt;&gt;"",IF(ISERROR((100000/E547)^(252/N547)-1),Curva!$B$2,((100000/E547)^(252/N547)-1)),"")</f>
        <v>#REF!</v>
      </c>
      <c r="P547" s="219" t="e">
        <f>IF(OR(G547=1,G547=2),dadosexternosBMF_1!B550,"")</f>
        <v>#REF!</v>
      </c>
      <c r="Q547" s="219" t="e">
        <f>IF(OR(G547=1,G547=2),dadosexternosBMF_1!D550,"")</f>
        <v>#REF!</v>
      </c>
    </row>
    <row r="548" spans="1:17" x14ac:dyDescent="0.2">
      <c r="A548" s="222" t="e">
        <f t="shared" si="66"/>
        <v>#REF!</v>
      </c>
      <c r="B548" s="222" t="str">
        <f>IF(dadosexternosBMF_1!A551="DI1 - DI de 1 dia","DI1 - DI de 1 dia","")</f>
        <v/>
      </c>
      <c r="C548" s="222" t="e">
        <f>IF(dadosexternosBMF_1!A551="DOL - Dólar comercial","",IF(C547&lt;&gt;"",dadosexternosBMF_1!B551,IF(dadosexternosBMF_1!A551="DI1 - DI de 1 dia",dadosexternosBMF_1!B551,"")))</f>
        <v>#REF!</v>
      </c>
      <c r="D548" s="222" t="e">
        <f>IF(C548&lt;&gt;"",dadosexternosBMF_1!C551,"")</f>
        <v>#REF!</v>
      </c>
      <c r="E548" s="222" t="e">
        <f>IF(C548&lt;&gt;"",dadosexternosBMF_1!D551,"")</f>
        <v>#REF!</v>
      </c>
      <c r="G548" s="219" t="e">
        <f t="shared" si="67"/>
        <v>#REF!</v>
      </c>
      <c r="H548" s="219" t="e">
        <f t="shared" si="68"/>
        <v>#REF!</v>
      </c>
      <c r="I548" s="219" t="e">
        <f t="shared" si="69"/>
        <v>#REF!</v>
      </c>
      <c r="J548" s="219" t="e">
        <f>IF(I548="","",VLOOKUP(LEFT(C548,1),dadosexternosBMF_1!$L$2:$M$13,2,FALSE))</f>
        <v>#REF!</v>
      </c>
      <c r="K548" s="219" t="e">
        <f t="shared" si="70"/>
        <v>#REF!</v>
      </c>
      <c r="L548" s="422" t="e">
        <f t="shared" si="71"/>
        <v>#REF!</v>
      </c>
      <c r="M548" s="422" t="e">
        <f>IF(I548="","",WORKDAY(L548-1,1,FERIADOS!$A$2:$A$831))</f>
        <v>#REF!</v>
      </c>
      <c r="N548" s="219" t="e">
        <f>IF(I548="","",NETWORKDAYS(Curva!$M$2,M548,FERIADOS!$A$2:$A$831)-1)</f>
        <v>#REF!</v>
      </c>
      <c r="O548" s="423" t="e">
        <f>IF(C548&lt;&gt;"",IF(ISERROR((100000/E548)^(252/N548)-1),Curva!$B$2,((100000/E548)^(252/N548)-1)),"")</f>
        <v>#REF!</v>
      </c>
      <c r="P548" s="219" t="e">
        <f>IF(OR(G548=1,G548=2),dadosexternosBMF_1!B551,"")</f>
        <v>#REF!</v>
      </c>
      <c r="Q548" s="219" t="e">
        <f>IF(OR(G548=1,G548=2),dadosexternosBMF_1!D551,"")</f>
        <v>#REF!</v>
      </c>
    </row>
    <row r="549" spans="1:17" x14ac:dyDescent="0.2">
      <c r="A549" s="222" t="e">
        <f t="shared" si="66"/>
        <v>#REF!</v>
      </c>
      <c r="B549" s="222" t="str">
        <f>IF(dadosexternosBMF_1!A552="DI1 - DI de 1 dia","DI1 - DI de 1 dia","")</f>
        <v/>
      </c>
      <c r="C549" s="222" t="e">
        <f>IF(dadosexternosBMF_1!A552="DOL - Dólar comercial","",IF(C548&lt;&gt;"",dadosexternosBMF_1!B552,IF(dadosexternosBMF_1!A552="DI1 - DI de 1 dia",dadosexternosBMF_1!B552,"")))</f>
        <v>#REF!</v>
      </c>
      <c r="D549" s="222" t="e">
        <f>IF(C549&lt;&gt;"",dadosexternosBMF_1!C552,"")</f>
        <v>#REF!</v>
      </c>
      <c r="E549" s="222" t="e">
        <f>IF(C549&lt;&gt;"",dadosexternosBMF_1!D552,"")</f>
        <v>#REF!</v>
      </c>
      <c r="G549" s="219" t="e">
        <f t="shared" si="67"/>
        <v>#REF!</v>
      </c>
      <c r="H549" s="219" t="e">
        <f t="shared" si="68"/>
        <v>#REF!</v>
      </c>
      <c r="I549" s="219" t="e">
        <f t="shared" si="69"/>
        <v>#REF!</v>
      </c>
      <c r="J549" s="219" t="e">
        <f>IF(I549="","",VLOOKUP(LEFT(C549,1),dadosexternosBMF_1!$L$2:$M$13,2,FALSE))</f>
        <v>#REF!</v>
      </c>
      <c r="K549" s="219" t="e">
        <f t="shared" si="70"/>
        <v>#REF!</v>
      </c>
      <c r="L549" s="422" t="e">
        <f t="shared" si="71"/>
        <v>#REF!</v>
      </c>
      <c r="M549" s="422" t="e">
        <f>IF(I549="","",WORKDAY(L549-1,1,FERIADOS!$A$2:$A$831))</f>
        <v>#REF!</v>
      </c>
      <c r="N549" s="219" t="e">
        <f>IF(I549="","",NETWORKDAYS(Curva!$M$2,M549,FERIADOS!$A$2:$A$831)-1)</f>
        <v>#REF!</v>
      </c>
      <c r="O549" s="423" t="e">
        <f>IF(C549&lt;&gt;"",IF(ISERROR((100000/E549)^(252/N549)-1),Curva!$B$2,((100000/E549)^(252/N549)-1)),"")</f>
        <v>#REF!</v>
      </c>
      <c r="P549" s="219" t="e">
        <f>IF(OR(G549=1,G549=2),dadosexternosBMF_1!B552,"")</f>
        <v>#REF!</v>
      </c>
      <c r="Q549" s="219" t="e">
        <f>IF(OR(G549=1,G549=2),dadosexternosBMF_1!D552,"")</f>
        <v>#REF!</v>
      </c>
    </row>
    <row r="550" spans="1:17" x14ac:dyDescent="0.2">
      <c r="A550" s="222" t="e">
        <f t="shared" si="66"/>
        <v>#REF!</v>
      </c>
      <c r="B550" s="222" t="str">
        <f>IF(dadosexternosBMF_1!A553="DI1 - DI de 1 dia","DI1 - DI de 1 dia","")</f>
        <v/>
      </c>
      <c r="C550" s="222" t="e">
        <f>IF(dadosexternosBMF_1!A553="DOL - Dólar comercial","",IF(C549&lt;&gt;"",dadosexternosBMF_1!B553,IF(dadosexternosBMF_1!A553="DI1 - DI de 1 dia",dadosexternosBMF_1!B553,"")))</f>
        <v>#REF!</v>
      </c>
      <c r="D550" s="222" t="e">
        <f>IF(C550&lt;&gt;"",dadosexternosBMF_1!C553,"")</f>
        <v>#REF!</v>
      </c>
      <c r="E550" s="222" t="e">
        <f>IF(C550&lt;&gt;"",dadosexternosBMF_1!D553,"")</f>
        <v>#REF!</v>
      </c>
      <c r="G550" s="219" t="e">
        <f t="shared" si="67"/>
        <v>#REF!</v>
      </c>
      <c r="H550" s="219" t="e">
        <f t="shared" si="68"/>
        <v>#REF!</v>
      </c>
      <c r="I550" s="219" t="e">
        <f t="shared" si="69"/>
        <v>#REF!</v>
      </c>
      <c r="J550" s="219" t="e">
        <f>IF(I550="","",VLOOKUP(LEFT(C550,1),dadosexternosBMF_1!$L$2:$M$13,2,FALSE))</f>
        <v>#REF!</v>
      </c>
      <c r="K550" s="219" t="e">
        <f t="shared" si="70"/>
        <v>#REF!</v>
      </c>
      <c r="L550" s="422" t="e">
        <f t="shared" si="71"/>
        <v>#REF!</v>
      </c>
      <c r="M550" s="422" t="e">
        <f>IF(I550="","",WORKDAY(L550-1,1,FERIADOS!$A$2:$A$831))</f>
        <v>#REF!</v>
      </c>
      <c r="N550" s="219" t="e">
        <f>IF(I550="","",NETWORKDAYS(Curva!$M$2,M550,FERIADOS!$A$2:$A$831)-1)</f>
        <v>#REF!</v>
      </c>
      <c r="O550" s="423" t="e">
        <f>IF(C550&lt;&gt;"",IF(ISERROR((100000/E550)^(252/N550)-1),Curva!$B$2,((100000/E550)^(252/N550)-1)),"")</f>
        <v>#REF!</v>
      </c>
      <c r="P550" s="219" t="e">
        <f>IF(OR(G550=1,G550=2),dadosexternosBMF_1!B553,"")</f>
        <v>#REF!</v>
      </c>
      <c r="Q550" s="219" t="e">
        <f>IF(OR(G550=1,G550=2),dadosexternosBMF_1!D553,"")</f>
        <v>#REF!</v>
      </c>
    </row>
    <row r="551" spans="1:17" x14ac:dyDescent="0.2">
      <c r="A551" s="222" t="e">
        <f t="shared" si="66"/>
        <v>#REF!</v>
      </c>
      <c r="B551" s="222" t="str">
        <f>IF(dadosexternosBMF_1!A554="DI1 - DI de 1 dia","DI1 - DI de 1 dia","")</f>
        <v/>
      </c>
      <c r="C551" s="222" t="e">
        <f>IF(dadosexternosBMF_1!A554="DOL - Dólar comercial","",IF(C550&lt;&gt;"",dadosexternosBMF_1!B554,IF(dadosexternosBMF_1!A554="DI1 - DI de 1 dia",dadosexternosBMF_1!B554,"")))</f>
        <v>#REF!</v>
      </c>
      <c r="D551" s="222" t="e">
        <f>IF(C551&lt;&gt;"",dadosexternosBMF_1!C554,"")</f>
        <v>#REF!</v>
      </c>
      <c r="E551" s="222" t="e">
        <f>IF(C551&lt;&gt;"",dadosexternosBMF_1!D554,"")</f>
        <v>#REF!</v>
      </c>
      <c r="G551" s="219" t="e">
        <f t="shared" si="67"/>
        <v>#REF!</v>
      </c>
      <c r="H551" s="219" t="e">
        <f t="shared" si="68"/>
        <v>#REF!</v>
      </c>
      <c r="I551" s="219" t="e">
        <f t="shared" si="69"/>
        <v>#REF!</v>
      </c>
      <c r="J551" s="219" t="e">
        <f>IF(I551="","",VLOOKUP(LEFT(C551,1),dadosexternosBMF_1!$L$2:$M$13,2,FALSE))</f>
        <v>#REF!</v>
      </c>
      <c r="K551" s="219" t="e">
        <f t="shared" si="70"/>
        <v>#REF!</v>
      </c>
      <c r="L551" s="422" t="e">
        <f t="shared" si="71"/>
        <v>#REF!</v>
      </c>
      <c r="M551" s="422" t="e">
        <f>IF(I551="","",WORKDAY(L551-1,1,FERIADOS!$A$2:$A$831))</f>
        <v>#REF!</v>
      </c>
      <c r="N551" s="219" t="e">
        <f>IF(I551="","",NETWORKDAYS(Curva!$M$2,M551,FERIADOS!$A$2:$A$831)-1)</f>
        <v>#REF!</v>
      </c>
      <c r="O551" s="423" t="e">
        <f>IF(C551&lt;&gt;"",IF(ISERROR((100000/E551)^(252/N551)-1),Curva!$B$2,((100000/E551)^(252/N551)-1)),"")</f>
        <v>#REF!</v>
      </c>
      <c r="P551" s="219" t="e">
        <f>IF(OR(G551=1,G551=2),dadosexternosBMF_1!B554,"")</f>
        <v>#REF!</v>
      </c>
      <c r="Q551" s="219" t="e">
        <f>IF(OR(G551=1,G551=2),dadosexternosBMF_1!D554,"")</f>
        <v>#REF!</v>
      </c>
    </row>
    <row r="552" spans="1:17" x14ac:dyDescent="0.2">
      <c r="A552" s="222" t="e">
        <f t="shared" si="66"/>
        <v>#REF!</v>
      </c>
      <c r="B552" s="222" t="str">
        <f>IF(dadosexternosBMF_1!A555="DI1 - DI de 1 dia","DI1 - DI de 1 dia","")</f>
        <v/>
      </c>
      <c r="C552" s="222" t="e">
        <f>IF(dadosexternosBMF_1!A555="DOL - Dólar comercial","",IF(C551&lt;&gt;"",dadosexternosBMF_1!B555,IF(dadosexternosBMF_1!A555="DI1 - DI de 1 dia",dadosexternosBMF_1!B555,"")))</f>
        <v>#REF!</v>
      </c>
      <c r="D552" s="222" t="e">
        <f>IF(C552&lt;&gt;"",dadosexternosBMF_1!C555,"")</f>
        <v>#REF!</v>
      </c>
      <c r="E552" s="222" t="e">
        <f>IF(C552&lt;&gt;"",dadosexternosBMF_1!D555,"")</f>
        <v>#REF!</v>
      </c>
      <c r="G552" s="219" t="e">
        <f t="shared" si="67"/>
        <v>#REF!</v>
      </c>
      <c r="H552" s="219" t="e">
        <f t="shared" si="68"/>
        <v>#REF!</v>
      </c>
      <c r="I552" s="219" t="e">
        <f t="shared" si="69"/>
        <v>#REF!</v>
      </c>
      <c r="J552" s="219" t="e">
        <f>IF(I552="","",VLOOKUP(LEFT(C552,1),dadosexternosBMF_1!$L$2:$M$13,2,FALSE))</f>
        <v>#REF!</v>
      </c>
      <c r="K552" s="219" t="e">
        <f t="shared" si="70"/>
        <v>#REF!</v>
      </c>
      <c r="L552" s="422" t="e">
        <f t="shared" si="71"/>
        <v>#REF!</v>
      </c>
      <c r="M552" s="422" t="e">
        <f>IF(I552="","",WORKDAY(L552-1,1,FERIADOS!$A$2:$A$831))</f>
        <v>#REF!</v>
      </c>
      <c r="N552" s="219" t="e">
        <f>IF(I552="","",NETWORKDAYS(Curva!$M$2,M552,FERIADOS!$A$2:$A$831)-1)</f>
        <v>#REF!</v>
      </c>
      <c r="O552" s="423" t="e">
        <f>IF(C552&lt;&gt;"",IF(ISERROR((100000/E552)^(252/N552)-1),Curva!$B$2,((100000/E552)^(252/N552)-1)),"")</f>
        <v>#REF!</v>
      </c>
      <c r="P552" s="219" t="e">
        <f>IF(OR(G552=1,G552=2),dadosexternosBMF_1!B555,"")</f>
        <v>#REF!</v>
      </c>
      <c r="Q552" s="219" t="e">
        <f>IF(OR(G552=1,G552=2),dadosexternosBMF_1!D555,"")</f>
        <v>#REF!</v>
      </c>
    </row>
    <row r="553" spans="1:17" x14ac:dyDescent="0.2">
      <c r="A553" s="222" t="e">
        <f t="shared" si="66"/>
        <v>#REF!</v>
      </c>
      <c r="B553" s="222" t="str">
        <f>IF(dadosexternosBMF_1!A556="DI1 - DI de 1 dia","DI1 - DI de 1 dia","")</f>
        <v/>
      </c>
      <c r="C553" s="222" t="e">
        <f>IF(dadosexternosBMF_1!A556="DOL - Dólar comercial","",IF(C552&lt;&gt;"",dadosexternosBMF_1!B556,IF(dadosexternosBMF_1!A556="DI1 - DI de 1 dia",dadosexternosBMF_1!B556,"")))</f>
        <v>#REF!</v>
      </c>
      <c r="D553" s="222" t="e">
        <f>IF(C553&lt;&gt;"",dadosexternosBMF_1!C556,"")</f>
        <v>#REF!</v>
      </c>
      <c r="E553" s="222" t="e">
        <f>IF(C553&lt;&gt;"",dadosexternosBMF_1!D556,"")</f>
        <v>#REF!</v>
      </c>
      <c r="G553" s="219" t="e">
        <f t="shared" si="67"/>
        <v>#REF!</v>
      </c>
      <c r="H553" s="219" t="e">
        <f t="shared" si="68"/>
        <v>#REF!</v>
      </c>
      <c r="I553" s="219" t="e">
        <f t="shared" si="69"/>
        <v>#REF!</v>
      </c>
      <c r="J553" s="219" t="e">
        <f>IF(I553="","",VLOOKUP(LEFT(C553,1),dadosexternosBMF_1!$L$2:$M$13,2,FALSE))</f>
        <v>#REF!</v>
      </c>
      <c r="K553" s="219" t="e">
        <f t="shared" si="70"/>
        <v>#REF!</v>
      </c>
      <c r="L553" s="422" t="e">
        <f t="shared" si="71"/>
        <v>#REF!</v>
      </c>
      <c r="M553" s="422" t="e">
        <f>IF(I553="","",WORKDAY(L553-1,1,FERIADOS!$A$2:$A$831))</f>
        <v>#REF!</v>
      </c>
      <c r="N553" s="219" t="e">
        <f>IF(I553="","",NETWORKDAYS(Curva!$M$2,M553,FERIADOS!$A$2:$A$831)-1)</f>
        <v>#REF!</v>
      </c>
      <c r="O553" s="423" t="e">
        <f>IF(C553&lt;&gt;"",IF(ISERROR((100000/E553)^(252/N553)-1),Curva!$B$2,((100000/E553)^(252/N553)-1)),"")</f>
        <v>#REF!</v>
      </c>
      <c r="P553" s="219" t="e">
        <f>IF(OR(G553=1,G553=2),dadosexternosBMF_1!B556,"")</f>
        <v>#REF!</v>
      </c>
      <c r="Q553" s="219" t="e">
        <f>IF(OR(G553=1,G553=2),dadosexternosBMF_1!D556,"")</f>
        <v>#REF!</v>
      </c>
    </row>
    <row r="554" spans="1:17" x14ac:dyDescent="0.2">
      <c r="A554" s="222" t="e">
        <f t="shared" si="66"/>
        <v>#REF!</v>
      </c>
      <c r="B554" s="222" t="str">
        <f>IF(dadosexternosBMF_1!A557="DI1 - DI de 1 dia","DI1 - DI de 1 dia","")</f>
        <v/>
      </c>
      <c r="C554" s="222" t="e">
        <f>IF(dadosexternosBMF_1!A557="DOL - Dólar comercial","",IF(C553&lt;&gt;"",dadosexternosBMF_1!B557,IF(dadosexternosBMF_1!A557="DI1 - DI de 1 dia",dadosexternosBMF_1!B557,"")))</f>
        <v>#REF!</v>
      </c>
      <c r="D554" s="222" t="e">
        <f>IF(C554&lt;&gt;"",dadosexternosBMF_1!C557,"")</f>
        <v>#REF!</v>
      </c>
      <c r="E554" s="222" t="e">
        <f>IF(C554&lt;&gt;"",dadosexternosBMF_1!D557,"")</f>
        <v>#REF!</v>
      </c>
      <c r="G554" s="219" t="e">
        <f t="shared" si="67"/>
        <v>#REF!</v>
      </c>
      <c r="H554" s="219" t="e">
        <f t="shared" si="68"/>
        <v>#REF!</v>
      </c>
      <c r="I554" s="219" t="e">
        <f t="shared" si="69"/>
        <v>#REF!</v>
      </c>
      <c r="J554" s="219" t="e">
        <f>IF(I554="","",VLOOKUP(LEFT(C554,1),dadosexternosBMF_1!$L$2:$M$13,2,FALSE))</f>
        <v>#REF!</v>
      </c>
      <c r="K554" s="219" t="e">
        <f t="shared" si="70"/>
        <v>#REF!</v>
      </c>
      <c r="L554" s="422" t="e">
        <f t="shared" si="71"/>
        <v>#REF!</v>
      </c>
      <c r="M554" s="422" t="e">
        <f>IF(I554="","",WORKDAY(L554-1,1,FERIADOS!$A$2:$A$831))</f>
        <v>#REF!</v>
      </c>
      <c r="N554" s="219" t="e">
        <f>IF(I554="","",NETWORKDAYS(Curva!$M$2,M554,FERIADOS!$A$2:$A$831)-1)</f>
        <v>#REF!</v>
      </c>
      <c r="O554" s="423" t="e">
        <f>IF(C554&lt;&gt;"",IF(ISERROR((100000/E554)^(252/N554)-1),Curva!$B$2,((100000/E554)^(252/N554)-1)),"")</f>
        <v>#REF!</v>
      </c>
      <c r="P554" s="219" t="e">
        <f>IF(OR(G554=1,G554=2),dadosexternosBMF_1!B557,"")</f>
        <v>#REF!</v>
      </c>
      <c r="Q554" s="219" t="e">
        <f>IF(OR(G554=1,G554=2),dadosexternosBMF_1!D557,"")</f>
        <v>#REF!</v>
      </c>
    </row>
    <row r="555" spans="1:17" x14ac:dyDescent="0.2">
      <c r="A555" s="222" t="e">
        <f t="shared" si="66"/>
        <v>#REF!</v>
      </c>
      <c r="B555" s="222" t="str">
        <f>IF(dadosexternosBMF_1!A558="DI1 - DI de 1 dia","DI1 - DI de 1 dia","")</f>
        <v/>
      </c>
      <c r="C555" s="222" t="e">
        <f>IF(dadosexternosBMF_1!A558="DOL - Dólar comercial","",IF(C554&lt;&gt;"",dadosexternosBMF_1!B558,IF(dadosexternosBMF_1!A558="DI1 - DI de 1 dia",dadosexternosBMF_1!B558,"")))</f>
        <v>#REF!</v>
      </c>
      <c r="D555" s="222" t="e">
        <f>IF(C555&lt;&gt;"",dadosexternosBMF_1!C558,"")</f>
        <v>#REF!</v>
      </c>
      <c r="E555" s="222" t="e">
        <f>IF(C555&lt;&gt;"",dadosexternosBMF_1!D558,"")</f>
        <v>#REF!</v>
      </c>
      <c r="G555" s="219" t="e">
        <f t="shared" si="67"/>
        <v>#REF!</v>
      </c>
      <c r="H555" s="219" t="e">
        <f t="shared" si="68"/>
        <v>#REF!</v>
      </c>
      <c r="I555" s="219" t="e">
        <f t="shared" si="69"/>
        <v>#REF!</v>
      </c>
      <c r="J555" s="219" t="e">
        <f>IF(I555="","",VLOOKUP(LEFT(C555,1),dadosexternosBMF_1!$L$2:$M$13,2,FALSE))</f>
        <v>#REF!</v>
      </c>
      <c r="K555" s="219" t="e">
        <f t="shared" si="70"/>
        <v>#REF!</v>
      </c>
      <c r="L555" s="422" t="e">
        <f t="shared" si="71"/>
        <v>#REF!</v>
      </c>
      <c r="M555" s="422" t="e">
        <f>IF(I555="","",WORKDAY(L555-1,1,FERIADOS!$A$2:$A$831))</f>
        <v>#REF!</v>
      </c>
      <c r="N555" s="219" t="e">
        <f>IF(I555="","",NETWORKDAYS(Curva!$M$2,M555,FERIADOS!$A$2:$A$831)-1)</f>
        <v>#REF!</v>
      </c>
      <c r="O555" s="423" t="e">
        <f>IF(C555&lt;&gt;"",IF(ISERROR((100000/E555)^(252/N555)-1),Curva!$B$2,((100000/E555)^(252/N555)-1)),"")</f>
        <v>#REF!</v>
      </c>
      <c r="P555" s="219" t="e">
        <f>IF(OR(G555=1,G555=2),dadosexternosBMF_1!B558,"")</f>
        <v>#REF!</v>
      </c>
      <c r="Q555" s="219" t="e">
        <f>IF(OR(G555=1,G555=2),dadosexternosBMF_1!D558,"")</f>
        <v>#REF!</v>
      </c>
    </row>
    <row r="556" spans="1:17" x14ac:dyDescent="0.2">
      <c r="A556" s="222" t="e">
        <f t="shared" si="66"/>
        <v>#REF!</v>
      </c>
      <c r="B556" s="222" t="str">
        <f>IF(dadosexternosBMF_1!A559="DI1 - DI de 1 dia","DI1 - DI de 1 dia","")</f>
        <v/>
      </c>
      <c r="C556" s="222" t="e">
        <f>IF(dadosexternosBMF_1!A559="DOL - Dólar comercial","",IF(C555&lt;&gt;"",dadosexternosBMF_1!B559,IF(dadosexternosBMF_1!A559="DI1 - DI de 1 dia",dadosexternosBMF_1!B559,"")))</f>
        <v>#REF!</v>
      </c>
      <c r="D556" s="222" t="e">
        <f>IF(C556&lt;&gt;"",dadosexternosBMF_1!C559,"")</f>
        <v>#REF!</v>
      </c>
      <c r="E556" s="222" t="e">
        <f>IF(C556&lt;&gt;"",dadosexternosBMF_1!D559,"")</f>
        <v>#REF!</v>
      </c>
      <c r="G556" s="219" t="e">
        <f t="shared" si="67"/>
        <v>#REF!</v>
      </c>
      <c r="H556" s="219" t="e">
        <f t="shared" si="68"/>
        <v>#REF!</v>
      </c>
      <c r="I556" s="219" t="e">
        <f t="shared" si="69"/>
        <v>#REF!</v>
      </c>
      <c r="J556" s="219" t="e">
        <f>IF(I556="","",VLOOKUP(LEFT(C556,1),dadosexternosBMF_1!$L$2:$M$13,2,FALSE))</f>
        <v>#REF!</v>
      </c>
      <c r="K556" s="219" t="e">
        <f t="shared" si="70"/>
        <v>#REF!</v>
      </c>
      <c r="L556" s="422" t="e">
        <f t="shared" si="71"/>
        <v>#REF!</v>
      </c>
      <c r="M556" s="422" t="e">
        <f>IF(I556="","",WORKDAY(L556-1,1,FERIADOS!$A$2:$A$831))</f>
        <v>#REF!</v>
      </c>
      <c r="N556" s="219" t="e">
        <f>IF(I556="","",NETWORKDAYS(Curva!$M$2,M556,FERIADOS!$A$2:$A$831)-1)</f>
        <v>#REF!</v>
      </c>
      <c r="O556" s="423" t="e">
        <f>IF(C556&lt;&gt;"",IF(ISERROR((100000/E556)^(252/N556)-1),Curva!$B$2,((100000/E556)^(252/N556)-1)),"")</f>
        <v>#REF!</v>
      </c>
      <c r="P556" s="219" t="e">
        <f>IF(OR(G556=1,G556=2),dadosexternosBMF_1!B559,"")</f>
        <v>#REF!</v>
      </c>
      <c r="Q556" s="219" t="e">
        <f>IF(OR(G556=1,G556=2),dadosexternosBMF_1!D559,"")</f>
        <v>#REF!</v>
      </c>
    </row>
    <row r="557" spans="1:17" x14ac:dyDescent="0.2">
      <c r="A557" s="222" t="e">
        <f t="shared" si="66"/>
        <v>#REF!</v>
      </c>
      <c r="B557" s="222" t="str">
        <f>IF(dadosexternosBMF_1!A560="DI1 - DI de 1 dia","DI1 - DI de 1 dia","")</f>
        <v/>
      </c>
      <c r="C557" s="222" t="e">
        <f>IF(dadosexternosBMF_1!A560="DOL - Dólar comercial","",IF(C556&lt;&gt;"",dadosexternosBMF_1!B560,IF(dadosexternosBMF_1!A560="DI1 - DI de 1 dia",dadosexternosBMF_1!B560,"")))</f>
        <v>#REF!</v>
      </c>
      <c r="D557" s="222" t="e">
        <f>IF(C557&lt;&gt;"",dadosexternosBMF_1!C560,"")</f>
        <v>#REF!</v>
      </c>
      <c r="E557" s="222" t="e">
        <f>IF(C557&lt;&gt;"",dadosexternosBMF_1!D560,"")</f>
        <v>#REF!</v>
      </c>
      <c r="G557" s="219" t="e">
        <f t="shared" si="67"/>
        <v>#REF!</v>
      </c>
      <c r="H557" s="219" t="e">
        <f t="shared" si="68"/>
        <v>#REF!</v>
      </c>
      <c r="I557" s="219" t="e">
        <f t="shared" si="69"/>
        <v>#REF!</v>
      </c>
      <c r="J557" s="219" t="e">
        <f>IF(I557="","",VLOOKUP(LEFT(C557,1),dadosexternosBMF_1!$L$2:$M$13,2,FALSE))</f>
        <v>#REF!</v>
      </c>
      <c r="K557" s="219" t="e">
        <f t="shared" si="70"/>
        <v>#REF!</v>
      </c>
      <c r="L557" s="422" t="e">
        <f t="shared" si="71"/>
        <v>#REF!</v>
      </c>
      <c r="M557" s="422" t="e">
        <f>IF(I557="","",WORKDAY(L557-1,1,FERIADOS!$A$2:$A$831))</f>
        <v>#REF!</v>
      </c>
      <c r="N557" s="219" t="e">
        <f>IF(I557="","",NETWORKDAYS(Curva!$M$2,M557,FERIADOS!$A$2:$A$831)-1)</f>
        <v>#REF!</v>
      </c>
      <c r="O557" s="423" t="e">
        <f>IF(C557&lt;&gt;"",IF(ISERROR((100000/E557)^(252/N557)-1),Curva!$B$2,((100000/E557)^(252/N557)-1)),"")</f>
        <v>#REF!</v>
      </c>
      <c r="P557" s="219" t="e">
        <f>IF(OR(G557=1,G557=2),dadosexternosBMF_1!B560,"")</f>
        <v>#REF!</v>
      </c>
      <c r="Q557" s="219" t="e">
        <f>IF(OR(G557=1,G557=2),dadosexternosBMF_1!D560,"")</f>
        <v>#REF!</v>
      </c>
    </row>
    <row r="558" spans="1:17" x14ac:dyDescent="0.2">
      <c r="A558" s="222" t="e">
        <f t="shared" si="66"/>
        <v>#REF!</v>
      </c>
      <c r="B558" s="222" t="str">
        <f>IF(dadosexternosBMF_1!A561="DI1 - DI de 1 dia","DI1 - DI de 1 dia","")</f>
        <v/>
      </c>
      <c r="C558" s="222" t="e">
        <f>IF(dadosexternosBMF_1!A561="DOL - Dólar comercial","",IF(C557&lt;&gt;"",dadosexternosBMF_1!B561,IF(dadosexternosBMF_1!A561="DI1 - DI de 1 dia",dadosexternosBMF_1!B561,"")))</f>
        <v>#REF!</v>
      </c>
      <c r="D558" s="222" t="e">
        <f>IF(C558&lt;&gt;"",dadosexternosBMF_1!C561,"")</f>
        <v>#REF!</v>
      </c>
      <c r="E558" s="222" t="e">
        <f>IF(C558&lt;&gt;"",dadosexternosBMF_1!D561,"")</f>
        <v>#REF!</v>
      </c>
      <c r="G558" s="219" t="e">
        <f t="shared" si="67"/>
        <v>#REF!</v>
      </c>
      <c r="H558" s="219" t="e">
        <f t="shared" si="68"/>
        <v>#REF!</v>
      </c>
      <c r="I558" s="219" t="e">
        <f t="shared" si="69"/>
        <v>#REF!</v>
      </c>
      <c r="J558" s="219" t="e">
        <f>IF(I558="","",VLOOKUP(LEFT(C558,1),dadosexternosBMF_1!$L$2:$M$13,2,FALSE))</f>
        <v>#REF!</v>
      </c>
      <c r="K558" s="219" t="e">
        <f t="shared" si="70"/>
        <v>#REF!</v>
      </c>
      <c r="L558" s="422" t="e">
        <f t="shared" si="71"/>
        <v>#REF!</v>
      </c>
      <c r="M558" s="422" t="e">
        <f>IF(I558="","",WORKDAY(L558-1,1,FERIADOS!$A$2:$A$831))</f>
        <v>#REF!</v>
      </c>
      <c r="N558" s="219" t="e">
        <f>IF(I558="","",NETWORKDAYS(Curva!$M$2,M558,FERIADOS!$A$2:$A$831)-1)</f>
        <v>#REF!</v>
      </c>
      <c r="O558" s="423" t="e">
        <f>IF(C558&lt;&gt;"",IF(ISERROR((100000/E558)^(252/N558)-1),Curva!$B$2,((100000/E558)^(252/N558)-1)),"")</f>
        <v>#REF!</v>
      </c>
      <c r="P558" s="219" t="e">
        <f>IF(OR(G558=1,G558=2),dadosexternosBMF_1!B561,"")</f>
        <v>#REF!</v>
      </c>
      <c r="Q558" s="219" t="e">
        <f>IF(OR(G558=1,G558=2),dadosexternosBMF_1!D561,"")</f>
        <v>#REF!</v>
      </c>
    </row>
    <row r="559" spans="1:17" x14ac:dyDescent="0.2">
      <c r="A559" s="222" t="e">
        <f t="shared" si="66"/>
        <v>#REF!</v>
      </c>
      <c r="B559" s="222" t="str">
        <f>IF(dadosexternosBMF_1!A562="DI1 - DI de 1 dia","DI1 - DI de 1 dia","")</f>
        <v/>
      </c>
      <c r="C559" s="222" t="e">
        <f>IF(dadosexternosBMF_1!A562="DOL - Dólar comercial","",IF(C558&lt;&gt;"",dadosexternosBMF_1!B562,IF(dadosexternosBMF_1!A562="DI1 - DI de 1 dia",dadosexternosBMF_1!B562,"")))</f>
        <v>#REF!</v>
      </c>
      <c r="D559" s="222" t="e">
        <f>IF(C559&lt;&gt;"",dadosexternosBMF_1!C562,"")</f>
        <v>#REF!</v>
      </c>
      <c r="E559" s="222" t="e">
        <f>IF(C559&lt;&gt;"",dadosexternosBMF_1!D562,"")</f>
        <v>#REF!</v>
      </c>
      <c r="G559" s="219" t="e">
        <f t="shared" si="67"/>
        <v>#REF!</v>
      </c>
      <c r="H559" s="219" t="e">
        <f t="shared" si="68"/>
        <v>#REF!</v>
      </c>
      <c r="I559" s="219" t="e">
        <f t="shared" si="69"/>
        <v>#REF!</v>
      </c>
      <c r="J559" s="219" t="e">
        <f>IF(I559="","",VLOOKUP(LEFT(C559,1),dadosexternosBMF_1!$L$2:$M$13,2,FALSE))</f>
        <v>#REF!</v>
      </c>
      <c r="K559" s="219" t="e">
        <f t="shared" si="70"/>
        <v>#REF!</v>
      </c>
      <c r="L559" s="422" t="e">
        <f t="shared" si="71"/>
        <v>#REF!</v>
      </c>
      <c r="M559" s="422" t="e">
        <f>IF(I559="","",WORKDAY(L559-1,1,FERIADOS!$A$2:$A$831))</f>
        <v>#REF!</v>
      </c>
      <c r="N559" s="219" t="e">
        <f>IF(I559="","",NETWORKDAYS(Curva!$M$2,M559,FERIADOS!$A$2:$A$831)-1)</f>
        <v>#REF!</v>
      </c>
      <c r="O559" s="423" t="e">
        <f>IF(C559&lt;&gt;"",IF(ISERROR((100000/E559)^(252/N559)-1),Curva!$B$2,((100000/E559)^(252/N559)-1)),"")</f>
        <v>#REF!</v>
      </c>
      <c r="P559" s="219" t="e">
        <f>IF(OR(G559=1,G559=2),dadosexternosBMF_1!B562,"")</f>
        <v>#REF!</v>
      </c>
      <c r="Q559" s="219" t="e">
        <f>IF(OR(G559=1,G559=2),dadosexternosBMF_1!D562,"")</f>
        <v>#REF!</v>
      </c>
    </row>
    <row r="560" spans="1:17" x14ac:dyDescent="0.2">
      <c r="A560" s="222" t="e">
        <f t="shared" si="66"/>
        <v>#REF!</v>
      </c>
      <c r="B560" s="222" t="str">
        <f>IF(dadosexternosBMF_1!A563="DI1 - DI de 1 dia","DI1 - DI de 1 dia","")</f>
        <v/>
      </c>
      <c r="C560" s="222" t="e">
        <f>IF(dadosexternosBMF_1!A563="DOL - Dólar comercial","",IF(C559&lt;&gt;"",dadosexternosBMF_1!B563,IF(dadosexternosBMF_1!A563="DI1 - DI de 1 dia",dadosexternosBMF_1!B563,"")))</f>
        <v>#REF!</v>
      </c>
      <c r="D560" s="222" t="e">
        <f>IF(C560&lt;&gt;"",dadosexternosBMF_1!C563,"")</f>
        <v>#REF!</v>
      </c>
      <c r="E560" s="222" t="e">
        <f>IF(C560&lt;&gt;"",dadosexternosBMF_1!D563,"")</f>
        <v>#REF!</v>
      </c>
      <c r="G560" s="219" t="e">
        <f t="shared" si="67"/>
        <v>#REF!</v>
      </c>
      <c r="H560" s="219" t="e">
        <f t="shared" si="68"/>
        <v>#REF!</v>
      </c>
      <c r="I560" s="219" t="e">
        <f t="shared" si="69"/>
        <v>#REF!</v>
      </c>
      <c r="J560" s="219" t="e">
        <f>IF(I560="","",VLOOKUP(LEFT(C560,1),dadosexternosBMF_1!$L$2:$M$13,2,FALSE))</f>
        <v>#REF!</v>
      </c>
      <c r="K560" s="219" t="e">
        <f t="shared" si="70"/>
        <v>#REF!</v>
      </c>
      <c r="L560" s="422" t="e">
        <f t="shared" si="71"/>
        <v>#REF!</v>
      </c>
      <c r="M560" s="422" t="e">
        <f>IF(I560="","",WORKDAY(L560-1,1,FERIADOS!$A$2:$A$831))</f>
        <v>#REF!</v>
      </c>
      <c r="N560" s="219" t="e">
        <f>IF(I560="","",NETWORKDAYS(Curva!$M$2,M560,FERIADOS!$A$2:$A$831)-1)</f>
        <v>#REF!</v>
      </c>
      <c r="O560" s="423" t="e">
        <f>IF(C560&lt;&gt;"",IF(ISERROR((100000/E560)^(252/N560)-1),Curva!$B$2,((100000/E560)^(252/N560)-1)),"")</f>
        <v>#REF!</v>
      </c>
      <c r="P560" s="219" t="e">
        <f>IF(OR(G560=1,G560=2),dadosexternosBMF_1!B563,"")</f>
        <v>#REF!</v>
      </c>
      <c r="Q560" s="219" t="e">
        <f>IF(OR(G560=1,G560=2),dadosexternosBMF_1!D563,"")</f>
        <v>#REF!</v>
      </c>
    </row>
    <row r="561" spans="1:17" x14ac:dyDescent="0.2">
      <c r="A561" s="222" t="e">
        <f t="shared" si="66"/>
        <v>#REF!</v>
      </c>
      <c r="B561" s="222" t="str">
        <f>IF(dadosexternosBMF_1!A564="DI1 - DI de 1 dia","DI1 - DI de 1 dia","")</f>
        <v/>
      </c>
      <c r="C561" s="222" t="e">
        <f>IF(dadosexternosBMF_1!A564="DOL - Dólar comercial","",IF(C560&lt;&gt;"",dadosexternosBMF_1!B564,IF(dadosexternosBMF_1!A564="DI1 - DI de 1 dia",dadosexternosBMF_1!B564,"")))</f>
        <v>#REF!</v>
      </c>
      <c r="D561" s="222" t="e">
        <f>IF(C561&lt;&gt;"",dadosexternosBMF_1!C564,"")</f>
        <v>#REF!</v>
      </c>
      <c r="E561" s="222" t="e">
        <f>IF(C561&lt;&gt;"",dadosexternosBMF_1!D564,"")</f>
        <v>#REF!</v>
      </c>
      <c r="G561" s="219" t="e">
        <f t="shared" si="67"/>
        <v>#REF!</v>
      </c>
      <c r="H561" s="219" t="e">
        <f t="shared" si="68"/>
        <v>#REF!</v>
      </c>
      <c r="I561" s="219" t="e">
        <f t="shared" si="69"/>
        <v>#REF!</v>
      </c>
      <c r="J561" s="219" t="e">
        <f>IF(I561="","",VLOOKUP(LEFT(C561,1),dadosexternosBMF_1!$L$2:$M$13,2,FALSE))</f>
        <v>#REF!</v>
      </c>
      <c r="K561" s="219" t="e">
        <f t="shared" si="70"/>
        <v>#REF!</v>
      </c>
      <c r="L561" s="422" t="e">
        <f t="shared" si="71"/>
        <v>#REF!</v>
      </c>
      <c r="M561" s="422" t="e">
        <f>IF(I561="","",WORKDAY(L561-1,1,FERIADOS!$A$2:$A$831))</f>
        <v>#REF!</v>
      </c>
      <c r="N561" s="219" t="e">
        <f>IF(I561="","",NETWORKDAYS(Curva!$M$2,M561,FERIADOS!$A$2:$A$831)-1)</f>
        <v>#REF!</v>
      </c>
      <c r="O561" s="423" t="e">
        <f>IF(C561&lt;&gt;"",IF(ISERROR((100000/E561)^(252/N561)-1),Curva!$B$2,((100000/E561)^(252/N561)-1)),"")</f>
        <v>#REF!</v>
      </c>
      <c r="P561" s="219" t="e">
        <f>IF(OR(G561=1,G561=2),dadosexternosBMF_1!B564,"")</f>
        <v>#REF!</v>
      </c>
      <c r="Q561" s="219" t="e">
        <f>IF(OR(G561=1,G561=2),dadosexternosBMF_1!D564,"")</f>
        <v>#REF!</v>
      </c>
    </row>
    <row r="562" spans="1:17" x14ac:dyDescent="0.2">
      <c r="A562" s="222" t="e">
        <f t="shared" si="66"/>
        <v>#REF!</v>
      </c>
      <c r="B562" s="222" t="str">
        <f>IF(dadosexternosBMF_1!A565="DI1 - DI de 1 dia","DI1 - DI de 1 dia","")</f>
        <v/>
      </c>
      <c r="C562" s="222" t="e">
        <f>IF(dadosexternosBMF_1!A565="DOL - Dólar comercial","",IF(C561&lt;&gt;"",dadosexternosBMF_1!B565,IF(dadosexternosBMF_1!A565="DI1 - DI de 1 dia",dadosexternosBMF_1!B565,"")))</f>
        <v>#REF!</v>
      </c>
      <c r="D562" s="222" t="e">
        <f>IF(C562&lt;&gt;"",dadosexternosBMF_1!C565,"")</f>
        <v>#REF!</v>
      </c>
      <c r="E562" s="222" t="e">
        <f>IF(C562&lt;&gt;"",dadosexternosBMF_1!D565,"")</f>
        <v>#REF!</v>
      </c>
      <c r="G562" s="219" t="e">
        <f t="shared" si="67"/>
        <v>#REF!</v>
      </c>
      <c r="H562" s="219" t="e">
        <f t="shared" si="68"/>
        <v>#REF!</v>
      </c>
      <c r="I562" s="219" t="e">
        <f t="shared" si="69"/>
        <v>#REF!</v>
      </c>
      <c r="J562" s="219" t="e">
        <f>IF(I562="","",VLOOKUP(LEFT(C562,1),dadosexternosBMF_1!$L$2:$M$13,2,FALSE))</f>
        <v>#REF!</v>
      </c>
      <c r="K562" s="219" t="e">
        <f t="shared" si="70"/>
        <v>#REF!</v>
      </c>
      <c r="L562" s="422" t="e">
        <f t="shared" si="71"/>
        <v>#REF!</v>
      </c>
      <c r="M562" s="422" t="e">
        <f>IF(I562="","",WORKDAY(L562-1,1,FERIADOS!$A$2:$A$831))</f>
        <v>#REF!</v>
      </c>
      <c r="N562" s="219" t="e">
        <f>IF(I562="","",NETWORKDAYS(Curva!$M$2,M562,FERIADOS!$A$2:$A$831)-1)</f>
        <v>#REF!</v>
      </c>
      <c r="O562" s="423" t="e">
        <f>IF(C562&lt;&gt;"",IF(ISERROR((100000/E562)^(252/N562)-1),Curva!$B$2,((100000/E562)^(252/N562)-1)),"")</f>
        <v>#REF!</v>
      </c>
      <c r="P562" s="219" t="e">
        <f>IF(OR(G562=1,G562=2),dadosexternosBMF_1!B565,"")</f>
        <v>#REF!</v>
      </c>
      <c r="Q562" s="219" t="e">
        <f>IF(OR(G562=1,G562=2),dadosexternosBMF_1!D565,"")</f>
        <v>#REF!</v>
      </c>
    </row>
    <row r="563" spans="1:17" x14ac:dyDescent="0.2">
      <c r="A563" s="222" t="e">
        <f t="shared" si="66"/>
        <v>#REF!</v>
      </c>
      <c r="B563" s="222" t="str">
        <f>IF(dadosexternosBMF_1!A566="DI1 - DI de 1 dia","DI1 - DI de 1 dia","")</f>
        <v/>
      </c>
      <c r="C563" s="222" t="e">
        <f>IF(dadosexternosBMF_1!A566="DOL - Dólar comercial","",IF(C562&lt;&gt;"",dadosexternosBMF_1!B566,IF(dadosexternosBMF_1!A566="DI1 - DI de 1 dia",dadosexternosBMF_1!B566,"")))</f>
        <v>#REF!</v>
      </c>
      <c r="D563" s="222" t="e">
        <f>IF(C563&lt;&gt;"",dadosexternosBMF_1!C566,"")</f>
        <v>#REF!</v>
      </c>
      <c r="E563" s="222" t="e">
        <f>IF(C563&lt;&gt;"",dadosexternosBMF_1!D566,"")</f>
        <v>#REF!</v>
      </c>
      <c r="G563" s="219" t="e">
        <f t="shared" si="67"/>
        <v>#REF!</v>
      </c>
      <c r="H563" s="219" t="e">
        <f t="shared" si="68"/>
        <v>#REF!</v>
      </c>
      <c r="I563" s="219" t="e">
        <f t="shared" si="69"/>
        <v>#REF!</v>
      </c>
      <c r="J563" s="219" t="e">
        <f>IF(I563="","",VLOOKUP(LEFT(C563,1),dadosexternosBMF_1!$L$2:$M$13,2,FALSE))</f>
        <v>#REF!</v>
      </c>
      <c r="K563" s="219" t="e">
        <f t="shared" si="70"/>
        <v>#REF!</v>
      </c>
      <c r="L563" s="422" t="e">
        <f t="shared" si="71"/>
        <v>#REF!</v>
      </c>
      <c r="M563" s="422" t="e">
        <f>IF(I563="","",WORKDAY(L563-1,1,FERIADOS!$A$2:$A$831))</f>
        <v>#REF!</v>
      </c>
      <c r="N563" s="219" t="e">
        <f>IF(I563="","",NETWORKDAYS(Curva!$M$2,M563,FERIADOS!$A$2:$A$831)-1)</f>
        <v>#REF!</v>
      </c>
      <c r="O563" s="423" t="e">
        <f>IF(C563&lt;&gt;"",IF(ISERROR((100000/E563)^(252/N563)-1),Curva!$B$2,((100000/E563)^(252/N563)-1)),"")</f>
        <v>#REF!</v>
      </c>
      <c r="P563" s="219" t="e">
        <f>IF(OR(G563=1,G563=2),dadosexternosBMF_1!B566,"")</f>
        <v>#REF!</v>
      </c>
      <c r="Q563" s="219" t="e">
        <f>IF(OR(G563=1,G563=2),dadosexternosBMF_1!D566,"")</f>
        <v>#REF!</v>
      </c>
    </row>
    <row r="564" spans="1:17" x14ac:dyDescent="0.2">
      <c r="A564" s="222" t="e">
        <f t="shared" si="66"/>
        <v>#REF!</v>
      </c>
      <c r="B564" s="222" t="str">
        <f>IF(dadosexternosBMF_1!A567="DI1 - DI de 1 dia","DI1 - DI de 1 dia","")</f>
        <v/>
      </c>
      <c r="C564" s="222" t="e">
        <f>IF(dadosexternosBMF_1!A567="DOL - Dólar comercial","",IF(C563&lt;&gt;"",dadosexternosBMF_1!B567,IF(dadosexternosBMF_1!A567="DI1 - DI de 1 dia",dadosexternosBMF_1!B567,"")))</f>
        <v>#REF!</v>
      </c>
      <c r="D564" s="222" t="e">
        <f>IF(C564&lt;&gt;"",dadosexternosBMF_1!C567,"")</f>
        <v>#REF!</v>
      </c>
      <c r="E564" s="222" t="e">
        <f>IF(C564&lt;&gt;"",dadosexternosBMF_1!D567,"")</f>
        <v>#REF!</v>
      </c>
      <c r="G564" s="219" t="e">
        <f t="shared" si="67"/>
        <v>#REF!</v>
      </c>
      <c r="H564" s="219" t="e">
        <f t="shared" si="68"/>
        <v>#REF!</v>
      </c>
      <c r="I564" s="219" t="e">
        <f t="shared" si="69"/>
        <v>#REF!</v>
      </c>
      <c r="J564" s="219" t="e">
        <f>IF(I564="","",VLOOKUP(LEFT(C564,1),dadosexternosBMF_1!$L$2:$M$13,2,FALSE))</f>
        <v>#REF!</v>
      </c>
      <c r="K564" s="219" t="e">
        <f t="shared" si="70"/>
        <v>#REF!</v>
      </c>
      <c r="L564" s="422" t="e">
        <f t="shared" si="71"/>
        <v>#REF!</v>
      </c>
      <c r="M564" s="422" t="e">
        <f>IF(I564="","",WORKDAY(L564-1,1,FERIADOS!$A$2:$A$831))</f>
        <v>#REF!</v>
      </c>
      <c r="N564" s="219" t="e">
        <f>IF(I564="","",NETWORKDAYS(Curva!$M$2,M564,FERIADOS!$A$2:$A$831)-1)</f>
        <v>#REF!</v>
      </c>
      <c r="O564" s="423" t="e">
        <f>IF(C564&lt;&gt;"",IF(ISERROR((100000/E564)^(252/N564)-1),Curva!$B$2,((100000/E564)^(252/N564)-1)),"")</f>
        <v>#REF!</v>
      </c>
      <c r="P564" s="219" t="e">
        <f>IF(OR(G564=1,G564=2),dadosexternosBMF_1!B567,"")</f>
        <v>#REF!</v>
      </c>
      <c r="Q564" s="219" t="e">
        <f>IF(OR(G564=1,G564=2),dadosexternosBMF_1!D567,"")</f>
        <v>#REF!</v>
      </c>
    </row>
    <row r="565" spans="1:17" x14ac:dyDescent="0.2">
      <c r="A565" s="222" t="e">
        <f t="shared" si="66"/>
        <v>#REF!</v>
      </c>
      <c r="B565" s="222" t="str">
        <f>IF(dadosexternosBMF_1!A568="DI1 - DI de 1 dia","DI1 - DI de 1 dia","")</f>
        <v/>
      </c>
      <c r="C565" s="222" t="e">
        <f>IF(dadosexternosBMF_1!A568="DOL - Dólar comercial","",IF(C564&lt;&gt;"",dadosexternosBMF_1!B568,IF(dadosexternosBMF_1!A568="DI1 - DI de 1 dia",dadosexternosBMF_1!B568,"")))</f>
        <v>#REF!</v>
      </c>
      <c r="D565" s="222" t="e">
        <f>IF(C565&lt;&gt;"",dadosexternosBMF_1!C568,"")</f>
        <v>#REF!</v>
      </c>
      <c r="E565" s="222" t="e">
        <f>IF(C565&lt;&gt;"",dadosexternosBMF_1!D568,"")</f>
        <v>#REF!</v>
      </c>
      <c r="G565" s="219" t="e">
        <f t="shared" si="67"/>
        <v>#REF!</v>
      </c>
      <c r="H565" s="219" t="e">
        <f t="shared" si="68"/>
        <v>#REF!</v>
      </c>
      <c r="I565" s="219" t="e">
        <f t="shared" si="69"/>
        <v>#REF!</v>
      </c>
      <c r="J565" s="219" t="e">
        <f>IF(I565="","",VLOOKUP(LEFT(C565,1),dadosexternosBMF_1!$L$2:$M$13,2,FALSE))</f>
        <v>#REF!</v>
      </c>
      <c r="K565" s="219" t="e">
        <f t="shared" si="70"/>
        <v>#REF!</v>
      </c>
      <c r="L565" s="422" t="e">
        <f t="shared" si="71"/>
        <v>#REF!</v>
      </c>
      <c r="M565" s="422" t="e">
        <f>IF(I565="","",WORKDAY(L565-1,1,FERIADOS!$A$2:$A$831))</f>
        <v>#REF!</v>
      </c>
      <c r="N565" s="219" t="e">
        <f>IF(I565="","",NETWORKDAYS(Curva!$M$2,M565,FERIADOS!$A$2:$A$831)-1)</f>
        <v>#REF!</v>
      </c>
      <c r="O565" s="423" t="e">
        <f>IF(C565&lt;&gt;"",IF(ISERROR((100000/E565)^(252/N565)-1),Curva!$B$2,((100000/E565)^(252/N565)-1)),"")</f>
        <v>#REF!</v>
      </c>
      <c r="P565" s="219" t="e">
        <f>IF(OR(G565=1,G565=2),dadosexternosBMF_1!B568,"")</f>
        <v>#REF!</v>
      </c>
      <c r="Q565" s="219" t="e">
        <f>IF(OR(G565=1,G565=2),dadosexternosBMF_1!D568,"")</f>
        <v>#REF!</v>
      </c>
    </row>
    <row r="566" spans="1:17" x14ac:dyDescent="0.2">
      <c r="A566" s="222" t="e">
        <f t="shared" si="66"/>
        <v>#REF!</v>
      </c>
      <c r="B566" s="222" t="str">
        <f>IF(dadosexternosBMF_1!A569="DI1 - DI de 1 dia","DI1 - DI de 1 dia","")</f>
        <v/>
      </c>
      <c r="C566" s="222" t="e">
        <f>IF(dadosexternosBMF_1!A569="DOL - Dólar comercial","",IF(C565&lt;&gt;"",dadosexternosBMF_1!B569,IF(dadosexternosBMF_1!A569="DI1 - DI de 1 dia",dadosexternosBMF_1!B569,"")))</f>
        <v>#REF!</v>
      </c>
      <c r="D566" s="222" t="e">
        <f>IF(C566&lt;&gt;"",dadosexternosBMF_1!C569,"")</f>
        <v>#REF!</v>
      </c>
      <c r="E566" s="222" t="e">
        <f>IF(C566&lt;&gt;"",dadosexternosBMF_1!D569,"")</f>
        <v>#REF!</v>
      </c>
      <c r="G566" s="219" t="e">
        <f t="shared" si="67"/>
        <v>#REF!</v>
      </c>
      <c r="H566" s="219" t="e">
        <f t="shared" si="68"/>
        <v>#REF!</v>
      </c>
      <c r="I566" s="219" t="e">
        <f t="shared" si="69"/>
        <v>#REF!</v>
      </c>
      <c r="J566" s="219" t="e">
        <f>IF(I566="","",VLOOKUP(LEFT(C566,1),dadosexternosBMF_1!$L$2:$M$13,2,FALSE))</f>
        <v>#REF!</v>
      </c>
      <c r="K566" s="219" t="e">
        <f t="shared" si="70"/>
        <v>#REF!</v>
      </c>
      <c r="L566" s="422" t="e">
        <f t="shared" si="71"/>
        <v>#REF!</v>
      </c>
      <c r="M566" s="422" t="e">
        <f>IF(I566="","",WORKDAY(L566-1,1,FERIADOS!$A$2:$A$831))</f>
        <v>#REF!</v>
      </c>
      <c r="N566" s="219" t="e">
        <f>IF(I566="","",NETWORKDAYS(Curva!$M$2,M566,FERIADOS!$A$2:$A$831)-1)</f>
        <v>#REF!</v>
      </c>
      <c r="O566" s="423" t="e">
        <f>IF(C566&lt;&gt;"",IF(ISERROR((100000/E566)^(252/N566)-1),Curva!$B$2,((100000/E566)^(252/N566)-1)),"")</f>
        <v>#REF!</v>
      </c>
      <c r="P566" s="219" t="e">
        <f>IF(OR(G566=1,G566=2),dadosexternosBMF_1!B569,"")</f>
        <v>#REF!</v>
      </c>
      <c r="Q566" s="219" t="e">
        <f>IF(OR(G566=1,G566=2),dadosexternosBMF_1!D569,"")</f>
        <v>#REF!</v>
      </c>
    </row>
    <row r="567" spans="1:17" x14ac:dyDescent="0.2">
      <c r="A567" s="222" t="e">
        <f t="shared" si="66"/>
        <v>#REF!</v>
      </c>
      <c r="B567" s="222" t="str">
        <f>IF(dadosexternosBMF_1!A570="DI1 - DI de 1 dia","DI1 - DI de 1 dia","")</f>
        <v/>
      </c>
      <c r="C567" s="222" t="e">
        <f>IF(dadosexternosBMF_1!A570="DOL - Dólar comercial","",IF(C566&lt;&gt;"",dadosexternosBMF_1!B570,IF(dadosexternosBMF_1!A570="DI1 - DI de 1 dia",dadosexternosBMF_1!B570,"")))</f>
        <v>#REF!</v>
      </c>
      <c r="D567" s="222" t="e">
        <f>IF(C567&lt;&gt;"",dadosexternosBMF_1!C570,"")</f>
        <v>#REF!</v>
      </c>
      <c r="E567" s="222" t="e">
        <f>IF(C567&lt;&gt;"",dadosexternosBMF_1!D570,"")</f>
        <v>#REF!</v>
      </c>
      <c r="G567" s="219" t="e">
        <f t="shared" si="67"/>
        <v>#REF!</v>
      </c>
      <c r="H567" s="219" t="e">
        <f t="shared" si="68"/>
        <v>#REF!</v>
      </c>
      <c r="I567" s="219" t="e">
        <f t="shared" si="69"/>
        <v>#REF!</v>
      </c>
      <c r="J567" s="219" t="e">
        <f>IF(I567="","",VLOOKUP(LEFT(C567,1),dadosexternosBMF_1!$L$2:$M$13,2,FALSE))</f>
        <v>#REF!</v>
      </c>
      <c r="K567" s="219" t="e">
        <f t="shared" si="70"/>
        <v>#REF!</v>
      </c>
      <c r="L567" s="422" t="e">
        <f t="shared" si="71"/>
        <v>#REF!</v>
      </c>
      <c r="M567" s="422" t="e">
        <f>IF(I567="","",WORKDAY(L567-1,1,FERIADOS!$A$2:$A$831))</f>
        <v>#REF!</v>
      </c>
      <c r="N567" s="219" t="e">
        <f>IF(I567="","",NETWORKDAYS(Curva!$M$2,M567,FERIADOS!$A$2:$A$831)-1)</f>
        <v>#REF!</v>
      </c>
      <c r="O567" s="423" t="e">
        <f>IF(C567&lt;&gt;"",IF(ISERROR((100000/E567)^(252/N567)-1),Curva!$B$2,((100000/E567)^(252/N567)-1)),"")</f>
        <v>#REF!</v>
      </c>
      <c r="P567" s="219" t="e">
        <f>IF(OR(G567=1,G567=2),dadosexternosBMF_1!B570,"")</f>
        <v>#REF!</v>
      </c>
      <c r="Q567" s="219" t="e">
        <f>IF(OR(G567=1,G567=2),dadosexternosBMF_1!D570,"")</f>
        <v>#REF!</v>
      </c>
    </row>
    <row r="568" spans="1:17" x14ac:dyDescent="0.2">
      <c r="A568" s="222" t="e">
        <f t="shared" si="66"/>
        <v>#REF!</v>
      </c>
      <c r="B568" s="222" t="str">
        <f>IF(dadosexternosBMF_1!A571="DI1 - DI de 1 dia","DI1 - DI de 1 dia","")</f>
        <v/>
      </c>
      <c r="C568" s="222" t="e">
        <f>IF(dadosexternosBMF_1!A571="DOL - Dólar comercial","",IF(C567&lt;&gt;"",dadosexternosBMF_1!B571,IF(dadosexternosBMF_1!A571="DI1 - DI de 1 dia",dadosexternosBMF_1!B571,"")))</f>
        <v>#REF!</v>
      </c>
      <c r="D568" s="222" t="e">
        <f>IF(C568&lt;&gt;"",dadosexternosBMF_1!C571,"")</f>
        <v>#REF!</v>
      </c>
      <c r="E568" s="222" t="e">
        <f>IF(C568&lt;&gt;"",dadosexternosBMF_1!D571,"")</f>
        <v>#REF!</v>
      </c>
      <c r="G568" s="219" t="e">
        <f t="shared" si="67"/>
        <v>#REF!</v>
      </c>
      <c r="H568" s="219" t="e">
        <f t="shared" si="68"/>
        <v>#REF!</v>
      </c>
      <c r="I568" s="219" t="e">
        <f t="shared" si="69"/>
        <v>#REF!</v>
      </c>
      <c r="J568" s="219" t="e">
        <f>IF(I568="","",VLOOKUP(LEFT(C568,1),dadosexternosBMF_1!$L$2:$M$13,2,FALSE))</f>
        <v>#REF!</v>
      </c>
      <c r="K568" s="219" t="e">
        <f t="shared" si="70"/>
        <v>#REF!</v>
      </c>
      <c r="L568" s="422" t="e">
        <f t="shared" si="71"/>
        <v>#REF!</v>
      </c>
      <c r="M568" s="422" t="e">
        <f>IF(I568="","",WORKDAY(L568-1,1,FERIADOS!$A$2:$A$831))</f>
        <v>#REF!</v>
      </c>
      <c r="N568" s="219" t="e">
        <f>IF(I568="","",NETWORKDAYS(Curva!$M$2,M568,FERIADOS!$A$2:$A$831)-1)</f>
        <v>#REF!</v>
      </c>
      <c r="O568" s="423" t="e">
        <f>IF(C568&lt;&gt;"",IF(ISERROR((100000/E568)^(252/N568)-1),Curva!$B$2,((100000/E568)^(252/N568)-1)),"")</f>
        <v>#REF!</v>
      </c>
      <c r="P568" s="219" t="e">
        <f>IF(OR(G568=1,G568=2),dadosexternosBMF_1!B571,"")</f>
        <v>#REF!</v>
      </c>
      <c r="Q568" s="219" t="e">
        <f>IF(OR(G568=1,G568=2),dadosexternosBMF_1!D571,"")</f>
        <v>#REF!</v>
      </c>
    </row>
    <row r="569" spans="1:17" x14ac:dyDescent="0.2">
      <c r="A569" s="222" t="e">
        <f t="shared" si="66"/>
        <v>#REF!</v>
      </c>
      <c r="B569" s="222" t="str">
        <f>IF(dadosexternosBMF_1!A572="DI1 - DI de 1 dia","DI1 - DI de 1 dia","")</f>
        <v/>
      </c>
      <c r="C569" s="222" t="e">
        <f>IF(dadosexternosBMF_1!A572="DOL - Dólar comercial","",IF(C568&lt;&gt;"",dadosexternosBMF_1!B572,IF(dadosexternosBMF_1!A572="DI1 - DI de 1 dia",dadosexternosBMF_1!B572,"")))</f>
        <v>#REF!</v>
      </c>
      <c r="D569" s="222" t="e">
        <f>IF(C569&lt;&gt;"",dadosexternosBMF_1!C572,"")</f>
        <v>#REF!</v>
      </c>
      <c r="E569" s="222" t="e">
        <f>IF(C569&lt;&gt;"",dadosexternosBMF_1!D572,"")</f>
        <v>#REF!</v>
      </c>
      <c r="G569" s="219" t="e">
        <f t="shared" si="67"/>
        <v>#REF!</v>
      </c>
      <c r="H569" s="219" t="e">
        <f t="shared" si="68"/>
        <v>#REF!</v>
      </c>
      <c r="I569" s="219" t="e">
        <f t="shared" si="69"/>
        <v>#REF!</v>
      </c>
      <c r="J569" s="219" t="e">
        <f>IF(I569="","",VLOOKUP(LEFT(C569,1),dadosexternosBMF_1!$L$2:$M$13,2,FALSE))</f>
        <v>#REF!</v>
      </c>
      <c r="K569" s="219" t="e">
        <f t="shared" si="70"/>
        <v>#REF!</v>
      </c>
      <c r="L569" s="422" t="e">
        <f t="shared" si="71"/>
        <v>#REF!</v>
      </c>
      <c r="M569" s="422" t="e">
        <f>IF(I569="","",WORKDAY(L569-1,1,FERIADOS!$A$2:$A$831))</f>
        <v>#REF!</v>
      </c>
      <c r="N569" s="219" t="e">
        <f>IF(I569="","",NETWORKDAYS(Curva!$M$2,M569,FERIADOS!$A$2:$A$831)-1)</f>
        <v>#REF!</v>
      </c>
      <c r="O569" s="423" t="e">
        <f>IF(C569&lt;&gt;"",IF(ISERROR((100000/E569)^(252/N569)-1),Curva!$B$2,((100000/E569)^(252/N569)-1)),"")</f>
        <v>#REF!</v>
      </c>
      <c r="P569" s="219" t="e">
        <f>IF(OR(G569=1,G569=2),dadosexternosBMF_1!B572,"")</f>
        <v>#REF!</v>
      </c>
      <c r="Q569" s="219" t="e">
        <f>IF(OR(G569=1,G569=2),dadosexternosBMF_1!D572,"")</f>
        <v>#REF!</v>
      </c>
    </row>
    <row r="570" spans="1:17" x14ac:dyDescent="0.2">
      <c r="A570" s="222" t="e">
        <f t="shared" si="66"/>
        <v>#REF!</v>
      </c>
      <c r="B570" s="222" t="str">
        <f>IF(dadosexternosBMF_1!A573="DI1 - DI de 1 dia","DI1 - DI de 1 dia","")</f>
        <v/>
      </c>
      <c r="C570" s="222" t="e">
        <f>IF(dadosexternosBMF_1!A573="DOL - Dólar comercial","",IF(C569&lt;&gt;"",dadosexternosBMF_1!B573,IF(dadosexternosBMF_1!A573="DI1 - DI de 1 dia",dadosexternosBMF_1!B573,"")))</f>
        <v>#REF!</v>
      </c>
      <c r="D570" s="222" t="e">
        <f>IF(C570&lt;&gt;"",dadosexternosBMF_1!C573,"")</f>
        <v>#REF!</v>
      </c>
      <c r="E570" s="222" t="e">
        <f>IF(C570&lt;&gt;"",dadosexternosBMF_1!D573,"")</f>
        <v>#REF!</v>
      </c>
      <c r="G570" s="219" t="e">
        <f t="shared" si="67"/>
        <v>#REF!</v>
      </c>
      <c r="H570" s="219" t="e">
        <f t="shared" si="68"/>
        <v>#REF!</v>
      </c>
      <c r="I570" s="219" t="e">
        <f t="shared" si="69"/>
        <v>#REF!</v>
      </c>
      <c r="J570" s="219" t="e">
        <f>IF(I570="","",VLOOKUP(LEFT(C570,1),dadosexternosBMF_1!$L$2:$M$13,2,FALSE))</f>
        <v>#REF!</v>
      </c>
      <c r="K570" s="219" t="e">
        <f t="shared" si="70"/>
        <v>#REF!</v>
      </c>
      <c r="L570" s="422" t="e">
        <f t="shared" si="71"/>
        <v>#REF!</v>
      </c>
      <c r="M570" s="422" t="e">
        <f>IF(I570="","",WORKDAY(L570-1,1,FERIADOS!$A$2:$A$831))</f>
        <v>#REF!</v>
      </c>
      <c r="N570" s="219" t="e">
        <f>IF(I570="","",NETWORKDAYS(Curva!$M$2,M570,FERIADOS!$A$2:$A$831)-1)</f>
        <v>#REF!</v>
      </c>
      <c r="O570" s="423" t="e">
        <f>IF(C570&lt;&gt;"",IF(ISERROR((100000/E570)^(252/N570)-1),Curva!$B$2,((100000/E570)^(252/N570)-1)),"")</f>
        <v>#REF!</v>
      </c>
      <c r="P570" s="219" t="e">
        <f>IF(OR(G570=1,G570=2),dadosexternosBMF_1!B573,"")</f>
        <v>#REF!</v>
      </c>
      <c r="Q570" s="219" t="e">
        <f>IF(OR(G570=1,G570=2),dadosexternosBMF_1!D573,"")</f>
        <v>#REF!</v>
      </c>
    </row>
    <row r="571" spans="1:17" x14ac:dyDescent="0.2">
      <c r="A571" s="222" t="e">
        <f t="shared" si="66"/>
        <v>#REF!</v>
      </c>
      <c r="B571" s="222" t="str">
        <f>IF(dadosexternosBMF_1!A574="DI1 - DI de 1 dia","DI1 - DI de 1 dia","")</f>
        <v/>
      </c>
      <c r="C571" s="222" t="e">
        <f>IF(dadosexternosBMF_1!A574="DOL - Dólar comercial","",IF(C570&lt;&gt;"",dadosexternosBMF_1!B574,IF(dadosexternosBMF_1!A574="DI1 - DI de 1 dia",dadosexternosBMF_1!B574,"")))</f>
        <v>#REF!</v>
      </c>
      <c r="D571" s="222" t="e">
        <f>IF(C571&lt;&gt;"",dadosexternosBMF_1!C574,"")</f>
        <v>#REF!</v>
      </c>
      <c r="E571" s="222" t="e">
        <f>IF(C571&lt;&gt;"",dadosexternosBMF_1!D574,"")</f>
        <v>#REF!</v>
      </c>
      <c r="G571" s="219" t="e">
        <f t="shared" si="67"/>
        <v>#REF!</v>
      </c>
      <c r="H571" s="219" t="e">
        <f t="shared" si="68"/>
        <v>#REF!</v>
      </c>
      <c r="I571" s="219" t="e">
        <f t="shared" si="69"/>
        <v>#REF!</v>
      </c>
      <c r="J571" s="219" t="e">
        <f>IF(I571="","",VLOOKUP(LEFT(C571,1),dadosexternosBMF_1!$L$2:$M$13,2,FALSE))</f>
        <v>#REF!</v>
      </c>
      <c r="K571" s="219" t="e">
        <f t="shared" si="70"/>
        <v>#REF!</v>
      </c>
      <c r="L571" s="422" t="e">
        <f t="shared" si="71"/>
        <v>#REF!</v>
      </c>
      <c r="M571" s="422" t="e">
        <f>IF(I571="","",WORKDAY(L571-1,1,FERIADOS!$A$2:$A$831))</f>
        <v>#REF!</v>
      </c>
      <c r="N571" s="219" t="e">
        <f>IF(I571="","",NETWORKDAYS(Curva!$M$2,M571,FERIADOS!$A$2:$A$831)-1)</f>
        <v>#REF!</v>
      </c>
      <c r="O571" s="423" t="e">
        <f>IF(C571&lt;&gt;"",IF(ISERROR((100000/E571)^(252/N571)-1),Curva!$B$2,((100000/E571)^(252/N571)-1)),"")</f>
        <v>#REF!</v>
      </c>
      <c r="P571" s="219" t="e">
        <f>IF(OR(G571=1,G571=2),dadosexternosBMF_1!B574,"")</f>
        <v>#REF!</v>
      </c>
      <c r="Q571" s="219" t="e">
        <f>IF(OR(G571=1,G571=2),dadosexternosBMF_1!D574,"")</f>
        <v>#REF!</v>
      </c>
    </row>
    <row r="572" spans="1:17" x14ac:dyDescent="0.2">
      <c r="A572" s="222" t="e">
        <f t="shared" si="66"/>
        <v>#REF!</v>
      </c>
      <c r="B572" s="222" t="str">
        <f>IF(dadosexternosBMF_1!A575="DI1 - DI de 1 dia","DI1 - DI de 1 dia","")</f>
        <v/>
      </c>
      <c r="C572" s="222" t="e">
        <f>IF(dadosexternosBMF_1!A575="DOL - Dólar comercial","",IF(C571&lt;&gt;"",dadosexternosBMF_1!B575,IF(dadosexternosBMF_1!A575="DI1 - DI de 1 dia",dadosexternosBMF_1!B575,"")))</f>
        <v>#REF!</v>
      </c>
      <c r="D572" s="222" t="e">
        <f>IF(C572&lt;&gt;"",dadosexternosBMF_1!C575,"")</f>
        <v>#REF!</v>
      </c>
      <c r="E572" s="222" t="e">
        <f>IF(C572&lt;&gt;"",dadosexternosBMF_1!D575,"")</f>
        <v>#REF!</v>
      </c>
      <c r="G572" s="219" t="e">
        <f t="shared" si="67"/>
        <v>#REF!</v>
      </c>
      <c r="H572" s="219" t="e">
        <f t="shared" si="68"/>
        <v>#REF!</v>
      </c>
      <c r="I572" s="219" t="e">
        <f t="shared" si="69"/>
        <v>#REF!</v>
      </c>
      <c r="J572" s="219" t="e">
        <f>IF(I572="","",VLOOKUP(LEFT(C572,1),dadosexternosBMF_1!$L$2:$M$13,2,FALSE))</f>
        <v>#REF!</v>
      </c>
      <c r="K572" s="219" t="e">
        <f t="shared" si="70"/>
        <v>#REF!</v>
      </c>
      <c r="L572" s="422" t="e">
        <f t="shared" si="71"/>
        <v>#REF!</v>
      </c>
      <c r="M572" s="422" t="e">
        <f>IF(I572="","",WORKDAY(L572-1,1,FERIADOS!$A$2:$A$831))</f>
        <v>#REF!</v>
      </c>
      <c r="N572" s="219" t="e">
        <f>IF(I572="","",NETWORKDAYS(Curva!$M$2,M572,FERIADOS!$A$2:$A$831)-1)</f>
        <v>#REF!</v>
      </c>
      <c r="O572" s="423" t="e">
        <f>IF(C572&lt;&gt;"",IF(ISERROR((100000/E572)^(252/N572)-1),Curva!$B$2,((100000/E572)^(252/N572)-1)),"")</f>
        <v>#REF!</v>
      </c>
      <c r="P572" s="219" t="e">
        <f>IF(OR(G572=1,G572=2),dadosexternosBMF_1!B575,"")</f>
        <v>#REF!</v>
      </c>
      <c r="Q572" s="219" t="e">
        <f>IF(OR(G572=1,G572=2),dadosexternosBMF_1!D575,"")</f>
        <v>#REF!</v>
      </c>
    </row>
    <row r="573" spans="1:17" x14ac:dyDescent="0.2">
      <c r="A573" s="222" t="e">
        <f t="shared" si="66"/>
        <v>#REF!</v>
      </c>
      <c r="B573" s="222" t="str">
        <f>IF(dadosexternosBMF_1!A576="DI1 - DI de 1 dia","DI1 - DI de 1 dia","")</f>
        <v/>
      </c>
      <c r="C573" s="222" t="e">
        <f>IF(dadosexternosBMF_1!A576="DOL - Dólar comercial","",IF(C572&lt;&gt;"",dadosexternosBMF_1!B576,IF(dadosexternosBMF_1!A576="DI1 - DI de 1 dia",dadosexternosBMF_1!B576,"")))</f>
        <v>#REF!</v>
      </c>
      <c r="D573" s="222" t="e">
        <f>IF(C573&lt;&gt;"",dadosexternosBMF_1!C576,"")</f>
        <v>#REF!</v>
      </c>
      <c r="E573" s="222" t="e">
        <f>IF(C573&lt;&gt;"",dadosexternosBMF_1!D576,"")</f>
        <v>#REF!</v>
      </c>
      <c r="G573" s="219" t="e">
        <f t="shared" si="67"/>
        <v>#REF!</v>
      </c>
      <c r="H573" s="219" t="e">
        <f t="shared" si="68"/>
        <v>#REF!</v>
      </c>
      <c r="I573" s="219" t="e">
        <f t="shared" si="69"/>
        <v>#REF!</v>
      </c>
      <c r="J573" s="219" t="e">
        <f>IF(I573="","",VLOOKUP(LEFT(C573,1),dadosexternosBMF_1!$L$2:$M$13,2,FALSE))</f>
        <v>#REF!</v>
      </c>
      <c r="K573" s="219" t="e">
        <f t="shared" si="70"/>
        <v>#REF!</v>
      </c>
      <c r="L573" s="422" t="e">
        <f t="shared" si="71"/>
        <v>#REF!</v>
      </c>
      <c r="M573" s="422" t="e">
        <f>IF(I573="","",WORKDAY(L573-1,1,FERIADOS!$A$2:$A$831))</f>
        <v>#REF!</v>
      </c>
      <c r="N573" s="219" t="e">
        <f>IF(I573="","",NETWORKDAYS(Curva!$M$2,M573,FERIADOS!$A$2:$A$831)-1)</f>
        <v>#REF!</v>
      </c>
      <c r="O573" s="423" t="e">
        <f>IF(C573&lt;&gt;"",IF(ISERROR((100000/E573)^(252/N573)-1),Curva!$B$2,((100000/E573)^(252/N573)-1)),"")</f>
        <v>#REF!</v>
      </c>
      <c r="P573" s="219" t="e">
        <f>IF(OR(G573=1,G573=2),dadosexternosBMF_1!B576,"")</f>
        <v>#REF!</v>
      </c>
      <c r="Q573" s="219" t="e">
        <f>IF(OR(G573=1,G573=2),dadosexternosBMF_1!D576,"")</f>
        <v>#REF!</v>
      </c>
    </row>
    <row r="574" spans="1:17" x14ac:dyDescent="0.2">
      <c r="A574" s="222" t="e">
        <f t="shared" si="66"/>
        <v>#REF!</v>
      </c>
      <c r="B574" s="222" t="str">
        <f>IF(dadosexternosBMF_1!A577="DI1 - DI de 1 dia","DI1 - DI de 1 dia","")</f>
        <v/>
      </c>
      <c r="C574" s="222" t="e">
        <f>IF(dadosexternosBMF_1!A577="DOL - Dólar comercial","",IF(C573&lt;&gt;"",dadosexternosBMF_1!B577,IF(dadosexternosBMF_1!A577="DI1 - DI de 1 dia",dadosexternosBMF_1!B577,"")))</f>
        <v>#REF!</v>
      </c>
      <c r="D574" s="222" t="e">
        <f>IF(C574&lt;&gt;"",dadosexternosBMF_1!C577,"")</f>
        <v>#REF!</v>
      </c>
      <c r="E574" s="222" t="e">
        <f>IF(C574&lt;&gt;"",dadosexternosBMF_1!D577,"")</f>
        <v>#REF!</v>
      </c>
      <c r="G574" s="219" t="e">
        <f t="shared" si="67"/>
        <v>#REF!</v>
      </c>
      <c r="H574" s="219" t="e">
        <f t="shared" si="68"/>
        <v>#REF!</v>
      </c>
      <c r="I574" s="219" t="e">
        <f t="shared" si="69"/>
        <v>#REF!</v>
      </c>
      <c r="J574" s="219" t="e">
        <f>IF(I574="","",VLOOKUP(LEFT(C574,1),dadosexternosBMF_1!$L$2:$M$13,2,FALSE))</f>
        <v>#REF!</v>
      </c>
      <c r="K574" s="219" t="e">
        <f t="shared" si="70"/>
        <v>#REF!</v>
      </c>
      <c r="L574" s="422" t="e">
        <f t="shared" si="71"/>
        <v>#REF!</v>
      </c>
      <c r="M574" s="422" t="e">
        <f>IF(I574="","",WORKDAY(L574-1,1,FERIADOS!$A$2:$A$831))</f>
        <v>#REF!</v>
      </c>
      <c r="N574" s="219" t="e">
        <f>IF(I574="","",NETWORKDAYS(Curva!$M$2,M574,FERIADOS!$A$2:$A$831)-1)</f>
        <v>#REF!</v>
      </c>
      <c r="O574" s="423" t="e">
        <f>IF(C574&lt;&gt;"",IF(ISERROR((100000/E574)^(252/N574)-1),Curva!$B$2,((100000/E574)^(252/N574)-1)),"")</f>
        <v>#REF!</v>
      </c>
      <c r="P574" s="219" t="e">
        <f>IF(OR(G574=1,G574=2),dadosexternosBMF_1!B577,"")</f>
        <v>#REF!</v>
      </c>
      <c r="Q574" s="219" t="e">
        <f>IF(OR(G574=1,G574=2),dadosexternosBMF_1!D577,"")</f>
        <v>#REF!</v>
      </c>
    </row>
    <row r="575" spans="1:17" x14ac:dyDescent="0.2">
      <c r="A575" s="222" t="e">
        <f t="shared" si="66"/>
        <v>#REF!</v>
      </c>
      <c r="B575" s="222" t="str">
        <f>IF(dadosexternosBMF_1!A578="DI1 - DI de 1 dia","DI1 - DI de 1 dia","")</f>
        <v/>
      </c>
      <c r="C575" s="222" t="e">
        <f>IF(dadosexternosBMF_1!A578="DOL - Dólar comercial","",IF(C574&lt;&gt;"",dadosexternosBMF_1!B578,IF(dadosexternosBMF_1!A578="DI1 - DI de 1 dia",dadosexternosBMF_1!B578,"")))</f>
        <v>#REF!</v>
      </c>
      <c r="D575" s="222" t="e">
        <f>IF(C575&lt;&gt;"",dadosexternosBMF_1!C578,"")</f>
        <v>#REF!</v>
      </c>
      <c r="E575" s="222" t="e">
        <f>IF(C575&lt;&gt;"",dadosexternosBMF_1!D578,"")</f>
        <v>#REF!</v>
      </c>
      <c r="G575" s="219" t="e">
        <f t="shared" si="67"/>
        <v>#REF!</v>
      </c>
      <c r="H575" s="219" t="e">
        <f t="shared" si="68"/>
        <v>#REF!</v>
      </c>
      <c r="I575" s="219" t="e">
        <f t="shared" si="69"/>
        <v>#REF!</v>
      </c>
      <c r="J575" s="219" t="e">
        <f>IF(I575="","",VLOOKUP(LEFT(C575,1),dadosexternosBMF_1!$L$2:$M$13,2,FALSE))</f>
        <v>#REF!</v>
      </c>
      <c r="K575" s="219" t="e">
        <f t="shared" si="70"/>
        <v>#REF!</v>
      </c>
      <c r="L575" s="422" t="e">
        <f t="shared" si="71"/>
        <v>#REF!</v>
      </c>
      <c r="M575" s="422" t="e">
        <f>IF(I575="","",WORKDAY(L575-1,1,FERIADOS!$A$2:$A$831))</f>
        <v>#REF!</v>
      </c>
      <c r="N575" s="219" t="e">
        <f>IF(I575="","",NETWORKDAYS(Curva!$M$2,M575,FERIADOS!$A$2:$A$831)-1)</f>
        <v>#REF!</v>
      </c>
      <c r="O575" s="423" t="e">
        <f>IF(C575&lt;&gt;"",IF(ISERROR((100000/E575)^(252/N575)-1),Curva!$B$2,((100000/E575)^(252/N575)-1)),"")</f>
        <v>#REF!</v>
      </c>
      <c r="P575" s="219" t="e">
        <f>IF(OR(G575=1,G575=2),dadosexternosBMF_1!B578,"")</f>
        <v>#REF!</v>
      </c>
      <c r="Q575" s="219" t="e">
        <f>IF(OR(G575=1,G575=2),dadosexternosBMF_1!D578,"")</f>
        <v>#REF!</v>
      </c>
    </row>
    <row r="576" spans="1:17" x14ac:dyDescent="0.2">
      <c r="A576" s="222" t="e">
        <f t="shared" si="66"/>
        <v>#REF!</v>
      </c>
      <c r="B576" s="222" t="str">
        <f>IF(dadosexternosBMF_1!A579="DI1 - DI de 1 dia","DI1 - DI de 1 dia","")</f>
        <v/>
      </c>
      <c r="C576" s="222" t="e">
        <f>IF(dadosexternosBMF_1!A579="DOL - Dólar comercial","",IF(C575&lt;&gt;"",dadosexternosBMF_1!B579,IF(dadosexternosBMF_1!A579="DI1 - DI de 1 dia",dadosexternosBMF_1!B579,"")))</f>
        <v>#REF!</v>
      </c>
      <c r="D576" s="222" t="e">
        <f>IF(C576&lt;&gt;"",dadosexternosBMF_1!C579,"")</f>
        <v>#REF!</v>
      </c>
      <c r="E576" s="222" t="e">
        <f>IF(C576&lt;&gt;"",dadosexternosBMF_1!D579,"")</f>
        <v>#REF!</v>
      </c>
      <c r="G576" s="219" t="e">
        <f t="shared" si="67"/>
        <v>#REF!</v>
      </c>
      <c r="H576" s="219" t="e">
        <f t="shared" si="68"/>
        <v>#REF!</v>
      </c>
      <c r="I576" s="219" t="e">
        <f t="shared" si="69"/>
        <v>#REF!</v>
      </c>
      <c r="J576" s="219" t="e">
        <f>IF(I576="","",VLOOKUP(LEFT(C576,1),dadosexternosBMF_1!$L$2:$M$13,2,FALSE))</f>
        <v>#REF!</v>
      </c>
      <c r="K576" s="219" t="e">
        <f t="shared" si="70"/>
        <v>#REF!</v>
      </c>
      <c r="L576" s="422" t="e">
        <f t="shared" si="71"/>
        <v>#REF!</v>
      </c>
      <c r="M576" s="422" t="e">
        <f>IF(I576="","",WORKDAY(L576-1,1,FERIADOS!$A$2:$A$831))</f>
        <v>#REF!</v>
      </c>
      <c r="N576" s="219" t="e">
        <f>IF(I576="","",NETWORKDAYS(Curva!$M$2,M576,FERIADOS!$A$2:$A$831)-1)</f>
        <v>#REF!</v>
      </c>
      <c r="O576" s="423" t="e">
        <f>IF(C576&lt;&gt;"",IF(ISERROR((100000/E576)^(252/N576)-1),Curva!$B$2,((100000/E576)^(252/N576)-1)),"")</f>
        <v>#REF!</v>
      </c>
      <c r="P576" s="219" t="e">
        <f>IF(OR(G576=1,G576=2),dadosexternosBMF_1!B579,"")</f>
        <v>#REF!</v>
      </c>
      <c r="Q576" s="219" t="e">
        <f>IF(OR(G576=1,G576=2),dadosexternosBMF_1!D579,"")</f>
        <v>#REF!</v>
      </c>
    </row>
    <row r="577" spans="1:17" x14ac:dyDescent="0.2">
      <c r="A577" s="222" t="e">
        <f t="shared" si="66"/>
        <v>#REF!</v>
      </c>
      <c r="B577" s="222" t="str">
        <f>IF(dadosexternosBMF_1!A580="DI1 - DI de 1 dia","DI1 - DI de 1 dia","")</f>
        <v/>
      </c>
      <c r="C577" s="222" t="e">
        <f>IF(dadosexternosBMF_1!A580="DOL - Dólar comercial","",IF(C576&lt;&gt;"",dadosexternosBMF_1!B580,IF(dadosexternosBMF_1!A580="DI1 - DI de 1 dia",dadosexternosBMF_1!B580,"")))</f>
        <v>#REF!</v>
      </c>
      <c r="D577" s="222" t="e">
        <f>IF(C577&lt;&gt;"",dadosexternosBMF_1!C580,"")</f>
        <v>#REF!</v>
      </c>
      <c r="E577" s="222" t="e">
        <f>IF(C577&lt;&gt;"",dadosexternosBMF_1!D580,"")</f>
        <v>#REF!</v>
      </c>
      <c r="G577" s="219" t="e">
        <f t="shared" si="67"/>
        <v>#REF!</v>
      </c>
      <c r="H577" s="219" t="e">
        <f t="shared" si="68"/>
        <v>#REF!</v>
      </c>
      <c r="I577" s="219" t="e">
        <f t="shared" si="69"/>
        <v>#REF!</v>
      </c>
      <c r="J577" s="219" t="e">
        <f>IF(I577="","",VLOOKUP(LEFT(C577,1),dadosexternosBMF_1!$L$2:$M$13,2,FALSE))</f>
        <v>#REF!</v>
      </c>
      <c r="K577" s="219" t="e">
        <f t="shared" si="70"/>
        <v>#REF!</v>
      </c>
      <c r="L577" s="422" t="e">
        <f t="shared" si="71"/>
        <v>#REF!</v>
      </c>
      <c r="M577" s="422" t="e">
        <f>IF(I577="","",WORKDAY(L577-1,1,FERIADOS!$A$2:$A$831))</f>
        <v>#REF!</v>
      </c>
      <c r="N577" s="219" t="e">
        <f>IF(I577="","",NETWORKDAYS(Curva!$M$2,M577,FERIADOS!$A$2:$A$831)-1)</f>
        <v>#REF!</v>
      </c>
      <c r="O577" s="423" t="e">
        <f>IF(C577&lt;&gt;"",IF(ISERROR((100000/E577)^(252/N577)-1),Curva!$B$2,((100000/E577)^(252/N577)-1)),"")</f>
        <v>#REF!</v>
      </c>
      <c r="P577" s="219" t="e">
        <f>IF(OR(G577=1,G577=2),dadosexternosBMF_1!B580,"")</f>
        <v>#REF!</v>
      </c>
      <c r="Q577" s="219" t="e">
        <f>IF(OR(G577=1,G577=2),dadosexternosBMF_1!D580,"")</f>
        <v>#REF!</v>
      </c>
    </row>
    <row r="578" spans="1:17" x14ac:dyDescent="0.2">
      <c r="A578" s="222" t="e">
        <f t="shared" si="66"/>
        <v>#REF!</v>
      </c>
      <c r="B578" s="222" t="str">
        <f>IF(dadosexternosBMF_1!A581="DI1 - DI de 1 dia","DI1 - DI de 1 dia","")</f>
        <v/>
      </c>
      <c r="C578" s="222" t="e">
        <f>IF(dadosexternosBMF_1!A581="DOL - Dólar comercial","",IF(C577&lt;&gt;"",dadosexternosBMF_1!B581,IF(dadosexternosBMF_1!A581="DI1 - DI de 1 dia",dadosexternosBMF_1!B581,"")))</f>
        <v>#REF!</v>
      </c>
      <c r="D578" s="222" t="e">
        <f>IF(C578&lt;&gt;"",dadosexternosBMF_1!C581,"")</f>
        <v>#REF!</v>
      </c>
      <c r="E578" s="222" t="e">
        <f>IF(C578&lt;&gt;"",dadosexternosBMF_1!D581,"")</f>
        <v>#REF!</v>
      </c>
      <c r="G578" s="219" t="e">
        <f t="shared" si="67"/>
        <v>#REF!</v>
      </c>
      <c r="H578" s="219" t="e">
        <f t="shared" si="68"/>
        <v>#REF!</v>
      </c>
      <c r="I578" s="219" t="e">
        <f t="shared" si="69"/>
        <v>#REF!</v>
      </c>
      <c r="J578" s="219" t="e">
        <f>IF(I578="","",VLOOKUP(LEFT(C578,1),dadosexternosBMF_1!$L$2:$M$13,2,FALSE))</f>
        <v>#REF!</v>
      </c>
      <c r="K578" s="219" t="e">
        <f t="shared" si="70"/>
        <v>#REF!</v>
      </c>
      <c r="L578" s="422" t="e">
        <f t="shared" si="71"/>
        <v>#REF!</v>
      </c>
      <c r="M578" s="422" t="e">
        <f>IF(I578="","",WORKDAY(L578-1,1,FERIADOS!$A$2:$A$831))</f>
        <v>#REF!</v>
      </c>
      <c r="N578" s="219" t="e">
        <f>IF(I578="","",NETWORKDAYS(Curva!$M$2,M578,FERIADOS!$A$2:$A$831)-1)</f>
        <v>#REF!</v>
      </c>
      <c r="O578" s="423" t="e">
        <f>IF(C578&lt;&gt;"",IF(ISERROR((100000/E578)^(252/N578)-1),Curva!$B$2,((100000/E578)^(252/N578)-1)),"")</f>
        <v>#REF!</v>
      </c>
      <c r="P578" s="219" t="e">
        <f>IF(OR(G578=1,G578=2),dadosexternosBMF_1!B581,"")</f>
        <v>#REF!</v>
      </c>
      <c r="Q578" s="219" t="e">
        <f>IF(OR(G578=1,G578=2),dadosexternosBMF_1!D581,"")</f>
        <v>#REF!</v>
      </c>
    </row>
    <row r="579" spans="1:17" x14ac:dyDescent="0.2">
      <c r="A579" s="222" t="e">
        <f t="shared" si="66"/>
        <v>#REF!</v>
      </c>
      <c r="B579" s="222" t="str">
        <f>IF(dadosexternosBMF_1!A582="DI1 - DI de 1 dia","DI1 - DI de 1 dia","")</f>
        <v/>
      </c>
      <c r="C579" s="222" t="e">
        <f>IF(dadosexternosBMF_1!A582="DOL - Dólar comercial","",IF(C578&lt;&gt;"",dadosexternosBMF_1!B582,IF(dadosexternosBMF_1!A582="DI1 - DI de 1 dia",dadosexternosBMF_1!B582,"")))</f>
        <v>#REF!</v>
      </c>
      <c r="D579" s="222" t="e">
        <f>IF(C579&lt;&gt;"",dadosexternosBMF_1!C582,"")</f>
        <v>#REF!</v>
      </c>
      <c r="E579" s="222" t="e">
        <f>IF(C579&lt;&gt;"",dadosexternosBMF_1!D582,"")</f>
        <v>#REF!</v>
      </c>
      <c r="G579" s="219" t="e">
        <f t="shared" si="67"/>
        <v>#REF!</v>
      </c>
      <c r="H579" s="219" t="e">
        <f t="shared" si="68"/>
        <v>#REF!</v>
      </c>
      <c r="I579" s="219" t="e">
        <f t="shared" si="69"/>
        <v>#REF!</v>
      </c>
      <c r="J579" s="219" t="e">
        <f>IF(I579="","",VLOOKUP(LEFT(C579,1),dadosexternosBMF_1!$L$2:$M$13,2,FALSE))</f>
        <v>#REF!</v>
      </c>
      <c r="K579" s="219" t="e">
        <f t="shared" si="70"/>
        <v>#REF!</v>
      </c>
      <c r="L579" s="422" t="e">
        <f t="shared" si="71"/>
        <v>#REF!</v>
      </c>
      <c r="M579" s="422" t="e">
        <f>IF(I579="","",WORKDAY(L579-1,1,FERIADOS!$A$2:$A$831))</f>
        <v>#REF!</v>
      </c>
      <c r="N579" s="219" t="e">
        <f>IF(I579="","",NETWORKDAYS(Curva!$M$2,M579,FERIADOS!$A$2:$A$831)-1)</f>
        <v>#REF!</v>
      </c>
      <c r="O579" s="423" t="e">
        <f>IF(C579&lt;&gt;"",IF(ISERROR((100000/E579)^(252/N579)-1),Curva!$B$2,((100000/E579)^(252/N579)-1)),"")</f>
        <v>#REF!</v>
      </c>
      <c r="P579" s="219" t="e">
        <f>IF(OR(G579=1,G579=2),dadosexternosBMF_1!B582,"")</f>
        <v>#REF!</v>
      </c>
      <c r="Q579" s="219" t="e">
        <f>IF(OR(G579=1,G579=2),dadosexternosBMF_1!D582,"")</f>
        <v>#REF!</v>
      </c>
    </row>
    <row r="580" spans="1:17" x14ac:dyDescent="0.2">
      <c r="A580" s="222" t="e">
        <f t="shared" si="66"/>
        <v>#REF!</v>
      </c>
      <c r="B580" s="222" t="str">
        <f>IF(dadosexternosBMF_1!A583="DI1 - DI de 1 dia","DI1 - DI de 1 dia","")</f>
        <v/>
      </c>
      <c r="C580" s="222" t="e">
        <f>IF(dadosexternosBMF_1!A583="DOL - Dólar comercial","",IF(C579&lt;&gt;"",dadosexternosBMF_1!B583,IF(dadosexternosBMF_1!A583="DI1 - DI de 1 dia",dadosexternosBMF_1!B583,"")))</f>
        <v>#REF!</v>
      </c>
      <c r="D580" s="222" t="e">
        <f>IF(C580&lt;&gt;"",dadosexternosBMF_1!C583,"")</f>
        <v>#REF!</v>
      </c>
      <c r="E580" s="222" t="e">
        <f>IF(C580&lt;&gt;"",dadosexternosBMF_1!D583,"")</f>
        <v>#REF!</v>
      </c>
      <c r="G580" s="219" t="e">
        <f t="shared" si="67"/>
        <v>#REF!</v>
      </c>
      <c r="H580" s="219" t="e">
        <f t="shared" si="68"/>
        <v>#REF!</v>
      </c>
      <c r="I580" s="219" t="e">
        <f t="shared" si="69"/>
        <v>#REF!</v>
      </c>
      <c r="J580" s="219" t="e">
        <f>IF(I580="","",VLOOKUP(LEFT(C580,1),dadosexternosBMF_1!$L$2:$M$13,2,FALSE))</f>
        <v>#REF!</v>
      </c>
      <c r="K580" s="219" t="e">
        <f t="shared" si="70"/>
        <v>#REF!</v>
      </c>
      <c r="L580" s="422" t="e">
        <f t="shared" si="71"/>
        <v>#REF!</v>
      </c>
      <c r="M580" s="422" t="e">
        <f>IF(I580="","",WORKDAY(L580-1,1,FERIADOS!$A$2:$A$831))</f>
        <v>#REF!</v>
      </c>
      <c r="N580" s="219" t="e">
        <f>IF(I580="","",NETWORKDAYS(Curva!$M$2,M580,FERIADOS!$A$2:$A$831)-1)</f>
        <v>#REF!</v>
      </c>
      <c r="O580" s="423" t="e">
        <f>IF(C580&lt;&gt;"",IF(ISERROR((100000/E580)^(252/N580)-1),Curva!$B$2,((100000/E580)^(252/N580)-1)),"")</f>
        <v>#REF!</v>
      </c>
      <c r="P580" s="219" t="e">
        <f>IF(OR(G580=1,G580=2),dadosexternosBMF_1!B583,"")</f>
        <v>#REF!</v>
      </c>
      <c r="Q580" s="219" t="e">
        <f>IF(OR(G580=1,G580=2),dadosexternosBMF_1!D583,"")</f>
        <v>#REF!</v>
      </c>
    </row>
    <row r="581" spans="1:17" x14ac:dyDescent="0.2">
      <c r="A581" s="222" t="e">
        <f t="shared" si="66"/>
        <v>#REF!</v>
      </c>
      <c r="B581" s="222" t="str">
        <f>IF(dadosexternosBMF_1!A584="DI1 - DI de 1 dia","DI1 - DI de 1 dia","")</f>
        <v/>
      </c>
      <c r="C581" s="222" t="e">
        <f>IF(dadosexternosBMF_1!A584="DOL - Dólar comercial","",IF(C580&lt;&gt;"",dadosexternosBMF_1!B584,IF(dadosexternosBMF_1!A584="DI1 - DI de 1 dia",dadosexternosBMF_1!B584,"")))</f>
        <v>#REF!</v>
      </c>
      <c r="D581" s="222" t="e">
        <f>IF(C581&lt;&gt;"",dadosexternosBMF_1!C584,"")</f>
        <v>#REF!</v>
      </c>
      <c r="E581" s="222" t="e">
        <f>IF(C581&lt;&gt;"",dadosexternosBMF_1!D584,"")</f>
        <v>#REF!</v>
      </c>
      <c r="G581" s="219" t="e">
        <f t="shared" si="67"/>
        <v>#REF!</v>
      </c>
      <c r="H581" s="219" t="e">
        <f t="shared" si="68"/>
        <v>#REF!</v>
      </c>
      <c r="I581" s="219" t="e">
        <f t="shared" si="69"/>
        <v>#REF!</v>
      </c>
      <c r="J581" s="219" t="e">
        <f>IF(I581="","",VLOOKUP(LEFT(C581,1),dadosexternosBMF_1!$L$2:$M$13,2,FALSE))</f>
        <v>#REF!</v>
      </c>
      <c r="K581" s="219" t="e">
        <f t="shared" si="70"/>
        <v>#REF!</v>
      </c>
      <c r="L581" s="422" t="e">
        <f t="shared" si="71"/>
        <v>#REF!</v>
      </c>
      <c r="M581" s="422" t="e">
        <f>IF(I581="","",WORKDAY(L581-1,1,FERIADOS!$A$2:$A$831))</f>
        <v>#REF!</v>
      </c>
      <c r="N581" s="219" t="e">
        <f>IF(I581="","",NETWORKDAYS(Curva!$M$2,M581,FERIADOS!$A$2:$A$831)-1)</f>
        <v>#REF!</v>
      </c>
      <c r="O581" s="423" t="e">
        <f>IF(C581&lt;&gt;"",IF(ISERROR((100000/E581)^(252/N581)-1),Curva!$B$2,((100000/E581)^(252/N581)-1)),"")</f>
        <v>#REF!</v>
      </c>
      <c r="P581" s="219" t="e">
        <f>IF(OR(G581=1,G581=2),dadosexternosBMF_1!B584,"")</f>
        <v>#REF!</v>
      </c>
      <c r="Q581" s="219" t="e">
        <f>IF(OR(G581=1,G581=2),dadosexternosBMF_1!D584,"")</f>
        <v>#REF!</v>
      </c>
    </row>
    <row r="582" spans="1:17" x14ac:dyDescent="0.2">
      <c r="A582" s="222" t="e">
        <f t="shared" si="66"/>
        <v>#REF!</v>
      </c>
      <c r="B582" s="222" t="str">
        <f>IF(dadosexternosBMF_1!A585="DI1 - DI de 1 dia","DI1 - DI de 1 dia","")</f>
        <v/>
      </c>
      <c r="C582" s="222" t="e">
        <f>IF(dadosexternosBMF_1!A585="DOL - Dólar comercial","",IF(C581&lt;&gt;"",dadosexternosBMF_1!B585,IF(dadosexternosBMF_1!A585="DI1 - DI de 1 dia",dadosexternosBMF_1!B585,"")))</f>
        <v>#REF!</v>
      </c>
      <c r="D582" s="222" t="e">
        <f>IF(C582&lt;&gt;"",dadosexternosBMF_1!C585,"")</f>
        <v>#REF!</v>
      </c>
      <c r="E582" s="222" t="e">
        <f>IF(C582&lt;&gt;"",dadosexternosBMF_1!D585,"")</f>
        <v>#REF!</v>
      </c>
      <c r="G582" s="219" t="e">
        <f t="shared" si="67"/>
        <v>#REF!</v>
      </c>
      <c r="H582" s="219" t="e">
        <f t="shared" si="68"/>
        <v>#REF!</v>
      </c>
      <c r="I582" s="219" t="e">
        <f t="shared" si="69"/>
        <v>#REF!</v>
      </c>
      <c r="J582" s="219" t="e">
        <f>IF(I582="","",VLOOKUP(LEFT(C582,1),dadosexternosBMF_1!$L$2:$M$13,2,FALSE))</f>
        <v>#REF!</v>
      </c>
      <c r="K582" s="219" t="e">
        <f t="shared" si="70"/>
        <v>#REF!</v>
      </c>
      <c r="L582" s="422" t="e">
        <f t="shared" si="71"/>
        <v>#REF!</v>
      </c>
      <c r="M582" s="422" t="e">
        <f>IF(I582="","",WORKDAY(L582-1,1,FERIADOS!$A$2:$A$831))</f>
        <v>#REF!</v>
      </c>
      <c r="N582" s="219" t="e">
        <f>IF(I582="","",NETWORKDAYS(Curva!$M$2,M582,FERIADOS!$A$2:$A$831)-1)</f>
        <v>#REF!</v>
      </c>
      <c r="O582" s="423" t="e">
        <f>IF(C582&lt;&gt;"",IF(ISERROR((100000/E582)^(252/N582)-1),Curva!$B$2,((100000/E582)^(252/N582)-1)),"")</f>
        <v>#REF!</v>
      </c>
      <c r="P582" s="219" t="e">
        <f>IF(OR(G582=1,G582=2),dadosexternosBMF_1!B585,"")</f>
        <v>#REF!</v>
      </c>
      <c r="Q582" s="219" t="e">
        <f>IF(OR(G582=1,G582=2),dadosexternosBMF_1!D585,"")</f>
        <v>#REF!</v>
      </c>
    </row>
    <row r="583" spans="1:17" x14ac:dyDescent="0.2">
      <c r="A583" s="222" t="e">
        <f t="shared" si="66"/>
        <v>#REF!</v>
      </c>
      <c r="B583" s="222" t="str">
        <f>IF(dadosexternosBMF_1!A586="DI1 - DI de 1 dia","DI1 - DI de 1 dia","")</f>
        <v/>
      </c>
      <c r="C583" s="222" t="e">
        <f>IF(dadosexternosBMF_1!A586="DOL - Dólar comercial","",IF(C582&lt;&gt;"",dadosexternosBMF_1!B586,IF(dadosexternosBMF_1!A586="DI1 - DI de 1 dia",dadosexternosBMF_1!B586,"")))</f>
        <v>#REF!</v>
      </c>
      <c r="D583" s="222" t="e">
        <f>IF(C583&lt;&gt;"",dadosexternosBMF_1!C586,"")</f>
        <v>#REF!</v>
      </c>
      <c r="E583" s="222" t="e">
        <f>IF(C583&lt;&gt;"",dadosexternosBMF_1!D586,"")</f>
        <v>#REF!</v>
      </c>
      <c r="G583" s="219" t="e">
        <f t="shared" si="67"/>
        <v>#REF!</v>
      </c>
      <c r="H583" s="219" t="e">
        <f t="shared" si="68"/>
        <v>#REF!</v>
      </c>
      <c r="I583" s="219" t="e">
        <f t="shared" si="69"/>
        <v>#REF!</v>
      </c>
      <c r="J583" s="219" t="e">
        <f>IF(I583="","",VLOOKUP(LEFT(C583,1),dadosexternosBMF_1!$L$2:$M$13,2,FALSE))</f>
        <v>#REF!</v>
      </c>
      <c r="K583" s="219" t="e">
        <f t="shared" si="70"/>
        <v>#REF!</v>
      </c>
      <c r="L583" s="422" t="e">
        <f t="shared" si="71"/>
        <v>#REF!</v>
      </c>
      <c r="M583" s="422" t="e">
        <f>IF(I583="","",WORKDAY(L583-1,1,FERIADOS!$A$2:$A$831))</f>
        <v>#REF!</v>
      </c>
      <c r="N583" s="219" t="e">
        <f>IF(I583="","",NETWORKDAYS(Curva!$M$2,M583,FERIADOS!$A$2:$A$831)-1)</f>
        <v>#REF!</v>
      </c>
      <c r="O583" s="423" t="e">
        <f>IF(C583&lt;&gt;"",IF(ISERROR((100000/E583)^(252/N583)-1),Curva!$B$2,((100000/E583)^(252/N583)-1)),"")</f>
        <v>#REF!</v>
      </c>
      <c r="P583" s="219" t="e">
        <f>IF(OR(G583=1,G583=2),dadosexternosBMF_1!B586,"")</f>
        <v>#REF!</v>
      </c>
      <c r="Q583" s="219" t="e">
        <f>IF(OR(G583=1,G583=2),dadosexternosBMF_1!D586,"")</f>
        <v>#REF!</v>
      </c>
    </row>
    <row r="584" spans="1:17" x14ac:dyDescent="0.2">
      <c r="A584" s="222" t="e">
        <f t="shared" si="66"/>
        <v>#REF!</v>
      </c>
      <c r="B584" s="222" t="str">
        <f>IF(dadosexternosBMF_1!A587="DI1 - DI de 1 dia","DI1 - DI de 1 dia","")</f>
        <v/>
      </c>
      <c r="C584" s="222" t="e">
        <f>IF(dadosexternosBMF_1!A587="DOL - Dólar comercial","",IF(C583&lt;&gt;"",dadosexternosBMF_1!B587,IF(dadosexternosBMF_1!A587="DI1 - DI de 1 dia",dadosexternosBMF_1!B587,"")))</f>
        <v>#REF!</v>
      </c>
      <c r="D584" s="222" t="e">
        <f>IF(C584&lt;&gt;"",dadosexternosBMF_1!C587,"")</f>
        <v>#REF!</v>
      </c>
      <c r="E584" s="222" t="e">
        <f>IF(C584&lt;&gt;"",dadosexternosBMF_1!D587,"")</f>
        <v>#REF!</v>
      </c>
      <c r="G584" s="219" t="e">
        <f t="shared" si="67"/>
        <v>#REF!</v>
      </c>
      <c r="H584" s="219" t="e">
        <f t="shared" si="68"/>
        <v>#REF!</v>
      </c>
      <c r="I584" s="219" t="e">
        <f t="shared" si="69"/>
        <v>#REF!</v>
      </c>
      <c r="J584" s="219" t="e">
        <f>IF(I584="","",VLOOKUP(LEFT(C584,1),dadosexternosBMF_1!$L$2:$M$13,2,FALSE))</f>
        <v>#REF!</v>
      </c>
      <c r="K584" s="219" t="e">
        <f t="shared" si="70"/>
        <v>#REF!</v>
      </c>
      <c r="L584" s="422" t="e">
        <f t="shared" si="71"/>
        <v>#REF!</v>
      </c>
      <c r="M584" s="422" t="e">
        <f>IF(I584="","",WORKDAY(L584-1,1,FERIADOS!$A$2:$A$831))</f>
        <v>#REF!</v>
      </c>
      <c r="N584" s="219" t="e">
        <f>IF(I584="","",NETWORKDAYS(Curva!$M$2,M584,FERIADOS!$A$2:$A$831)-1)</f>
        <v>#REF!</v>
      </c>
      <c r="O584" s="423" t="e">
        <f>IF(C584&lt;&gt;"",IF(ISERROR((100000/E584)^(252/N584)-1),Curva!$B$2,((100000/E584)^(252/N584)-1)),"")</f>
        <v>#REF!</v>
      </c>
      <c r="P584" s="219" t="e">
        <f>IF(OR(G584=1,G584=2),dadosexternosBMF_1!B587,"")</f>
        <v>#REF!</v>
      </c>
      <c r="Q584" s="219" t="e">
        <f>IF(OR(G584=1,G584=2),dadosexternosBMF_1!D587,"")</f>
        <v>#REF!</v>
      </c>
    </row>
    <row r="585" spans="1:17" x14ac:dyDescent="0.2">
      <c r="A585" s="222" t="e">
        <f t="shared" si="66"/>
        <v>#REF!</v>
      </c>
      <c r="B585" s="222" t="str">
        <f>IF(dadosexternosBMF_1!A588="DI1 - DI de 1 dia","DI1 - DI de 1 dia","")</f>
        <v/>
      </c>
      <c r="C585" s="222" t="e">
        <f>IF(dadosexternosBMF_1!A588="DOL - Dólar comercial","",IF(C584&lt;&gt;"",dadosexternosBMF_1!B588,IF(dadosexternosBMF_1!A588="DI1 - DI de 1 dia",dadosexternosBMF_1!B588,"")))</f>
        <v>#REF!</v>
      </c>
      <c r="D585" s="222" t="e">
        <f>IF(C585&lt;&gt;"",dadosexternosBMF_1!C588,"")</f>
        <v>#REF!</v>
      </c>
      <c r="E585" s="222" t="e">
        <f>IF(C585&lt;&gt;"",dadosexternosBMF_1!D588,"")</f>
        <v>#REF!</v>
      </c>
      <c r="G585" s="219" t="e">
        <f t="shared" si="67"/>
        <v>#REF!</v>
      </c>
      <c r="H585" s="219" t="e">
        <f t="shared" si="68"/>
        <v>#REF!</v>
      </c>
      <c r="I585" s="219" t="e">
        <f t="shared" si="69"/>
        <v>#REF!</v>
      </c>
      <c r="J585" s="219" t="e">
        <f>IF(I585="","",VLOOKUP(LEFT(C585,1),dadosexternosBMF_1!$L$2:$M$13,2,FALSE))</f>
        <v>#REF!</v>
      </c>
      <c r="K585" s="219" t="e">
        <f t="shared" si="70"/>
        <v>#REF!</v>
      </c>
      <c r="L585" s="422" t="e">
        <f t="shared" si="71"/>
        <v>#REF!</v>
      </c>
      <c r="M585" s="422" t="e">
        <f>IF(I585="","",WORKDAY(L585-1,1,FERIADOS!$A$2:$A$831))</f>
        <v>#REF!</v>
      </c>
      <c r="N585" s="219" t="e">
        <f>IF(I585="","",NETWORKDAYS(Curva!$M$2,M585,FERIADOS!$A$2:$A$831)-1)</f>
        <v>#REF!</v>
      </c>
      <c r="O585" s="423" t="e">
        <f>IF(C585&lt;&gt;"",IF(ISERROR((100000/E585)^(252/N585)-1),Curva!$B$2,((100000/E585)^(252/N585)-1)),"")</f>
        <v>#REF!</v>
      </c>
      <c r="P585" s="219" t="e">
        <f>IF(OR(G585=1,G585=2),dadosexternosBMF_1!B588,"")</f>
        <v>#REF!</v>
      </c>
      <c r="Q585" s="219" t="e">
        <f>IF(OR(G585=1,G585=2),dadosexternosBMF_1!D588,"")</f>
        <v>#REF!</v>
      </c>
    </row>
    <row r="586" spans="1:17" x14ac:dyDescent="0.2">
      <c r="A586" s="222" t="e">
        <f t="shared" si="66"/>
        <v>#REF!</v>
      </c>
      <c r="B586" s="222" t="str">
        <f>IF(dadosexternosBMF_1!A589="DI1 - DI de 1 dia","DI1 - DI de 1 dia","")</f>
        <v/>
      </c>
      <c r="C586" s="222" t="e">
        <f>IF(dadosexternosBMF_1!A589="DOL - Dólar comercial","",IF(C585&lt;&gt;"",dadosexternosBMF_1!B589,IF(dadosexternosBMF_1!A589="DI1 - DI de 1 dia",dadosexternosBMF_1!B589,"")))</f>
        <v>#REF!</v>
      </c>
      <c r="D586" s="222" t="e">
        <f>IF(C586&lt;&gt;"",dadosexternosBMF_1!C589,"")</f>
        <v>#REF!</v>
      </c>
      <c r="E586" s="222" t="e">
        <f>IF(C586&lt;&gt;"",dadosexternosBMF_1!D589,"")</f>
        <v>#REF!</v>
      </c>
      <c r="G586" s="219" t="e">
        <f t="shared" si="67"/>
        <v>#REF!</v>
      </c>
      <c r="H586" s="219" t="e">
        <f t="shared" si="68"/>
        <v>#REF!</v>
      </c>
      <c r="I586" s="219" t="e">
        <f t="shared" si="69"/>
        <v>#REF!</v>
      </c>
      <c r="J586" s="219" t="e">
        <f>IF(I586="","",VLOOKUP(LEFT(C586,1),dadosexternosBMF_1!$L$2:$M$13,2,FALSE))</f>
        <v>#REF!</v>
      </c>
      <c r="K586" s="219" t="e">
        <f t="shared" si="70"/>
        <v>#REF!</v>
      </c>
      <c r="L586" s="422" t="e">
        <f t="shared" si="71"/>
        <v>#REF!</v>
      </c>
      <c r="M586" s="422" t="e">
        <f>IF(I586="","",WORKDAY(L586-1,1,FERIADOS!$A$2:$A$831))</f>
        <v>#REF!</v>
      </c>
      <c r="N586" s="219" t="e">
        <f>IF(I586="","",NETWORKDAYS(Curva!$M$2,M586,FERIADOS!$A$2:$A$831)-1)</f>
        <v>#REF!</v>
      </c>
      <c r="O586" s="423" t="e">
        <f>IF(C586&lt;&gt;"",IF(ISERROR((100000/E586)^(252/N586)-1),Curva!$B$2,((100000/E586)^(252/N586)-1)),"")</f>
        <v>#REF!</v>
      </c>
      <c r="P586" s="219" t="e">
        <f>IF(OR(G586=1,G586=2),dadosexternosBMF_1!B589,"")</f>
        <v>#REF!</v>
      </c>
      <c r="Q586" s="219" t="e">
        <f>IF(OR(G586=1,G586=2),dadosexternosBMF_1!D589,"")</f>
        <v>#REF!</v>
      </c>
    </row>
    <row r="587" spans="1:17" x14ac:dyDescent="0.2">
      <c r="A587" s="222" t="e">
        <f t="shared" si="66"/>
        <v>#REF!</v>
      </c>
      <c r="B587" s="222" t="str">
        <f>IF(dadosexternosBMF_1!A590="DI1 - DI de 1 dia","DI1 - DI de 1 dia","")</f>
        <v/>
      </c>
      <c r="C587" s="222" t="e">
        <f>IF(dadosexternosBMF_1!A590="DOL - Dólar comercial","",IF(C586&lt;&gt;"",dadosexternosBMF_1!B590,IF(dadosexternosBMF_1!A590="DI1 - DI de 1 dia",dadosexternosBMF_1!B590,"")))</f>
        <v>#REF!</v>
      </c>
      <c r="D587" s="222" t="e">
        <f>IF(C587&lt;&gt;"",dadosexternosBMF_1!C590,"")</f>
        <v>#REF!</v>
      </c>
      <c r="E587" s="222" t="e">
        <f>IF(C587&lt;&gt;"",dadosexternosBMF_1!D590,"")</f>
        <v>#REF!</v>
      </c>
      <c r="G587" s="219" t="e">
        <f t="shared" si="67"/>
        <v>#REF!</v>
      </c>
      <c r="H587" s="219" t="e">
        <f t="shared" si="68"/>
        <v>#REF!</v>
      </c>
      <c r="I587" s="219" t="e">
        <f t="shared" si="69"/>
        <v>#REF!</v>
      </c>
      <c r="J587" s="219" t="e">
        <f>IF(I587="","",VLOOKUP(LEFT(C587,1),dadosexternosBMF_1!$L$2:$M$13,2,FALSE))</f>
        <v>#REF!</v>
      </c>
      <c r="K587" s="219" t="e">
        <f t="shared" si="70"/>
        <v>#REF!</v>
      </c>
      <c r="L587" s="422" t="e">
        <f t="shared" si="71"/>
        <v>#REF!</v>
      </c>
      <c r="M587" s="422" t="e">
        <f>IF(I587="","",WORKDAY(L587-1,1,FERIADOS!$A$2:$A$831))</f>
        <v>#REF!</v>
      </c>
      <c r="N587" s="219" t="e">
        <f>IF(I587="","",NETWORKDAYS(Curva!$M$2,M587,FERIADOS!$A$2:$A$831)-1)</f>
        <v>#REF!</v>
      </c>
      <c r="O587" s="423" t="e">
        <f>IF(C587&lt;&gt;"",IF(ISERROR((100000/E587)^(252/N587)-1),Curva!$B$2,((100000/E587)^(252/N587)-1)),"")</f>
        <v>#REF!</v>
      </c>
      <c r="P587" s="219" t="e">
        <f>IF(OR(G587=1,G587=2),dadosexternosBMF_1!B590,"")</f>
        <v>#REF!</v>
      </c>
      <c r="Q587" s="219" t="e">
        <f>IF(OR(G587=1,G587=2),dadosexternosBMF_1!D590,"")</f>
        <v>#REF!</v>
      </c>
    </row>
    <row r="588" spans="1:17" x14ac:dyDescent="0.2">
      <c r="A588" s="222" t="e">
        <f t="shared" si="66"/>
        <v>#REF!</v>
      </c>
      <c r="B588" s="222" t="str">
        <f>IF(dadosexternosBMF_1!A591="DI1 - DI de 1 dia","DI1 - DI de 1 dia","")</f>
        <v/>
      </c>
      <c r="C588" s="222" t="e">
        <f>IF(dadosexternosBMF_1!A591="DOL - Dólar comercial","",IF(C587&lt;&gt;"",dadosexternosBMF_1!B591,IF(dadosexternosBMF_1!A591="DI1 - DI de 1 dia",dadosexternosBMF_1!B591,"")))</f>
        <v>#REF!</v>
      </c>
      <c r="D588" s="222" t="e">
        <f>IF(C588&lt;&gt;"",dadosexternosBMF_1!C591,"")</f>
        <v>#REF!</v>
      </c>
      <c r="E588" s="222" t="e">
        <f>IF(C588&lt;&gt;"",dadosexternosBMF_1!D591,"")</f>
        <v>#REF!</v>
      </c>
      <c r="G588" s="219" t="e">
        <f t="shared" si="67"/>
        <v>#REF!</v>
      </c>
      <c r="H588" s="219" t="e">
        <f t="shared" si="68"/>
        <v>#REF!</v>
      </c>
      <c r="I588" s="219" t="e">
        <f t="shared" si="69"/>
        <v>#REF!</v>
      </c>
      <c r="J588" s="219" t="e">
        <f>IF(I588="","",VLOOKUP(LEFT(C588,1),dadosexternosBMF_1!$L$2:$M$13,2,FALSE))</f>
        <v>#REF!</v>
      </c>
      <c r="K588" s="219" t="e">
        <f t="shared" si="70"/>
        <v>#REF!</v>
      </c>
      <c r="L588" s="422" t="e">
        <f t="shared" si="71"/>
        <v>#REF!</v>
      </c>
      <c r="M588" s="422" t="e">
        <f>IF(I588="","",WORKDAY(L588-1,1,FERIADOS!$A$2:$A$831))</f>
        <v>#REF!</v>
      </c>
      <c r="N588" s="219" t="e">
        <f>IF(I588="","",NETWORKDAYS(Curva!$M$2,M588,FERIADOS!$A$2:$A$831)-1)</f>
        <v>#REF!</v>
      </c>
      <c r="O588" s="423" t="e">
        <f>IF(C588&lt;&gt;"",IF(ISERROR((100000/E588)^(252/N588)-1),Curva!$B$2,((100000/E588)^(252/N588)-1)),"")</f>
        <v>#REF!</v>
      </c>
      <c r="P588" s="219" t="e">
        <f>IF(OR(G588=1,G588=2),dadosexternosBMF_1!B591,"")</f>
        <v>#REF!</v>
      </c>
      <c r="Q588" s="219" t="e">
        <f>IF(OR(G588=1,G588=2),dadosexternosBMF_1!D591,"")</f>
        <v>#REF!</v>
      </c>
    </row>
    <row r="589" spans="1:17" x14ac:dyDescent="0.2">
      <c r="A589" s="222" t="e">
        <f t="shared" si="66"/>
        <v>#REF!</v>
      </c>
      <c r="B589" s="222" t="str">
        <f>IF(dadosexternosBMF_1!A592="DI1 - DI de 1 dia","DI1 - DI de 1 dia","")</f>
        <v/>
      </c>
      <c r="C589" s="222" t="e">
        <f>IF(dadosexternosBMF_1!A592="DOL - Dólar comercial","",IF(C588&lt;&gt;"",dadosexternosBMF_1!B592,IF(dadosexternosBMF_1!A592="DI1 - DI de 1 dia",dadosexternosBMF_1!B592,"")))</f>
        <v>#REF!</v>
      </c>
      <c r="D589" s="222" t="e">
        <f>IF(C589&lt;&gt;"",dadosexternosBMF_1!C592,"")</f>
        <v>#REF!</v>
      </c>
      <c r="E589" s="222" t="e">
        <f>IF(C589&lt;&gt;"",dadosexternosBMF_1!D592,"")</f>
        <v>#REF!</v>
      </c>
      <c r="G589" s="219" t="e">
        <f t="shared" si="67"/>
        <v>#REF!</v>
      </c>
      <c r="H589" s="219" t="e">
        <f t="shared" si="68"/>
        <v>#REF!</v>
      </c>
      <c r="I589" s="219" t="e">
        <f t="shared" si="69"/>
        <v>#REF!</v>
      </c>
      <c r="J589" s="219" t="e">
        <f>IF(I589="","",VLOOKUP(LEFT(C589,1),dadosexternosBMF_1!$L$2:$M$13,2,FALSE))</f>
        <v>#REF!</v>
      </c>
      <c r="K589" s="219" t="e">
        <f t="shared" si="70"/>
        <v>#REF!</v>
      </c>
      <c r="L589" s="422" t="e">
        <f t="shared" si="71"/>
        <v>#REF!</v>
      </c>
      <c r="M589" s="422" t="e">
        <f>IF(I589="","",WORKDAY(L589-1,1,FERIADOS!$A$2:$A$831))</f>
        <v>#REF!</v>
      </c>
      <c r="N589" s="219" t="e">
        <f>IF(I589="","",NETWORKDAYS(Curva!$M$2,M589,FERIADOS!$A$2:$A$831)-1)</f>
        <v>#REF!</v>
      </c>
      <c r="O589" s="423" t="e">
        <f>IF(C589&lt;&gt;"",IF(ISERROR((100000/E589)^(252/N589)-1),Curva!$B$2,((100000/E589)^(252/N589)-1)),"")</f>
        <v>#REF!</v>
      </c>
      <c r="P589" s="219" t="e">
        <f>IF(OR(G589=1,G589=2),dadosexternosBMF_1!B592,"")</f>
        <v>#REF!</v>
      </c>
      <c r="Q589" s="219" t="e">
        <f>IF(OR(G589=1,G589=2),dadosexternosBMF_1!D592,"")</f>
        <v>#REF!</v>
      </c>
    </row>
    <row r="590" spans="1:17" x14ac:dyDescent="0.2">
      <c r="A590" s="222" t="e">
        <f t="shared" si="66"/>
        <v>#REF!</v>
      </c>
      <c r="B590" s="222" t="str">
        <f>IF(dadosexternosBMF_1!A593="DI1 - DI de 1 dia","DI1 - DI de 1 dia","")</f>
        <v/>
      </c>
      <c r="C590" s="222" t="e">
        <f>IF(dadosexternosBMF_1!A593="DOL - Dólar comercial","",IF(C589&lt;&gt;"",dadosexternosBMF_1!B593,IF(dadosexternosBMF_1!A593="DI1 - DI de 1 dia",dadosexternosBMF_1!B593,"")))</f>
        <v>#REF!</v>
      </c>
      <c r="D590" s="222" t="e">
        <f>IF(C590&lt;&gt;"",dadosexternosBMF_1!C593,"")</f>
        <v>#REF!</v>
      </c>
      <c r="E590" s="222" t="e">
        <f>IF(C590&lt;&gt;"",dadosexternosBMF_1!D593,"")</f>
        <v>#REF!</v>
      </c>
      <c r="G590" s="219" t="e">
        <f t="shared" si="67"/>
        <v>#REF!</v>
      </c>
      <c r="H590" s="219" t="e">
        <f t="shared" si="68"/>
        <v>#REF!</v>
      </c>
      <c r="I590" s="219" t="e">
        <f t="shared" si="69"/>
        <v>#REF!</v>
      </c>
      <c r="J590" s="219" t="e">
        <f>IF(I590="","",VLOOKUP(LEFT(C590,1),dadosexternosBMF_1!$L$2:$M$13,2,FALSE))</f>
        <v>#REF!</v>
      </c>
      <c r="K590" s="219" t="e">
        <f t="shared" si="70"/>
        <v>#REF!</v>
      </c>
      <c r="L590" s="422" t="e">
        <f t="shared" si="71"/>
        <v>#REF!</v>
      </c>
      <c r="M590" s="422" t="e">
        <f>IF(I590="","",WORKDAY(L590-1,1,FERIADOS!$A$2:$A$831))</f>
        <v>#REF!</v>
      </c>
      <c r="N590" s="219" t="e">
        <f>IF(I590="","",NETWORKDAYS(Curva!$M$2,M590,FERIADOS!$A$2:$A$831)-1)</f>
        <v>#REF!</v>
      </c>
      <c r="O590" s="423" t="e">
        <f>IF(C590&lt;&gt;"",IF(ISERROR((100000/E590)^(252/N590)-1),Curva!$B$2,((100000/E590)^(252/N590)-1)),"")</f>
        <v>#REF!</v>
      </c>
      <c r="P590" s="219" t="e">
        <f>IF(OR(G590=1,G590=2),dadosexternosBMF_1!B593,"")</f>
        <v>#REF!</v>
      </c>
      <c r="Q590" s="219" t="e">
        <f>IF(OR(G590=1,G590=2),dadosexternosBMF_1!D593,"")</f>
        <v>#REF!</v>
      </c>
    </row>
    <row r="591" spans="1:17" x14ac:dyDescent="0.2">
      <c r="A591" s="222" t="e">
        <f t="shared" si="66"/>
        <v>#REF!</v>
      </c>
      <c r="B591" s="222" t="str">
        <f>IF(dadosexternosBMF_1!A594="DI1 - DI de 1 dia","DI1 - DI de 1 dia","")</f>
        <v/>
      </c>
      <c r="C591" s="222" t="e">
        <f>IF(dadosexternosBMF_1!A594="DOL - Dólar comercial","",IF(C590&lt;&gt;"",dadosexternosBMF_1!B594,IF(dadosexternosBMF_1!A594="DI1 - DI de 1 dia",dadosexternosBMF_1!B594,"")))</f>
        <v>#REF!</v>
      </c>
      <c r="D591" s="222" t="e">
        <f>IF(C591&lt;&gt;"",dadosexternosBMF_1!C594,"")</f>
        <v>#REF!</v>
      </c>
      <c r="E591" s="222" t="e">
        <f>IF(C591&lt;&gt;"",dadosexternosBMF_1!D594,"")</f>
        <v>#REF!</v>
      </c>
      <c r="G591" s="219" t="e">
        <f t="shared" si="67"/>
        <v>#REF!</v>
      </c>
      <c r="H591" s="219" t="e">
        <f t="shared" si="68"/>
        <v>#REF!</v>
      </c>
      <c r="I591" s="219" t="e">
        <f t="shared" si="69"/>
        <v>#REF!</v>
      </c>
      <c r="J591" s="219" t="e">
        <f>IF(I591="","",VLOOKUP(LEFT(C591,1),dadosexternosBMF_1!$L$2:$M$13,2,FALSE))</f>
        <v>#REF!</v>
      </c>
      <c r="K591" s="219" t="e">
        <f t="shared" si="70"/>
        <v>#REF!</v>
      </c>
      <c r="L591" s="422" t="e">
        <f t="shared" si="71"/>
        <v>#REF!</v>
      </c>
      <c r="M591" s="422" t="e">
        <f>IF(I591="","",WORKDAY(L591-1,1,FERIADOS!$A$2:$A$831))</f>
        <v>#REF!</v>
      </c>
      <c r="N591" s="219" t="e">
        <f>IF(I591="","",NETWORKDAYS(Curva!$M$2,M591,FERIADOS!$A$2:$A$831)-1)</f>
        <v>#REF!</v>
      </c>
      <c r="O591" s="423" t="e">
        <f>IF(C591&lt;&gt;"",IF(ISERROR((100000/E591)^(252/N591)-1),Curva!$B$2,((100000/E591)^(252/N591)-1)),"")</f>
        <v>#REF!</v>
      </c>
      <c r="P591" s="219" t="e">
        <f>IF(OR(G591=1,G591=2),dadosexternosBMF_1!B594,"")</f>
        <v>#REF!</v>
      </c>
      <c r="Q591" s="219" t="e">
        <f>IF(OR(G591=1,G591=2),dadosexternosBMF_1!D594,"")</f>
        <v>#REF!</v>
      </c>
    </row>
    <row r="592" spans="1:17" x14ac:dyDescent="0.2">
      <c r="A592" s="222" t="e">
        <f t="shared" si="66"/>
        <v>#REF!</v>
      </c>
      <c r="B592" s="222" t="str">
        <f>IF(dadosexternosBMF_1!A595="DI1 - DI de 1 dia","DI1 - DI de 1 dia","")</f>
        <v/>
      </c>
      <c r="C592" s="222" t="e">
        <f>IF(dadosexternosBMF_1!A595="DOL - Dólar comercial","",IF(C591&lt;&gt;"",dadosexternosBMF_1!B595,IF(dadosexternosBMF_1!A595="DI1 - DI de 1 dia",dadosexternosBMF_1!B595,"")))</f>
        <v>#REF!</v>
      </c>
      <c r="D592" s="222" t="e">
        <f>IF(C592&lt;&gt;"",dadosexternosBMF_1!C595,"")</f>
        <v>#REF!</v>
      </c>
      <c r="E592" s="222" t="e">
        <f>IF(C592&lt;&gt;"",dadosexternosBMF_1!D595,"")</f>
        <v>#REF!</v>
      </c>
      <c r="G592" s="219" t="e">
        <f t="shared" si="67"/>
        <v>#REF!</v>
      </c>
      <c r="H592" s="219" t="e">
        <f t="shared" si="68"/>
        <v>#REF!</v>
      </c>
      <c r="I592" s="219" t="e">
        <f t="shared" si="69"/>
        <v>#REF!</v>
      </c>
      <c r="J592" s="219" t="e">
        <f>IF(I592="","",VLOOKUP(LEFT(C592,1),dadosexternosBMF_1!$L$2:$M$13,2,FALSE))</f>
        <v>#REF!</v>
      </c>
      <c r="K592" s="219" t="e">
        <f t="shared" si="70"/>
        <v>#REF!</v>
      </c>
      <c r="L592" s="422" t="e">
        <f t="shared" si="71"/>
        <v>#REF!</v>
      </c>
      <c r="M592" s="422" t="e">
        <f>IF(I592="","",WORKDAY(L592-1,1,FERIADOS!$A$2:$A$831))</f>
        <v>#REF!</v>
      </c>
      <c r="N592" s="219" t="e">
        <f>IF(I592="","",NETWORKDAYS(Curva!$M$2,M592,FERIADOS!$A$2:$A$831)-1)</f>
        <v>#REF!</v>
      </c>
      <c r="O592" s="423" t="e">
        <f>IF(C592&lt;&gt;"",IF(ISERROR((100000/E592)^(252/N592)-1),Curva!$B$2,((100000/E592)^(252/N592)-1)),"")</f>
        <v>#REF!</v>
      </c>
      <c r="P592" s="219" t="e">
        <f>IF(OR(G592=1,G592=2),dadosexternosBMF_1!B595,"")</f>
        <v>#REF!</v>
      </c>
      <c r="Q592" s="219" t="e">
        <f>IF(OR(G592=1,G592=2),dadosexternosBMF_1!D595,"")</f>
        <v>#REF!</v>
      </c>
    </row>
    <row r="593" spans="1:17" x14ac:dyDescent="0.2">
      <c r="A593" s="222" t="e">
        <f t="shared" si="66"/>
        <v>#REF!</v>
      </c>
      <c r="B593" s="222" t="str">
        <f>IF(dadosexternosBMF_1!A596="DI1 - DI de 1 dia","DI1 - DI de 1 dia","")</f>
        <v/>
      </c>
      <c r="C593" s="222" t="e">
        <f>IF(dadosexternosBMF_1!A596="DOL - Dólar comercial","",IF(C592&lt;&gt;"",dadosexternosBMF_1!B596,IF(dadosexternosBMF_1!A596="DI1 - DI de 1 dia",dadosexternosBMF_1!B596,"")))</f>
        <v>#REF!</v>
      </c>
      <c r="D593" s="222" t="e">
        <f>IF(C593&lt;&gt;"",dadosexternosBMF_1!C596,"")</f>
        <v>#REF!</v>
      </c>
      <c r="E593" s="222" t="e">
        <f>IF(C593&lt;&gt;"",dadosexternosBMF_1!D596,"")</f>
        <v>#REF!</v>
      </c>
      <c r="G593" s="219" t="e">
        <f t="shared" si="67"/>
        <v>#REF!</v>
      </c>
      <c r="H593" s="219" t="e">
        <f t="shared" si="68"/>
        <v>#REF!</v>
      </c>
      <c r="I593" s="219" t="e">
        <f t="shared" si="69"/>
        <v>#REF!</v>
      </c>
      <c r="J593" s="219" t="e">
        <f>IF(I593="","",VLOOKUP(LEFT(C593,1),dadosexternosBMF_1!$L$2:$M$13,2,FALSE))</f>
        <v>#REF!</v>
      </c>
      <c r="K593" s="219" t="e">
        <f t="shared" si="70"/>
        <v>#REF!</v>
      </c>
      <c r="L593" s="422" t="e">
        <f t="shared" si="71"/>
        <v>#REF!</v>
      </c>
      <c r="M593" s="422" t="e">
        <f>IF(I593="","",WORKDAY(L593-1,1,FERIADOS!$A$2:$A$831))</f>
        <v>#REF!</v>
      </c>
      <c r="N593" s="219" t="e">
        <f>IF(I593="","",NETWORKDAYS(Curva!$M$2,M593,FERIADOS!$A$2:$A$831)-1)</f>
        <v>#REF!</v>
      </c>
      <c r="O593" s="423" t="e">
        <f>IF(C593&lt;&gt;"",IF(ISERROR((100000/E593)^(252/N593)-1),Curva!$B$2,((100000/E593)^(252/N593)-1)),"")</f>
        <v>#REF!</v>
      </c>
      <c r="P593" s="219" t="e">
        <f>IF(OR(G593=1,G593=2),dadosexternosBMF_1!B596,"")</f>
        <v>#REF!</v>
      </c>
      <c r="Q593" s="219" t="e">
        <f>IF(OR(G593=1,G593=2),dadosexternosBMF_1!D596,"")</f>
        <v>#REF!</v>
      </c>
    </row>
    <row r="594" spans="1:17" x14ac:dyDescent="0.2">
      <c r="A594" s="222" t="e">
        <f t="shared" si="66"/>
        <v>#REF!</v>
      </c>
      <c r="B594" s="222" t="str">
        <f>IF(dadosexternosBMF_1!A597="DI1 - DI de 1 dia","DI1 - DI de 1 dia","")</f>
        <v/>
      </c>
      <c r="C594" s="222" t="e">
        <f>IF(dadosexternosBMF_1!A597="DOL - Dólar comercial","",IF(C593&lt;&gt;"",dadosexternosBMF_1!B597,IF(dadosexternosBMF_1!A597="DI1 - DI de 1 dia",dadosexternosBMF_1!B597,"")))</f>
        <v>#REF!</v>
      </c>
      <c r="D594" s="222" t="e">
        <f>IF(C594&lt;&gt;"",dadosexternosBMF_1!C597,"")</f>
        <v>#REF!</v>
      </c>
      <c r="E594" s="222" t="e">
        <f>IF(C594&lt;&gt;"",dadosexternosBMF_1!D597,"")</f>
        <v>#REF!</v>
      </c>
      <c r="G594" s="219" t="e">
        <f t="shared" si="67"/>
        <v>#REF!</v>
      </c>
      <c r="H594" s="219" t="e">
        <f t="shared" si="68"/>
        <v>#REF!</v>
      </c>
      <c r="I594" s="219" t="e">
        <f t="shared" si="69"/>
        <v>#REF!</v>
      </c>
      <c r="J594" s="219" t="e">
        <f>IF(I594="","",VLOOKUP(LEFT(C594,1),dadosexternosBMF_1!$L$2:$M$13,2,FALSE))</f>
        <v>#REF!</v>
      </c>
      <c r="K594" s="219" t="e">
        <f t="shared" si="70"/>
        <v>#REF!</v>
      </c>
      <c r="L594" s="422" t="e">
        <f t="shared" si="71"/>
        <v>#REF!</v>
      </c>
      <c r="M594" s="422" t="e">
        <f>IF(I594="","",WORKDAY(L594-1,1,FERIADOS!$A$2:$A$831))</f>
        <v>#REF!</v>
      </c>
      <c r="N594" s="219" t="e">
        <f>IF(I594="","",NETWORKDAYS(Curva!$M$2,M594,FERIADOS!$A$2:$A$831)-1)</f>
        <v>#REF!</v>
      </c>
      <c r="O594" s="423" t="e">
        <f>IF(C594&lt;&gt;"",IF(ISERROR((100000/E594)^(252/N594)-1),Curva!$B$2,((100000/E594)^(252/N594)-1)),"")</f>
        <v>#REF!</v>
      </c>
      <c r="P594" s="219" t="e">
        <f>IF(OR(G594=1,G594=2),dadosexternosBMF_1!B597,"")</f>
        <v>#REF!</v>
      </c>
      <c r="Q594" s="219" t="e">
        <f>IF(OR(G594=1,G594=2),dadosexternosBMF_1!D597,"")</f>
        <v>#REF!</v>
      </c>
    </row>
    <row r="595" spans="1:17" x14ac:dyDescent="0.2">
      <c r="A595" s="222" t="e">
        <f t="shared" si="66"/>
        <v>#REF!</v>
      </c>
      <c r="B595" s="222" t="str">
        <f>IF(dadosexternosBMF_1!A598="DI1 - DI de 1 dia","DI1 - DI de 1 dia","")</f>
        <v/>
      </c>
      <c r="C595" s="222" t="e">
        <f>IF(dadosexternosBMF_1!A598="DOL - Dólar comercial","",IF(C594&lt;&gt;"",dadosexternosBMF_1!B598,IF(dadosexternosBMF_1!A598="DI1 - DI de 1 dia",dadosexternosBMF_1!B598,"")))</f>
        <v>#REF!</v>
      </c>
      <c r="D595" s="222" t="e">
        <f>IF(C595&lt;&gt;"",dadosexternosBMF_1!C598,"")</f>
        <v>#REF!</v>
      </c>
      <c r="E595" s="222" t="e">
        <f>IF(C595&lt;&gt;"",dadosexternosBMF_1!D598,"")</f>
        <v>#REF!</v>
      </c>
      <c r="G595" s="219" t="e">
        <f t="shared" si="67"/>
        <v>#REF!</v>
      </c>
      <c r="H595" s="219" t="e">
        <f t="shared" si="68"/>
        <v>#REF!</v>
      </c>
      <c r="I595" s="219" t="e">
        <f t="shared" si="69"/>
        <v>#REF!</v>
      </c>
      <c r="J595" s="219" t="e">
        <f>IF(I595="","",VLOOKUP(LEFT(C595,1),dadosexternosBMF_1!$L$2:$M$13,2,FALSE))</f>
        <v>#REF!</v>
      </c>
      <c r="K595" s="219" t="e">
        <f t="shared" si="70"/>
        <v>#REF!</v>
      </c>
      <c r="L595" s="422" t="e">
        <f t="shared" si="71"/>
        <v>#REF!</v>
      </c>
      <c r="M595" s="422" t="e">
        <f>IF(I595="","",WORKDAY(L595-1,1,FERIADOS!$A$2:$A$831))</f>
        <v>#REF!</v>
      </c>
      <c r="N595" s="219" t="e">
        <f>IF(I595="","",NETWORKDAYS(Curva!$M$2,M595,FERIADOS!$A$2:$A$831)-1)</f>
        <v>#REF!</v>
      </c>
      <c r="O595" s="423" t="e">
        <f>IF(C595&lt;&gt;"",IF(ISERROR((100000/E595)^(252/N595)-1),Curva!$B$2,((100000/E595)^(252/N595)-1)),"")</f>
        <v>#REF!</v>
      </c>
      <c r="P595" s="219" t="e">
        <f>IF(OR(G595=1,G595=2),dadosexternosBMF_1!B598,"")</f>
        <v>#REF!</v>
      </c>
      <c r="Q595" s="219" t="e">
        <f>IF(OR(G595=1,G595=2),dadosexternosBMF_1!D598,"")</f>
        <v>#REF!</v>
      </c>
    </row>
    <row r="596" spans="1:17" x14ac:dyDescent="0.2">
      <c r="A596" s="222" t="e">
        <f t="shared" si="66"/>
        <v>#REF!</v>
      </c>
      <c r="B596" s="222" t="str">
        <f>IF(dadosexternosBMF_1!A599="DI1 - DI de 1 dia","DI1 - DI de 1 dia","")</f>
        <v/>
      </c>
      <c r="C596" s="222" t="e">
        <f>IF(dadosexternosBMF_1!A599="DOL - Dólar comercial","",IF(C595&lt;&gt;"",dadosexternosBMF_1!B599,IF(dadosexternosBMF_1!A599="DI1 - DI de 1 dia",dadosexternosBMF_1!B599,"")))</f>
        <v>#REF!</v>
      </c>
      <c r="D596" s="222" t="e">
        <f>IF(C596&lt;&gt;"",dadosexternosBMF_1!C599,"")</f>
        <v>#REF!</v>
      </c>
      <c r="E596" s="222" t="e">
        <f>IF(C596&lt;&gt;"",dadosexternosBMF_1!D599,"")</f>
        <v>#REF!</v>
      </c>
      <c r="G596" s="219" t="e">
        <f t="shared" si="67"/>
        <v>#REF!</v>
      </c>
      <c r="H596" s="219" t="e">
        <f t="shared" si="68"/>
        <v>#REF!</v>
      </c>
      <c r="I596" s="219" t="e">
        <f t="shared" si="69"/>
        <v>#REF!</v>
      </c>
      <c r="J596" s="219" t="e">
        <f>IF(I596="","",VLOOKUP(LEFT(C596,1),dadosexternosBMF_1!$L$2:$M$13,2,FALSE))</f>
        <v>#REF!</v>
      </c>
      <c r="K596" s="219" t="e">
        <f t="shared" si="70"/>
        <v>#REF!</v>
      </c>
      <c r="L596" s="422" t="e">
        <f t="shared" si="71"/>
        <v>#REF!</v>
      </c>
      <c r="M596" s="422" t="e">
        <f>IF(I596="","",WORKDAY(L596-1,1,FERIADOS!$A$2:$A$831))</f>
        <v>#REF!</v>
      </c>
      <c r="N596" s="219" t="e">
        <f>IF(I596="","",NETWORKDAYS(Curva!$M$2,M596,FERIADOS!$A$2:$A$831)-1)</f>
        <v>#REF!</v>
      </c>
      <c r="O596" s="423" t="e">
        <f>IF(C596&lt;&gt;"",IF(ISERROR((100000/E596)^(252/N596)-1),Curva!$B$2,((100000/E596)^(252/N596)-1)),"")</f>
        <v>#REF!</v>
      </c>
      <c r="P596" s="219" t="e">
        <f>IF(OR(G596=1,G596=2),dadosexternosBMF_1!B599,"")</f>
        <v>#REF!</v>
      </c>
      <c r="Q596" s="219" t="e">
        <f>IF(OR(G596=1,G596=2),dadosexternosBMF_1!D599,"")</f>
        <v>#REF!</v>
      </c>
    </row>
    <row r="597" spans="1:17" x14ac:dyDescent="0.2">
      <c r="A597" s="222" t="e">
        <f t="shared" si="66"/>
        <v>#REF!</v>
      </c>
      <c r="B597" s="222" t="str">
        <f>IF(dadosexternosBMF_1!A600="DI1 - DI de 1 dia","DI1 - DI de 1 dia","")</f>
        <v/>
      </c>
      <c r="C597" s="222" t="e">
        <f>IF(dadosexternosBMF_1!A600="DOL - Dólar comercial","",IF(C596&lt;&gt;"",dadosexternosBMF_1!B600,IF(dadosexternosBMF_1!A600="DI1 - DI de 1 dia",dadosexternosBMF_1!B600,"")))</f>
        <v>#REF!</v>
      </c>
      <c r="D597" s="222" t="e">
        <f>IF(C597&lt;&gt;"",dadosexternosBMF_1!C600,"")</f>
        <v>#REF!</v>
      </c>
      <c r="E597" s="222" t="e">
        <f>IF(C597&lt;&gt;"",dadosexternosBMF_1!D600,"")</f>
        <v>#REF!</v>
      </c>
      <c r="G597" s="219" t="e">
        <f t="shared" si="67"/>
        <v>#REF!</v>
      </c>
      <c r="H597" s="219" t="e">
        <f t="shared" si="68"/>
        <v>#REF!</v>
      </c>
      <c r="I597" s="219" t="e">
        <f t="shared" si="69"/>
        <v>#REF!</v>
      </c>
      <c r="J597" s="219" t="e">
        <f>IF(I597="","",VLOOKUP(LEFT(C597,1),dadosexternosBMF_1!$L$2:$M$13,2,FALSE))</f>
        <v>#REF!</v>
      </c>
      <c r="K597" s="219" t="e">
        <f t="shared" si="70"/>
        <v>#REF!</v>
      </c>
      <c r="L597" s="422" t="e">
        <f t="shared" si="71"/>
        <v>#REF!</v>
      </c>
      <c r="M597" s="422" t="e">
        <f>IF(I597="","",WORKDAY(L597-1,1,FERIADOS!$A$2:$A$831))</f>
        <v>#REF!</v>
      </c>
      <c r="N597" s="219" t="e">
        <f>IF(I597="","",NETWORKDAYS(Curva!$M$2,M597,FERIADOS!$A$2:$A$831)-1)</f>
        <v>#REF!</v>
      </c>
      <c r="O597" s="423" t="e">
        <f>IF(C597&lt;&gt;"",IF(ISERROR((100000/E597)^(252/N597)-1),Curva!$B$2,((100000/E597)^(252/N597)-1)),"")</f>
        <v>#REF!</v>
      </c>
      <c r="P597" s="219" t="e">
        <f>IF(OR(G597=1,G597=2),dadosexternosBMF_1!B600,"")</f>
        <v>#REF!</v>
      </c>
      <c r="Q597" s="219" t="e">
        <f>IF(OR(G597=1,G597=2),dadosexternosBMF_1!D600,"")</f>
        <v>#REF!</v>
      </c>
    </row>
    <row r="598" spans="1:17" x14ac:dyDescent="0.2">
      <c r="A598" s="222" t="e">
        <f t="shared" si="66"/>
        <v>#REF!</v>
      </c>
      <c r="B598" s="222" t="str">
        <f>IF(dadosexternosBMF_1!A601="DI1 - DI de 1 dia","DI1 - DI de 1 dia","")</f>
        <v/>
      </c>
      <c r="C598" s="222" t="e">
        <f>IF(dadosexternosBMF_1!A601="DOL - Dólar comercial","",IF(C597&lt;&gt;"",dadosexternosBMF_1!B601,IF(dadosexternosBMF_1!A601="DI1 - DI de 1 dia",dadosexternosBMF_1!B601,"")))</f>
        <v>#REF!</v>
      </c>
      <c r="D598" s="222" t="e">
        <f>IF(C598&lt;&gt;"",dadosexternosBMF_1!C601,"")</f>
        <v>#REF!</v>
      </c>
      <c r="E598" s="222" t="e">
        <f>IF(C598&lt;&gt;"",dadosexternosBMF_1!D601,"")</f>
        <v>#REF!</v>
      </c>
      <c r="G598" s="219" t="e">
        <f t="shared" si="67"/>
        <v>#REF!</v>
      </c>
      <c r="H598" s="219" t="e">
        <f t="shared" si="68"/>
        <v>#REF!</v>
      </c>
      <c r="I598" s="219" t="e">
        <f t="shared" si="69"/>
        <v>#REF!</v>
      </c>
      <c r="J598" s="219" t="e">
        <f>IF(I598="","",VLOOKUP(LEFT(C598,1),dadosexternosBMF_1!$L$2:$M$13,2,FALSE))</f>
        <v>#REF!</v>
      </c>
      <c r="K598" s="219" t="e">
        <f t="shared" si="70"/>
        <v>#REF!</v>
      </c>
      <c r="L598" s="422" t="e">
        <f t="shared" si="71"/>
        <v>#REF!</v>
      </c>
      <c r="M598" s="422" t="e">
        <f>IF(I598="","",WORKDAY(L598-1,1,FERIADOS!$A$2:$A$831))</f>
        <v>#REF!</v>
      </c>
      <c r="N598" s="219" t="e">
        <f>IF(I598="","",NETWORKDAYS(Curva!$M$2,M598,FERIADOS!$A$2:$A$831)-1)</f>
        <v>#REF!</v>
      </c>
      <c r="O598" s="423" t="e">
        <f>IF(C598&lt;&gt;"",IF(ISERROR((100000/E598)^(252/N598)-1),Curva!$B$2,((100000/E598)^(252/N598)-1)),"")</f>
        <v>#REF!</v>
      </c>
      <c r="P598" s="219" t="e">
        <f>IF(OR(G598=1,G598=2),dadosexternosBMF_1!B601,"")</f>
        <v>#REF!</v>
      </c>
      <c r="Q598" s="219" t="e">
        <f>IF(OR(G598=1,G598=2),dadosexternosBMF_1!D601,"")</f>
        <v>#REF!</v>
      </c>
    </row>
    <row r="599" spans="1:17" x14ac:dyDescent="0.2">
      <c r="A599" s="222" t="e">
        <f t="shared" si="66"/>
        <v>#REF!</v>
      </c>
      <c r="B599" s="222" t="str">
        <f>IF(dadosexternosBMF_1!A602="DI1 - DI de 1 dia","DI1 - DI de 1 dia","")</f>
        <v/>
      </c>
      <c r="C599" s="222" t="e">
        <f>IF(dadosexternosBMF_1!A602="DOL - Dólar comercial","",IF(C598&lt;&gt;"",dadosexternosBMF_1!B602,IF(dadosexternosBMF_1!A602="DI1 - DI de 1 dia",dadosexternosBMF_1!B602,"")))</f>
        <v>#REF!</v>
      </c>
      <c r="D599" s="222" t="e">
        <f>IF(C599&lt;&gt;"",dadosexternosBMF_1!C602,"")</f>
        <v>#REF!</v>
      </c>
      <c r="E599" s="222" t="e">
        <f>IF(C599&lt;&gt;"",dadosexternosBMF_1!D602,"")</f>
        <v>#REF!</v>
      </c>
      <c r="G599" s="219" t="e">
        <f t="shared" si="67"/>
        <v>#REF!</v>
      </c>
      <c r="H599" s="219" t="e">
        <f t="shared" si="68"/>
        <v>#REF!</v>
      </c>
      <c r="I599" s="219" t="e">
        <f t="shared" si="69"/>
        <v>#REF!</v>
      </c>
      <c r="J599" s="219" t="e">
        <f>IF(I599="","",VLOOKUP(LEFT(C599,1),dadosexternosBMF_1!$L$2:$M$13,2,FALSE))</f>
        <v>#REF!</v>
      </c>
      <c r="K599" s="219" t="e">
        <f t="shared" si="70"/>
        <v>#REF!</v>
      </c>
      <c r="L599" s="422" t="e">
        <f t="shared" si="71"/>
        <v>#REF!</v>
      </c>
      <c r="M599" s="422" t="e">
        <f>IF(I599="","",WORKDAY(L599-1,1,FERIADOS!$A$2:$A$831))</f>
        <v>#REF!</v>
      </c>
      <c r="N599" s="219" t="e">
        <f>IF(I599="","",NETWORKDAYS(Curva!$M$2,M599,FERIADOS!$A$2:$A$831)-1)</f>
        <v>#REF!</v>
      </c>
      <c r="O599" s="423" t="e">
        <f>IF(C599&lt;&gt;"",IF(ISERROR((100000/E599)^(252/N599)-1),Curva!$B$2,((100000/E599)^(252/N599)-1)),"")</f>
        <v>#REF!</v>
      </c>
      <c r="P599" s="219" t="e">
        <f>IF(OR(G599=1,G599=2),dadosexternosBMF_1!B602,"")</f>
        <v>#REF!</v>
      </c>
      <c r="Q599" s="219" t="e">
        <f>IF(OR(G599=1,G599=2),dadosexternosBMF_1!D602,"")</f>
        <v>#REF!</v>
      </c>
    </row>
    <row r="600" spans="1:17" x14ac:dyDescent="0.2">
      <c r="A600" s="222" t="e">
        <f t="shared" si="66"/>
        <v>#REF!</v>
      </c>
      <c r="B600" s="222" t="str">
        <f>IF(dadosexternosBMF_1!A603="DI1 - DI de 1 dia","DI1 - DI de 1 dia","")</f>
        <v/>
      </c>
      <c r="C600" s="222" t="e">
        <f>IF(dadosexternosBMF_1!A603="DOL - Dólar comercial","",IF(C599&lt;&gt;"",dadosexternosBMF_1!B603,IF(dadosexternosBMF_1!A603="DI1 - DI de 1 dia",dadosexternosBMF_1!B603,"")))</f>
        <v>#REF!</v>
      </c>
      <c r="D600" s="222" t="e">
        <f>IF(C600&lt;&gt;"",dadosexternosBMF_1!C603,"")</f>
        <v>#REF!</v>
      </c>
      <c r="E600" s="222" t="e">
        <f>IF(C600&lt;&gt;"",dadosexternosBMF_1!D603,"")</f>
        <v>#REF!</v>
      </c>
      <c r="G600" s="219" t="e">
        <f t="shared" si="67"/>
        <v>#REF!</v>
      </c>
      <c r="H600" s="219" t="e">
        <f t="shared" si="68"/>
        <v>#REF!</v>
      </c>
      <c r="I600" s="219" t="e">
        <f t="shared" si="69"/>
        <v>#REF!</v>
      </c>
      <c r="J600" s="219" t="e">
        <f>IF(I600="","",VLOOKUP(LEFT(C600,1),dadosexternosBMF_1!$L$2:$M$13,2,FALSE))</f>
        <v>#REF!</v>
      </c>
      <c r="K600" s="219" t="e">
        <f t="shared" si="70"/>
        <v>#REF!</v>
      </c>
      <c r="L600" s="422" t="e">
        <f t="shared" si="71"/>
        <v>#REF!</v>
      </c>
      <c r="M600" s="422" t="e">
        <f>IF(I600="","",WORKDAY(L600-1,1,FERIADOS!$A$2:$A$831))</f>
        <v>#REF!</v>
      </c>
      <c r="N600" s="219" t="e">
        <f>IF(I600="","",NETWORKDAYS(Curva!$M$2,M600,FERIADOS!$A$2:$A$831)-1)</f>
        <v>#REF!</v>
      </c>
      <c r="O600" s="423" t="e">
        <f>IF(C600&lt;&gt;"",IF(ISERROR((100000/E600)^(252/N600)-1),Curva!$B$2,((100000/E600)^(252/N600)-1)),"")</f>
        <v>#REF!</v>
      </c>
      <c r="P600" s="219" t="e">
        <f>IF(OR(G600=1,G600=2),dadosexternosBMF_1!B603,"")</f>
        <v>#REF!</v>
      </c>
      <c r="Q600" s="219" t="e">
        <f>IF(OR(G600=1,G600=2),dadosexternosBMF_1!D603,"")</f>
        <v>#REF!</v>
      </c>
    </row>
    <row r="601" spans="1:17" x14ac:dyDescent="0.2">
      <c r="A601" s="222" t="e">
        <f t="shared" si="66"/>
        <v>#REF!</v>
      </c>
      <c r="B601" s="222" t="str">
        <f>IF(dadosexternosBMF_1!A604="DI1 - DI de 1 dia","DI1 - DI de 1 dia","")</f>
        <v/>
      </c>
      <c r="C601" s="222" t="e">
        <f>IF(dadosexternosBMF_1!A604="DOL - Dólar comercial","",IF(C600&lt;&gt;"",dadosexternosBMF_1!B604,IF(dadosexternosBMF_1!A604="DI1 - DI de 1 dia",dadosexternosBMF_1!B604,"")))</f>
        <v>#REF!</v>
      </c>
      <c r="D601" s="222" t="e">
        <f>IF(C601&lt;&gt;"",dadosexternosBMF_1!C604,"")</f>
        <v>#REF!</v>
      </c>
      <c r="E601" s="222" t="e">
        <f>IF(C601&lt;&gt;"",dadosexternosBMF_1!D604,"")</f>
        <v>#REF!</v>
      </c>
      <c r="G601" s="219" t="e">
        <f t="shared" si="67"/>
        <v>#REF!</v>
      </c>
      <c r="H601" s="219" t="e">
        <f t="shared" si="68"/>
        <v>#REF!</v>
      </c>
      <c r="I601" s="219" t="e">
        <f t="shared" si="69"/>
        <v>#REF!</v>
      </c>
      <c r="J601" s="219" t="e">
        <f>IF(I601="","",VLOOKUP(LEFT(C601,1),dadosexternosBMF_1!$L$2:$M$13,2,FALSE))</f>
        <v>#REF!</v>
      </c>
      <c r="K601" s="219" t="e">
        <f t="shared" si="70"/>
        <v>#REF!</v>
      </c>
      <c r="L601" s="422" t="e">
        <f t="shared" si="71"/>
        <v>#REF!</v>
      </c>
      <c r="M601" s="422" t="e">
        <f>IF(I601="","",WORKDAY(L601-1,1,FERIADOS!$A$2:$A$831))</f>
        <v>#REF!</v>
      </c>
      <c r="N601" s="219" t="e">
        <f>IF(I601="","",NETWORKDAYS(Curva!$M$2,M601,FERIADOS!$A$2:$A$831)-1)</f>
        <v>#REF!</v>
      </c>
      <c r="O601" s="423" t="e">
        <f>IF(C601&lt;&gt;"",IF(ISERROR((100000/E601)^(252/N601)-1),Curva!$B$2,((100000/E601)^(252/N601)-1)),"")</f>
        <v>#REF!</v>
      </c>
      <c r="P601" s="219" t="e">
        <f>IF(OR(G601=1,G601=2),dadosexternosBMF_1!B604,"")</f>
        <v>#REF!</v>
      </c>
      <c r="Q601" s="219" t="e">
        <f>IF(OR(G601=1,G601=2),dadosexternosBMF_1!D604,"")</f>
        <v>#REF!</v>
      </c>
    </row>
    <row r="602" spans="1:17" x14ac:dyDescent="0.2">
      <c r="A602" s="222" t="e">
        <f t="shared" si="66"/>
        <v>#REF!</v>
      </c>
      <c r="B602" s="222" t="str">
        <f>IF(dadosexternosBMF_1!A605="DI1 - DI de 1 dia","DI1 - DI de 1 dia","")</f>
        <v/>
      </c>
      <c r="C602" s="222" t="e">
        <f>IF(dadosexternosBMF_1!A605="DOL - Dólar comercial","",IF(C601&lt;&gt;"",dadosexternosBMF_1!B605,IF(dadosexternosBMF_1!A605="DI1 - DI de 1 dia",dadosexternosBMF_1!B605,"")))</f>
        <v>#REF!</v>
      </c>
      <c r="D602" s="222" t="e">
        <f>IF(C602&lt;&gt;"",dadosexternosBMF_1!C605,"")</f>
        <v>#REF!</v>
      </c>
      <c r="E602" s="222" t="e">
        <f>IF(C602&lt;&gt;"",dadosexternosBMF_1!D605,"")</f>
        <v>#REF!</v>
      </c>
      <c r="G602" s="219" t="e">
        <f t="shared" si="67"/>
        <v>#REF!</v>
      </c>
      <c r="H602" s="219" t="e">
        <f t="shared" si="68"/>
        <v>#REF!</v>
      </c>
      <c r="I602" s="219" t="e">
        <f t="shared" si="69"/>
        <v>#REF!</v>
      </c>
      <c r="J602" s="219" t="e">
        <f>IF(I602="","",VLOOKUP(LEFT(C602,1),dadosexternosBMF_1!$L$2:$M$13,2,FALSE))</f>
        <v>#REF!</v>
      </c>
      <c r="K602" s="219" t="e">
        <f t="shared" si="70"/>
        <v>#REF!</v>
      </c>
      <c r="L602" s="422" t="e">
        <f t="shared" si="71"/>
        <v>#REF!</v>
      </c>
      <c r="M602" s="422" t="e">
        <f>IF(I602="","",WORKDAY(L602-1,1,FERIADOS!$A$2:$A$831))</f>
        <v>#REF!</v>
      </c>
      <c r="N602" s="219" t="e">
        <f>IF(I602="","",NETWORKDAYS(Curva!$M$2,M602,FERIADOS!$A$2:$A$831)-1)</f>
        <v>#REF!</v>
      </c>
      <c r="O602" s="423" t="e">
        <f>IF(C602&lt;&gt;"",IF(ISERROR((100000/E602)^(252/N602)-1),Curva!$B$2,((100000/E602)^(252/N602)-1)),"")</f>
        <v>#REF!</v>
      </c>
      <c r="P602" s="219" t="e">
        <f>IF(OR(G602=1,G602=2),dadosexternosBMF_1!B605,"")</f>
        <v>#REF!</v>
      </c>
      <c r="Q602" s="219" t="e">
        <f>IF(OR(G602=1,G602=2),dadosexternosBMF_1!D605,"")</f>
        <v>#REF!</v>
      </c>
    </row>
    <row r="603" spans="1:17" x14ac:dyDescent="0.2">
      <c r="A603" s="222" t="e">
        <f t="shared" ref="A603:A666" si="72">IF(AND(A602&lt;&gt;"",C603&lt;&gt;""),A602+1,IF(B603="DI1 - DI de 1 dia",1,""))</f>
        <v>#REF!</v>
      </c>
      <c r="B603" s="222" t="str">
        <f>IF(dadosexternosBMF_1!A606="DI1 - DI de 1 dia","DI1 - DI de 1 dia","")</f>
        <v/>
      </c>
      <c r="C603" s="222" t="e">
        <f>IF(dadosexternosBMF_1!A606="DOL - Dólar comercial","",IF(C602&lt;&gt;"",dadosexternosBMF_1!B606,IF(dadosexternosBMF_1!A606="DI1 - DI de 1 dia",dadosexternosBMF_1!B606,"")))</f>
        <v>#REF!</v>
      </c>
      <c r="D603" s="222" t="e">
        <f>IF(C603&lt;&gt;"",dadosexternosBMF_1!C606,"")</f>
        <v>#REF!</v>
      </c>
      <c r="E603" s="222" t="e">
        <f>IF(C603&lt;&gt;"",dadosexternosBMF_1!D606,"")</f>
        <v>#REF!</v>
      </c>
      <c r="G603" s="219" t="e">
        <f t="shared" ref="G603:G666" si="73">IF(G602=1,2,IF(AND(H603="",H602&lt;&gt;""),1,""))</f>
        <v>#REF!</v>
      </c>
      <c r="H603" s="219" t="e">
        <f t="shared" ref="H603:H666" si="74">IF(A603&lt;&gt;"",A603,"")</f>
        <v>#REF!</v>
      </c>
      <c r="I603" s="219" t="e">
        <f t="shared" ref="I603:I666" si="75">IF(A603&lt;&gt;"",(CONCATENATE("DI1",C603)),"")</f>
        <v>#REF!</v>
      </c>
      <c r="J603" s="219" t="e">
        <f>IF(I603="","",VLOOKUP(LEFT(C603,1),dadosexternosBMF_1!$L$2:$M$13,2,FALSE))</f>
        <v>#REF!</v>
      </c>
      <c r="K603" s="219" t="e">
        <f t="shared" ref="K603:K666" si="76">IF(I603="","",1+CONCATENATE(20,RIGHT(C603,2))-1)</f>
        <v>#REF!</v>
      </c>
      <c r="L603" s="422" t="e">
        <f t="shared" ref="L603:L666" si="77">IF(I603="","",CONCATENATE(1,"/",J603,"/",K603)+1-1)</f>
        <v>#REF!</v>
      </c>
      <c r="M603" s="422" t="e">
        <f>IF(I603="","",WORKDAY(L603-1,1,FERIADOS!$A$2:$A$831))</f>
        <v>#REF!</v>
      </c>
      <c r="N603" s="219" t="e">
        <f>IF(I603="","",NETWORKDAYS(Curva!$M$2,M603,FERIADOS!$A$2:$A$831)-1)</f>
        <v>#REF!</v>
      </c>
      <c r="O603" s="423" t="e">
        <f>IF(C603&lt;&gt;"",IF(ISERROR((100000/E603)^(252/N603)-1),Curva!$B$2,((100000/E603)^(252/N603)-1)),"")</f>
        <v>#REF!</v>
      </c>
      <c r="P603" s="219" t="e">
        <f>IF(OR(G603=1,G603=2),dadosexternosBMF_1!B606,"")</f>
        <v>#REF!</v>
      </c>
      <c r="Q603" s="219" t="e">
        <f>IF(OR(G603=1,G603=2),dadosexternosBMF_1!D606,"")</f>
        <v>#REF!</v>
      </c>
    </row>
    <row r="604" spans="1:17" x14ac:dyDescent="0.2">
      <c r="A604" s="222" t="e">
        <f t="shared" si="72"/>
        <v>#REF!</v>
      </c>
      <c r="B604" s="222" t="str">
        <f>IF(dadosexternosBMF_1!A607="DI1 - DI de 1 dia","DI1 - DI de 1 dia","")</f>
        <v/>
      </c>
      <c r="C604" s="222" t="e">
        <f>IF(dadosexternosBMF_1!A607="DOL - Dólar comercial","",IF(C603&lt;&gt;"",dadosexternosBMF_1!B607,IF(dadosexternosBMF_1!A607="DI1 - DI de 1 dia",dadosexternosBMF_1!B607,"")))</f>
        <v>#REF!</v>
      </c>
      <c r="D604" s="222" t="e">
        <f>IF(C604&lt;&gt;"",dadosexternosBMF_1!C607,"")</f>
        <v>#REF!</v>
      </c>
      <c r="E604" s="222" t="e">
        <f>IF(C604&lt;&gt;"",dadosexternosBMF_1!D607,"")</f>
        <v>#REF!</v>
      </c>
      <c r="G604" s="219" t="e">
        <f t="shared" si="73"/>
        <v>#REF!</v>
      </c>
      <c r="H604" s="219" t="e">
        <f t="shared" si="74"/>
        <v>#REF!</v>
      </c>
      <c r="I604" s="219" t="e">
        <f t="shared" si="75"/>
        <v>#REF!</v>
      </c>
      <c r="J604" s="219" t="e">
        <f>IF(I604="","",VLOOKUP(LEFT(C604,1),dadosexternosBMF_1!$L$2:$M$13,2,FALSE))</f>
        <v>#REF!</v>
      </c>
      <c r="K604" s="219" t="e">
        <f t="shared" si="76"/>
        <v>#REF!</v>
      </c>
      <c r="L604" s="422" t="e">
        <f t="shared" si="77"/>
        <v>#REF!</v>
      </c>
      <c r="M604" s="422" t="e">
        <f>IF(I604="","",WORKDAY(L604-1,1,FERIADOS!$A$2:$A$831))</f>
        <v>#REF!</v>
      </c>
      <c r="N604" s="219" t="e">
        <f>IF(I604="","",NETWORKDAYS(Curva!$M$2,M604,FERIADOS!$A$2:$A$831)-1)</f>
        <v>#REF!</v>
      </c>
      <c r="O604" s="423" t="e">
        <f>IF(C604&lt;&gt;"",IF(ISERROR((100000/E604)^(252/N604)-1),Curva!$B$2,((100000/E604)^(252/N604)-1)),"")</f>
        <v>#REF!</v>
      </c>
      <c r="P604" s="219" t="e">
        <f>IF(OR(G604=1,G604=2),dadosexternosBMF_1!B607,"")</f>
        <v>#REF!</v>
      </c>
      <c r="Q604" s="219" t="e">
        <f>IF(OR(G604=1,G604=2),dadosexternosBMF_1!D607,"")</f>
        <v>#REF!</v>
      </c>
    </row>
    <row r="605" spans="1:17" x14ac:dyDescent="0.2">
      <c r="A605" s="222" t="e">
        <f t="shared" si="72"/>
        <v>#REF!</v>
      </c>
      <c r="B605" s="222" t="str">
        <f>IF(dadosexternosBMF_1!A608="DI1 - DI de 1 dia","DI1 - DI de 1 dia","")</f>
        <v/>
      </c>
      <c r="C605" s="222" t="e">
        <f>IF(dadosexternosBMF_1!A608="DOL - Dólar comercial","",IF(C604&lt;&gt;"",dadosexternosBMF_1!B608,IF(dadosexternosBMF_1!A608="DI1 - DI de 1 dia",dadosexternosBMF_1!B608,"")))</f>
        <v>#REF!</v>
      </c>
      <c r="D605" s="222" t="e">
        <f>IF(C605&lt;&gt;"",dadosexternosBMF_1!C608,"")</f>
        <v>#REF!</v>
      </c>
      <c r="E605" s="222" t="e">
        <f>IF(C605&lt;&gt;"",dadosexternosBMF_1!D608,"")</f>
        <v>#REF!</v>
      </c>
      <c r="G605" s="219" t="e">
        <f t="shared" si="73"/>
        <v>#REF!</v>
      </c>
      <c r="H605" s="219" t="e">
        <f t="shared" si="74"/>
        <v>#REF!</v>
      </c>
      <c r="I605" s="219" t="e">
        <f t="shared" si="75"/>
        <v>#REF!</v>
      </c>
      <c r="J605" s="219" t="e">
        <f>IF(I605="","",VLOOKUP(LEFT(C605,1),dadosexternosBMF_1!$L$2:$M$13,2,FALSE))</f>
        <v>#REF!</v>
      </c>
      <c r="K605" s="219" t="e">
        <f t="shared" si="76"/>
        <v>#REF!</v>
      </c>
      <c r="L605" s="422" t="e">
        <f t="shared" si="77"/>
        <v>#REF!</v>
      </c>
      <c r="M605" s="422" t="e">
        <f>IF(I605="","",WORKDAY(L605-1,1,FERIADOS!$A$2:$A$831))</f>
        <v>#REF!</v>
      </c>
      <c r="N605" s="219" t="e">
        <f>IF(I605="","",NETWORKDAYS(Curva!$M$2,M605,FERIADOS!$A$2:$A$831)-1)</f>
        <v>#REF!</v>
      </c>
      <c r="O605" s="423" t="e">
        <f>IF(C605&lt;&gt;"",IF(ISERROR((100000/E605)^(252/N605)-1),Curva!$B$2,((100000/E605)^(252/N605)-1)),"")</f>
        <v>#REF!</v>
      </c>
      <c r="P605" s="219" t="e">
        <f>IF(OR(G605=1,G605=2),dadosexternosBMF_1!B608,"")</f>
        <v>#REF!</v>
      </c>
      <c r="Q605" s="219" t="e">
        <f>IF(OR(G605=1,G605=2),dadosexternosBMF_1!D608,"")</f>
        <v>#REF!</v>
      </c>
    </row>
    <row r="606" spans="1:17" x14ac:dyDescent="0.2">
      <c r="A606" s="222" t="e">
        <f t="shared" si="72"/>
        <v>#REF!</v>
      </c>
      <c r="B606" s="222" t="str">
        <f>IF(dadosexternosBMF_1!A609="DI1 - DI de 1 dia","DI1 - DI de 1 dia","")</f>
        <v/>
      </c>
      <c r="C606" s="222" t="e">
        <f>IF(dadosexternosBMF_1!A609="DOL - Dólar comercial","",IF(C605&lt;&gt;"",dadosexternosBMF_1!B609,IF(dadosexternosBMF_1!A609="DI1 - DI de 1 dia",dadosexternosBMF_1!B609,"")))</f>
        <v>#REF!</v>
      </c>
      <c r="D606" s="222" t="e">
        <f>IF(C606&lt;&gt;"",dadosexternosBMF_1!C609,"")</f>
        <v>#REF!</v>
      </c>
      <c r="E606" s="222" t="e">
        <f>IF(C606&lt;&gt;"",dadosexternosBMF_1!D609,"")</f>
        <v>#REF!</v>
      </c>
      <c r="G606" s="219" t="e">
        <f t="shared" si="73"/>
        <v>#REF!</v>
      </c>
      <c r="H606" s="219" t="e">
        <f t="shared" si="74"/>
        <v>#REF!</v>
      </c>
      <c r="I606" s="219" t="e">
        <f t="shared" si="75"/>
        <v>#REF!</v>
      </c>
      <c r="J606" s="219" t="e">
        <f>IF(I606="","",VLOOKUP(LEFT(C606,1),dadosexternosBMF_1!$L$2:$M$13,2,FALSE))</f>
        <v>#REF!</v>
      </c>
      <c r="K606" s="219" t="e">
        <f t="shared" si="76"/>
        <v>#REF!</v>
      </c>
      <c r="L606" s="422" t="e">
        <f t="shared" si="77"/>
        <v>#REF!</v>
      </c>
      <c r="M606" s="422" t="e">
        <f>IF(I606="","",WORKDAY(L606-1,1,FERIADOS!$A$2:$A$831))</f>
        <v>#REF!</v>
      </c>
      <c r="N606" s="219" t="e">
        <f>IF(I606="","",NETWORKDAYS(Curva!$M$2,M606,FERIADOS!$A$2:$A$831)-1)</f>
        <v>#REF!</v>
      </c>
      <c r="O606" s="423" t="e">
        <f>IF(C606&lt;&gt;"",IF(ISERROR((100000/E606)^(252/N606)-1),Curva!$B$2,((100000/E606)^(252/N606)-1)),"")</f>
        <v>#REF!</v>
      </c>
      <c r="P606" s="219" t="e">
        <f>IF(OR(G606=1,G606=2),dadosexternosBMF_1!B609,"")</f>
        <v>#REF!</v>
      </c>
      <c r="Q606" s="219" t="e">
        <f>IF(OR(G606=1,G606=2),dadosexternosBMF_1!D609,"")</f>
        <v>#REF!</v>
      </c>
    </row>
    <row r="607" spans="1:17" x14ac:dyDescent="0.2">
      <c r="A607" s="222" t="e">
        <f t="shared" si="72"/>
        <v>#REF!</v>
      </c>
      <c r="B607" s="222" t="str">
        <f>IF(dadosexternosBMF_1!A610="DI1 - DI de 1 dia","DI1 - DI de 1 dia","")</f>
        <v/>
      </c>
      <c r="C607" s="222" t="e">
        <f>IF(dadosexternosBMF_1!A610="DOL - Dólar comercial","",IF(C606&lt;&gt;"",dadosexternosBMF_1!B610,IF(dadosexternosBMF_1!A610="DI1 - DI de 1 dia",dadosexternosBMF_1!B610,"")))</f>
        <v>#REF!</v>
      </c>
      <c r="D607" s="222" t="e">
        <f>IF(C607&lt;&gt;"",dadosexternosBMF_1!C610,"")</f>
        <v>#REF!</v>
      </c>
      <c r="E607" s="222" t="e">
        <f>IF(C607&lt;&gt;"",dadosexternosBMF_1!D610,"")</f>
        <v>#REF!</v>
      </c>
      <c r="G607" s="219" t="e">
        <f t="shared" si="73"/>
        <v>#REF!</v>
      </c>
      <c r="H607" s="219" t="e">
        <f t="shared" si="74"/>
        <v>#REF!</v>
      </c>
      <c r="I607" s="219" t="e">
        <f t="shared" si="75"/>
        <v>#REF!</v>
      </c>
      <c r="J607" s="219" t="e">
        <f>IF(I607="","",VLOOKUP(LEFT(C607,1),dadosexternosBMF_1!$L$2:$M$13,2,FALSE))</f>
        <v>#REF!</v>
      </c>
      <c r="K607" s="219" t="e">
        <f t="shared" si="76"/>
        <v>#REF!</v>
      </c>
      <c r="L607" s="422" t="e">
        <f t="shared" si="77"/>
        <v>#REF!</v>
      </c>
      <c r="M607" s="422" t="e">
        <f>IF(I607="","",WORKDAY(L607-1,1,FERIADOS!$A$2:$A$831))</f>
        <v>#REF!</v>
      </c>
      <c r="N607" s="219" t="e">
        <f>IF(I607="","",NETWORKDAYS(Curva!$M$2,M607,FERIADOS!$A$2:$A$831)-1)</f>
        <v>#REF!</v>
      </c>
      <c r="O607" s="423" t="e">
        <f>IF(C607&lt;&gt;"",IF(ISERROR((100000/E607)^(252/N607)-1),Curva!$B$2,((100000/E607)^(252/N607)-1)),"")</f>
        <v>#REF!</v>
      </c>
      <c r="P607" s="219" t="e">
        <f>IF(OR(G607=1,G607=2),dadosexternosBMF_1!B610,"")</f>
        <v>#REF!</v>
      </c>
      <c r="Q607" s="219" t="e">
        <f>IF(OR(G607=1,G607=2),dadosexternosBMF_1!D610,"")</f>
        <v>#REF!</v>
      </c>
    </row>
    <row r="608" spans="1:17" x14ac:dyDescent="0.2">
      <c r="A608" s="222" t="e">
        <f t="shared" si="72"/>
        <v>#REF!</v>
      </c>
      <c r="B608" s="222" t="str">
        <f>IF(dadosexternosBMF_1!A611="DI1 - DI de 1 dia","DI1 - DI de 1 dia","")</f>
        <v/>
      </c>
      <c r="C608" s="222" t="e">
        <f>IF(dadosexternosBMF_1!A611="DOL - Dólar comercial","",IF(C607&lt;&gt;"",dadosexternosBMF_1!B611,IF(dadosexternosBMF_1!A611="DI1 - DI de 1 dia",dadosexternosBMF_1!B611,"")))</f>
        <v>#REF!</v>
      </c>
      <c r="D608" s="222" t="e">
        <f>IF(C608&lt;&gt;"",dadosexternosBMF_1!C611,"")</f>
        <v>#REF!</v>
      </c>
      <c r="E608" s="222" t="e">
        <f>IF(C608&lt;&gt;"",dadosexternosBMF_1!D611,"")</f>
        <v>#REF!</v>
      </c>
      <c r="G608" s="219" t="e">
        <f t="shared" si="73"/>
        <v>#REF!</v>
      </c>
      <c r="H608" s="219" t="e">
        <f t="shared" si="74"/>
        <v>#REF!</v>
      </c>
      <c r="I608" s="219" t="e">
        <f t="shared" si="75"/>
        <v>#REF!</v>
      </c>
      <c r="J608" s="219" t="e">
        <f>IF(I608="","",VLOOKUP(LEFT(C608,1),dadosexternosBMF_1!$L$2:$M$13,2,FALSE))</f>
        <v>#REF!</v>
      </c>
      <c r="K608" s="219" t="e">
        <f t="shared" si="76"/>
        <v>#REF!</v>
      </c>
      <c r="L608" s="422" t="e">
        <f t="shared" si="77"/>
        <v>#REF!</v>
      </c>
      <c r="M608" s="422" t="e">
        <f>IF(I608="","",WORKDAY(L608-1,1,FERIADOS!$A$2:$A$831))</f>
        <v>#REF!</v>
      </c>
      <c r="N608" s="219" t="e">
        <f>IF(I608="","",NETWORKDAYS(Curva!$M$2,M608,FERIADOS!$A$2:$A$831)-1)</f>
        <v>#REF!</v>
      </c>
      <c r="O608" s="423" t="e">
        <f>IF(C608&lt;&gt;"",IF(ISERROR((100000/E608)^(252/N608)-1),Curva!$B$2,((100000/E608)^(252/N608)-1)),"")</f>
        <v>#REF!</v>
      </c>
      <c r="P608" s="219" t="e">
        <f>IF(OR(G608=1,G608=2),dadosexternosBMF_1!B611,"")</f>
        <v>#REF!</v>
      </c>
      <c r="Q608" s="219" t="e">
        <f>IF(OR(G608=1,G608=2),dadosexternosBMF_1!D611,"")</f>
        <v>#REF!</v>
      </c>
    </row>
    <row r="609" spans="1:17" x14ac:dyDescent="0.2">
      <c r="A609" s="222" t="e">
        <f t="shared" si="72"/>
        <v>#REF!</v>
      </c>
      <c r="B609" s="222" t="str">
        <f>IF(dadosexternosBMF_1!A612="DI1 - DI de 1 dia","DI1 - DI de 1 dia","")</f>
        <v/>
      </c>
      <c r="C609" s="222" t="e">
        <f>IF(dadosexternosBMF_1!A612="DOL - Dólar comercial","",IF(C608&lt;&gt;"",dadosexternosBMF_1!B612,IF(dadosexternosBMF_1!A612="DI1 - DI de 1 dia",dadosexternosBMF_1!B612,"")))</f>
        <v>#REF!</v>
      </c>
      <c r="D609" s="222" t="e">
        <f>IF(C609&lt;&gt;"",dadosexternosBMF_1!C612,"")</f>
        <v>#REF!</v>
      </c>
      <c r="E609" s="222" t="e">
        <f>IF(C609&lt;&gt;"",dadosexternosBMF_1!D612,"")</f>
        <v>#REF!</v>
      </c>
      <c r="G609" s="219" t="e">
        <f t="shared" si="73"/>
        <v>#REF!</v>
      </c>
      <c r="H609" s="219" t="e">
        <f t="shared" si="74"/>
        <v>#REF!</v>
      </c>
      <c r="I609" s="219" t="e">
        <f t="shared" si="75"/>
        <v>#REF!</v>
      </c>
      <c r="J609" s="219" t="e">
        <f>IF(I609="","",VLOOKUP(LEFT(C609,1),dadosexternosBMF_1!$L$2:$M$13,2,FALSE))</f>
        <v>#REF!</v>
      </c>
      <c r="K609" s="219" t="e">
        <f t="shared" si="76"/>
        <v>#REF!</v>
      </c>
      <c r="L609" s="422" t="e">
        <f t="shared" si="77"/>
        <v>#REF!</v>
      </c>
      <c r="M609" s="422" t="e">
        <f>IF(I609="","",WORKDAY(L609-1,1,FERIADOS!$A$2:$A$831))</f>
        <v>#REF!</v>
      </c>
      <c r="N609" s="219" t="e">
        <f>IF(I609="","",NETWORKDAYS(Curva!$M$2,M609,FERIADOS!$A$2:$A$831)-1)</f>
        <v>#REF!</v>
      </c>
      <c r="O609" s="423" t="e">
        <f>IF(C609&lt;&gt;"",IF(ISERROR((100000/E609)^(252/N609)-1),Curva!$B$2,((100000/E609)^(252/N609)-1)),"")</f>
        <v>#REF!</v>
      </c>
      <c r="P609" s="219" t="e">
        <f>IF(OR(G609=1,G609=2),dadosexternosBMF_1!B612,"")</f>
        <v>#REF!</v>
      </c>
      <c r="Q609" s="219" t="e">
        <f>IF(OR(G609=1,G609=2),dadosexternosBMF_1!D612,"")</f>
        <v>#REF!</v>
      </c>
    </row>
    <row r="610" spans="1:17" x14ac:dyDescent="0.2">
      <c r="A610" s="222" t="e">
        <f t="shared" si="72"/>
        <v>#REF!</v>
      </c>
      <c r="B610" s="222" t="str">
        <f>IF(dadosexternosBMF_1!A613="DI1 - DI de 1 dia","DI1 - DI de 1 dia","")</f>
        <v/>
      </c>
      <c r="C610" s="222" t="e">
        <f>IF(dadosexternosBMF_1!A613="DOL - Dólar comercial","",IF(C609&lt;&gt;"",dadosexternosBMF_1!B613,IF(dadosexternosBMF_1!A613="DI1 - DI de 1 dia",dadosexternosBMF_1!B613,"")))</f>
        <v>#REF!</v>
      </c>
      <c r="D610" s="222" t="e">
        <f>IF(C610&lt;&gt;"",dadosexternosBMF_1!C613,"")</f>
        <v>#REF!</v>
      </c>
      <c r="E610" s="222" t="e">
        <f>IF(C610&lt;&gt;"",dadosexternosBMF_1!D613,"")</f>
        <v>#REF!</v>
      </c>
      <c r="G610" s="219" t="e">
        <f t="shared" si="73"/>
        <v>#REF!</v>
      </c>
      <c r="H610" s="219" t="e">
        <f t="shared" si="74"/>
        <v>#REF!</v>
      </c>
      <c r="I610" s="219" t="e">
        <f t="shared" si="75"/>
        <v>#REF!</v>
      </c>
      <c r="J610" s="219" t="e">
        <f>IF(I610="","",VLOOKUP(LEFT(C610,1),dadosexternosBMF_1!$L$2:$M$13,2,FALSE))</f>
        <v>#REF!</v>
      </c>
      <c r="K610" s="219" t="e">
        <f t="shared" si="76"/>
        <v>#REF!</v>
      </c>
      <c r="L610" s="422" t="e">
        <f t="shared" si="77"/>
        <v>#REF!</v>
      </c>
      <c r="M610" s="422" t="e">
        <f>IF(I610="","",WORKDAY(L610-1,1,FERIADOS!$A$2:$A$831))</f>
        <v>#REF!</v>
      </c>
      <c r="N610" s="219" t="e">
        <f>IF(I610="","",NETWORKDAYS(Curva!$M$2,M610,FERIADOS!$A$2:$A$831)-1)</f>
        <v>#REF!</v>
      </c>
      <c r="O610" s="423" t="e">
        <f>IF(C610&lt;&gt;"",IF(ISERROR((100000/E610)^(252/N610)-1),Curva!$B$2,((100000/E610)^(252/N610)-1)),"")</f>
        <v>#REF!</v>
      </c>
      <c r="P610" s="219" t="e">
        <f>IF(OR(G610=1,G610=2),dadosexternosBMF_1!B613,"")</f>
        <v>#REF!</v>
      </c>
      <c r="Q610" s="219" t="e">
        <f>IF(OR(G610=1,G610=2),dadosexternosBMF_1!D613,"")</f>
        <v>#REF!</v>
      </c>
    </row>
    <row r="611" spans="1:17" x14ac:dyDescent="0.2">
      <c r="A611" s="222" t="e">
        <f t="shared" si="72"/>
        <v>#REF!</v>
      </c>
      <c r="B611" s="222" t="str">
        <f>IF(dadosexternosBMF_1!A614="DI1 - DI de 1 dia","DI1 - DI de 1 dia","")</f>
        <v/>
      </c>
      <c r="C611" s="222" t="e">
        <f>IF(dadosexternosBMF_1!A614="DOL - Dólar comercial","",IF(C610&lt;&gt;"",dadosexternosBMF_1!B614,IF(dadosexternosBMF_1!A614="DI1 - DI de 1 dia",dadosexternosBMF_1!B614,"")))</f>
        <v>#REF!</v>
      </c>
      <c r="D611" s="222" t="e">
        <f>IF(C611&lt;&gt;"",dadosexternosBMF_1!C614,"")</f>
        <v>#REF!</v>
      </c>
      <c r="E611" s="222" t="e">
        <f>IF(C611&lt;&gt;"",dadosexternosBMF_1!D614,"")</f>
        <v>#REF!</v>
      </c>
      <c r="G611" s="219" t="e">
        <f t="shared" si="73"/>
        <v>#REF!</v>
      </c>
      <c r="H611" s="219" t="e">
        <f t="shared" si="74"/>
        <v>#REF!</v>
      </c>
      <c r="I611" s="219" t="e">
        <f t="shared" si="75"/>
        <v>#REF!</v>
      </c>
      <c r="J611" s="219" t="e">
        <f>IF(I611="","",VLOOKUP(LEFT(C611,1),dadosexternosBMF_1!$L$2:$M$13,2,FALSE))</f>
        <v>#REF!</v>
      </c>
      <c r="K611" s="219" t="e">
        <f t="shared" si="76"/>
        <v>#REF!</v>
      </c>
      <c r="L611" s="422" t="e">
        <f t="shared" si="77"/>
        <v>#REF!</v>
      </c>
      <c r="M611" s="422" t="e">
        <f>IF(I611="","",WORKDAY(L611-1,1,FERIADOS!$A$2:$A$831))</f>
        <v>#REF!</v>
      </c>
      <c r="N611" s="219" t="e">
        <f>IF(I611="","",NETWORKDAYS(Curva!$M$2,M611,FERIADOS!$A$2:$A$831)-1)</f>
        <v>#REF!</v>
      </c>
      <c r="O611" s="423" t="e">
        <f>IF(C611&lt;&gt;"",IF(ISERROR((100000/E611)^(252/N611)-1),Curva!$B$2,((100000/E611)^(252/N611)-1)),"")</f>
        <v>#REF!</v>
      </c>
      <c r="P611" s="219" t="e">
        <f>IF(OR(G611=1,G611=2),dadosexternosBMF_1!B614,"")</f>
        <v>#REF!</v>
      </c>
      <c r="Q611" s="219" t="e">
        <f>IF(OR(G611=1,G611=2),dadosexternosBMF_1!D614,"")</f>
        <v>#REF!</v>
      </c>
    </row>
    <row r="612" spans="1:17" x14ac:dyDescent="0.2">
      <c r="A612" s="222" t="e">
        <f t="shared" si="72"/>
        <v>#REF!</v>
      </c>
      <c r="B612" s="222" t="str">
        <f>IF(dadosexternosBMF_1!A615="DI1 - DI de 1 dia","DI1 - DI de 1 dia","")</f>
        <v/>
      </c>
      <c r="C612" s="222" t="e">
        <f>IF(dadosexternosBMF_1!A615="DOL - Dólar comercial","",IF(C611&lt;&gt;"",dadosexternosBMF_1!B615,IF(dadosexternosBMF_1!A615="DI1 - DI de 1 dia",dadosexternosBMF_1!B615,"")))</f>
        <v>#REF!</v>
      </c>
      <c r="D612" s="222" t="e">
        <f>IF(C612&lt;&gt;"",dadosexternosBMF_1!C615,"")</f>
        <v>#REF!</v>
      </c>
      <c r="E612" s="222" t="e">
        <f>IF(C612&lt;&gt;"",dadosexternosBMF_1!D615,"")</f>
        <v>#REF!</v>
      </c>
      <c r="G612" s="219" t="e">
        <f t="shared" si="73"/>
        <v>#REF!</v>
      </c>
      <c r="H612" s="219" t="e">
        <f t="shared" si="74"/>
        <v>#REF!</v>
      </c>
      <c r="I612" s="219" t="e">
        <f t="shared" si="75"/>
        <v>#REF!</v>
      </c>
      <c r="J612" s="219" t="e">
        <f>IF(I612="","",VLOOKUP(LEFT(C612,1),dadosexternosBMF_1!$L$2:$M$13,2,FALSE))</f>
        <v>#REF!</v>
      </c>
      <c r="K612" s="219" t="e">
        <f t="shared" si="76"/>
        <v>#REF!</v>
      </c>
      <c r="L612" s="422" t="e">
        <f t="shared" si="77"/>
        <v>#REF!</v>
      </c>
      <c r="M612" s="422" t="e">
        <f>IF(I612="","",WORKDAY(L612-1,1,FERIADOS!$A$2:$A$831))</f>
        <v>#REF!</v>
      </c>
      <c r="N612" s="219" t="e">
        <f>IF(I612="","",NETWORKDAYS(Curva!$M$2,M612,FERIADOS!$A$2:$A$831)-1)</f>
        <v>#REF!</v>
      </c>
      <c r="O612" s="423" t="e">
        <f>IF(C612&lt;&gt;"",IF(ISERROR((100000/E612)^(252/N612)-1),Curva!$B$2,((100000/E612)^(252/N612)-1)),"")</f>
        <v>#REF!</v>
      </c>
      <c r="P612" s="219" t="e">
        <f>IF(OR(G612=1,G612=2),dadosexternosBMF_1!B615,"")</f>
        <v>#REF!</v>
      </c>
      <c r="Q612" s="219" t="e">
        <f>IF(OR(G612=1,G612=2),dadosexternosBMF_1!D615,"")</f>
        <v>#REF!</v>
      </c>
    </row>
    <row r="613" spans="1:17" x14ac:dyDescent="0.2">
      <c r="A613" s="222" t="e">
        <f t="shared" si="72"/>
        <v>#REF!</v>
      </c>
      <c r="B613" s="222" t="str">
        <f>IF(dadosexternosBMF_1!A616="DI1 - DI de 1 dia","DI1 - DI de 1 dia","")</f>
        <v/>
      </c>
      <c r="C613" s="222" t="e">
        <f>IF(dadosexternosBMF_1!A616="DOL - Dólar comercial","",IF(C612&lt;&gt;"",dadosexternosBMF_1!B616,IF(dadosexternosBMF_1!A616="DI1 - DI de 1 dia",dadosexternosBMF_1!B616,"")))</f>
        <v>#REF!</v>
      </c>
      <c r="D613" s="222" t="e">
        <f>IF(C613&lt;&gt;"",dadosexternosBMF_1!C616,"")</f>
        <v>#REF!</v>
      </c>
      <c r="E613" s="222" t="e">
        <f>IF(C613&lt;&gt;"",dadosexternosBMF_1!D616,"")</f>
        <v>#REF!</v>
      </c>
      <c r="G613" s="219" t="e">
        <f t="shared" si="73"/>
        <v>#REF!</v>
      </c>
      <c r="H613" s="219" t="e">
        <f t="shared" si="74"/>
        <v>#REF!</v>
      </c>
      <c r="I613" s="219" t="e">
        <f t="shared" si="75"/>
        <v>#REF!</v>
      </c>
      <c r="J613" s="219" t="e">
        <f>IF(I613="","",VLOOKUP(LEFT(C613,1),dadosexternosBMF_1!$L$2:$M$13,2,FALSE))</f>
        <v>#REF!</v>
      </c>
      <c r="K613" s="219" t="e">
        <f t="shared" si="76"/>
        <v>#REF!</v>
      </c>
      <c r="L613" s="422" t="e">
        <f t="shared" si="77"/>
        <v>#REF!</v>
      </c>
      <c r="M613" s="422" t="e">
        <f>IF(I613="","",WORKDAY(L613-1,1,FERIADOS!$A$2:$A$831))</f>
        <v>#REF!</v>
      </c>
      <c r="N613" s="219" t="e">
        <f>IF(I613="","",NETWORKDAYS(Curva!$M$2,M613,FERIADOS!$A$2:$A$831)-1)</f>
        <v>#REF!</v>
      </c>
      <c r="O613" s="423" t="e">
        <f>IF(C613&lt;&gt;"",IF(ISERROR((100000/E613)^(252/N613)-1),Curva!$B$2,((100000/E613)^(252/N613)-1)),"")</f>
        <v>#REF!</v>
      </c>
      <c r="P613" s="219" t="e">
        <f>IF(OR(G613=1,G613=2),dadosexternosBMF_1!B616,"")</f>
        <v>#REF!</v>
      </c>
      <c r="Q613" s="219" t="e">
        <f>IF(OR(G613=1,G613=2),dadosexternosBMF_1!D616,"")</f>
        <v>#REF!</v>
      </c>
    </row>
    <row r="614" spans="1:17" x14ac:dyDescent="0.2">
      <c r="A614" s="222" t="e">
        <f t="shared" si="72"/>
        <v>#REF!</v>
      </c>
      <c r="B614" s="222" t="str">
        <f>IF(dadosexternosBMF_1!A617="DI1 - DI de 1 dia","DI1 - DI de 1 dia","")</f>
        <v/>
      </c>
      <c r="C614" s="222" t="e">
        <f>IF(dadosexternosBMF_1!A617="DOL - Dólar comercial","",IF(C613&lt;&gt;"",dadosexternosBMF_1!B617,IF(dadosexternosBMF_1!A617="DI1 - DI de 1 dia",dadosexternosBMF_1!B617,"")))</f>
        <v>#REF!</v>
      </c>
      <c r="D614" s="222" t="e">
        <f>IF(C614&lt;&gt;"",dadosexternosBMF_1!C617,"")</f>
        <v>#REF!</v>
      </c>
      <c r="E614" s="222" t="e">
        <f>IF(C614&lt;&gt;"",dadosexternosBMF_1!D617,"")</f>
        <v>#REF!</v>
      </c>
      <c r="G614" s="219" t="e">
        <f t="shared" si="73"/>
        <v>#REF!</v>
      </c>
      <c r="H614" s="219" t="e">
        <f t="shared" si="74"/>
        <v>#REF!</v>
      </c>
      <c r="I614" s="219" t="e">
        <f t="shared" si="75"/>
        <v>#REF!</v>
      </c>
      <c r="J614" s="219" t="e">
        <f>IF(I614="","",VLOOKUP(LEFT(C614,1),dadosexternosBMF_1!$L$2:$M$13,2,FALSE))</f>
        <v>#REF!</v>
      </c>
      <c r="K614" s="219" t="e">
        <f t="shared" si="76"/>
        <v>#REF!</v>
      </c>
      <c r="L614" s="422" t="e">
        <f t="shared" si="77"/>
        <v>#REF!</v>
      </c>
      <c r="M614" s="422" t="e">
        <f>IF(I614="","",WORKDAY(L614-1,1,FERIADOS!$A$2:$A$831))</f>
        <v>#REF!</v>
      </c>
      <c r="N614" s="219" t="e">
        <f>IF(I614="","",NETWORKDAYS(Curva!$M$2,M614,FERIADOS!$A$2:$A$831)-1)</f>
        <v>#REF!</v>
      </c>
      <c r="O614" s="423" t="e">
        <f>IF(C614&lt;&gt;"",IF(ISERROR((100000/E614)^(252/N614)-1),Curva!$B$2,((100000/E614)^(252/N614)-1)),"")</f>
        <v>#REF!</v>
      </c>
      <c r="P614" s="219" t="e">
        <f>IF(OR(G614=1,G614=2),dadosexternosBMF_1!B617,"")</f>
        <v>#REF!</v>
      </c>
      <c r="Q614" s="219" t="e">
        <f>IF(OR(G614=1,G614=2),dadosexternosBMF_1!D617,"")</f>
        <v>#REF!</v>
      </c>
    </row>
    <row r="615" spans="1:17" x14ac:dyDescent="0.2">
      <c r="A615" s="222" t="e">
        <f t="shared" si="72"/>
        <v>#REF!</v>
      </c>
      <c r="B615" s="222" t="str">
        <f>IF(dadosexternosBMF_1!A618="DI1 - DI de 1 dia","DI1 - DI de 1 dia","")</f>
        <v/>
      </c>
      <c r="C615" s="222" t="e">
        <f>IF(dadosexternosBMF_1!A618="DOL - Dólar comercial","",IF(C614&lt;&gt;"",dadosexternosBMF_1!B618,IF(dadosexternosBMF_1!A618="DI1 - DI de 1 dia",dadosexternosBMF_1!B618,"")))</f>
        <v>#REF!</v>
      </c>
      <c r="D615" s="222" t="e">
        <f>IF(C615&lt;&gt;"",dadosexternosBMF_1!C618,"")</f>
        <v>#REF!</v>
      </c>
      <c r="E615" s="222" t="e">
        <f>IF(C615&lt;&gt;"",dadosexternosBMF_1!D618,"")</f>
        <v>#REF!</v>
      </c>
      <c r="G615" s="219" t="e">
        <f t="shared" si="73"/>
        <v>#REF!</v>
      </c>
      <c r="H615" s="219" t="e">
        <f t="shared" si="74"/>
        <v>#REF!</v>
      </c>
      <c r="I615" s="219" t="e">
        <f t="shared" si="75"/>
        <v>#REF!</v>
      </c>
      <c r="J615" s="219" t="e">
        <f>IF(I615="","",VLOOKUP(LEFT(C615,1),dadosexternosBMF_1!$L$2:$M$13,2,FALSE))</f>
        <v>#REF!</v>
      </c>
      <c r="K615" s="219" t="e">
        <f t="shared" si="76"/>
        <v>#REF!</v>
      </c>
      <c r="L615" s="422" t="e">
        <f t="shared" si="77"/>
        <v>#REF!</v>
      </c>
      <c r="M615" s="422" t="e">
        <f>IF(I615="","",WORKDAY(L615-1,1,FERIADOS!$A$2:$A$831))</f>
        <v>#REF!</v>
      </c>
      <c r="N615" s="219" t="e">
        <f>IF(I615="","",NETWORKDAYS(Curva!$M$2,M615,FERIADOS!$A$2:$A$831)-1)</f>
        <v>#REF!</v>
      </c>
      <c r="O615" s="423" t="e">
        <f>IF(C615&lt;&gt;"",IF(ISERROR((100000/E615)^(252/N615)-1),Curva!$B$2,((100000/E615)^(252/N615)-1)),"")</f>
        <v>#REF!</v>
      </c>
      <c r="P615" s="219" t="e">
        <f>IF(OR(G615=1,G615=2),dadosexternosBMF_1!B618,"")</f>
        <v>#REF!</v>
      </c>
      <c r="Q615" s="219" t="e">
        <f>IF(OR(G615=1,G615=2),dadosexternosBMF_1!D618,"")</f>
        <v>#REF!</v>
      </c>
    </row>
    <row r="616" spans="1:17" x14ac:dyDescent="0.2">
      <c r="A616" s="222" t="e">
        <f t="shared" si="72"/>
        <v>#REF!</v>
      </c>
      <c r="B616" s="222" t="str">
        <f>IF(dadosexternosBMF_1!A619="DI1 - DI de 1 dia","DI1 - DI de 1 dia","")</f>
        <v/>
      </c>
      <c r="C616" s="222" t="e">
        <f>IF(dadosexternosBMF_1!A619="DOL - Dólar comercial","",IF(C615&lt;&gt;"",dadosexternosBMF_1!B619,IF(dadosexternosBMF_1!A619="DI1 - DI de 1 dia",dadosexternosBMF_1!B619,"")))</f>
        <v>#REF!</v>
      </c>
      <c r="D616" s="222" t="e">
        <f>IF(C616&lt;&gt;"",dadosexternosBMF_1!C619,"")</f>
        <v>#REF!</v>
      </c>
      <c r="E616" s="222" t="e">
        <f>IF(C616&lt;&gt;"",dadosexternosBMF_1!D619,"")</f>
        <v>#REF!</v>
      </c>
      <c r="G616" s="219" t="e">
        <f t="shared" si="73"/>
        <v>#REF!</v>
      </c>
      <c r="H616" s="219" t="e">
        <f t="shared" si="74"/>
        <v>#REF!</v>
      </c>
      <c r="I616" s="219" t="e">
        <f t="shared" si="75"/>
        <v>#REF!</v>
      </c>
      <c r="J616" s="219" t="e">
        <f>IF(I616="","",VLOOKUP(LEFT(C616,1),dadosexternosBMF_1!$L$2:$M$13,2,FALSE))</f>
        <v>#REF!</v>
      </c>
      <c r="K616" s="219" t="e">
        <f t="shared" si="76"/>
        <v>#REF!</v>
      </c>
      <c r="L616" s="422" t="e">
        <f t="shared" si="77"/>
        <v>#REF!</v>
      </c>
      <c r="M616" s="422" t="e">
        <f>IF(I616="","",WORKDAY(L616-1,1,FERIADOS!$A$2:$A$831))</f>
        <v>#REF!</v>
      </c>
      <c r="N616" s="219" t="e">
        <f>IF(I616="","",NETWORKDAYS(Curva!$M$2,M616,FERIADOS!$A$2:$A$831)-1)</f>
        <v>#REF!</v>
      </c>
      <c r="O616" s="423" t="e">
        <f>IF(C616&lt;&gt;"",IF(ISERROR((100000/E616)^(252/N616)-1),Curva!$B$2,((100000/E616)^(252/N616)-1)),"")</f>
        <v>#REF!</v>
      </c>
      <c r="P616" s="219" t="e">
        <f>IF(OR(G616=1,G616=2),dadosexternosBMF_1!B619,"")</f>
        <v>#REF!</v>
      </c>
      <c r="Q616" s="219" t="e">
        <f>IF(OR(G616=1,G616=2),dadosexternosBMF_1!D619,"")</f>
        <v>#REF!</v>
      </c>
    </row>
    <row r="617" spans="1:17" x14ac:dyDescent="0.2">
      <c r="A617" s="222" t="e">
        <f t="shared" si="72"/>
        <v>#REF!</v>
      </c>
      <c r="B617" s="222" t="str">
        <f>IF(dadosexternosBMF_1!A620="DI1 - DI de 1 dia","DI1 - DI de 1 dia","")</f>
        <v/>
      </c>
      <c r="C617" s="222" t="e">
        <f>IF(dadosexternosBMF_1!A620="DOL - Dólar comercial","",IF(C616&lt;&gt;"",dadosexternosBMF_1!B620,IF(dadosexternosBMF_1!A620="DI1 - DI de 1 dia",dadosexternosBMF_1!B620,"")))</f>
        <v>#REF!</v>
      </c>
      <c r="D617" s="222" t="e">
        <f>IF(C617&lt;&gt;"",dadosexternosBMF_1!C620,"")</f>
        <v>#REF!</v>
      </c>
      <c r="E617" s="222" t="e">
        <f>IF(C617&lt;&gt;"",dadosexternosBMF_1!D620,"")</f>
        <v>#REF!</v>
      </c>
      <c r="G617" s="219" t="e">
        <f t="shared" si="73"/>
        <v>#REF!</v>
      </c>
      <c r="H617" s="219" t="e">
        <f t="shared" si="74"/>
        <v>#REF!</v>
      </c>
      <c r="I617" s="219" t="e">
        <f t="shared" si="75"/>
        <v>#REF!</v>
      </c>
      <c r="J617" s="219" t="e">
        <f>IF(I617="","",VLOOKUP(LEFT(C617,1),dadosexternosBMF_1!$L$2:$M$13,2,FALSE))</f>
        <v>#REF!</v>
      </c>
      <c r="K617" s="219" t="e">
        <f t="shared" si="76"/>
        <v>#REF!</v>
      </c>
      <c r="L617" s="422" t="e">
        <f t="shared" si="77"/>
        <v>#REF!</v>
      </c>
      <c r="M617" s="422" t="e">
        <f>IF(I617="","",WORKDAY(L617-1,1,FERIADOS!$A$2:$A$831))</f>
        <v>#REF!</v>
      </c>
      <c r="N617" s="219" t="e">
        <f>IF(I617="","",NETWORKDAYS(Curva!$M$2,M617,FERIADOS!$A$2:$A$831)-1)</f>
        <v>#REF!</v>
      </c>
      <c r="O617" s="423" t="e">
        <f>IF(C617&lt;&gt;"",IF(ISERROR((100000/E617)^(252/N617)-1),Curva!$B$2,((100000/E617)^(252/N617)-1)),"")</f>
        <v>#REF!</v>
      </c>
      <c r="P617" s="219" t="e">
        <f>IF(OR(G617=1,G617=2),dadosexternosBMF_1!B620,"")</f>
        <v>#REF!</v>
      </c>
      <c r="Q617" s="219" t="e">
        <f>IF(OR(G617=1,G617=2),dadosexternosBMF_1!D620,"")</f>
        <v>#REF!</v>
      </c>
    </row>
    <row r="618" spans="1:17" x14ac:dyDescent="0.2">
      <c r="A618" s="222" t="e">
        <f t="shared" si="72"/>
        <v>#REF!</v>
      </c>
      <c r="B618" s="222" t="str">
        <f>IF(dadosexternosBMF_1!A621="DI1 - DI de 1 dia","DI1 - DI de 1 dia","")</f>
        <v/>
      </c>
      <c r="C618" s="222" t="e">
        <f>IF(dadosexternosBMF_1!A621="DOL - Dólar comercial","",IF(C617&lt;&gt;"",dadosexternosBMF_1!B621,IF(dadosexternosBMF_1!A621="DI1 - DI de 1 dia",dadosexternosBMF_1!B621,"")))</f>
        <v>#REF!</v>
      </c>
      <c r="D618" s="222" t="e">
        <f>IF(C618&lt;&gt;"",dadosexternosBMF_1!C621,"")</f>
        <v>#REF!</v>
      </c>
      <c r="E618" s="222" t="e">
        <f>IF(C618&lt;&gt;"",dadosexternosBMF_1!D621,"")</f>
        <v>#REF!</v>
      </c>
      <c r="G618" s="219" t="e">
        <f t="shared" si="73"/>
        <v>#REF!</v>
      </c>
      <c r="H618" s="219" t="e">
        <f t="shared" si="74"/>
        <v>#REF!</v>
      </c>
      <c r="I618" s="219" t="e">
        <f t="shared" si="75"/>
        <v>#REF!</v>
      </c>
      <c r="J618" s="219" t="e">
        <f>IF(I618="","",VLOOKUP(LEFT(C618,1),dadosexternosBMF_1!$L$2:$M$13,2,FALSE))</f>
        <v>#REF!</v>
      </c>
      <c r="K618" s="219" t="e">
        <f t="shared" si="76"/>
        <v>#REF!</v>
      </c>
      <c r="L618" s="422" t="e">
        <f t="shared" si="77"/>
        <v>#REF!</v>
      </c>
      <c r="M618" s="422" t="e">
        <f>IF(I618="","",WORKDAY(L618-1,1,FERIADOS!$A$2:$A$831))</f>
        <v>#REF!</v>
      </c>
      <c r="N618" s="219" t="e">
        <f>IF(I618="","",NETWORKDAYS(Curva!$M$2,M618,FERIADOS!$A$2:$A$831)-1)</f>
        <v>#REF!</v>
      </c>
      <c r="O618" s="423" t="e">
        <f>IF(C618&lt;&gt;"",IF(ISERROR((100000/E618)^(252/N618)-1),Curva!$B$2,((100000/E618)^(252/N618)-1)),"")</f>
        <v>#REF!</v>
      </c>
      <c r="P618" s="219" t="e">
        <f>IF(OR(G618=1,G618=2),dadosexternosBMF_1!B621,"")</f>
        <v>#REF!</v>
      </c>
      <c r="Q618" s="219" t="e">
        <f>IF(OR(G618=1,G618=2),dadosexternosBMF_1!D621,"")</f>
        <v>#REF!</v>
      </c>
    </row>
    <row r="619" spans="1:17" x14ac:dyDescent="0.2">
      <c r="A619" s="222" t="e">
        <f t="shared" si="72"/>
        <v>#REF!</v>
      </c>
      <c r="B619" s="222" t="str">
        <f>IF(dadosexternosBMF_1!A622="DI1 - DI de 1 dia","DI1 - DI de 1 dia","")</f>
        <v/>
      </c>
      <c r="C619" s="222" t="e">
        <f>IF(dadosexternosBMF_1!A622="DOL - Dólar comercial","",IF(C618&lt;&gt;"",dadosexternosBMF_1!B622,IF(dadosexternosBMF_1!A622="DI1 - DI de 1 dia",dadosexternosBMF_1!B622,"")))</f>
        <v>#REF!</v>
      </c>
      <c r="D619" s="222" t="e">
        <f>IF(C619&lt;&gt;"",dadosexternosBMF_1!C622,"")</f>
        <v>#REF!</v>
      </c>
      <c r="E619" s="222" t="e">
        <f>IF(C619&lt;&gt;"",dadosexternosBMF_1!D622,"")</f>
        <v>#REF!</v>
      </c>
      <c r="G619" s="219" t="e">
        <f t="shared" si="73"/>
        <v>#REF!</v>
      </c>
      <c r="H619" s="219" t="e">
        <f t="shared" si="74"/>
        <v>#REF!</v>
      </c>
      <c r="I619" s="219" t="e">
        <f t="shared" si="75"/>
        <v>#REF!</v>
      </c>
      <c r="J619" s="219" t="e">
        <f>IF(I619="","",VLOOKUP(LEFT(C619,1),dadosexternosBMF_1!$L$2:$M$13,2,FALSE))</f>
        <v>#REF!</v>
      </c>
      <c r="K619" s="219" t="e">
        <f t="shared" si="76"/>
        <v>#REF!</v>
      </c>
      <c r="L619" s="422" t="e">
        <f t="shared" si="77"/>
        <v>#REF!</v>
      </c>
      <c r="M619" s="422" t="e">
        <f>IF(I619="","",WORKDAY(L619-1,1,FERIADOS!$A$2:$A$831))</f>
        <v>#REF!</v>
      </c>
      <c r="N619" s="219" t="e">
        <f>IF(I619="","",NETWORKDAYS(Curva!$M$2,M619,FERIADOS!$A$2:$A$831)-1)</f>
        <v>#REF!</v>
      </c>
      <c r="O619" s="423" t="e">
        <f>IF(C619&lt;&gt;"",IF(ISERROR((100000/E619)^(252/N619)-1),Curva!$B$2,((100000/E619)^(252/N619)-1)),"")</f>
        <v>#REF!</v>
      </c>
      <c r="P619" s="219" t="e">
        <f>IF(OR(G619=1,G619=2),dadosexternosBMF_1!B622,"")</f>
        <v>#REF!</v>
      </c>
      <c r="Q619" s="219" t="e">
        <f>IF(OR(G619=1,G619=2),dadosexternosBMF_1!D622,"")</f>
        <v>#REF!</v>
      </c>
    </row>
    <row r="620" spans="1:17" x14ac:dyDescent="0.2">
      <c r="A620" s="222" t="e">
        <f t="shared" si="72"/>
        <v>#REF!</v>
      </c>
      <c r="B620" s="222" t="str">
        <f>IF(dadosexternosBMF_1!A623="DI1 - DI de 1 dia","DI1 - DI de 1 dia","")</f>
        <v/>
      </c>
      <c r="C620" s="222" t="e">
        <f>IF(dadosexternosBMF_1!A623="DOL - Dólar comercial","",IF(C619&lt;&gt;"",dadosexternosBMF_1!B623,IF(dadosexternosBMF_1!A623="DI1 - DI de 1 dia",dadosexternosBMF_1!B623,"")))</f>
        <v>#REF!</v>
      </c>
      <c r="D620" s="222" t="e">
        <f>IF(C620&lt;&gt;"",dadosexternosBMF_1!C623,"")</f>
        <v>#REF!</v>
      </c>
      <c r="E620" s="222" t="e">
        <f>IF(C620&lt;&gt;"",dadosexternosBMF_1!D623,"")</f>
        <v>#REF!</v>
      </c>
      <c r="G620" s="219" t="e">
        <f t="shared" si="73"/>
        <v>#REF!</v>
      </c>
      <c r="H620" s="219" t="e">
        <f t="shared" si="74"/>
        <v>#REF!</v>
      </c>
      <c r="I620" s="219" t="e">
        <f t="shared" si="75"/>
        <v>#REF!</v>
      </c>
      <c r="J620" s="219" t="e">
        <f>IF(I620="","",VLOOKUP(LEFT(C620,1),dadosexternosBMF_1!$L$2:$M$13,2,FALSE))</f>
        <v>#REF!</v>
      </c>
      <c r="K620" s="219" t="e">
        <f t="shared" si="76"/>
        <v>#REF!</v>
      </c>
      <c r="L620" s="422" t="e">
        <f t="shared" si="77"/>
        <v>#REF!</v>
      </c>
      <c r="M620" s="422" t="e">
        <f>IF(I620="","",WORKDAY(L620-1,1,FERIADOS!$A$2:$A$831))</f>
        <v>#REF!</v>
      </c>
      <c r="N620" s="219" t="e">
        <f>IF(I620="","",NETWORKDAYS(Curva!$M$2,M620,FERIADOS!$A$2:$A$831)-1)</f>
        <v>#REF!</v>
      </c>
      <c r="O620" s="423" t="e">
        <f>IF(C620&lt;&gt;"",IF(ISERROR((100000/E620)^(252/N620)-1),Curva!$B$2,((100000/E620)^(252/N620)-1)),"")</f>
        <v>#REF!</v>
      </c>
      <c r="P620" s="219" t="e">
        <f>IF(OR(G620=1,G620=2),dadosexternosBMF_1!B623,"")</f>
        <v>#REF!</v>
      </c>
      <c r="Q620" s="219" t="e">
        <f>IF(OR(G620=1,G620=2),dadosexternosBMF_1!D623,"")</f>
        <v>#REF!</v>
      </c>
    </row>
    <row r="621" spans="1:17" x14ac:dyDescent="0.2">
      <c r="A621" s="222" t="e">
        <f t="shared" si="72"/>
        <v>#REF!</v>
      </c>
      <c r="B621" s="222" t="str">
        <f>IF(dadosexternosBMF_1!A624="DI1 - DI de 1 dia","DI1 - DI de 1 dia","")</f>
        <v/>
      </c>
      <c r="C621" s="222" t="e">
        <f>IF(dadosexternosBMF_1!A624="DOL - Dólar comercial","",IF(C620&lt;&gt;"",dadosexternosBMF_1!B624,IF(dadosexternosBMF_1!A624="DI1 - DI de 1 dia",dadosexternosBMF_1!B624,"")))</f>
        <v>#REF!</v>
      </c>
      <c r="D621" s="222" t="e">
        <f>IF(C621&lt;&gt;"",dadosexternosBMF_1!C624,"")</f>
        <v>#REF!</v>
      </c>
      <c r="E621" s="222" t="e">
        <f>IF(C621&lt;&gt;"",dadosexternosBMF_1!D624,"")</f>
        <v>#REF!</v>
      </c>
      <c r="G621" s="219" t="e">
        <f t="shared" si="73"/>
        <v>#REF!</v>
      </c>
      <c r="H621" s="219" t="e">
        <f t="shared" si="74"/>
        <v>#REF!</v>
      </c>
      <c r="I621" s="219" t="e">
        <f t="shared" si="75"/>
        <v>#REF!</v>
      </c>
      <c r="J621" s="219" t="e">
        <f>IF(I621="","",VLOOKUP(LEFT(C621,1),dadosexternosBMF_1!$L$2:$M$13,2,FALSE))</f>
        <v>#REF!</v>
      </c>
      <c r="K621" s="219" t="e">
        <f t="shared" si="76"/>
        <v>#REF!</v>
      </c>
      <c r="L621" s="422" t="e">
        <f t="shared" si="77"/>
        <v>#REF!</v>
      </c>
      <c r="M621" s="422" t="e">
        <f>IF(I621="","",WORKDAY(L621-1,1,FERIADOS!$A$2:$A$831))</f>
        <v>#REF!</v>
      </c>
      <c r="N621" s="219" t="e">
        <f>IF(I621="","",NETWORKDAYS(Curva!$M$2,M621,FERIADOS!$A$2:$A$831)-1)</f>
        <v>#REF!</v>
      </c>
      <c r="O621" s="423" t="e">
        <f>IF(C621&lt;&gt;"",IF(ISERROR((100000/E621)^(252/N621)-1),Curva!$B$2,((100000/E621)^(252/N621)-1)),"")</f>
        <v>#REF!</v>
      </c>
      <c r="P621" s="219" t="e">
        <f>IF(OR(G621=1,G621=2),dadosexternosBMF_1!B624,"")</f>
        <v>#REF!</v>
      </c>
      <c r="Q621" s="219" t="e">
        <f>IF(OR(G621=1,G621=2),dadosexternosBMF_1!D624,"")</f>
        <v>#REF!</v>
      </c>
    </row>
    <row r="622" spans="1:17" x14ac:dyDescent="0.2">
      <c r="A622" s="222" t="e">
        <f t="shared" si="72"/>
        <v>#REF!</v>
      </c>
      <c r="B622" s="222" t="str">
        <f>IF(dadosexternosBMF_1!A625="DI1 - DI de 1 dia","DI1 - DI de 1 dia","")</f>
        <v/>
      </c>
      <c r="C622" s="222" t="e">
        <f>IF(dadosexternosBMF_1!A625="DOL - Dólar comercial","",IF(C621&lt;&gt;"",dadosexternosBMF_1!B625,IF(dadosexternosBMF_1!A625="DI1 - DI de 1 dia",dadosexternosBMF_1!B625,"")))</f>
        <v>#REF!</v>
      </c>
      <c r="D622" s="222" t="e">
        <f>IF(C622&lt;&gt;"",dadosexternosBMF_1!C625,"")</f>
        <v>#REF!</v>
      </c>
      <c r="E622" s="222" t="e">
        <f>IF(C622&lt;&gt;"",dadosexternosBMF_1!D625,"")</f>
        <v>#REF!</v>
      </c>
      <c r="G622" s="219" t="e">
        <f t="shared" si="73"/>
        <v>#REF!</v>
      </c>
      <c r="H622" s="219" t="e">
        <f t="shared" si="74"/>
        <v>#REF!</v>
      </c>
      <c r="I622" s="219" t="e">
        <f t="shared" si="75"/>
        <v>#REF!</v>
      </c>
      <c r="J622" s="219" t="e">
        <f>IF(I622="","",VLOOKUP(LEFT(C622,1),dadosexternosBMF_1!$L$2:$M$13,2,FALSE))</f>
        <v>#REF!</v>
      </c>
      <c r="K622" s="219" t="e">
        <f t="shared" si="76"/>
        <v>#REF!</v>
      </c>
      <c r="L622" s="422" t="e">
        <f t="shared" si="77"/>
        <v>#REF!</v>
      </c>
      <c r="M622" s="422" t="e">
        <f>IF(I622="","",WORKDAY(L622-1,1,FERIADOS!$A$2:$A$831))</f>
        <v>#REF!</v>
      </c>
      <c r="N622" s="219" t="e">
        <f>IF(I622="","",NETWORKDAYS(Curva!$M$2,M622,FERIADOS!$A$2:$A$831)-1)</f>
        <v>#REF!</v>
      </c>
      <c r="O622" s="423" t="e">
        <f>IF(C622&lt;&gt;"",IF(ISERROR((100000/E622)^(252/N622)-1),Curva!$B$2,((100000/E622)^(252/N622)-1)),"")</f>
        <v>#REF!</v>
      </c>
      <c r="P622" s="219" t="e">
        <f>IF(OR(G622=1,G622=2),dadosexternosBMF_1!B625,"")</f>
        <v>#REF!</v>
      </c>
      <c r="Q622" s="219" t="e">
        <f>IF(OR(G622=1,G622=2),dadosexternosBMF_1!D625,"")</f>
        <v>#REF!</v>
      </c>
    </row>
    <row r="623" spans="1:17" x14ac:dyDescent="0.2">
      <c r="A623" s="222" t="e">
        <f t="shared" si="72"/>
        <v>#REF!</v>
      </c>
      <c r="B623" s="222" t="str">
        <f>IF(dadosexternosBMF_1!A626="DI1 - DI de 1 dia","DI1 - DI de 1 dia","")</f>
        <v/>
      </c>
      <c r="C623" s="222" t="e">
        <f>IF(dadosexternosBMF_1!A626="DOL - Dólar comercial","",IF(C622&lt;&gt;"",dadosexternosBMF_1!B626,IF(dadosexternosBMF_1!A626="DI1 - DI de 1 dia",dadosexternosBMF_1!B626,"")))</f>
        <v>#REF!</v>
      </c>
      <c r="D623" s="222" t="e">
        <f>IF(C623&lt;&gt;"",dadosexternosBMF_1!C626,"")</f>
        <v>#REF!</v>
      </c>
      <c r="E623" s="222" t="e">
        <f>IF(C623&lt;&gt;"",dadosexternosBMF_1!D626,"")</f>
        <v>#REF!</v>
      </c>
      <c r="G623" s="219" t="e">
        <f t="shared" si="73"/>
        <v>#REF!</v>
      </c>
      <c r="H623" s="219" t="e">
        <f t="shared" si="74"/>
        <v>#REF!</v>
      </c>
      <c r="I623" s="219" t="e">
        <f t="shared" si="75"/>
        <v>#REF!</v>
      </c>
      <c r="J623" s="219" t="e">
        <f>IF(I623="","",VLOOKUP(LEFT(C623,1),dadosexternosBMF_1!$L$2:$M$13,2,FALSE))</f>
        <v>#REF!</v>
      </c>
      <c r="K623" s="219" t="e">
        <f t="shared" si="76"/>
        <v>#REF!</v>
      </c>
      <c r="L623" s="422" t="e">
        <f t="shared" si="77"/>
        <v>#REF!</v>
      </c>
      <c r="M623" s="422" t="e">
        <f>IF(I623="","",WORKDAY(L623-1,1,FERIADOS!$A$2:$A$831))</f>
        <v>#REF!</v>
      </c>
      <c r="N623" s="219" t="e">
        <f>IF(I623="","",NETWORKDAYS(Curva!$M$2,M623,FERIADOS!$A$2:$A$831)-1)</f>
        <v>#REF!</v>
      </c>
      <c r="O623" s="423" t="e">
        <f>IF(C623&lt;&gt;"",IF(ISERROR((100000/E623)^(252/N623)-1),Curva!$B$2,((100000/E623)^(252/N623)-1)),"")</f>
        <v>#REF!</v>
      </c>
      <c r="P623" s="219" t="e">
        <f>IF(OR(G623=1,G623=2),dadosexternosBMF_1!B626,"")</f>
        <v>#REF!</v>
      </c>
      <c r="Q623" s="219" t="e">
        <f>IF(OR(G623=1,G623=2),dadosexternosBMF_1!D626,"")</f>
        <v>#REF!</v>
      </c>
    </row>
    <row r="624" spans="1:17" x14ac:dyDescent="0.2">
      <c r="A624" s="222" t="e">
        <f t="shared" si="72"/>
        <v>#REF!</v>
      </c>
      <c r="B624" s="222" t="str">
        <f>IF(dadosexternosBMF_1!A627="DI1 - DI de 1 dia","DI1 - DI de 1 dia","")</f>
        <v/>
      </c>
      <c r="C624" s="222" t="e">
        <f>IF(dadosexternosBMF_1!A627="DOL - Dólar comercial","",IF(C623&lt;&gt;"",dadosexternosBMF_1!B627,IF(dadosexternosBMF_1!A627="DI1 - DI de 1 dia",dadosexternosBMF_1!B627,"")))</f>
        <v>#REF!</v>
      </c>
      <c r="D624" s="222" t="e">
        <f>IF(C624&lt;&gt;"",dadosexternosBMF_1!C627,"")</f>
        <v>#REF!</v>
      </c>
      <c r="E624" s="222" t="e">
        <f>IF(C624&lt;&gt;"",dadosexternosBMF_1!D627,"")</f>
        <v>#REF!</v>
      </c>
      <c r="G624" s="219" t="e">
        <f t="shared" si="73"/>
        <v>#REF!</v>
      </c>
      <c r="H624" s="219" t="e">
        <f t="shared" si="74"/>
        <v>#REF!</v>
      </c>
      <c r="I624" s="219" t="e">
        <f t="shared" si="75"/>
        <v>#REF!</v>
      </c>
      <c r="J624" s="219" t="e">
        <f>IF(I624="","",VLOOKUP(LEFT(C624,1),dadosexternosBMF_1!$L$2:$M$13,2,FALSE))</f>
        <v>#REF!</v>
      </c>
      <c r="K624" s="219" t="e">
        <f t="shared" si="76"/>
        <v>#REF!</v>
      </c>
      <c r="L624" s="422" t="e">
        <f t="shared" si="77"/>
        <v>#REF!</v>
      </c>
      <c r="M624" s="422" t="e">
        <f>IF(I624="","",WORKDAY(L624-1,1,FERIADOS!$A$2:$A$831))</f>
        <v>#REF!</v>
      </c>
      <c r="N624" s="219" t="e">
        <f>IF(I624="","",NETWORKDAYS(Curva!$M$2,M624,FERIADOS!$A$2:$A$831)-1)</f>
        <v>#REF!</v>
      </c>
      <c r="O624" s="423" t="e">
        <f>IF(C624&lt;&gt;"",IF(ISERROR((100000/E624)^(252/N624)-1),Curva!$B$2,((100000/E624)^(252/N624)-1)),"")</f>
        <v>#REF!</v>
      </c>
      <c r="P624" s="219" t="e">
        <f>IF(OR(G624=1,G624=2),dadosexternosBMF_1!B627,"")</f>
        <v>#REF!</v>
      </c>
      <c r="Q624" s="219" t="e">
        <f>IF(OR(G624=1,G624=2),dadosexternosBMF_1!D627,"")</f>
        <v>#REF!</v>
      </c>
    </row>
    <row r="625" spans="1:17" x14ac:dyDescent="0.2">
      <c r="A625" s="222" t="e">
        <f t="shared" si="72"/>
        <v>#REF!</v>
      </c>
      <c r="B625" s="222" t="str">
        <f>IF(dadosexternosBMF_1!A628="DI1 - DI de 1 dia","DI1 - DI de 1 dia","")</f>
        <v/>
      </c>
      <c r="C625" s="222" t="e">
        <f>IF(dadosexternosBMF_1!A628="DOL - Dólar comercial","",IF(C624&lt;&gt;"",dadosexternosBMF_1!B628,IF(dadosexternosBMF_1!A628="DI1 - DI de 1 dia",dadosexternosBMF_1!B628,"")))</f>
        <v>#REF!</v>
      </c>
      <c r="D625" s="222" t="e">
        <f>IF(C625&lt;&gt;"",dadosexternosBMF_1!C628,"")</f>
        <v>#REF!</v>
      </c>
      <c r="E625" s="222" t="e">
        <f>IF(C625&lt;&gt;"",dadosexternosBMF_1!D628,"")</f>
        <v>#REF!</v>
      </c>
      <c r="G625" s="219" t="e">
        <f t="shared" si="73"/>
        <v>#REF!</v>
      </c>
      <c r="H625" s="219" t="e">
        <f t="shared" si="74"/>
        <v>#REF!</v>
      </c>
      <c r="I625" s="219" t="e">
        <f t="shared" si="75"/>
        <v>#REF!</v>
      </c>
      <c r="J625" s="219" t="e">
        <f>IF(I625="","",VLOOKUP(LEFT(C625,1),dadosexternosBMF_1!$L$2:$M$13,2,FALSE))</f>
        <v>#REF!</v>
      </c>
      <c r="K625" s="219" t="e">
        <f t="shared" si="76"/>
        <v>#REF!</v>
      </c>
      <c r="L625" s="422" t="e">
        <f t="shared" si="77"/>
        <v>#REF!</v>
      </c>
      <c r="M625" s="422" t="e">
        <f>IF(I625="","",WORKDAY(L625-1,1,FERIADOS!$A$2:$A$831))</f>
        <v>#REF!</v>
      </c>
      <c r="N625" s="219" t="e">
        <f>IF(I625="","",NETWORKDAYS(Curva!$M$2,M625,FERIADOS!$A$2:$A$831)-1)</f>
        <v>#REF!</v>
      </c>
      <c r="O625" s="423" t="e">
        <f>IF(C625&lt;&gt;"",IF(ISERROR((100000/E625)^(252/N625)-1),Curva!$B$2,((100000/E625)^(252/N625)-1)),"")</f>
        <v>#REF!</v>
      </c>
      <c r="P625" s="219" t="e">
        <f>IF(OR(G625=1,G625=2),dadosexternosBMF_1!B628,"")</f>
        <v>#REF!</v>
      </c>
      <c r="Q625" s="219" t="e">
        <f>IF(OR(G625=1,G625=2),dadosexternosBMF_1!D628,"")</f>
        <v>#REF!</v>
      </c>
    </row>
    <row r="626" spans="1:17" x14ac:dyDescent="0.2">
      <c r="A626" s="222" t="e">
        <f t="shared" si="72"/>
        <v>#REF!</v>
      </c>
      <c r="B626" s="222" t="str">
        <f>IF(dadosexternosBMF_1!A629="DI1 - DI de 1 dia","DI1 - DI de 1 dia","")</f>
        <v/>
      </c>
      <c r="C626" s="222" t="e">
        <f>IF(dadosexternosBMF_1!A629="DOL - Dólar comercial","",IF(C625&lt;&gt;"",dadosexternosBMF_1!B629,IF(dadosexternosBMF_1!A629="DI1 - DI de 1 dia",dadosexternosBMF_1!B629,"")))</f>
        <v>#REF!</v>
      </c>
      <c r="D626" s="222" t="e">
        <f>IF(C626&lt;&gt;"",dadosexternosBMF_1!C629,"")</f>
        <v>#REF!</v>
      </c>
      <c r="E626" s="222" t="e">
        <f>IF(C626&lt;&gt;"",dadosexternosBMF_1!D629,"")</f>
        <v>#REF!</v>
      </c>
      <c r="G626" s="219" t="e">
        <f t="shared" si="73"/>
        <v>#REF!</v>
      </c>
      <c r="H626" s="219" t="e">
        <f t="shared" si="74"/>
        <v>#REF!</v>
      </c>
      <c r="I626" s="219" t="e">
        <f t="shared" si="75"/>
        <v>#REF!</v>
      </c>
      <c r="J626" s="219" t="e">
        <f>IF(I626="","",VLOOKUP(LEFT(C626,1),dadosexternosBMF_1!$L$2:$M$13,2,FALSE))</f>
        <v>#REF!</v>
      </c>
      <c r="K626" s="219" t="e">
        <f t="shared" si="76"/>
        <v>#REF!</v>
      </c>
      <c r="L626" s="422" t="e">
        <f t="shared" si="77"/>
        <v>#REF!</v>
      </c>
      <c r="M626" s="422" t="e">
        <f>IF(I626="","",WORKDAY(L626-1,1,FERIADOS!$A$2:$A$831))</f>
        <v>#REF!</v>
      </c>
      <c r="N626" s="219" t="e">
        <f>IF(I626="","",NETWORKDAYS(Curva!$M$2,M626,FERIADOS!$A$2:$A$831)-1)</f>
        <v>#REF!</v>
      </c>
      <c r="O626" s="423" t="e">
        <f>IF(C626&lt;&gt;"",IF(ISERROR((100000/E626)^(252/N626)-1),Curva!$B$2,((100000/E626)^(252/N626)-1)),"")</f>
        <v>#REF!</v>
      </c>
      <c r="P626" s="219" t="e">
        <f>IF(OR(G626=1,G626=2),dadosexternosBMF_1!B629,"")</f>
        <v>#REF!</v>
      </c>
      <c r="Q626" s="219" t="e">
        <f>IF(OR(G626=1,G626=2),dadosexternosBMF_1!D629,"")</f>
        <v>#REF!</v>
      </c>
    </row>
    <row r="627" spans="1:17" x14ac:dyDescent="0.2">
      <c r="A627" s="222" t="e">
        <f t="shared" si="72"/>
        <v>#REF!</v>
      </c>
      <c r="B627" s="222" t="str">
        <f>IF(dadosexternosBMF_1!A630="DI1 - DI de 1 dia","DI1 - DI de 1 dia","")</f>
        <v/>
      </c>
      <c r="C627" s="222" t="e">
        <f>IF(dadosexternosBMF_1!A630="DOL - Dólar comercial","",IF(C626&lt;&gt;"",dadosexternosBMF_1!B630,IF(dadosexternosBMF_1!A630="DI1 - DI de 1 dia",dadosexternosBMF_1!B630,"")))</f>
        <v>#REF!</v>
      </c>
      <c r="D627" s="222" t="e">
        <f>IF(C627&lt;&gt;"",dadosexternosBMF_1!C630,"")</f>
        <v>#REF!</v>
      </c>
      <c r="E627" s="222" t="e">
        <f>IF(C627&lt;&gt;"",dadosexternosBMF_1!D630,"")</f>
        <v>#REF!</v>
      </c>
      <c r="G627" s="219" t="e">
        <f t="shared" si="73"/>
        <v>#REF!</v>
      </c>
      <c r="H627" s="219" t="e">
        <f t="shared" si="74"/>
        <v>#REF!</v>
      </c>
      <c r="I627" s="219" t="e">
        <f t="shared" si="75"/>
        <v>#REF!</v>
      </c>
      <c r="J627" s="219" t="e">
        <f>IF(I627="","",VLOOKUP(LEFT(C627,1),dadosexternosBMF_1!$L$2:$M$13,2,FALSE))</f>
        <v>#REF!</v>
      </c>
      <c r="K627" s="219" t="e">
        <f t="shared" si="76"/>
        <v>#REF!</v>
      </c>
      <c r="L627" s="422" t="e">
        <f t="shared" si="77"/>
        <v>#REF!</v>
      </c>
      <c r="M627" s="422" t="e">
        <f>IF(I627="","",WORKDAY(L627-1,1,FERIADOS!$A$2:$A$831))</f>
        <v>#REF!</v>
      </c>
      <c r="N627" s="219" t="e">
        <f>IF(I627="","",NETWORKDAYS(Curva!$M$2,M627,FERIADOS!$A$2:$A$831)-1)</f>
        <v>#REF!</v>
      </c>
      <c r="O627" s="423" t="e">
        <f>IF(C627&lt;&gt;"",IF(ISERROR((100000/E627)^(252/N627)-1),Curva!$B$2,((100000/E627)^(252/N627)-1)),"")</f>
        <v>#REF!</v>
      </c>
      <c r="P627" s="219" t="e">
        <f>IF(OR(G627=1,G627=2),dadosexternosBMF_1!B630,"")</f>
        <v>#REF!</v>
      </c>
      <c r="Q627" s="219" t="e">
        <f>IF(OR(G627=1,G627=2),dadosexternosBMF_1!D630,"")</f>
        <v>#REF!</v>
      </c>
    </row>
    <row r="628" spans="1:17" x14ac:dyDescent="0.2">
      <c r="A628" s="222" t="e">
        <f t="shared" si="72"/>
        <v>#REF!</v>
      </c>
      <c r="B628" s="222" t="str">
        <f>IF(dadosexternosBMF_1!A631="DI1 - DI de 1 dia","DI1 - DI de 1 dia","")</f>
        <v/>
      </c>
      <c r="C628" s="222" t="e">
        <f>IF(dadosexternosBMF_1!A631="DOL - Dólar comercial","",IF(C627&lt;&gt;"",dadosexternosBMF_1!B631,IF(dadosexternosBMF_1!A631="DI1 - DI de 1 dia",dadosexternosBMF_1!B631,"")))</f>
        <v>#REF!</v>
      </c>
      <c r="D628" s="222" t="e">
        <f>IF(C628&lt;&gt;"",dadosexternosBMF_1!C631,"")</f>
        <v>#REF!</v>
      </c>
      <c r="E628" s="222" t="e">
        <f>IF(C628&lt;&gt;"",dadosexternosBMF_1!D631,"")</f>
        <v>#REF!</v>
      </c>
      <c r="G628" s="219" t="e">
        <f t="shared" si="73"/>
        <v>#REF!</v>
      </c>
      <c r="H628" s="219" t="e">
        <f t="shared" si="74"/>
        <v>#REF!</v>
      </c>
      <c r="I628" s="219" t="e">
        <f t="shared" si="75"/>
        <v>#REF!</v>
      </c>
      <c r="J628" s="219" t="e">
        <f>IF(I628="","",VLOOKUP(LEFT(C628,1),dadosexternosBMF_1!$L$2:$M$13,2,FALSE))</f>
        <v>#REF!</v>
      </c>
      <c r="K628" s="219" t="e">
        <f t="shared" si="76"/>
        <v>#REF!</v>
      </c>
      <c r="L628" s="422" t="e">
        <f t="shared" si="77"/>
        <v>#REF!</v>
      </c>
      <c r="M628" s="422" t="e">
        <f>IF(I628="","",WORKDAY(L628-1,1,FERIADOS!$A$2:$A$831))</f>
        <v>#REF!</v>
      </c>
      <c r="N628" s="219" t="e">
        <f>IF(I628="","",NETWORKDAYS(Curva!$M$2,M628,FERIADOS!$A$2:$A$831)-1)</f>
        <v>#REF!</v>
      </c>
      <c r="O628" s="423" t="e">
        <f>IF(C628&lt;&gt;"",IF(ISERROR((100000/E628)^(252/N628)-1),Curva!$B$2,((100000/E628)^(252/N628)-1)),"")</f>
        <v>#REF!</v>
      </c>
      <c r="P628" s="219" t="e">
        <f>IF(OR(G628=1,G628=2),dadosexternosBMF_1!B631,"")</f>
        <v>#REF!</v>
      </c>
      <c r="Q628" s="219" t="e">
        <f>IF(OR(G628=1,G628=2),dadosexternosBMF_1!D631,"")</f>
        <v>#REF!</v>
      </c>
    </row>
    <row r="629" spans="1:17" x14ac:dyDescent="0.2">
      <c r="A629" s="222" t="e">
        <f t="shared" si="72"/>
        <v>#REF!</v>
      </c>
      <c r="B629" s="222" t="str">
        <f>IF(dadosexternosBMF_1!A632="DI1 - DI de 1 dia","DI1 - DI de 1 dia","")</f>
        <v/>
      </c>
      <c r="C629" s="222" t="e">
        <f>IF(dadosexternosBMF_1!A632="DOL - Dólar comercial","",IF(C628&lt;&gt;"",dadosexternosBMF_1!B632,IF(dadosexternosBMF_1!A632="DI1 - DI de 1 dia",dadosexternosBMF_1!B632,"")))</f>
        <v>#REF!</v>
      </c>
      <c r="D629" s="222" t="e">
        <f>IF(C629&lt;&gt;"",dadosexternosBMF_1!C632,"")</f>
        <v>#REF!</v>
      </c>
      <c r="E629" s="222" t="e">
        <f>IF(C629&lt;&gt;"",dadosexternosBMF_1!D632,"")</f>
        <v>#REF!</v>
      </c>
      <c r="G629" s="219" t="e">
        <f t="shared" si="73"/>
        <v>#REF!</v>
      </c>
      <c r="H629" s="219" t="e">
        <f t="shared" si="74"/>
        <v>#REF!</v>
      </c>
      <c r="I629" s="219" t="e">
        <f t="shared" si="75"/>
        <v>#REF!</v>
      </c>
      <c r="J629" s="219" t="e">
        <f>IF(I629="","",VLOOKUP(LEFT(C629,1),dadosexternosBMF_1!$L$2:$M$13,2,FALSE))</f>
        <v>#REF!</v>
      </c>
      <c r="K629" s="219" t="e">
        <f t="shared" si="76"/>
        <v>#REF!</v>
      </c>
      <c r="L629" s="422" t="e">
        <f t="shared" si="77"/>
        <v>#REF!</v>
      </c>
      <c r="M629" s="422" t="e">
        <f>IF(I629="","",WORKDAY(L629-1,1,FERIADOS!$A$2:$A$831))</f>
        <v>#REF!</v>
      </c>
      <c r="N629" s="219" t="e">
        <f>IF(I629="","",NETWORKDAYS(Curva!$M$2,M629,FERIADOS!$A$2:$A$831)-1)</f>
        <v>#REF!</v>
      </c>
      <c r="O629" s="423" t="e">
        <f>IF(C629&lt;&gt;"",IF(ISERROR((100000/E629)^(252/N629)-1),Curva!$B$2,((100000/E629)^(252/N629)-1)),"")</f>
        <v>#REF!</v>
      </c>
      <c r="P629" s="219" t="e">
        <f>IF(OR(G629=1,G629=2),dadosexternosBMF_1!B632,"")</f>
        <v>#REF!</v>
      </c>
      <c r="Q629" s="219" t="e">
        <f>IF(OR(G629=1,G629=2),dadosexternosBMF_1!D632,"")</f>
        <v>#REF!</v>
      </c>
    </row>
    <row r="630" spans="1:17" x14ac:dyDescent="0.2">
      <c r="A630" s="222" t="e">
        <f t="shared" si="72"/>
        <v>#REF!</v>
      </c>
      <c r="B630" s="222" t="str">
        <f>IF(dadosexternosBMF_1!A633="DI1 - DI de 1 dia","DI1 - DI de 1 dia","")</f>
        <v/>
      </c>
      <c r="C630" s="222" t="e">
        <f>IF(dadosexternosBMF_1!A633="DOL - Dólar comercial","",IF(C629&lt;&gt;"",dadosexternosBMF_1!B633,IF(dadosexternosBMF_1!A633="DI1 - DI de 1 dia",dadosexternosBMF_1!B633,"")))</f>
        <v>#REF!</v>
      </c>
      <c r="D630" s="222" t="e">
        <f>IF(C630&lt;&gt;"",dadosexternosBMF_1!C633,"")</f>
        <v>#REF!</v>
      </c>
      <c r="E630" s="222" t="e">
        <f>IF(C630&lt;&gt;"",dadosexternosBMF_1!D633,"")</f>
        <v>#REF!</v>
      </c>
      <c r="G630" s="219" t="e">
        <f t="shared" si="73"/>
        <v>#REF!</v>
      </c>
      <c r="H630" s="219" t="e">
        <f t="shared" si="74"/>
        <v>#REF!</v>
      </c>
      <c r="I630" s="219" t="e">
        <f t="shared" si="75"/>
        <v>#REF!</v>
      </c>
      <c r="J630" s="219" t="e">
        <f>IF(I630="","",VLOOKUP(LEFT(C630,1),dadosexternosBMF_1!$L$2:$M$13,2,FALSE))</f>
        <v>#REF!</v>
      </c>
      <c r="K630" s="219" t="e">
        <f t="shared" si="76"/>
        <v>#REF!</v>
      </c>
      <c r="L630" s="422" t="e">
        <f t="shared" si="77"/>
        <v>#REF!</v>
      </c>
      <c r="M630" s="422" t="e">
        <f>IF(I630="","",WORKDAY(L630-1,1,FERIADOS!$A$2:$A$831))</f>
        <v>#REF!</v>
      </c>
      <c r="N630" s="219" t="e">
        <f>IF(I630="","",NETWORKDAYS(Curva!$M$2,M630,FERIADOS!$A$2:$A$831)-1)</f>
        <v>#REF!</v>
      </c>
      <c r="O630" s="423" t="e">
        <f>IF(C630&lt;&gt;"",IF(ISERROR((100000/E630)^(252/N630)-1),Curva!$B$2,((100000/E630)^(252/N630)-1)),"")</f>
        <v>#REF!</v>
      </c>
      <c r="P630" s="219" t="e">
        <f>IF(OR(G630=1,G630=2),dadosexternosBMF_1!B633,"")</f>
        <v>#REF!</v>
      </c>
      <c r="Q630" s="219" t="e">
        <f>IF(OR(G630=1,G630=2),dadosexternosBMF_1!D633,"")</f>
        <v>#REF!</v>
      </c>
    </row>
    <row r="631" spans="1:17" x14ac:dyDescent="0.2">
      <c r="A631" s="222" t="e">
        <f t="shared" si="72"/>
        <v>#REF!</v>
      </c>
      <c r="B631" s="222" t="str">
        <f>IF(dadosexternosBMF_1!A634="DI1 - DI de 1 dia","DI1 - DI de 1 dia","")</f>
        <v/>
      </c>
      <c r="C631" s="222" t="e">
        <f>IF(dadosexternosBMF_1!A634="DOL - Dólar comercial","",IF(C630&lt;&gt;"",dadosexternosBMF_1!B634,IF(dadosexternosBMF_1!A634="DI1 - DI de 1 dia",dadosexternosBMF_1!B634,"")))</f>
        <v>#REF!</v>
      </c>
      <c r="D631" s="222" t="e">
        <f>IF(C631&lt;&gt;"",dadosexternosBMF_1!C634,"")</f>
        <v>#REF!</v>
      </c>
      <c r="E631" s="222" t="e">
        <f>IF(C631&lt;&gt;"",dadosexternosBMF_1!D634,"")</f>
        <v>#REF!</v>
      </c>
      <c r="G631" s="219" t="e">
        <f t="shared" si="73"/>
        <v>#REF!</v>
      </c>
      <c r="H631" s="219" t="e">
        <f t="shared" si="74"/>
        <v>#REF!</v>
      </c>
      <c r="I631" s="219" t="e">
        <f t="shared" si="75"/>
        <v>#REF!</v>
      </c>
      <c r="J631" s="219" t="e">
        <f>IF(I631="","",VLOOKUP(LEFT(C631,1),dadosexternosBMF_1!$L$2:$M$13,2,FALSE))</f>
        <v>#REF!</v>
      </c>
      <c r="K631" s="219" t="e">
        <f t="shared" si="76"/>
        <v>#REF!</v>
      </c>
      <c r="L631" s="422" t="e">
        <f t="shared" si="77"/>
        <v>#REF!</v>
      </c>
      <c r="M631" s="422" t="e">
        <f>IF(I631="","",WORKDAY(L631-1,1,FERIADOS!$A$2:$A$831))</f>
        <v>#REF!</v>
      </c>
      <c r="N631" s="219" t="e">
        <f>IF(I631="","",NETWORKDAYS(Curva!$M$2,M631,FERIADOS!$A$2:$A$831)-1)</f>
        <v>#REF!</v>
      </c>
      <c r="O631" s="423" t="e">
        <f>IF(C631&lt;&gt;"",IF(ISERROR((100000/E631)^(252/N631)-1),Curva!$B$2,((100000/E631)^(252/N631)-1)),"")</f>
        <v>#REF!</v>
      </c>
      <c r="P631" s="219" t="e">
        <f>IF(OR(G631=1,G631=2),dadosexternosBMF_1!B634,"")</f>
        <v>#REF!</v>
      </c>
      <c r="Q631" s="219" t="e">
        <f>IF(OR(G631=1,G631=2),dadosexternosBMF_1!D634,"")</f>
        <v>#REF!</v>
      </c>
    </row>
    <row r="632" spans="1:17" x14ac:dyDescent="0.2">
      <c r="A632" s="222" t="e">
        <f t="shared" si="72"/>
        <v>#REF!</v>
      </c>
      <c r="B632" s="222" t="str">
        <f>IF(dadosexternosBMF_1!A635="DI1 - DI de 1 dia","DI1 - DI de 1 dia","")</f>
        <v/>
      </c>
      <c r="C632" s="222" t="e">
        <f>IF(dadosexternosBMF_1!A635="DOL - Dólar comercial","",IF(C631&lt;&gt;"",dadosexternosBMF_1!B635,IF(dadosexternosBMF_1!A635="DI1 - DI de 1 dia",dadosexternosBMF_1!B635,"")))</f>
        <v>#REF!</v>
      </c>
      <c r="D632" s="222" t="e">
        <f>IF(C632&lt;&gt;"",dadosexternosBMF_1!C635,"")</f>
        <v>#REF!</v>
      </c>
      <c r="E632" s="222" t="e">
        <f>IF(C632&lt;&gt;"",dadosexternosBMF_1!D635,"")</f>
        <v>#REF!</v>
      </c>
      <c r="G632" s="219" t="e">
        <f t="shared" si="73"/>
        <v>#REF!</v>
      </c>
      <c r="H632" s="219" t="e">
        <f t="shared" si="74"/>
        <v>#REF!</v>
      </c>
      <c r="I632" s="219" t="e">
        <f t="shared" si="75"/>
        <v>#REF!</v>
      </c>
      <c r="J632" s="219" t="e">
        <f>IF(I632="","",VLOOKUP(LEFT(C632,1),dadosexternosBMF_1!$L$2:$M$13,2,FALSE))</f>
        <v>#REF!</v>
      </c>
      <c r="K632" s="219" t="e">
        <f t="shared" si="76"/>
        <v>#REF!</v>
      </c>
      <c r="L632" s="422" t="e">
        <f t="shared" si="77"/>
        <v>#REF!</v>
      </c>
      <c r="M632" s="422" t="e">
        <f>IF(I632="","",WORKDAY(L632-1,1,FERIADOS!$A$2:$A$831))</f>
        <v>#REF!</v>
      </c>
      <c r="N632" s="219" t="e">
        <f>IF(I632="","",NETWORKDAYS(Curva!$M$2,M632,FERIADOS!$A$2:$A$831)-1)</f>
        <v>#REF!</v>
      </c>
      <c r="O632" s="423" t="e">
        <f>IF(C632&lt;&gt;"",IF(ISERROR((100000/E632)^(252/N632)-1),Curva!$B$2,((100000/E632)^(252/N632)-1)),"")</f>
        <v>#REF!</v>
      </c>
      <c r="P632" s="219" t="e">
        <f>IF(OR(G632=1,G632=2),dadosexternosBMF_1!B635,"")</f>
        <v>#REF!</v>
      </c>
      <c r="Q632" s="219" t="e">
        <f>IF(OR(G632=1,G632=2),dadosexternosBMF_1!D635,"")</f>
        <v>#REF!</v>
      </c>
    </row>
    <row r="633" spans="1:17" x14ac:dyDescent="0.2">
      <c r="A633" s="222" t="e">
        <f t="shared" si="72"/>
        <v>#REF!</v>
      </c>
      <c r="B633" s="222" t="str">
        <f>IF(dadosexternosBMF_1!A636="DI1 - DI de 1 dia","DI1 - DI de 1 dia","")</f>
        <v/>
      </c>
      <c r="C633" s="222" t="e">
        <f>IF(dadosexternosBMF_1!A636="DOL - Dólar comercial","",IF(C632&lt;&gt;"",dadosexternosBMF_1!B636,IF(dadosexternosBMF_1!A636="DI1 - DI de 1 dia",dadosexternosBMF_1!B636,"")))</f>
        <v>#REF!</v>
      </c>
      <c r="D633" s="222" t="e">
        <f>IF(C633&lt;&gt;"",dadosexternosBMF_1!C636,"")</f>
        <v>#REF!</v>
      </c>
      <c r="E633" s="222" t="e">
        <f>IF(C633&lt;&gt;"",dadosexternosBMF_1!D636,"")</f>
        <v>#REF!</v>
      </c>
      <c r="G633" s="219" t="e">
        <f t="shared" si="73"/>
        <v>#REF!</v>
      </c>
      <c r="H633" s="219" t="e">
        <f t="shared" si="74"/>
        <v>#REF!</v>
      </c>
      <c r="I633" s="219" t="e">
        <f t="shared" si="75"/>
        <v>#REF!</v>
      </c>
      <c r="J633" s="219" t="e">
        <f>IF(I633="","",VLOOKUP(LEFT(C633,1),dadosexternosBMF_1!$L$2:$M$13,2,FALSE))</f>
        <v>#REF!</v>
      </c>
      <c r="K633" s="219" t="e">
        <f t="shared" si="76"/>
        <v>#REF!</v>
      </c>
      <c r="L633" s="422" t="e">
        <f t="shared" si="77"/>
        <v>#REF!</v>
      </c>
      <c r="M633" s="422" t="e">
        <f>IF(I633="","",WORKDAY(L633-1,1,FERIADOS!$A$2:$A$831))</f>
        <v>#REF!</v>
      </c>
      <c r="N633" s="219" t="e">
        <f>IF(I633="","",NETWORKDAYS(Curva!$M$2,M633,FERIADOS!$A$2:$A$831)-1)</f>
        <v>#REF!</v>
      </c>
      <c r="O633" s="423" t="e">
        <f>IF(C633&lt;&gt;"",IF(ISERROR((100000/E633)^(252/N633)-1),Curva!$B$2,((100000/E633)^(252/N633)-1)),"")</f>
        <v>#REF!</v>
      </c>
      <c r="P633" s="219" t="e">
        <f>IF(OR(G633=1,G633=2),dadosexternosBMF_1!B636,"")</f>
        <v>#REF!</v>
      </c>
      <c r="Q633" s="219" t="e">
        <f>IF(OR(G633=1,G633=2),dadosexternosBMF_1!D636,"")</f>
        <v>#REF!</v>
      </c>
    </row>
    <row r="634" spans="1:17" x14ac:dyDescent="0.2">
      <c r="A634" s="222" t="e">
        <f t="shared" si="72"/>
        <v>#REF!</v>
      </c>
      <c r="B634" s="222" t="str">
        <f>IF(dadosexternosBMF_1!A637="DI1 - DI de 1 dia","DI1 - DI de 1 dia","")</f>
        <v/>
      </c>
      <c r="C634" s="222" t="e">
        <f>IF(dadosexternosBMF_1!A637="DOL - Dólar comercial","",IF(C633&lt;&gt;"",dadosexternosBMF_1!B637,IF(dadosexternosBMF_1!A637="DI1 - DI de 1 dia",dadosexternosBMF_1!B637,"")))</f>
        <v>#REF!</v>
      </c>
      <c r="D634" s="222" t="e">
        <f>IF(C634&lt;&gt;"",dadosexternosBMF_1!C637,"")</f>
        <v>#REF!</v>
      </c>
      <c r="E634" s="222" t="e">
        <f>IF(C634&lt;&gt;"",dadosexternosBMF_1!D637,"")</f>
        <v>#REF!</v>
      </c>
      <c r="G634" s="219" t="e">
        <f t="shared" si="73"/>
        <v>#REF!</v>
      </c>
      <c r="H634" s="219" t="e">
        <f t="shared" si="74"/>
        <v>#REF!</v>
      </c>
      <c r="I634" s="219" t="e">
        <f t="shared" si="75"/>
        <v>#REF!</v>
      </c>
      <c r="J634" s="219" t="e">
        <f>IF(I634="","",VLOOKUP(LEFT(C634,1),dadosexternosBMF_1!$L$2:$M$13,2,FALSE))</f>
        <v>#REF!</v>
      </c>
      <c r="K634" s="219" t="e">
        <f t="shared" si="76"/>
        <v>#REF!</v>
      </c>
      <c r="L634" s="422" t="e">
        <f t="shared" si="77"/>
        <v>#REF!</v>
      </c>
      <c r="M634" s="422" t="e">
        <f>IF(I634="","",WORKDAY(L634-1,1,FERIADOS!$A$2:$A$831))</f>
        <v>#REF!</v>
      </c>
      <c r="N634" s="219" t="e">
        <f>IF(I634="","",NETWORKDAYS(Curva!$M$2,M634,FERIADOS!$A$2:$A$831)-1)</f>
        <v>#REF!</v>
      </c>
      <c r="O634" s="423" t="e">
        <f>IF(C634&lt;&gt;"",IF(ISERROR((100000/E634)^(252/N634)-1),Curva!$B$2,((100000/E634)^(252/N634)-1)),"")</f>
        <v>#REF!</v>
      </c>
      <c r="P634" s="219" t="e">
        <f>IF(OR(G634=1,G634=2),dadosexternosBMF_1!B637,"")</f>
        <v>#REF!</v>
      </c>
      <c r="Q634" s="219" t="e">
        <f>IF(OR(G634=1,G634=2),dadosexternosBMF_1!D637,"")</f>
        <v>#REF!</v>
      </c>
    </row>
    <row r="635" spans="1:17" x14ac:dyDescent="0.2">
      <c r="A635" s="222" t="e">
        <f t="shared" si="72"/>
        <v>#REF!</v>
      </c>
      <c r="B635" s="222" t="str">
        <f>IF(dadosexternosBMF_1!A638="DI1 - DI de 1 dia","DI1 - DI de 1 dia","")</f>
        <v/>
      </c>
      <c r="C635" s="222" t="e">
        <f>IF(dadosexternosBMF_1!A638="DOL - Dólar comercial","",IF(C634&lt;&gt;"",dadosexternosBMF_1!B638,IF(dadosexternosBMF_1!A638="DI1 - DI de 1 dia",dadosexternosBMF_1!B638,"")))</f>
        <v>#REF!</v>
      </c>
      <c r="D635" s="222" t="e">
        <f>IF(C635&lt;&gt;"",dadosexternosBMF_1!C638,"")</f>
        <v>#REF!</v>
      </c>
      <c r="E635" s="222" t="e">
        <f>IF(C635&lt;&gt;"",dadosexternosBMF_1!D638,"")</f>
        <v>#REF!</v>
      </c>
      <c r="G635" s="219" t="e">
        <f t="shared" si="73"/>
        <v>#REF!</v>
      </c>
      <c r="H635" s="219" t="e">
        <f t="shared" si="74"/>
        <v>#REF!</v>
      </c>
      <c r="I635" s="219" t="e">
        <f t="shared" si="75"/>
        <v>#REF!</v>
      </c>
      <c r="J635" s="219" t="e">
        <f>IF(I635="","",VLOOKUP(LEFT(C635,1),dadosexternosBMF_1!$L$2:$M$13,2,FALSE))</f>
        <v>#REF!</v>
      </c>
      <c r="K635" s="219" t="e">
        <f t="shared" si="76"/>
        <v>#REF!</v>
      </c>
      <c r="L635" s="422" t="e">
        <f t="shared" si="77"/>
        <v>#REF!</v>
      </c>
      <c r="M635" s="422" t="e">
        <f>IF(I635="","",WORKDAY(L635-1,1,FERIADOS!$A$2:$A$831))</f>
        <v>#REF!</v>
      </c>
      <c r="N635" s="219" t="e">
        <f>IF(I635="","",NETWORKDAYS(Curva!$M$2,M635,FERIADOS!$A$2:$A$831)-1)</f>
        <v>#REF!</v>
      </c>
      <c r="O635" s="423" t="e">
        <f>IF(C635&lt;&gt;"",IF(ISERROR((100000/E635)^(252/N635)-1),Curva!$B$2,((100000/E635)^(252/N635)-1)),"")</f>
        <v>#REF!</v>
      </c>
      <c r="P635" s="219" t="e">
        <f>IF(OR(G635=1,G635=2),dadosexternosBMF_1!B638,"")</f>
        <v>#REF!</v>
      </c>
      <c r="Q635" s="219" t="e">
        <f>IF(OR(G635=1,G635=2),dadosexternosBMF_1!D638,"")</f>
        <v>#REF!</v>
      </c>
    </row>
    <row r="636" spans="1:17" x14ac:dyDescent="0.2">
      <c r="A636" s="222" t="e">
        <f t="shared" si="72"/>
        <v>#REF!</v>
      </c>
      <c r="B636" s="222" t="str">
        <f>IF(dadosexternosBMF_1!A639="DI1 - DI de 1 dia","DI1 - DI de 1 dia","")</f>
        <v/>
      </c>
      <c r="C636" s="222" t="e">
        <f>IF(dadosexternosBMF_1!A639="DOL - Dólar comercial","",IF(C635&lt;&gt;"",dadosexternosBMF_1!B639,IF(dadosexternosBMF_1!A639="DI1 - DI de 1 dia",dadosexternosBMF_1!B639,"")))</f>
        <v>#REF!</v>
      </c>
      <c r="D636" s="222" t="e">
        <f>IF(C636&lt;&gt;"",dadosexternosBMF_1!C639,"")</f>
        <v>#REF!</v>
      </c>
      <c r="E636" s="222" t="e">
        <f>IF(C636&lt;&gt;"",dadosexternosBMF_1!D639,"")</f>
        <v>#REF!</v>
      </c>
      <c r="G636" s="219" t="e">
        <f t="shared" si="73"/>
        <v>#REF!</v>
      </c>
      <c r="H636" s="219" t="e">
        <f t="shared" si="74"/>
        <v>#REF!</v>
      </c>
      <c r="I636" s="219" t="e">
        <f t="shared" si="75"/>
        <v>#REF!</v>
      </c>
      <c r="J636" s="219" t="e">
        <f>IF(I636="","",VLOOKUP(LEFT(C636,1),dadosexternosBMF_1!$L$2:$M$13,2,FALSE))</f>
        <v>#REF!</v>
      </c>
      <c r="K636" s="219" t="e">
        <f t="shared" si="76"/>
        <v>#REF!</v>
      </c>
      <c r="L636" s="422" t="e">
        <f t="shared" si="77"/>
        <v>#REF!</v>
      </c>
      <c r="M636" s="422" t="e">
        <f>IF(I636="","",WORKDAY(L636-1,1,FERIADOS!$A$2:$A$831))</f>
        <v>#REF!</v>
      </c>
      <c r="N636" s="219" t="e">
        <f>IF(I636="","",NETWORKDAYS(Curva!$M$2,M636,FERIADOS!$A$2:$A$831)-1)</f>
        <v>#REF!</v>
      </c>
      <c r="O636" s="423" t="e">
        <f>IF(C636&lt;&gt;"",IF(ISERROR((100000/E636)^(252/N636)-1),Curva!$B$2,((100000/E636)^(252/N636)-1)),"")</f>
        <v>#REF!</v>
      </c>
      <c r="P636" s="219" t="e">
        <f>IF(OR(G636=1,G636=2),dadosexternosBMF_1!B639,"")</f>
        <v>#REF!</v>
      </c>
      <c r="Q636" s="219" t="e">
        <f>IF(OR(G636=1,G636=2),dadosexternosBMF_1!D639,"")</f>
        <v>#REF!</v>
      </c>
    </row>
    <row r="637" spans="1:17" x14ac:dyDescent="0.2">
      <c r="A637" s="222" t="e">
        <f t="shared" si="72"/>
        <v>#REF!</v>
      </c>
      <c r="B637" s="222" t="str">
        <f>IF(dadosexternosBMF_1!A640="DI1 - DI de 1 dia","DI1 - DI de 1 dia","")</f>
        <v/>
      </c>
      <c r="C637" s="222" t="e">
        <f>IF(dadosexternosBMF_1!A640="DOL - Dólar comercial","",IF(C636&lt;&gt;"",dadosexternosBMF_1!B640,IF(dadosexternosBMF_1!A640="DI1 - DI de 1 dia",dadosexternosBMF_1!B640,"")))</f>
        <v>#REF!</v>
      </c>
      <c r="D637" s="222" t="e">
        <f>IF(C637&lt;&gt;"",dadosexternosBMF_1!C640,"")</f>
        <v>#REF!</v>
      </c>
      <c r="E637" s="222" t="e">
        <f>IF(C637&lt;&gt;"",dadosexternosBMF_1!D640,"")</f>
        <v>#REF!</v>
      </c>
      <c r="G637" s="219" t="e">
        <f t="shared" si="73"/>
        <v>#REF!</v>
      </c>
      <c r="H637" s="219" t="e">
        <f t="shared" si="74"/>
        <v>#REF!</v>
      </c>
      <c r="I637" s="219" t="e">
        <f t="shared" si="75"/>
        <v>#REF!</v>
      </c>
      <c r="J637" s="219" t="e">
        <f>IF(I637="","",VLOOKUP(LEFT(C637,1),dadosexternosBMF_1!$L$2:$M$13,2,FALSE))</f>
        <v>#REF!</v>
      </c>
      <c r="K637" s="219" t="e">
        <f t="shared" si="76"/>
        <v>#REF!</v>
      </c>
      <c r="L637" s="422" t="e">
        <f t="shared" si="77"/>
        <v>#REF!</v>
      </c>
      <c r="M637" s="422" t="e">
        <f>IF(I637="","",WORKDAY(L637-1,1,FERIADOS!$A$2:$A$831))</f>
        <v>#REF!</v>
      </c>
      <c r="N637" s="219" t="e">
        <f>IF(I637="","",NETWORKDAYS(Curva!$M$2,M637,FERIADOS!$A$2:$A$831)-1)</f>
        <v>#REF!</v>
      </c>
      <c r="O637" s="423" t="e">
        <f>IF(C637&lt;&gt;"",IF(ISERROR((100000/E637)^(252/N637)-1),Curva!$B$2,((100000/E637)^(252/N637)-1)),"")</f>
        <v>#REF!</v>
      </c>
      <c r="P637" s="219" t="e">
        <f>IF(OR(G637=1,G637=2),dadosexternosBMF_1!B640,"")</f>
        <v>#REF!</v>
      </c>
      <c r="Q637" s="219" t="e">
        <f>IF(OR(G637=1,G637=2),dadosexternosBMF_1!D640,"")</f>
        <v>#REF!</v>
      </c>
    </row>
    <row r="638" spans="1:17" x14ac:dyDescent="0.2">
      <c r="A638" s="222" t="e">
        <f t="shared" si="72"/>
        <v>#REF!</v>
      </c>
      <c r="B638" s="222" t="str">
        <f>IF(dadosexternosBMF_1!A641="DI1 - DI de 1 dia","DI1 - DI de 1 dia","")</f>
        <v/>
      </c>
      <c r="C638" s="222" t="e">
        <f>IF(dadosexternosBMF_1!A641="DOL - Dólar comercial","",IF(C637&lt;&gt;"",dadosexternosBMF_1!B641,IF(dadosexternosBMF_1!A641="DI1 - DI de 1 dia",dadosexternosBMF_1!B641,"")))</f>
        <v>#REF!</v>
      </c>
      <c r="D638" s="222" t="e">
        <f>IF(C638&lt;&gt;"",dadosexternosBMF_1!C641,"")</f>
        <v>#REF!</v>
      </c>
      <c r="E638" s="222" t="e">
        <f>IF(C638&lt;&gt;"",dadosexternosBMF_1!D641,"")</f>
        <v>#REF!</v>
      </c>
      <c r="G638" s="219" t="e">
        <f t="shared" si="73"/>
        <v>#REF!</v>
      </c>
      <c r="H638" s="219" t="e">
        <f t="shared" si="74"/>
        <v>#REF!</v>
      </c>
      <c r="I638" s="219" t="e">
        <f t="shared" si="75"/>
        <v>#REF!</v>
      </c>
      <c r="J638" s="219" t="e">
        <f>IF(I638="","",VLOOKUP(LEFT(C638,1),dadosexternosBMF_1!$L$2:$M$13,2,FALSE))</f>
        <v>#REF!</v>
      </c>
      <c r="K638" s="219" t="e">
        <f t="shared" si="76"/>
        <v>#REF!</v>
      </c>
      <c r="L638" s="422" t="e">
        <f t="shared" si="77"/>
        <v>#REF!</v>
      </c>
      <c r="M638" s="422" t="e">
        <f>IF(I638="","",WORKDAY(L638-1,1,FERIADOS!$A$2:$A$831))</f>
        <v>#REF!</v>
      </c>
      <c r="N638" s="219" t="e">
        <f>IF(I638="","",NETWORKDAYS(Curva!$M$2,M638,FERIADOS!$A$2:$A$831)-1)</f>
        <v>#REF!</v>
      </c>
      <c r="O638" s="423" t="e">
        <f>IF(C638&lt;&gt;"",IF(ISERROR((100000/E638)^(252/N638)-1),Curva!$B$2,((100000/E638)^(252/N638)-1)),"")</f>
        <v>#REF!</v>
      </c>
      <c r="P638" s="219" t="e">
        <f>IF(OR(G638=1,G638=2),dadosexternosBMF_1!B641,"")</f>
        <v>#REF!</v>
      </c>
      <c r="Q638" s="219" t="e">
        <f>IF(OR(G638=1,G638=2),dadosexternosBMF_1!D641,"")</f>
        <v>#REF!</v>
      </c>
    </row>
    <row r="639" spans="1:17" x14ac:dyDescent="0.2">
      <c r="A639" s="222" t="e">
        <f t="shared" si="72"/>
        <v>#REF!</v>
      </c>
      <c r="B639" s="222" t="str">
        <f>IF(dadosexternosBMF_1!A642="DI1 - DI de 1 dia","DI1 - DI de 1 dia","")</f>
        <v/>
      </c>
      <c r="C639" s="222" t="e">
        <f>IF(dadosexternosBMF_1!A642="DOL - Dólar comercial","",IF(C638&lt;&gt;"",dadosexternosBMF_1!B642,IF(dadosexternosBMF_1!A642="DI1 - DI de 1 dia",dadosexternosBMF_1!B642,"")))</f>
        <v>#REF!</v>
      </c>
      <c r="D639" s="222" t="e">
        <f>IF(C639&lt;&gt;"",dadosexternosBMF_1!C642,"")</f>
        <v>#REF!</v>
      </c>
      <c r="E639" s="222" t="e">
        <f>IF(C639&lt;&gt;"",dadosexternosBMF_1!D642,"")</f>
        <v>#REF!</v>
      </c>
      <c r="G639" s="219" t="e">
        <f t="shared" si="73"/>
        <v>#REF!</v>
      </c>
      <c r="H639" s="219" t="e">
        <f t="shared" si="74"/>
        <v>#REF!</v>
      </c>
      <c r="I639" s="219" t="e">
        <f t="shared" si="75"/>
        <v>#REF!</v>
      </c>
      <c r="J639" s="219" t="e">
        <f>IF(I639="","",VLOOKUP(LEFT(C639,1),dadosexternosBMF_1!$L$2:$M$13,2,FALSE))</f>
        <v>#REF!</v>
      </c>
      <c r="K639" s="219" t="e">
        <f t="shared" si="76"/>
        <v>#REF!</v>
      </c>
      <c r="L639" s="422" t="e">
        <f t="shared" si="77"/>
        <v>#REF!</v>
      </c>
      <c r="M639" s="422" t="e">
        <f>IF(I639="","",WORKDAY(L639-1,1,FERIADOS!$A$2:$A$831))</f>
        <v>#REF!</v>
      </c>
      <c r="N639" s="219" t="e">
        <f>IF(I639="","",NETWORKDAYS(Curva!$M$2,M639,FERIADOS!$A$2:$A$831)-1)</f>
        <v>#REF!</v>
      </c>
      <c r="O639" s="423" t="e">
        <f>IF(C639&lt;&gt;"",IF(ISERROR((100000/E639)^(252/N639)-1),Curva!$B$2,((100000/E639)^(252/N639)-1)),"")</f>
        <v>#REF!</v>
      </c>
      <c r="P639" s="219" t="e">
        <f>IF(OR(G639=1,G639=2),dadosexternosBMF_1!B642,"")</f>
        <v>#REF!</v>
      </c>
      <c r="Q639" s="219" t="e">
        <f>IF(OR(G639=1,G639=2),dadosexternosBMF_1!D642,"")</f>
        <v>#REF!</v>
      </c>
    </row>
    <row r="640" spans="1:17" x14ac:dyDescent="0.2">
      <c r="A640" s="222" t="e">
        <f t="shared" si="72"/>
        <v>#REF!</v>
      </c>
      <c r="B640" s="222" t="str">
        <f>IF(dadosexternosBMF_1!A643="DI1 - DI de 1 dia","DI1 - DI de 1 dia","")</f>
        <v/>
      </c>
      <c r="C640" s="222" t="e">
        <f>IF(dadosexternosBMF_1!A643="DOL - Dólar comercial","",IF(C639&lt;&gt;"",dadosexternosBMF_1!B643,IF(dadosexternosBMF_1!A643="DI1 - DI de 1 dia",dadosexternosBMF_1!B643,"")))</f>
        <v>#REF!</v>
      </c>
      <c r="D640" s="222" t="e">
        <f>IF(C640&lt;&gt;"",dadosexternosBMF_1!C643,"")</f>
        <v>#REF!</v>
      </c>
      <c r="E640" s="222" t="e">
        <f>IF(C640&lt;&gt;"",dadosexternosBMF_1!D643,"")</f>
        <v>#REF!</v>
      </c>
      <c r="G640" s="219" t="e">
        <f t="shared" si="73"/>
        <v>#REF!</v>
      </c>
      <c r="H640" s="219" t="e">
        <f t="shared" si="74"/>
        <v>#REF!</v>
      </c>
      <c r="I640" s="219" t="e">
        <f t="shared" si="75"/>
        <v>#REF!</v>
      </c>
      <c r="J640" s="219" t="e">
        <f>IF(I640="","",VLOOKUP(LEFT(C640,1),dadosexternosBMF_1!$L$2:$M$13,2,FALSE))</f>
        <v>#REF!</v>
      </c>
      <c r="K640" s="219" t="e">
        <f t="shared" si="76"/>
        <v>#REF!</v>
      </c>
      <c r="L640" s="422" t="e">
        <f t="shared" si="77"/>
        <v>#REF!</v>
      </c>
      <c r="M640" s="422" t="e">
        <f>IF(I640="","",WORKDAY(L640-1,1,FERIADOS!$A$2:$A$831))</f>
        <v>#REF!</v>
      </c>
      <c r="N640" s="219" t="e">
        <f>IF(I640="","",NETWORKDAYS(Curva!$M$2,M640,FERIADOS!$A$2:$A$831)-1)</f>
        <v>#REF!</v>
      </c>
      <c r="O640" s="423" t="e">
        <f>IF(C640&lt;&gt;"",IF(ISERROR((100000/E640)^(252/N640)-1),Curva!$B$2,((100000/E640)^(252/N640)-1)),"")</f>
        <v>#REF!</v>
      </c>
      <c r="P640" s="219" t="e">
        <f>IF(OR(G640=1,G640=2),dadosexternosBMF_1!B643,"")</f>
        <v>#REF!</v>
      </c>
      <c r="Q640" s="219" t="e">
        <f>IF(OR(G640=1,G640=2),dadosexternosBMF_1!D643,"")</f>
        <v>#REF!</v>
      </c>
    </row>
    <row r="641" spans="1:17" x14ac:dyDescent="0.2">
      <c r="A641" s="222" t="e">
        <f t="shared" si="72"/>
        <v>#REF!</v>
      </c>
      <c r="B641" s="222" t="str">
        <f>IF(dadosexternosBMF_1!A644="DI1 - DI de 1 dia","DI1 - DI de 1 dia","")</f>
        <v/>
      </c>
      <c r="C641" s="222" t="e">
        <f>IF(dadosexternosBMF_1!A644="DOL - Dólar comercial","",IF(C640&lt;&gt;"",dadosexternosBMF_1!B644,IF(dadosexternosBMF_1!A644="DI1 - DI de 1 dia",dadosexternosBMF_1!B644,"")))</f>
        <v>#REF!</v>
      </c>
      <c r="D641" s="222" t="e">
        <f>IF(C641&lt;&gt;"",dadosexternosBMF_1!C644,"")</f>
        <v>#REF!</v>
      </c>
      <c r="E641" s="222" t="e">
        <f>IF(C641&lt;&gt;"",dadosexternosBMF_1!D644,"")</f>
        <v>#REF!</v>
      </c>
      <c r="G641" s="219" t="e">
        <f t="shared" si="73"/>
        <v>#REF!</v>
      </c>
      <c r="H641" s="219" t="e">
        <f t="shared" si="74"/>
        <v>#REF!</v>
      </c>
      <c r="I641" s="219" t="e">
        <f t="shared" si="75"/>
        <v>#REF!</v>
      </c>
      <c r="J641" s="219" t="e">
        <f>IF(I641="","",VLOOKUP(LEFT(C641,1),dadosexternosBMF_1!$L$2:$M$13,2,FALSE))</f>
        <v>#REF!</v>
      </c>
      <c r="K641" s="219" t="e">
        <f t="shared" si="76"/>
        <v>#REF!</v>
      </c>
      <c r="L641" s="422" t="e">
        <f t="shared" si="77"/>
        <v>#REF!</v>
      </c>
      <c r="M641" s="422" t="e">
        <f>IF(I641="","",WORKDAY(L641-1,1,FERIADOS!$A$2:$A$831))</f>
        <v>#REF!</v>
      </c>
      <c r="N641" s="219" t="e">
        <f>IF(I641="","",NETWORKDAYS(Curva!$M$2,M641,FERIADOS!$A$2:$A$831)-1)</f>
        <v>#REF!</v>
      </c>
      <c r="O641" s="423" t="e">
        <f>IF(C641&lt;&gt;"",IF(ISERROR((100000/E641)^(252/N641)-1),Curva!$B$2,((100000/E641)^(252/N641)-1)),"")</f>
        <v>#REF!</v>
      </c>
      <c r="P641" s="219" t="e">
        <f>IF(OR(G641=1,G641=2),dadosexternosBMF_1!B644,"")</f>
        <v>#REF!</v>
      </c>
      <c r="Q641" s="219" t="e">
        <f>IF(OR(G641=1,G641=2),dadosexternosBMF_1!D644,"")</f>
        <v>#REF!</v>
      </c>
    </row>
    <row r="642" spans="1:17" x14ac:dyDescent="0.2">
      <c r="A642" s="222" t="e">
        <f t="shared" si="72"/>
        <v>#REF!</v>
      </c>
      <c r="B642" s="222" t="str">
        <f>IF(dadosexternosBMF_1!A645="DI1 - DI de 1 dia","DI1 - DI de 1 dia","")</f>
        <v/>
      </c>
      <c r="C642" s="222" t="e">
        <f>IF(dadosexternosBMF_1!A645="DOL - Dólar comercial","",IF(C641&lt;&gt;"",dadosexternosBMF_1!B645,IF(dadosexternosBMF_1!A645="DI1 - DI de 1 dia",dadosexternosBMF_1!B645,"")))</f>
        <v>#REF!</v>
      </c>
      <c r="D642" s="222" t="e">
        <f>IF(C642&lt;&gt;"",dadosexternosBMF_1!C645,"")</f>
        <v>#REF!</v>
      </c>
      <c r="E642" s="222" t="e">
        <f>IF(C642&lt;&gt;"",dadosexternosBMF_1!D645,"")</f>
        <v>#REF!</v>
      </c>
      <c r="G642" s="219" t="e">
        <f t="shared" si="73"/>
        <v>#REF!</v>
      </c>
      <c r="H642" s="219" t="e">
        <f t="shared" si="74"/>
        <v>#REF!</v>
      </c>
      <c r="I642" s="219" t="e">
        <f t="shared" si="75"/>
        <v>#REF!</v>
      </c>
      <c r="J642" s="219" t="e">
        <f>IF(I642="","",VLOOKUP(LEFT(C642,1),dadosexternosBMF_1!$L$2:$M$13,2,FALSE))</f>
        <v>#REF!</v>
      </c>
      <c r="K642" s="219" t="e">
        <f t="shared" si="76"/>
        <v>#REF!</v>
      </c>
      <c r="L642" s="422" t="e">
        <f t="shared" si="77"/>
        <v>#REF!</v>
      </c>
      <c r="M642" s="422" t="e">
        <f>IF(I642="","",WORKDAY(L642-1,1,FERIADOS!$A$2:$A$831))</f>
        <v>#REF!</v>
      </c>
      <c r="N642" s="219" t="e">
        <f>IF(I642="","",NETWORKDAYS(Curva!$M$2,M642,FERIADOS!$A$2:$A$831)-1)</f>
        <v>#REF!</v>
      </c>
      <c r="O642" s="423" t="e">
        <f>IF(C642&lt;&gt;"",IF(ISERROR((100000/E642)^(252/N642)-1),Curva!$B$2,((100000/E642)^(252/N642)-1)),"")</f>
        <v>#REF!</v>
      </c>
      <c r="P642" s="219" t="e">
        <f>IF(OR(G642=1,G642=2),dadosexternosBMF_1!B645,"")</f>
        <v>#REF!</v>
      </c>
      <c r="Q642" s="219" t="e">
        <f>IF(OR(G642=1,G642=2),dadosexternosBMF_1!D645,"")</f>
        <v>#REF!</v>
      </c>
    </row>
    <row r="643" spans="1:17" x14ac:dyDescent="0.2">
      <c r="A643" s="222" t="e">
        <f t="shared" si="72"/>
        <v>#REF!</v>
      </c>
      <c r="B643" s="222" t="str">
        <f>IF(dadosexternosBMF_1!A646="DI1 - DI de 1 dia","DI1 - DI de 1 dia","")</f>
        <v/>
      </c>
      <c r="C643" s="222" t="e">
        <f>IF(dadosexternosBMF_1!A646="DOL - Dólar comercial","",IF(C642&lt;&gt;"",dadosexternosBMF_1!B646,IF(dadosexternosBMF_1!A646="DI1 - DI de 1 dia",dadosexternosBMF_1!B646,"")))</f>
        <v>#REF!</v>
      </c>
      <c r="D643" s="222" t="e">
        <f>IF(C643&lt;&gt;"",dadosexternosBMF_1!C646,"")</f>
        <v>#REF!</v>
      </c>
      <c r="E643" s="222" t="e">
        <f>IF(C643&lt;&gt;"",dadosexternosBMF_1!D646,"")</f>
        <v>#REF!</v>
      </c>
      <c r="G643" s="219" t="e">
        <f t="shared" si="73"/>
        <v>#REF!</v>
      </c>
      <c r="H643" s="219" t="e">
        <f t="shared" si="74"/>
        <v>#REF!</v>
      </c>
      <c r="I643" s="219" t="e">
        <f t="shared" si="75"/>
        <v>#REF!</v>
      </c>
      <c r="J643" s="219" t="e">
        <f>IF(I643="","",VLOOKUP(LEFT(C643,1),dadosexternosBMF_1!$L$2:$M$13,2,FALSE))</f>
        <v>#REF!</v>
      </c>
      <c r="K643" s="219" t="e">
        <f t="shared" si="76"/>
        <v>#REF!</v>
      </c>
      <c r="L643" s="422" t="e">
        <f t="shared" si="77"/>
        <v>#REF!</v>
      </c>
      <c r="M643" s="422" t="e">
        <f>IF(I643="","",WORKDAY(L643-1,1,FERIADOS!$A$2:$A$831))</f>
        <v>#REF!</v>
      </c>
      <c r="N643" s="219" t="e">
        <f>IF(I643="","",NETWORKDAYS(Curva!$M$2,M643,FERIADOS!$A$2:$A$831)-1)</f>
        <v>#REF!</v>
      </c>
      <c r="O643" s="423" t="e">
        <f>IF(C643&lt;&gt;"",IF(ISERROR((100000/E643)^(252/N643)-1),Curva!$B$2,((100000/E643)^(252/N643)-1)),"")</f>
        <v>#REF!</v>
      </c>
      <c r="P643" s="219" t="e">
        <f>IF(OR(G643=1,G643=2),dadosexternosBMF_1!B646,"")</f>
        <v>#REF!</v>
      </c>
      <c r="Q643" s="219" t="e">
        <f>IF(OR(G643=1,G643=2),dadosexternosBMF_1!D646,"")</f>
        <v>#REF!</v>
      </c>
    </row>
    <row r="644" spans="1:17" x14ac:dyDescent="0.2">
      <c r="A644" s="222" t="e">
        <f t="shared" si="72"/>
        <v>#REF!</v>
      </c>
      <c r="B644" s="222" t="str">
        <f>IF(dadosexternosBMF_1!A647="DI1 - DI de 1 dia","DI1 - DI de 1 dia","")</f>
        <v/>
      </c>
      <c r="C644" s="222" t="e">
        <f>IF(dadosexternosBMF_1!A647="DOL - Dólar comercial","",IF(C643&lt;&gt;"",dadosexternosBMF_1!B647,IF(dadosexternosBMF_1!A647="DI1 - DI de 1 dia",dadosexternosBMF_1!B647,"")))</f>
        <v>#REF!</v>
      </c>
      <c r="D644" s="222" t="e">
        <f>IF(C644&lt;&gt;"",dadosexternosBMF_1!C647,"")</f>
        <v>#REF!</v>
      </c>
      <c r="E644" s="222" t="e">
        <f>IF(C644&lt;&gt;"",dadosexternosBMF_1!D647,"")</f>
        <v>#REF!</v>
      </c>
      <c r="G644" s="219" t="e">
        <f t="shared" si="73"/>
        <v>#REF!</v>
      </c>
      <c r="H644" s="219" t="e">
        <f t="shared" si="74"/>
        <v>#REF!</v>
      </c>
      <c r="I644" s="219" t="e">
        <f t="shared" si="75"/>
        <v>#REF!</v>
      </c>
      <c r="J644" s="219" t="e">
        <f>IF(I644="","",VLOOKUP(LEFT(C644,1),dadosexternosBMF_1!$L$2:$M$13,2,FALSE))</f>
        <v>#REF!</v>
      </c>
      <c r="K644" s="219" t="e">
        <f t="shared" si="76"/>
        <v>#REF!</v>
      </c>
      <c r="L644" s="422" t="e">
        <f t="shared" si="77"/>
        <v>#REF!</v>
      </c>
      <c r="M644" s="422" t="e">
        <f>IF(I644="","",WORKDAY(L644-1,1,FERIADOS!$A$2:$A$831))</f>
        <v>#REF!</v>
      </c>
      <c r="N644" s="219" t="e">
        <f>IF(I644="","",NETWORKDAYS(Curva!$M$2,M644,FERIADOS!$A$2:$A$831)-1)</f>
        <v>#REF!</v>
      </c>
      <c r="O644" s="423" t="e">
        <f>IF(C644&lt;&gt;"",IF(ISERROR((100000/E644)^(252/N644)-1),Curva!$B$2,((100000/E644)^(252/N644)-1)),"")</f>
        <v>#REF!</v>
      </c>
      <c r="P644" s="219" t="e">
        <f>IF(OR(G644=1,G644=2),dadosexternosBMF_1!B647,"")</f>
        <v>#REF!</v>
      </c>
      <c r="Q644" s="219" t="e">
        <f>IF(OR(G644=1,G644=2),dadosexternosBMF_1!D647,"")</f>
        <v>#REF!</v>
      </c>
    </row>
    <row r="645" spans="1:17" x14ac:dyDescent="0.2">
      <c r="A645" s="222" t="e">
        <f t="shared" si="72"/>
        <v>#REF!</v>
      </c>
      <c r="B645" s="222" t="str">
        <f>IF(dadosexternosBMF_1!A648="DI1 - DI de 1 dia","DI1 - DI de 1 dia","")</f>
        <v/>
      </c>
      <c r="C645" s="222" t="e">
        <f>IF(dadosexternosBMF_1!A648="DOL - Dólar comercial","",IF(C644&lt;&gt;"",dadosexternosBMF_1!B648,IF(dadosexternosBMF_1!A648="DI1 - DI de 1 dia",dadosexternosBMF_1!B648,"")))</f>
        <v>#REF!</v>
      </c>
      <c r="D645" s="222" t="e">
        <f>IF(C645&lt;&gt;"",dadosexternosBMF_1!C648,"")</f>
        <v>#REF!</v>
      </c>
      <c r="E645" s="222" t="e">
        <f>IF(C645&lt;&gt;"",dadosexternosBMF_1!D648,"")</f>
        <v>#REF!</v>
      </c>
      <c r="G645" s="219" t="e">
        <f t="shared" si="73"/>
        <v>#REF!</v>
      </c>
      <c r="H645" s="219" t="e">
        <f t="shared" si="74"/>
        <v>#REF!</v>
      </c>
      <c r="I645" s="219" t="e">
        <f t="shared" si="75"/>
        <v>#REF!</v>
      </c>
      <c r="J645" s="219" t="e">
        <f>IF(I645="","",VLOOKUP(LEFT(C645,1),dadosexternosBMF_1!$L$2:$M$13,2,FALSE))</f>
        <v>#REF!</v>
      </c>
      <c r="K645" s="219" t="e">
        <f t="shared" si="76"/>
        <v>#REF!</v>
      </c>
      <c r="L645" s="422" t="e">
        <f t="shared" si="77"/>
        <v>#REF!</v>
      </c>
      <c r="M645" s="422" t="e">
        <f>IF(I645="","",WORKDAY(L645-1,1,FERIADOS!$A$2:$A$831))</f>
        <v>#REF!</v>
      </c>
      <c r="N645" s="219" t="e">
        <f>IF(I645="","",NETWORKDAYS(Curva!$M$2,M645,FERIADOS!$A$2:$A$831)-1)</f>
        <v>#REF!</v>
      </c>
      <c r="O645" s="423" t="e">
        <f>IF(C645&lt;&gt;"",IF(ISERROR((100000/E645)^(252/N645)-1),Curva!$B$2,((100000/E645)^(252/N645)-1)),"")</f>
        <v>#REF!</v>
      </c>
      <c r="P645" s="219" t="e">
        <f>IF(OR(G645=1,G645=2),dadosexternosBMF_1!B648,"")</f>
        <v>#REF!</v>
      </c>
      <c r="Q645" s="219" t="e">
        <f>IF(OR(G645=1,G645=2),dadosexternosBMF_1!D648,"")</f>
        <v>#REF!</v>
      </c>
    </row>
    <row r="646" spans="1:17" x14ac:dyDescent="0.2">
      <c r="A646" s="222" t="e">
        <f t="shared" si="72"/>
        <v>#REF!</v>
      </c>
      <c r="B646" s="222" t="str">
        <f>IF(dadosexternosBMF_1!A649="DI1 - DI de 1 dia","DI1 - DI de 1 dia","")</f>
        <v/>
      </c>
      <c r="C646" s="222" t="e">
        <f>IF(dadosexternosBMF_1!A649="DOL - Dólar comercial","",IF(C645&lt;&gt;"",dadosexternosBMF_1!B649,IF(dadosexternosBMF_1!A649="DI1 - DI de 1 dia",dadosexternosBMF_1!B649,"")))</f>
        <v>#REF!</v>
      </c>
      <c r="D646" s="222" t="e">
        <f>IF(C646&lt;&gt;"",dadosexternosBMF_1!C649,"")</f>
        <v>#REF!</v>
      </c>
      <c r="E646" s="222" t="e">
        <f>IF(C646&lt;&gt;"",dadosexternosBMF_1!D649,"")</f>
        <v>#REF!</v>
      </c>
      <c r="G646" s="219" t="e">
        <f t="shared" si="73"/>
        <v>#REF!</v>
      </c>
      <c r="H646" s="219" t="e">
        <f t="shared" si="74"/>
        <v>#REF!</v>
      </c>
      <c r="I646" s="219" t="e">
        <f t="shared" si="75"/>
        <v>#REF!</v>
      </c>
      <c r="J646" s="219" t="e">
        <f>IF(I646="","",VLOOKUP(LEFT(C646,1),dadosexternosBMF_1!$L$2:$M$13,2,FALSE))</f>
        <v>#REF!</v>
      </c>
      <c r="K646" s="219" t="e">
        <f t="shared" si="76"/>
        <v>#REF!</v>
      </c>
      <c r="L646" s="422" t="e">
        <f t="shared" si="77"/>
        <v>#REF!</v>
      </c>
      <c r="M646" s="422" t="e">
        <f>IF(I646="","",WORKDAY(L646-1,1,FERIADOS!$A$2:$A$831))</f>
        <v>#REF!</v>
      </c>
      <c r="N646" s="219" t="e">
        <f>IF(I646="","",NETWORKDAYS(Curva!$M$2,M646,FERIADOS!$A$2:$A$831)-1)</f>
        <v>#REF!</v>
      </c>
      <c r="O646" s="423" t="e">
        <f>IF(C646&lt;&gt;"",IF(ISERROR((100000/E646)^(252/N646)-1),Curva!$B$2,((100000/E646)^(252/N646)-1)),"")</f>
        <v>#REF!</v>
      </c>
      <c r="P646" s="219" t="e">
        <f>IF(OR(G646=1,G646=2),dadosexternosBMF_1!B649,"")</f>
        <v>#REF!</v>
      </c>
      <c r="Q646" s="219" t="e">
        <f>IF(OR(G646=1,G646=2),dadosexternosBMF_1!D649,"")</f>
        <v>#REF!</v>
      </c>
    </row>
    <row r="647" spans="1:17" x14ac:dyDescent="0.2">
      <c r="A647" s="222" t="e">
        <f t="shared" si="72"/>
        <v>#REF!</v>
      </c>
      <c r="B647" s="222" t="str">
        <f>IF(dadosexternosBMF_1!A650="DI1 - DI de 1 dia","DI1 - DI de 1 dia","")</f>
        <v/>
      </c>
      <c r="C647" s="222" t="e">
        <f>IF(dadosexternosBMF_1!A650="DOL - Dólar comercial","",IF(C646&lt;&gt;"",dadosexternosBMF_1!B650,IF(dadosexternosBMF_1!A650="DI1 - DI de 1 dia",dadosexternosBMF_1!B650,"")))</f>
        <v>#REF!</v>
      </c>
      <c r="D647" s="222" t="e">
        <f>IF(C647&lt;&gt;"",dadosexternosBMF_1!C650,"")</f>
        <v>#REF!</v>
      </c>
      <c r="E647" s="222" t="e">
        <f>IF(C647&lt;&gt;"",dadosexternosBMF_1!D650,"")</f>
        <v>#REF!</v>
      </c>
      <c r="G647" s="219" t="e">
        <f t="shared" si="73"/>
        <v>#REF!</v>
      </c>
      <c r="H647" s="219" t="e">
        <f t="shared" si="74"/>
        <v>#REF!</v>
      </c>
      <c r="I647" s="219" t="e">
        <f t="shared" si="75"/>
        <v>#REF!</v>
      </c>
      <c r="J647" s="219" t="e">
        <f>IF(I647="","",VLOOKUP(LEFT(C647,1),dadosexternosBMF_1!$L$2:$M$13,2,FALSE))</f>
        <v>#REF!</v>
      </c>
      <c r="K647" s="219" t="e">
        <f t="shared" si="76"/>
        <v>#REF!</v>
      </c>
      <c r="L647" s="422" t="e">
        <f t="shared" si="77"/>
        <v>#REF!</v>
      </c>
      <c r="M647" s="422" t="e">
        <f>IF(I647="","",WORKDAY(L647-1,1,FERIADOS!$A$2:$A$831))</f>
        <v>#REF!</v>
      </c>
      <c r="N647" s="219" t="e">
        <f>IF(I647="","",NETWORKDAYS(Curva!$M$2,M647,FERIADOS!$A$2:$A$831)-1)</f>
        <v>#REF!</v>
      </c>
      <c r="O647" s="423" t="e">
        <f>IF(C647&lt;&gt;"",IF(ISERROR((100000/E647)^(252/N647)-1),Curva!$B$2,((100000/E647)^(252/N647)-1)),"")</f>
        <v>#REF!</v>
      </c>
      <c r="P647" s="219" t="e">
        <f>IF(OR(G647=1,G647=2),dadosexternosBMF_1!B650,"")</f>
        <v>#REF!</v>
      </c>
      <c r="Q647" s="219" t="e">
        <f>IF(OR(G647=1,G647=2),dadosexternosBMF_1!D650,"")</f>
        <v>#REF!</v>
      </c>
    </row>
    <row r="648" spans="1:17" x14ac:dyDescent="0.2">
      <c r="A648" s="222" t="e">
        <f t="shared" si="72"/>
        <v>#REF!</v>
      </c>
      <c r="B648" s="222" t="str">
        <f>IF(dadosexternosBMF_1!A651="DI1 - DI de 1 dia","DI1 - DI de 1 dia","")</f>
        <v/>
      </c>
      <c r="C648" s="222" t="e">
        <f>IF(dadosexternosBMF_1!A651="DOL - Dólar comercial","",IF(C647&lt;&gt;"",dadosexternosBMF_1!B651,IF(dadosexternosBMF_1!A651="DI1 - DI de 1 dia",dadosexternosBMF_1!B651,"")))</f>
        <v>#REF!</v>
      </c>
      <c r="D648" s="222" t="e">
        <f>IF(C648&lt;&gt;"",dadosexternosBMF_1!C651,"")</f>
        <v>#REF!</v>
      </c>
      <c r="E648" s="222" t="e">
        <f>IF(C648&lt;&gt;"",dadosexternosBMF_1!D651,"")</f>
        <v>#REF!</v>
      </c>
      <c r="G648" s="219" t="e">
        <f t="shared" si="73"/>
        <v>#REF!</v>
      </c>
      <c r="H648" s="219" t="e">
        <f t="shared" si="74"/>
        <v>#REF!</v>
      </c>
      <c r="I648" s="219" t="e">
        <f t="shared" si="75"/>
        <v>#REF!</v>
      </c>
      <c r="J648" s="219" t="e">
        <f>IF(I648="","",VLOOKUP(LEFT(C648,1),dadosexternosBMF_1!$L$2:$M$13,2,FALSE))</f>
        <v>#REF!</v>
      </c>
      <c r="K648" s="219" t="e">
        <f t="shared" si="76"/>
        <v>#REF!</v>
      </c>
      <c r="L648" s="422" t="e">
        <f t="shared" si="77"/>
        <v>#REF!</v>
      </c>
      <c r="M648" s="422" t="e">
        <f>IF(I648="","",WORKDAY(L648-1,1,FERIADOS!$A$2:$A$831))</f>
        <v>#REF!</v>
      </c>
      <c r="N648" s="219" t="e">
        <f>IF(I648="","",NETWORKDAYS(Curva!$M$2,M648,FERIADOS!$A$2:$A$831)-1)</f>
        <v>#REF!</v>
      </c>
      <c r="O648" s="423" t="e">
        <f>IF(C648&lt;&gt;"",IF(ISERROR((100000/E648)^(252/N648)-1),Curva!$B$2,((100000/E648)^(252/N648)-1)),"")</f>
        <v>#REF!</v>
      </c>
      <c r="P648" s="219" t="e">
        <f>IF(OR(G648=1,G648=2),dadosexternosBMF_1!B651,"")</f>
        <v>#REF!</v>
      </c>
      <c r="Q648" s="219" t="e">
        <f>IF(OR(G648=1,G648=2),dadosexternosBMF_1!D651,"")</f>
        <v>#REF!</v>
      </c>
    </row>
    <row r="649" spans="1:17" x14ac:dyDescent="0.2">
      <c r="A649" s="222" t="e">
        <f t="shared" si="72"/>
        <v>#REF!</v>
      </c>
      <c r="B649" s="222" t="str">
        <f>IF(dadosexternosBMF_1!A652="DI1 - DI de 1 dia","DI1 - DI de 1 dia","")</f>
        <v/>
      </c>
      <c r="C649" s="222" t="e">
        <f>IF(dadosexternosBMF_1!A652="DOL - Dólar comercial","",IF(C648&lt;&gt;"",dadosexternosBMF_1!B652,IF(dadosexternosBMF_1!A652="DI1 - DI de 1 dia",dadosexternosBMF_1!B652,"")))</f>
        <v>#REF!</v>
      </c>
      <c r="D649" s="222" t="e">
        <f>IF(C649&lt;&gt;"",dadosexternosBMF_1!C652,"")</f>
        <v>#REF!</v>
      </c>
      <c r="E649" s="222" t="e">
        <f>IF(C649&lt;&gt;"",dadosexternosBMF_1!D652,"")</f>
        <v>#REF!</v>
      </c>
      <c r="G649" s="219" t="e">
        <f t="shared" si="73"/>
        <v>#REF!</v>
      </c>
      <c r="H649" s="219" t="e">
        <f t="shared" si="74"/>
        <v>#REF!</v>
      </c>
      <c r="I649" s="219" t="e">
        <f t="shared" si="75"/>
        <v>#REF!</v>
      </c>
      <c r="J649" s="219" t="e">
        <f>IF(I649="","",VLOOKUP(LEFT(C649,1),dadosexternosBMF_1!$L$2:$M$13,2,FALSE))</f>
        <v>#REF!</v>
      </c>
      <c r="K649" s="219" t="e">
        <f t="shared" si="76"/>
        <v>#REF!</v>
      </c>
      <c r="L649" s="422" t="e">
        <f t="shared" si="77"/>
        <v>#REF!</v>
      </c>
      <c r="M649" s="422" t="e">
        <f>IF(I649="","",WORKDAY(L649-1,1,FERIADOS!$A$2:$A$831))</f>
        <v>#REF!</v>
      </c>
      <c r="N649" s="219" t="e">
        <f>IF(I649="","",NETWORKDAYS(Curva!$M$2,M649,FERIADOS!$A$2:$A$831)-1)</f>
        <v>#REF!</v>
      </c>
      <c r="O649" s="423" t="e">
        <f>IF(C649&lt;&gt;"",IF(ISERROR((100000/E649)^(252/N649)-1),Curva!$B$2,((100000/E649)^(252/N649)-1)),"")</f>
        <v>#REF!</v>
      </c>
      <c r="P649" s="219" t="e">
        <f>IF(OR(G649=1,G649=2),dadosexternosBMF_1!B652,"")</f>
        <v>#REF!</v>
      </c>
      <c r="Q649" s="219" t="e">
        <f>IF(OR(G649=1,G649=2),dadosexternosBMF_1!D652,"")</f>
        <v>#REF!</v>
      </c>
    </row>
    <row r="650" spans="1:17" x14ac:dyDescent="0.2">
      <c r="A650" s="222" t="e">
        <f t="shared" si="72"/>
        <v>#REF!</v>
      </c>
      <c r="B650" s="222" t="str">
        <f>IF(dadosexternosBMF_1!A653="DI1 - DI de 1 dia","DI1 - DI de 1 dia","")</f>
        <v/>
      </c>
      <c r="C650" s="222" t="e">
        <f>IF(dadosexternosBMF_1!A653="DOL - Dólar comercial","",IF(C649&lt;&gt;"",dadosexternosBMF_1!B653,IF(dadosexternosBMF_1!A653="DI1 - DI de 1 dia",dadosexternosBMF_1!B653,"")))</f>
        <v>#REF!</v>
      </c>
      <c r="D650" s="222" t="e">
        <f>IF(C650&lt;&gt;"",dadosexternosBMF_1!C653,"")</f>
        <v>#REF!</v>
      </c>
      <c r="E650" s="222" t="e">
        <f>IF(C650&lt;&gt;"",dadosexternosBMF_1!D653,"")</f>
        <v>#REF!</v>
      </c>
      <c r="G650" s="219" t="e">
        <f t="shared" si="73"/>
        <v>#REF!</v>
      </c>
      <c r="H650" s="219" t="e">
        <f t="shared" si="74"/>
        <v>#REF!</v>
      </c>
      <c r="I650" s="219" t="e">
        <f t="shared" si="75"/>
        <v>#REF!</v>
      </c>
      <c r="J650" s="219" t="e">
        <f>IF(I650="","",VLOOKUP(LEFT(C650,1),dadosexternosBMF_1!$L$2:$M$13,2,FALSE))</f>
        <v>#REF!</v>
      </c>
      <c r="K650" s="219" t="e">
        <f t="shared" si="76"/>
        <v>#REF!</v>
      </c>
      <c r="L650" s="422" t="e">
        <f t="shared" si="77"/>
        <v>#REF!</v>
      </c>
      <c r="M650" s="422" t="e">
        <f>IF(I650="","",WORKDAY(L650-1,1,FERIADOS!$A$2:$A$831))</f>
        <v>#REF!</v>
      </c>
      <c r="N650" s="219" t="e">
        <f>IF(I650="","",NETWORKDAYS(Curva!$M$2,M650,FERIADOS!$A$2:$A$831)-1)</f>
        <v>#REF!</v>
      </c>
      <c r="O650" s="423" t="e">
        <f>IF(C650&lt;&gt;"",IF(ISERROR((100000/E650)^(252/N650)-1),Curva!$B$2,((100000/E650)^(252/N650)-1)),"")</f>
        <v>#REF!</v>
      </c>
      <c r="P650" s="219" t="e">
        <f>IF(OR(G650=1,G650=2),dadosexternosBMF_1!B653,"")</f>
        <v>#REF!</v>
      </c>
      <c r="Q650" s="219" t="e">
        <f>IF(OR(G650=1,G650=2),dadosexternosBMF_1!D653,"")</f>
        <v>#REF!</v>
      </c>
    </row>
    <row r="651" spans="1:17" x14ac:dyDescent="0.2">
      <c r="A651" s="222" t="e">
        <f t="shared" si="72"/>
        <v>#REF!</v>
      </c>
      <c r="B651" s="222" t="str">
        <f>IF(dadosexternosBMF_1!A654="DI1 - DI de 1 dia","DI1 - DI de 1 dia","")</f>
        <v/>
      </c>
      <c r="C651" s="222" t="e">
        <f>IF(dadosexternosBMF_1!A654="DOL - Dólar comercial","",IF(C650&lt;&gt;"",dadosexternosBMF_1!B654,IF(dadosexternosBMF_1!A654="DI1 - DI de 1 dia",dadosexternosBMF_1!B654,"")))</f>
        <v>#REF!</v>
      </c>
      <c r="D651" s="222" t="e">
        <f>IF(C651&lt;&gt;"",dadosexternosBMF_1!C654,"")</f>
        <v>#REF!</v>
      </c>
      <c r="E651" s="222" t="e">
        <f>IF(C651&lt;&gt;"",dadosexternosBMF_1!D654,"")</f>
        <v>#REF!</v>
      </c>
      <c r="G651" s="219" t="e">
        <f t="shared" si="73"/>
        <v>#REF!</v>
      </c>
      <c r="H651" s="219" t="e">
        <f t="shared" si="74"/>
        <v>#REF!</v>
      </c>
      <c r="I651" s="219" t="e">
        <f t="shared" si="75"/>
        <v>#REF!</v>
      </c>
      <c r="J651" s="219" t="e">
        <f>IF(I651="","",VLOOKUP(LEFT(C651,1),dadosexternosBMF_1!$L$2:$M$13,2,FALSE))</f>
        <v>#REF!</v>
      </c>
      <c r="K651" s="219" t="e">
        <f t="shared" si="76"/>
        <v>#REF!</v>
      </c>
      <c r="L651" s="422" t="e">
        <f t="shared" si="77"/>
        <v>#REF!</v>
      </c>
      <c r="M651" s="422" t="e">
        <f>IF(I651="","",WORKDAY(L651-1,1,FERIADOS!$A$2:$A$831))</f>
        <v>#REF!</v>
      </c>
      <c r="N651" s="219" t="e">
        <f>IF(I651="","",NETWORKDAYS(Curva!$M$2,M651,FERIADOS!$A$2:$A$831)-1)</f>
        <v>#REF!</v>
      </c>
      <c r="O651" s="423" t="e">
        <f>IF(C651&lt;&gt;"",IF(ISERROR((100000/E651)^(252/N651)-1),Curva!$B$2,((100000/E651)^(252/N651)-1)),"")</f>
        <v>#REF!</v>
      </c>
      <c r="P651" s="219" t="e">
        <f>IF(OR(G651=1,G651=2),dadosexternosBMF_1!B654,"")</f>
        <v>#REF!</v>
      </c>
      <c r="Q651" s="219" t="e">
        <f>IF(OR(G651=1,G651=2),dadosexternosBMF_1!D654,"")</f>
        <v>#REF!</v>
      </c>
    </row>
    <row r="652" spans="1:17" x14ac:dyDescent="0.2">
      <c r="A652" s="222" t="e">
        <f t="shared" si="72"/>
        <v>#REF!</v>
      </c>
      <c r="B652" s="222" t="str">
        <f>IF(dadosexternosBMF_1!A655="DI1 - DI de 1 dia","DI1 - DI de 1 dia","")</f>
        <v/>
      </c>
      <c r="C652" s="222" t="e">
        <f>IF(dadosexternosBMF_1!A655="DOL - Dólar comercial","",IF(C651&lt;&gt;"",dadosexternosBMF_1!B655,IF(dadosexternosBMF_1!A655="DI1 - DI de 1 dia",dadosexternosBMF_1!B655,"")))</f>
        <v>#REF!</v>
      </c>
      <c r="D652" s="222" t="e">
        <f>IF(C652&lt;&gt;"",dadosexternosBMF_1!C655,"")</f>
        <v>#REF!</v>
      </c>
      <c r="E652" s="222" t="e">
        <f>IF(C652&lt;&gt;"",dadosexternosBMF_1!D655,"")</f>
        <v>#REF!</v>
      </c>
      <c r="G652" s="219" t="e">
        <f t="shared" si="73"/>
        <v>#REF!</v>
      </c>
      <c r="H652" s="219" t="e">
        <f t="shared" si="74"/>
        <v>#REF!</v>
      </c>
      <c r="I652" s="219" t="e">
        <f t="shared" si="75"/>
        <v>#REF!</v>
      </c>
      <c r="J652" s="219" t="e">
        <f>IF(I652="","",VLOOKUP(LEFT(C652,1),dadosexternosBMF_1!$L$2:$M$13,2,FALSE))</f>
        <v>#REF!</v>
      </c>
      <c r="K652" s="219" t="e">
        <f t="shared" si="76"/>
        <v>#REF!</v>
      </c>
      <c r="L652" s="422" t="e">
        <f t="shared" si="77"/>
        <v>#REF!</v>
      </c>
      <c r="M652" s="422" t="e">
        <f>IF(I652="","",WORKDAY(L652-1,1,FERIADOS!$A$2:$A$831))</f>
        <v>#REF!</v>
      </c>
      <c r="N652" s="219" t="e">
        <f>IF(I652="","",NETWORKDAYS(Curva!$M$2,M652,FERIADOS!$A$2:$A$831)-1)</f>
        <v>#REF!</v>
      </c>
      <c r="O652" s="423" t="e">
        <f>IF(C652&lt;&gt;"",IF(ISERROR((100000/E652)^(252/N652)-1),Curva!$B$2,((100000/E652)^(252/N652)-1)),"")</f>
        <v>#REF!</v>
      </c>
      <c r="P652" s="219" t="e">
        <f>IF(OR(G652=1,G652=2),dadosexternosBMF_1!B655,"")</f>
        <v>#REF!</v>
      </c>
      <c r="Q652" s="219" t="e">
        <f>IF(OR(G652=1,G652=2),dadosexternosBMF_1!D655,"")</f>
        <v>#REF!</v>
      </c>
    </row>
    <row r="653" spans="1:17" x14ac:dyDescent="0.2">
      <c r="A653" s="222" t="e">
        <f t="shared" si="72"/>
        <v>#REF!</v>
      </c>
      <c r="B653" s="222" t="str">
        <f>IF(dadosexternosBMF_1!A656="DI1 - DI de 1 dia","DI1 - DI de 1 dia","")</f>
        <v/>
      </c>
      <c r="C653" s="222" t="e">
        <f>IF(dadosexternosBMF_1!A656="DOL - Dólar comercial","",IF(C652&lt;&gt;"",dadosexternosBMF_1!B656,IF(dadosexternosBMF_1!A656="DI1 - DI de 1 dia",dadosexternosBMF_1!B656,"")))</f>
        <v>#REF!</v>
      </c>
      <c r="D653" s="222" t="e">
        <f>IF(C653&lt;&gt;"",dadosexternosBMF_1!C656,"")</f>
        <v>#REF!</v>
      </c>
      <c r="E653" s="222" t="e">
        <f>IF(C653&lt;&gt;"",dadosexternosBMF_1!D656,"")</f>
        <v>#REF!</v>
      </c>
      <c r="G653" s="219" t="e">
        <f t="shared" si="73"/>
        <v>#REF!</v>
      </c>
      <c r="H653" s="219" t="e">
        <f t="shared" si="74"/>
        <v>#REF!</v>
      </c>
      <c r="I653" s="219" t="e">
        <f t="shared" si="75"/>
        <v>#REF!</v>
      </c>
      <c r="J653" s="219" t="e">
        <f>IF(I653="","",VLOOKUP(LEFT(C653,1),dadosexternosBMF_1!$L$2:$M$13,2,FALSE))</f>
        <v>#REF!</v>
      </c>
      <c r="K653" s="219" t="e">
        <f t="shared" si="76"/>
        <v>#REF!</v>
      </c>
      <c r="L653" s="422" t="e">
        <f t="shared" si="77"/>
        <v>#REF!</v>
      </c>
      <c r="M653" s="422" t="e">
        <f>IF(I653="","",WORKDAY(L653-1,1,FERIADOS!$A$2:$A$831))</f>
        <v>#REF!</v>
      </c>
      <c r="N653" s="219" t="e">
        <f>IF(I653="","",NETWORKDAYS(Curva!$M$2,M653,FERIADOS!$A$2:$A$831)-1)</f>
        <v>#REF!</v>
      </c>
      <c r="O653" s="423" t="e">
        <f>IF(C653&lt;&gt;"",IF(ISERROR((100000/E653)^(252/N653)-1),Curva!$B$2,((100000/E653)^(252/N653)-1)),"")</f>
        <v>#REF!</v>
      </c>
      <c r="P653" s="219" t="e">
        <f>IF(OR(G653=1,G653=2),dadosexternosBMF_1!B656,"")</f>
        <v>#REF!</v>
      </c>
      <c r="Q653" s="219" t="e">
        <f>IF(OR(G653=1,G653=2),dadosexternosBMF_1!D656,"")</f>
        <v>#REF!</v>
      </c>
    </row>
    <row r="654" spans="1:17" x14ac:dyDescent="0.2">
      <c r="A654" s="222" t="e">
        <f t="shared" si="72"/>
        <v>#REF!</v>
      </c>
      <c r="B654" s="222" t="str">
        <f>IF(dadosexternosBMF_1!A657="DI1 - DI de 1 dia","DI1 - DI de 1 dia","")</f>
        <v/>
      </c>
      <c r="C654" s="222" t="e">
        <f>IF(dadosexternosBMF_1!A657="DOL - Dólar comercial","",IF(C653&lt;&gt;"",dadosexternosBMF_1!B657,IF(dadosexternosBMF_1!A657="DI1 - DI de 1 dia",dadosexternosBMF_1!B657,"")))</f>
        <v>#REF!</v>
      </c>
      <c r="D654" s="222" t="e">
        <f>IF(C654&lt;&gt;"",dadosexternosBMF_1!C657,"")</f>
        <v>#REF!</v>
      </c>
      <c r="E654" s="222" t="e">
        <f>IF(C654&lt;&gt;"",dadosexternosBMF_1!D657,"")</f>
        <v>#REF!</v>
      </c>
      <c r="G654" s="219" t="e">
        <f t="shared" si="73"/>
        <v>#REF!</v>
      </c>
      <c r="H654" s="219" t="e">
        <f t="shared" si="74"/>
        <v>#REF!</v>
      </c>
      <c r="I654" s="219" t="e">
        <f t="shared" si="75"/>
        <v>#REF!</v>
      </c>
      <c r="J654" s="219" t="e">
        <f>IF(I654="","",VLOOKUP(LEFT(C654,1),dadosexternosBMF_1!$L$2:$M$13,2,FALSE))</f>
        <v>#REF!</v>
      </c>
      <c r="K654" s="219" t="e">
        <f t="shared" si="76"/>
        <v>#REF!</v>
      </c>
      <c r="L654" s="422" t="e">
        <f t="shared" si="77"/>
        <v>#REF!</v>
      </c>
      <c r="M654" s="422" t="e">
        <f>IF(I654="","",WORKDAY(L654-1,1,FERIADOS!$A$2:$A$831))</f>
        <v>#REF!</v>
      </c>
      <c r="N654" s="219" t="e">
        <f>IF(I654="","",NETWORKDAYS(Curva!$M$2,M654,FERIADOS!$A$2:$A$831)-1)</f>
        <v>#REF!</v>
      </c>
      <c r="O654" s="423" t="e">
        <f>IF(C654&lt;&gt;"",IF(ISERROR((100000/E654)^(252/N654)-1),Curva!$B$2,((100000/E654)^(252/N654)-1)),"")</f>
        <v>#REF!</v>
      </c>
      <c r="P654" s="219" t="e">
        <f>IF(OR(G654=1,G654=2),dadosexternosBMF_1!B657,"")</f>
        <v>#REF!</v>
      </c>
      <c r="Q654" s="219" t="e">
        <f>IF(OR(G654=1,G654=2),dadosexternosBMF_1!D657,"")</f>
        <v>#REF!</v>
      </c>
    </row>
    <row r="655" spans="1:17" x14ac:dyDescent="0.2">
      <c r="A655" s="222" t="e">
        <f t="shared" si="72"/>
        <v>#REF!</v>
      </c>
      <c r="B655" s="222" t="str">
        <f>IF(dadosexternosBMF_1!A658="DI1 - DI de 1 dia","DI1 - DI de 1 dia","")</f>
        <v/>
      </c>
      <c r="C655" s="222" t="e">
        <f>IF(dadosexternosBMF_1!A658="DOL - Dólar comercial","",IF(C654&lt;&gt;"",dadosexternosBMF_1!B658,IF(dadosexternosBMF_1!A658="DI1 - DI de 1 dia",dadosexternosBMF_1!B658,"")))</f>
        <v>#REF!</v>
      </c>
      <c r="D655" s="222" t="e">
        <f>IF(C655&lt;&gt;"",dadosexternosBMF_1!C658,"")</f>
        <v>#REF!</v>
      </c>
      <c r="E655" s="222" t="e">
        <f>IF(C655&lt;&gt;"",dadosexternosBMF_1!D658,"")</f>
        <v>#REF!</v>
      </c>
      <c r="G655" s="219" t="e">
        <f t="shared" si="73"/>
        <v>#REF!</v>
      </c>
      <c r="H655" s="219" t="e">
        <f t="shared" si="74"/>
        <v>#REF!</v>
      </c>
      <c r="I655" s="219" t="e">
        <f t="shared" si="75"/>
        <v>#REF!</v>
      </c>
      <c r="J655" s="219" t="e">
        <f>IF(I655="","",VLOOKUP(LEFT(C655,1),dadosexternosBMF_1!$L$2:$M$13,2,FALSE))</f>
        <v>#REF!</v>
      </c>
      <c r="K655" s="219" t="e">
        <f t="shared" si="76"/>
        <v>#REF!</v>
      </c>
      <c r="L655" s="422" t="e">
        <f t="shared" si="77"/>
        <v>#REF!</v>
      </c>
      <c r="M655" s="422" t="e">
        <f>IF(I655="","",WORKDAY(L655-1,1,FERIADOS!$A$2:$A$831))</f>
        <v>#REF!</v>
      </c>
      <c r="N655" s="219" t="e">
        <f>IF(I655="","",NETWORKDAYS(Curva!$M$2,M655,FERIADOS!$A$2:$A$831)-1)</f>
        <v>#REF!</v>
      </c>
      <c r="O655" s="423" t="e">
        <f>IF(C655&lt;&gt;"",IF(ISERROR((100000/E655)^(252/N655)-1),Curva!$B$2,((100000/E655)^(252/N655)-1)),"")</f>
        <v>#REF!</v>
      </c>
      <c r="P655" s="219" t="e">
        <f>IF(OR(G655=1,G655=2),dadosexternosBMF_1!B658,"")</f>
        <v>#REF!</v>
      </c>
      <c r="Q655" s="219" t="e">
        <f>IF(OR(G655=1,G655=2),dadosexternosBMF_1!D658,"")</f>
        <v>#REF!</v>
      </c>
    </row>
    <row r="656" spans="1:17" x14ac:dyDescent="0.2">
      <c r="A656" s="222" t="e">
        <f t="shared" si="72"/>
        <v>#REF!</v>
      </c>
      <c r="B656" s="222" t="str">
        <f>IF(dadosexternosBMF_1!A659="DI1 - DI de 1 dia","DI1 - DI de 1 dia","")</f>
        <v/>
      </c>
      <c r="C656" s="222" t="e">
        <f>IF(dadosexternosBMF_1!A659="DOL - Dólar comercial","",IF(C655&lt;&gt;"",dadosexternosBMF_1!B659,IF(dadosexternosBMF_1!A659="DI1 - DI de 1 dia",dadosexternosBMF_1!B659,"")))</f>
        <v>#REF!</v>
      </c>
      <c r="D656" s="222" t="e">
        <f>IF(C656&lt;&gt;"",dadosexternosBMF_1!C659,"")</f>
        <v>#REF!</v>
      </c>
      <c r="E656" s="222" t="e">
        <f>IF(C656&lt;&gt;"",dadosexternosBMF_1!D659,"")</f>
        <v>#REF!</v>
      </c>
      <c r="G656" s="219" t="e">
        <f t="shared" si="73"/>
        <v>#REF!</v>
      </c>
      <c r="H656" s="219" t="e">
        <f t="shared" si="74"/>
        <v>#REF!</v>
      </c>
      <c r="I656" s="219" t="e">
        <f t="shared" si="75"/>
        <v>#REF!</v>
      </c>
      <c r="J656" s="219" t="e">
        <f>IF(I656="","",VLOOKUP(LEFT(C656,1),dadosexternosBMF_1!$L$2:$M$13,2,FALSE))</f>
        <v>#REF!</v>
      </c>
      <c r="K656" s="219" t="e">
        <f t="shared" si="76"/>
        <v>#REF!</v>
      </c>
      <c r="L656" s="422" t="e">
        <f t="shared" si="77"/>
        <v>#REF!</v>
      </c>
      <c r="M656" s="422" t="e">
        <f>IF(I656="","",WORKDAY(L656-1,1,FERIADOS!$A$2:$A$831))</f>
        <v>#REF!</v>
      </c>
      <c r="N656" s="219" t="e">
        <f>IF(I656="","",NETWORKDAYS(Curva!$M$2,M656,FERIADOS!$A$2:$A$831)-1)</f>
        <v>#REF!</v>
      </c>
      <c r="O656" s="423" t="e">
        <f>IF(C656&lt;&gt;"",IF(ISERROR((100000/E656)^(252/N656)-1),Curva!$B$2,((100000/E656)^(252/N656)-1)),"")</f>
        <v>#REF!</v>
      </c>
      <c r="P656" s="219" t="e">
        <f>IF(OR(G656=1,G656=2),dadosexternosBMF_1!B659,"")</f>
        <v>#REF!</v>
      </c>
      <c r="Q656" s="219" t="e">
        <f>IF(OR(G656=1,G656=2),dadosexternosBMF_1!D659,"")</f>
        <v>#REF!</v>
      </c>
    </row>
    <row r="657" spans="1:17" x14ac:dyDescent="0.2">
      <c r="A657" s="222" t="e">
        <f t="shared" si="72"/>
        <v>#REF!</v>
      </c>
      <c r="B657" s="222" t="str">
        <f>IF(dadosexternosBMF_1!A660="DI1 - DI de 1 dia","DI1 - DI de 1 dia","")</f>
        <v/>
      </c>
      <c r="C657" s="222" t="e">
        <f>IF(dadosexternosBMF_1!A660="DOL - Dólar comercial","",IF(C656&lt;&gt;"",dadosexternosBMF_1!B660,IF(dadosexternosBMF_1!A660="DI1 - DI de 1 dia",dadosexternosBMF_1!B660,"")))</f>
        <v>#REF!</v>
      </c>
      <c r="D657" s="222" t="e">
        <f>IF(C657&lt;&gt;"",dadosexternosBMF_1!C660,"")</f>
        <v>#REF!</v>
      </c>
      <c r="E657" s="222" t="e">
        <f>IF(C657&lt;&gt;"",dadosexternosBMF_1!D660,"")</f>
        <v>#REF!</v>
      </c>
      <c r="G657" s="219" t="e">
        <f t="shared" si="73"/>
        <v>#REF!</v>
      </c>
      <c r="H657" s="219" t="e">
        <f t="shared" si="74"/>
        <v>#REF!</v>
      </c>
      <c r="I657" s="219" t="e">
        <f t="shared" si="75"/>
        <v>#REF!</v>
      </c>
      <c r="J657" s="219" t="e">
        <f>IF(I657="","",VLOOKUP(LEFT(C657,1),dadosexternosBMF_1!$L$2:$M$13,2,FALSE))</f>
        <v>#REF!</v>
      </c>
      <c r="K657" s="219" t="e">
        <f t="shared" si="76"/>
        <v>#REF!</v>
      </c>
      <c r="L657" s="422" t="e">
        <f t="shared" si="77"/>
        <v>#REF!</v>
      </c>
      <c r="M657" s="422" t="e">
        <f>IF(I657="","",WORKDAY(L657-1,1,FERIADOS!$A$2:$A$831))</f>
        <v>#REF!</v>
      </c>
      <c r="N657" s="219" t="e">
        <f>IF(I657="","",NETWORKDAYS(Curva!$M$2,M657,FERIADOS!$A$2:$A$831)-1)</f>
        <v>#REF!</v>
      </c>
      <c r="O657" s="423" t="e">
        <f>IF(C657&lt;&gt;"",IF(ISERROR((100000/E657)^(252/N657)-1),Curva!$B$2,((100000/E657)^(252/N657)-1)),"")</f>
        <v>#REF!</v>
      </c>
      <c r="P657" s="219" t="e">
        <f>IF(OR(G657=1,G657=2),dadosexternosBMF_1!B660,"")</f>
        <v>#REF!</v>
      </c>
      <c r="Q657" s="219" t="e">
        <f>IF(OR(G657=1,G657=2),dadosexternosBMF_1!D660,"")</f>
        <v>#REF!</v>
      </c>
    </row>
    <row r="658" spans="1:17" x14ac:dyDescent="0.2">
      <c r="A658" s="222" t="e">
        <f t="shared" si="72"/>
        <v>#REF!</v>
      </c>
      <c r="B658" s="222" t="str">
        <f>IF(dadosexternosBMF_1!A661="DI1 - DI de 1 dia","DI1 - DI de 1 dia","")</f>
        <v/>
      </c>
      <c r="C658" s="222" t="e">
        <f>IF(dadosexternosBMF_1!A661="DOL - Dólar comercial","",IF(C657&lt;&gt;"",dadosexternosBMF_1!B661,IF(dadosexternosBMF_1!A661="DI1 - DI de 1 dia",dadosexternosBMF_1!B661,"")))</f>
        <v>#REF!</v>
      </c>
      <c r="D658" s="222" t="e">
        <f>IF(C658&lt;&gt;"",dadosexternosBMF_1!C661,"")</f>
        <v>#REF!</v>
      </c>
      <c r="E658" s="222" t="e">
        <f>IF(C658&lt;&gt;"",dadosexternosBMF_1!D661,"")</f>
        <v>#REF!</v>
      </c>
      <c r="G658" s="219" t="e">
        <f t="shared" si="73"/>
        <v>#REF!</v>
      </c>
      <c r="H658" s="219" t="e">
        <f t="shared" si="74"/>
        <v>#REF!</v>
      </c>
      <c r="I658" s="219" t="e">
        <f t="shared" si="75"/>
        <v>#REF!</v>
      </c>
      <c r="J658" s="219" t="e">
        <f>IF(I658="","",VLOOKUP(LEFT(C658,1),dadosexternosBMF_1!$L$2:$M$13,2,FALSE))</f>
        <v>#REF!</v>
      </c>
      <c r="K658" s="219" t="e">
        <f t="shared" si="76"/>
        <v>#REF!</v>
      </c>
      <c r="L658" s="422" t="e">
        <f t="shared" si="77"/>
        <v>#REF!</v>
      </c>
      <c r="M658" s="422" t="e">
        <f>IF(I658="","",WORKDAY(L658-1,1,FERIADOS!$A$2:$A$831))</f>
        <v>#REF!</v>
      </c>
      <c r="N658" s="219" t="e">
        <f>IF(I658="","",NETWORKDAYS(Curva!$M$2,M658,FERIADOS!$A$2:$A$831)-1)</f>
        <v>#REF!</v>
      </c>
      <c r="O658" s="423" t="e">
        <f>IF(C658&lt;&gt;"",IF(ISERROR((100000/E658)^(252/N658)-1),Curva!$B$2,((100000/E658)^(252/N658)-1)),"")</f>
        <v>#REF!</v>
      </c>
      <c r="P658" s="219" t="e">
        <f>IF(OR(G658=1,G658=2),dadosexternosBMF_1!B661,"")</f>
        <v>#REF!</v>
      </c>
      <c r="Q658" s="219" t="e">
        <f>IF(OR(G658=1,G658=2),dadosexternosBMF_1!D661,"")</f>
        <v>#REF!</v>
      </c>
    </row>
    <row r="659" spans="1:17" x14ac:dyDescent="0.2">
      <c r="A659" s="222" t="e">
        <f t="shared" si="72"/>
        <v>#REF!</v>
      </c>
      <c r="B659" s="222" t="str">
        <f>IF(dadosexternosBMF_1!A662="DI1 - DI de 1 dia","DI1 - DI de 1 dia","")</f>
        <v/>
      </c>
      <c r="C659" s="222" t="e">
        <f>IF(dadosexternosBMF_1!A662="DOL - Dólar comercial","",IF(C658&lt;&gt;"",dadosexternosBMF_1!B662,IF(dadosexternosBMF_1!A662="DI1 - DI de 1 dia",dadosexternosBMF_1!B662,"")))</f>
        <v>#REF!</v>
      </c>
      <c r="D659" s="222" t="e">
        <f>IF(C659&lt;&gt;"",dadosexternosBMF_1!C662,"")</f>
        <v>#REF!</v>
      </c>
      <c r="E659" s="222" t="e">
        <f>IF(C659&lt;&gt;"",dadosexternosBMF_1!D662,"")</f>
        <v>#REF!</v>
      </c>
      <c r="G659" s="219" t="e">
        <f t="shared" si="73"/>
        <v>#REF!</v>
      </c>
      <c r="H659" s="219" t="e">
        <f t="shared" si="74"/>
        <v>#REF!</v>
      </c>
      <c r="I659" s="219" t="e">
        <f t="shared" si="75"/>
        <v>#REF!</v>
      </c>
      <c r="J659" s="219" t="e">
        <f>IF(I659="","",VLOOKUP(LEFT(C659,1),dadosexternosBMF_1!$L$2:$M$13,2,FALSE))</f>
        <v>#REF!</v>
      </c>
      <c r="K659" s="219" t="e">
        <f t="shared" si="76"/>
        <v>#REF!</v>
      </c>
      <c r="L659" s="422" t="e">
        <f t="shared" si="77"/>
        <v>#REF!</v>
      </c>
      <c r="M659" s="422" t="e">
        <f>IF(I659="","",WORKDAY(L659-1,1,FERIADOS!$A$2:$A$831))</f>
        <v>#REF!</v>
      </c>
      <c r="N659" s="219" t="e">
        <f>IF(I659="","",NETWORKDAYS(Curva!$M$2,M659,FERIADOS!$A$2:$A$831)-1)</f>
        <v>#REF!</v>
      </c>
      <c r="O659" s="423" t="e">
        <f>IF(C659&lt;&gt;"",IF(ISERROR((100000/E659)^(252/N659)-1),Curva!$B$2,((100000/E659)^(252/N659)-1)),"")</f>
        <v>#REF!</v>
      </c>
      <c r="P659" s="219" t="e">
        <f>IF(OR(G659=1,G659=2),dadosexternosBMF_1!B662,"")</f>
        <v>#REF!</v>
      </c>
      <c r="Q659" s="219" t="e">
        <f>IF(OR(G659=1,G659=2),dadosexternosBMF_1!D662,"")</f>
        <v>#REF!</v>
      </c>
    </row>
    <row r="660" spans="1:17" x14ac:dyDescent="0.2">
      <c r="A660" s="222" t="e">
        <f t="shared" si="72"/>
        <v>#REF!</v>
      </c>
      <c r="B660" s="222" t="str">
        <f>IF(dadosexternosBMF_1!A663="DI1 - DI de 1 dia","DI1 - DI de 1 dia","")</f>
        <v/>
      </c>
      <c r="C660" s="222" t="e">
        <f>IF(dadosexternosBMF_1!A663="DOL - Dólar comercial","",IF(C659&lt;&gt;"",dadosexternosBMF_1!B663,IF(dadosexternosBMF_1!A663="DI1 - DI de 1 dia",dadosexternosBMF_1!B663,"")))</f>
        <v>#REF!</v>
      </c>
      <c r="D660" s="222" t="e">
        <f>IF(C660&lt;&gt;"",dadosexternosBMF_1!C663,"")</f>
        <v>#REF!</v>
      </c>
      <c r="E660" s="222" t="e">
        <f>IF(C660&lt;&gt;"",dadosexternosBMF_1!D663,"")</f>
        <v>#REF!</v>
      </c>
      <c r="G660" s="219" t="e">
        <f t="shared" si="73"/>
        <v>#REF!</v>
      </c>
      <c r="H660" s="219" t="e">
        <f t="shared" si="74"/>
        <v>#REF!</v>
      </c>
      <c r="I660" s="219" t="e">
        <f t="shared" si="75"/>
        <v>#REF!</v>
      </c>
      <c r="J660" s="219" t="e">
        <f>IF(I660="","",VLOOKUP(LEFT(C660,1),dadosexternosBMF_1!$L$2:$M$13,2,FALSE))</f>
        <v>#REF!</v>
      </c>
      <c r="K660" s="219" t="e">
        <f t="shared" si="76"/>
        <v>#REF!</v>
      </c>
      <c r="L660" s="422" t="e">
        <f t="shared" si="77"/>
        <v>#REF!</v>
      </c>
      <c r="M660" s="422" t="e">
        <f>IF(I660="","",WORKDAY(L660-1,1,FERIADOS!$A$2:$A$831))</f>
        <v>#REF!</v>
      </c>
      <c r="N660" s="219" t="e">
        <f>IF(I660="","",NETWORKDAYS(Curva!$M$2,M660,FERIADOS!$A$2:$A$831)-1)</f>
        <v>#REF!</v>
      </c>
      <c r="O660" s="423" t="e">
        <f>IF(C660&lt;&gt;"",IF(ISERROR((100000/E660)^(252/N660)-1),Curva!$B$2,((100000/E660)^(252/N660)-1)),"")</f>
        <v>#REF!</v>
      </c>
      <c r="P660" s="219" t="e">
        <f>IF(OR(G660=1,G660=2),dadosexternosBMF_1!B663,"")</f>
        <v>#REF!</v>
      </c>
      <c r="Q660" s="219" t="e">
        <f>IF(OR(G660=1,G660=2),dadosexternosBMF_1!D663,"")</f>
        <v>#REF!</v>
      </c>
    </row>
    <row r="661" spans="1:17" x14ac:dyDescent="0.2">
      <c r="A661" s="222" t="e">
        <f t="shared" si="72"/>
        <v>#REF!</v>
      </c>
      <c r="B661" s="222" t="str">
        <f>IF(dadosexternosBMF_1!A664="DI1 - DI de 1 dia","DI1 - DI de 1 dia","")</f>
        <v/>
      </c>
      <c r="C661" s="222" t="e">
        <f>IF(dadosexternosBMF_1!A664="DOL - Dólar comercial","",IF(C660&lt;&gt;"",dadosexternosBMF_1!B664,IF(dadosexternosBMF_1!A664="DI1 - DI de 1 dia",dadosexternosBMF_1!B664,"")))</f>
        <v>#REF!</v>
      </c>
      <c r="D661" s="222" t="e">
        <f>IF(C661&lt;&gt;"",dadosexternosBMF_1!C664,"")</f>
        <v>#REF!</v>
      </c>
      <c r="E661" s="222" t="e">
        <f>IF(C661&lt;&gt;"",dadosexternosBMF_1!D664,"")</f>
        <v>#REF!</v>
      </c>
      <c r="G661" s="219" t="e">
        <f t="shared" si="73"/>
        <v>#REF!</v>
      </c>
      <c r="H661" s="219" t="e">
        <f t="shared" si="74"/>
        <v>#REF!</v>
      </c>
      <c r="I661" s="219" t="e">
        <f t="shared" si="75"/>
        <v>#REF!</v>
      </c>
      <c r="J661" s="219" t="e">
        <f>IF(I661="","",VLOOKUP(LEFT(C661,1),dadosexternosBMF_1!$L$2:$M$13,2,FALSE))</f>
        <v>#REF!</v>
      </c>
      <c r="K661" s="219" t="e">
        <f t="shared" si="76"/>
        <v>#REF!</v>
      </c>
      <c r="L661" s="422" t="e">
        <f t="shared" si="77"/>
        <v>#REF!</v>
      </c>
      <c r="M661" s="422" t="e">
        <f>IF(I661="","",WORKDAY(L661-1,1,FERIADOS!$A$2:$A$831))</f>
        <v>#REF!</v>
      </c>
      <c r="N661" s="219" t="e">
        <f>IF(I661="","",NETWORKDAYS(Curva!$M$2,M661,FERIADOS!$A$2:$A$831)-1)</f>
        <v>#REF!</v>
      </c>
      <c r="O661" s="423" t="e">
        <f>IF(C661&lt;&gt;"",IF(ISERROR((100000/E661)^(252/N661)-1),Curva!$B$2,((100000/E661)^(252/N661)-1)),"")</f>
        <v>#REF!</v>
      </c>
      <c r="P661" s="219" t="e">
        <f>IF(OR(G661=1,G661=2),dadosexternosBMF_1!B664,"")</f>
        <v>#REF!</v>
      </c>
      <c r="Q661" s="219" t="e">
        <f>IF(OR(G661=1,G661=2),dadosexternosBMF_1!D664,"")</f>
        <v>#REF!</v>
      </c>
    </row>
    <row r="662" spans="1:17" x14ac:dyDescent="0.2">
      <c r="A662" s="222" t="e">
        <f t="shared" si="72"/>
        <v>#REF!</v>
      </c>
      <c r="B662" s="222" t="str">
        <f>IF(dadosexternosBMF_1!A665="DI1 - DI de 1 dia","DI1 - DI de 1 dia","")</f>
        <v/>
      </c>
      <c r="C662" s="222" t="e">
        <f>IF(dadosexternosBMF_1!A665="DOL - Dólar comercial","",IF(C661&lt;&gt;"",dadosexternosBMF_1!B665,IF(dadosexternosBMF_1!A665="DI1 - DI de 1 dia",dadosexternosBMF_1!B665,"")))</f>
        <v>#REF!</v>
      </c>
      <c r="D662" s="222" t="e">
        <f>IF(C662&lt;&gt;"",dadosexternosBMF_1!C665,"")</f>
        <v>#REF!</v>
      </c>
      <c r="E662" s="222" t="e">
        <f>IF(C662&lt;&gt;"",dadosexternosBMF_1!D665,"")</f>
        <v>#REF!</v>
      </c>
      <c r="G662" s="219" t="e">
        <f t="shared" si="73"/>
        <v>#REF!</v>
      </c>
      <c r="H662" s="219" t="e">
        <f t="shared" si="74"/>
        <v>#REF!</v>
      </c>
      <c r="I662" s="219" t="e">
        <f t="shared" si="75"/>
        <v>#REF!</v>
      </c>
      <c r="J662" s="219" t="e">
        <f>IF(I662="","",VLOOKUP(LEFT(C662,1),dadosexternosBMF_1!$L$2:$M$13,2,FALSE))</f>
        <v>#REF!</v>
      </c>
      <c r="K662" s="219" t="e">
        <f t="shared" si="76"/>
        <v>#REF!</v>
      </c>
      <c r="L662" s="422" t="e">
        <f t="shared" si="77"/>
        <v>#REF!</v>
      </c>
      <c r="M662" s="422" t="e">
        <f>IF(I662="","",WORKDAY(L662-1,1,FERIADOS!$A$2:$A$831))</f>
        <v>#REF!</v>
      </c>
      <c r="N662" s="219" t="e">
        <f>IF(I662="","",NETWORKDAYS(Curva!$M$2,M662,FERIADOS!$A$2:$A$831)-1)</f>
        <v>#REF!</v>
      </c>
      <c r="O662" s="423" t="e">
        <f>IF(C662&lt;&gt;"",IF(ISERROR((100000/E662)^(252/N662)-1),Curva!$B$2,((100000/E662)^(252/N662)-1)),"")</f>
        <v>#REF!</v>
      </c>
      <c r="P662" s="219" t="e">
        <f>IF(OR(G662=1,G662=2),dadosexternosBMF_1!B665,"")</f>
        <v>#REF!</v>
      </c>
      <c r="Q662" s="219" t="e">
        <f>IF(OR(G662=1,G662=2),dadosexternosBMF_1!D665,"")</f>
        <v>#REF!</v>
      </c>
    </row>
    <row r="663" spans="1:17" x14ac:dyDescent="0.2">
      <c r="A663" s="222" t="e">
        <f t="shared" si="72"/>
        <v>#REF!</v>
      </c>
      <c r="B663" s="222" t="str">
        <f>IF(dadosexternosBMF_1!A666="DI1 - DI de 1 dia","DI1 - DI de 1 dia","")</f>
        <v/>
      </c>
      <c r="C663" s="222" t="e">
        <f>IF(dadosexternosBMF_1!A666="DOL - Dólar comercial","",IF(C662&lt;&gt;"",dadosexternosBMF_1!B666,IF(dadosexternosBMF_1!A666="DI1 - DI de 1 dia",dadosexternosBMF_1!B666,"")))</f>
        <v>#REF!</v>
      </c>
      <c r="D663" s="222" t="e">
        <f>IF(C663&lt;&gt;"",dadosexternosBMF_1!C666,"")</f>
        <v>#REF!</v>
      </c>
      <c r="E663" s="222" t="e">
        <f>IF(C663&lt;&gt;"",dadosexternosBMF_1!D666,"")</f>
        <v>#REF!</v>
      </c>
      <c r="G663" s="219" t="e">
        <f t="shared" si="73"/>
        <v>#REF!</v>
      </c>
      <c r="H663" s="219" t="e">
        <f t="shared" si="74"/>
        <v>#REF!</v>
      </c>
      <c r="I663" s="219" t="e">
        <f t="shared" si="75"/>
        <v>#REF!</v>
      </c>
      <c r="J663" s="219" t="e">
        <f>IF(I663="","",VLOOKUP(LEFT(C663,1),dadosexternosBMF_1!$L$2:$M$13,2,FALSE))</f>
        <v>#REF!</v>
      </c>
      <c r="K663" s="219" t="e">
        <f t="shared" si="76"/>
        <v>#REF!</v>
      </c>
      <c r="L663" s="422" t="e">
        <f t="shared" si="77"/>
        <v>#REF!</v>
      </c>
      <c r="M663" s="422" t="e">
        <f>IF(I663="","",WORKDAY(L663-1,1,FERIADOS!$A$2:$A$831))</f>
        <v>#REF!</v>
      </c>
      <c r="N663" s="219" t="e">
        <f>IF(I663="","",NETWORKDAYS(Curva!$M$2,M663,FERIADOS!$A$2:$A$831)-1)</f>
        <v>#REF!</v>
      </c>
      <c r="O663" s="423" t="e">
        <f>IF(C663&lt;&gt;"",IF(ISERROR((100000/E663)^(252/N663)-1),Curva!$B$2,((100000/E663)^(252/N663)-1)),"")</f>
        <v>#REF!</v>
      </c>
      <c r="P663" s="219" t="e">
        <f>IF(OR(G663=1,G663=2),dadosexternosBMF_1!B666,"")</f>
        <v>#REF!</v>
      </c>
      <c r="Q663" s="219" t="e">
        <f>IF(OR(G663=1,G663=2),dadosexternosBMF_1!D666,"")</f>
        <v>#REF!</v>
      </c>
    </row>
    <row r="664" spans="1:17" x14ac:dyDescent="0.2">
      <c r="A664" s="222" t="e">
        <f t="shared" si="72"/>
        <v>#REF!</v>
      </c>
      <c r="B664" s="222" t="str">
        <f>IF(dadosexternosBMF_1!A667="DI1 - DI de 1 dia","DI1 - DI de 1 dia","")</f>
        <v/>
      </c>
      <c r="C664" s="222" t="e">
        <f>IF(dadosexternosBMF_1!A667="DOL - Dólar comercial","",IF(C663&lt;&gt;"",dadosexternosBMF_1!B667,IF(dadosexternosBMF_1!A667="DI1 - DI de 1 dia",dadosexternosBMF_1!B667,"")))</f>
        <v>#REF!</v>
      </c>
      <c r="D664" s="222" t="e">
        <f>IF(C664&lt;&gt;"",dadosexternosBMF_1!C667,"")</f>
        <v>#REF!</v>
      </c>
      <c r="E664" s="222" t="e">
        <f>IF(C664&lt;&gt;"",dadosexternosBMF_1!D667,"")</f>
        <v>#REF!</v>
      </c>
      <c r="G664" s="219" t="e">
        <f t="shared" si="73"/>
        <v>#REF!</v>
      </c>
      <c r="H664" s="219" t="e">
        <f t="shared" si="74"/>
        <v>#REF!</v>
      </c>
      <c r="I664" s="219" t="e">
        <f t="shared" si="75"/>
        <v>#REF!</v>
      </c>
      <c r="J664" s="219" t="e">
        <f>IF(I664="","",VLOOKUP(LEFT(C664,1),dadosexternosBMF_1!$L$2:$M$13,2,FALSE))</f>
        <v>#REF!</v>
      </c>
      <c r="K664" s="219" t="e">
        <f t="shared" si="76"/>
        <v>#REF!</v>
      </c>
      <c r="L664" s="422" t="e">
        <f t="shared" si="77"/>
        <v>#REF!</v>
      </c>
      <c r="M664" s="422" t="e">
        <f>IF(I664="","",WORKDAY(L664-1,1,FERIADOS!$A$2:$A$831))</f>
        <v>#REF!</v>
      </c>
      <c r="N664" s="219" t="e">
        <f>IF(I664="","",NETWORKDAYS(Curva!$M$2,M664,FERIADOS!$A$2:$A$831)-1)</f>
        <v>#REF!</v>
      </c>
      <c r="O664" s="423" t="e">
        <f>IF(C664&lt;&gt;"",IF(ISERROR((100000/E664)^(252/N664)-1),Curva!$B$2,((100000/E664)^(252/N664)-1)),"")</f>
        <v>#REF!</v>
      </c>
      <c r="P664" s="219" t="e">
        <f>IF(OR(G664=1,G664=2),dadosexternosBMF_1!B667,"")</f>
        <v>#REF!</v>
      </c>
      <c r="Q664" s="219" t="e">
        <f>IF(OR(G664=1,G664=2),dadosexternosBMF_1!D667,"")</f>
        <v>#REF!</v>
      </c>
    </row>
    <row r="665" spans="1:17" x14ac:dyDescent="0.2">
      <c r="A665" s="222" t="e">
        <f t="shared" si="72"/>
        <v>#REF!</v>
      </c>
      <c r="B665" s="222" t="str">
        <f>IF(dadosexternosBMF_1!A668="DI1 - DI de 1 dia","DI1 - DI de 1 dia","")</f>
        <v/>
      </c>
      <c r="C665" s="222" t="e">
        <f>IF(dadosexternosBMF_1!A668="DOL - Dólar comercial","",IF(C664&lt;&gt;"",dadosexternosBMF_1!B668,IF(dadosexternosBMF_1!A668="DI1 - DI de 1 dia",dadosexternosBMF_1!B668,"")))</f>
        <v>#REF!</v>
      </c>
      <c r="D665" s="222" t="e">
        <f>IF(C665&lt;&gt;"",dadosexternosBMF_1!C668,"")</f>
        <v>#REF!</v>
      </c>
      <c r="E665" s="222" t="e">
        <f>IF(C665&lt;&gt;"",dadosexternosBMF_1!D668,"")</f>
        <v>#REF!</v>
      </c>
      <c r="G665" s="219" t="e">
        <f t="shared" si="73"/>
        <v>#REF!</v>
      </c>
      <c r="H665" s="219" t="e">
        <f t="shared" si="74"/>
        <v>#REF!</v>
      </c>
      <c r="I665" s="219" t="e">
        <f t="shared" si="75"/>
        <v>#REF!</v>
      </c>
      <c r="J665" s="219" t="e">
        <f>IF(I665="","",VLOOKUP(LEFT(C665,1),dadosexternosBMF_1!$L$2:$M$13,2,FALSE))</f>
        <v>#REF!</v>
      </c>
      <c r="K665" s="219" t="e">
        <f t="shared" si="76"/>
        <v>#REF!</v>
      </c>
      <c r="L665" s="422" t="e">
        <f t="shared" si="77"/>
        <v>#REF!</v>
      </c>
      <c r="M665" s="422" t="e">
        <f>IF(I665="","",WORKDAY(L665-1,1,FERIADOS!$A$2:$A$831))</f>
        <v>#REF!</v>
      </c>
      <c r="N665" s="219" t="e">
        <f>IF(I665="","",NETWORKDAYS(Curva!$M$2,M665,FERIADOS!$A$2:$A$831)-1)</f>
        <v>#REF!</v>
      </c>
      <c r="O665" s="423" t="e">
        <f>IF(C665&lt;&gt;"",IF(ISERROR((100000/E665)^(252/N665)-1),Curva!$B$2,((100000/E665)^(252/N665)-1)),"")</f>
        <v>#REF!</v>
      </c>
      <c r="P665" s="219" t="e">
        <f>IF(OR(G665=1,G665=2),dadosexternosBMF_1!B668,"")</f>
        <v>#REF!</v>
      </c>
      <c r="Q665" s="219" t="e">
        <f>IF(OR(G665=1,G665=2),dadosexternosBMF_1!D668,"")</f>
        <v>#REF!</v>
      </c>
    </row>
    <row r="666" spans="1:17" x14ac:dyDescent="0.2">
      <c r="A666" s="222" t="e">
        <f t="shared" si="72"/>
        <v>#REF!</v>
      </c>
      <c r="B666" s="222" t="str">
        <f>IF(dadosexternosBMF_1!A669="DI1 - DI de 1 dia","DI1 - DI de 1 dia","")</f>
        <v/>
      </c>
      <c r="C666" s="222" t="e">
        <f>IF(dadosexternosBMF_1!A669="DOL - Dólar comercial","",IF(C665&lt;&gt;"",dadosexternosBMF_1!B669,IF(dadosexternosBMF_1!A669="DI1 - DI de 1 dia",dadosexternosBMF_1!B669,"")))</f>
        <v>#REF!</v>
      </c>
      <c r="D666" s="222" t="e">
        <f>IF(C666&lt;&gt;"",dadosexternosBMF_1!C669,"")</f>
        <v>#REF!</v>
      </c>
      <c r="E666" s="222" t="e">
        <f>IF(C666&lt;&gt;"",dadosexternosBMF_1!D669,"")</f>
        <v>#REF!</v>
      </c>
      <c r="G666" s="219" t="e">
        <f t="shared" si="73"/>
        <v>#REF!</v>
      </c>
      <c r="H666" s="219" t="e">
        <f t="shared" si="74"/>
        <v>#REF!</v>
      </c>
      <c r="I666" s="219" t="e">
        <f t="shared" si="75"/>
        <v>#REF!</v>
      </c>
      <c r="J666" s="219" t="e">
        <f>IF(I666="","",VLOOKUP(LEFT(C666,1),dadosexternosBMF_1!$L$2:$M$13,2,FALSE))</f>
        <v>#REF!</v>
      </c>
      <c r="K666" s="219" t="e">
        <f t="shared" si="76"/>
        <v>#REF!</v>
      </c>
      <c r="L666" s="422" t="e">
        <f t="shared" si="77"/>
        <v>#REF!</v>
      </c>
      <c r="M666" s="422" t="e">
        <f>IF(I666="","",WORKDAY(L666-1,1,FERIADOS!$A$2:$A$831))</f>
        <v>#REF!</v>
      </c>
      <c r="N666" s="219" t="e">
        <f>IF(I666="","",NETWORKDAYS(Curva!$M$2,M666,FERIADOS!$A$2:$A$831)-1)</f>
        <v>#REF!</v>
      </c>
      <c r="O666" s="423" t="e">
        <f>IF(C666&lt;&gt;"",IF(ISERROR((100000/E666)^(252/N666)-1),Curva!$B$2,((100000/E666)^(252/N666)-1)),"")</f>
        <v>#REF!</v>
      </c>
      <c r="P666" s="219" t="e">
        <f>IF(OR(G666=1,G666=2),dadosexternosBMF_1!B669,"")</f>
        <v>#REF!</v>
      </c>
      <c r="Q666" s="219" t="e">
        <f>IF(OR(G666=1,G666=2),dadosexternosBMF_1!D669,"")</f>
        <v>#REF!</v>
      </c>
    </row>
    <row r="667" spans="1:17" x14ac:dyDescent="0.2">
      <c r="A667" s="222" t="e">
        <f t="shared" ref="A667:A730" si="78">IF(AND(A666&lt;&gt;"",C667&lt;&gt;""),A666+1,IF(B667="DI1 - DI de 1 dia",1,""))</f>
        <v>#REF!</v>
      </c>
      <c r="B667" s="222" t="str">
        <f>IF(dadosexternosBMF_1!A670="DI1 - DI de 1 dia","DI1 - DI de 1 dia","")</f>
        <v/>
      </c>
      <c r="C667" s="222" t="e">
        <f>IF(dadosexternosBMF_1!A670="DOL - Dólar comercial","",IF(C666&lt;&gt;"",dadosexternosBMF_1!B670,IF(dadosexternosBMF_1!A670="DI1 - DI de 1 dia",dadosexternosBMF_1!B670,"")))</f>
        <v>#REF!</v>
      </c>
      <c r="D667" s="222" t="e">
        <f>IF(C667&lt;&gt;"",dadosexternosBMF_1!C670,"")</f>
        <v>#REF!</v>
      </c>
      <c r="E667" s="222" t="e">
        <f>IF(C667&lt;&gt;"",dadosexternosBMF_1!D670,"")</f>
        <v>#REF!</v>
      </c>
      <c r="G667" s="219" t="e">
        <f t="shared" ref="G667:G730" si="79">IF(G666=1,2,IF(AND(H667="",H666&lt;&gt;""),1,""))</f>
        <v>#REF!</v>
      </c>
      <c r="H667" s="219" t="e">
        <f t="shared" ref="H667:H730" si="80">IF(A667&lt;&gt;"",A667,"")</f>
        <v>#REF!</v>
      </c>
      <c r="I667" s="219" t="e">
        <f t="shared" ref="I667:I730" si="81">IF(A667&lt;&gt;"",(CONCATENATE("DI1",C667)),"")</f>
        <v>#REF!</v>
      </c>
      <c r="J667" s="219" t="e">
        <f>IF(I667="","",VLOOKUP(LEFT(C667,1),dadosexternosBMF_1!$L$2:$M$13,2,FALSE))</f>
        <v>#REF!</v>
      </c>
      <c r="K667" s="219" t="e">
        <f t="shared" ref="K667:K730" si="82">IF(I667="","",1+CONCATENATE(20,RIGHT(C667,2))-1)</f>
        <v>#REF!</v>
      </c>
      <c r="L667" s="422" t="e">
        <f t="shared" ref="L667:L730" si="83">IF(I667="","",CONCATENATE(1,"/",J667,"/",K667)+1-1)</f>
        <v>#REF!</v>
      </c>
      <c r="M667" s="422" t="e">
        <f>IF(I667="","",WORKDAY(L667-1,1,FERIADOS!$A$2:$A$831))</f>
        <v>#REF!</v>
      </c>
      <c r="N667" s="219" t="e">
        <f>IF(I667="","",NETWORKDAYS(Curva!$M$2,M667,FERIADOS!$A$2:$A$831)-1)</f>
        <v>#REF!</v>
      </c>
      <c r="O667" s="423" t="e">
        <f>IF(C667&lt;&gt;"",IF(ISERROR((100000/E667)^(252/N667)-1),Curva!$B$2,((100000/E667)^(252/N667)-1)),"")</f>
        <v>#REF!</v>
      </c>
      <c r="P667" s="219" t="e">
        <f>IF(OR(G667=1,G667=2),dadosexternosBMF_1!B670,"")</f>
        <v>#REF!</v>
      </c>
      <c r="Q667" s="219" t="e">
        <f>IF(OR(G667=1,G667=2),dadosexternosBMF_1!D670,"")</f>
        <v>#REF!</v>
      </c>
    </row>
    <row r="668" spans="1:17" x14ac:dyDescent="0.2">
      <c r="A668" s="222" t="e">
        <f t="shared" si="78"/>
        <v>#REF!</v>
      </c>
      <c r="B668" s="222" t="str">
        <f>IF(dadosexternosBMF_1!A671="DI1 - DI de 1 dia","DI1 - DI de 1 dia","")</f>
        <v/>
      </c>
      <c r="C668" s="222" t="e">
        <f>IF(dadosexternosBMF_1!A671="DOL - Dólar comercial","",IF(C667&lt;&gt;"",dadosexternosBMF_1!B671,IF(dadosexternosBMF_1!A671="DI1 - DI de 1 dia",dadosexternosBMF_1!B671,"")))</f>
        <v>#REF!</v>
      </c>
      <c r="D668" s="222" t="e">
        <f>IF(C668&lt;&gt;"",dadosexternosBMF_1!C671,"")</f>
        <v>#REF!</v>
      </c>
      <c r="E668" s="222" t="e">
        <f>IF(C668&lt;&gt;"",dadosexternosBMF_1!D671,"")</f>
        <v>#REF!</v>
      </c>
      <c r="G668" s="219" t="e">
        <f t="shared" si="79"/>
        <v>#REF!</v>
      </c>
      <c r="H668" s="219" t="e">
        <f t="shared" si="80"/>
        <v>#REF!</v>
      </c>
      <c r="I668" s="219" t="e">
        <f t="shared" si="81"/>
        <v>#REF!</v>
      </c>
      <c r="J668" s="219" t="e">
        <f>IF(I668="","",VLOOKUP(LEFT(C668,1),dadosexternosBMF_1!$L$2:$M$13,2,FALSE))</f>
        <v>#REF!</v>
      </c>
      <c r="K668" s="219" t="e">
        <f t="shared" si="82"/>
        <v>#REF!</v>
      </c>
      <c r="L668" s="422" t="e">
        <f t="shared" si="83"/>
        <v>#REF!</v>
      </c>
      <c r="M668" s="422" t="e">
        <f>IF(I668="","",WORKDAY(L668-1,1,FERIADOS!$A$2:$A$831))</f>
        <v>#REF!</v>
      </c>
      <c r="N668" s="219" t="e">
        <f>IF(I668="","",NETWORKDAYS(Curva!$M$2,M668,FERIADOS!$A$2:$A$831)-1)</f>
        <v>#REF!</v>
      </c>
      <c r="O668" s="423" t="e">
        <f>IF(C668&lt;&gt;"",IF(ISERROR((100000/E668)^(252/N668)-1),Curva!$B$2,((100000/E668)^(252/N668)-1)),"")</f>
        <v>#REF!</v>
      </c>
      <c r="P668" s="219" t="e">
        <f>IF(OR(G668=1,G668=2),dadosexternosBMF_1!B671,"")</f>
        <v>#REF!</v>
      </c>
      <c r="Q668" s="219" t="e">
        <f>IF(OR(G668=1,G668=2),dadosexternosBMF_1!D671,"")</f>
        <v>#REF!</v>
      </c>
    </row>
    <row r="669" spans="1:17" x14ac:dyDescent="0.2">
      <c r="A669" s="222" t="e">
        <f t="shared" si="78"/>
        <v>#REF!</v>
      </c>
      <c r="B669" s="222" t="str">
        <f>IF(dadosexternosBMF_1!A672="DI1 - DI de 1 dia","DI1 - DI de 1 dia","")</f>
        <v/>
      </c>
      <c r="C669" s="222" t="e">
        <f>IF(dadosexternosBMF_1!A672="DOL - Dólar comercial","",IF(C668&lt;&gt;"",dadosexternosBMF_1!B672,IF(dadosexternosBMF_1!A672="DI1 - DI de 1 dia",dadosexternosBMF_1!B672,"")))</f>
        <v>#REF!</v>
      </c>
      <c r="D669" s="222" t="e">
        <f>IF(C669&lt;&gt;"",dadosexternosBMF_1!C672,"")</f>
        <v>#REF!</v>
      </c>
      <c r="E669" s="222" t="e">
        <f>IF(C669&lt;&gt;"",dadosexternosBMF_1!D672,"")</f>
        <v>#REF!</v>
      </c>
      <c r="G669" s="219" t="e">
        <f t="shared" si="79"/>
        <v>#REF!</v>
      </c>
      <c r="H669" s="219" t="e">
        <f t="shared" si="80"/>
        <v>#REF!</v>
      </c>
      <c r="I669" s="219" t="e">
        <f t="shared" si="81"/>
        <v>#REF!</v>
      </c>
      <c r="J669" s="219" t="e">
        <f>IF(I669="","",VLOOKUP(LEFT(C669,1),dadosexternosBMF_1!$L$2:$M$13,2,FALSE))</f>
        <v>#REF!</v>
      </c>
      <c r="K669" s="219" t="e">
        <f t="shared" si="82"/>
        <v>#REF!</v>
      </c>
      <c r="L669" s="422" t="e">
        <f t="shared" si="83"/>
        <v>#REF!</v>
      </c>
      <c r="M669" s="422" t="e">
        <f>IF(I669="","",WORKDAY(L669-1,1,FERIADOS!$A$2:$A$831))</f>
        <v>#REF!</v>
      </c>
      <c r="N669" s="219" t="e">
        <f>IF(I669="","",NETWORKDAYS(Curva!$M$2,M669,FERIADOS!$A$2:$A$831)-1)</f>
        <v>#REF!</v>
      </c>
      <c r="O669" s="423" t="e">
        <f>IF(C669&lt;&gt;"",IF(ISERROR((100000/E669)^(252/N669)-1),Curva!$B$2,((100000/E669)^(252/N669)-1)),"")</f>
        <v>#REF!</v>
      </c>
      <c r="P669" s="219" t="e">
        <f>IF(OR(G669=1,G669=2),dadosexternosBMF_1!B672,"")</f>
        <v>#REF!</v>
      </c>
      <c r="Q669" s="219" t="e">
        <f>IF(OR(G669=1,G669=2),dadosexternosBMF_1!D672,"")</f>
        <v>#REF!</v>
      </c>
    </row>
    <row r="670" spans="1:17" x14ac:dyDescent="0.2">
      <c r="A670" s="222" t="e">
        <f t="shared" si="78"/>
        <v>#REF!</v>
      </c>
      <c r="B670" s="222" t="str">
        <f>IF(dadosexternosBMF_1!A673="DI1 - DI de 1 dia","DI1 - DI de 1 dia","")</f>
        <v/>
      </c>
      <c r="C670" s="222" t="e">
        <f>IF(dadosexternosBMF_1!A673="DOL - Dólar comercial","",IF(C669&lt;&gt;"",dadosexternosBMF_1!B673,IF(dadosexternosBMF_1!A673="DI1 - DI de 1 dia",dadosexternosBMF_1!B673,"")))</f>
        <v>#REF!</v>
      </c>
      <c r="D670" s="222" t="e">
        <f>IF(C670&lt;&gt;"",dadosexternosBMF_1!C673,"")</f>
        <v>#REF!</v>
      </c>
      <c r="E670" s="222" t="e">
        <f>IF(C670&lt;&gt;"",dadosexternosBMF_1!D673,"")</f>
        <v>#REF!</v>
      </c>
      <c r="G670" s="219" t="e">
        <f t="shared" si="79"/>
        <v>#REF!</v>
      </c>
      <c r="H670" s="219" t="e">
        <f t="shared" si="80"/>
        <v>#REF!</v>
      </c>
      <c r="I670" s="219" t="e">
        <f t="shared" si="81"/>
        <v>#REF!</v>
      </c>
      <c r="J670" s="219" t="e">
        <f>IF(I670="","",VLOOKUP(LEFT(C670,1),dadosexternosBMF_1!$L$2:$M$13,2,FALSE))</f>
        <v>#REF!</v>
      </c>
      <c r="K670" s="219" t="e">
        <f t="shared" si="82"/>
        <v>#REF!</v>
      </c>
      <c r="L670" s="422" t="e">
        <f t="shared" si="83"/>
        <v>#REF!</v>
      </c>
      <c r="M670" s="422" t="e">
        <f>IF(I670="","",WORKDAY(L670-1,1,FERIADOS!$A$2:$A$831))</f>
        <v>#REF!</v>
      </c>
      <c r="N670" s="219" t="e">
        <f>IF(I670="","",NETWORKDAYS(Curva!$M$2,M670,FERIADOS!$A$2:$A$831)-1)</f>
        <v>#REF!</v>
      </c>
      <c r="O670" s="423" t="e">
        <f>IF(C670&lt;&gt;"",IF(ISERROR((100000/E670)^(252/N670)-1),Curva!$B$2,((100000/E670)^(252/N670)-1)),"")</f>
        <v>#REF!</v>
      </c>
      <c r="P670" s="219" t="e">
        <f>IF(OR(G670=1,G670=2),dadosexternosBMF_1!B673,"")</f>
        <v>#REF!</v>
      </c>
      <c r="Q670" s="219" t="e">
        <f>IF(OR(G670=1,G670=2),dadosexternosBMF_1!D673,"")</f>
        <v>#REF!</v>
      </c>
    </row>
    <row r="671" spans="1:17" x14ac:dyDescent="0.2">
      <c r="A671" s="222" t="e">
        <f t="shared" si="78"/>
        <v>#REF!</v>
      </c>
      <c r="B671" s="222" t="str">
        <f>IF(dadosexternosBMF_1!A674="DI1 - DI de 1 dia","DI1 - DI de 1 dia","")</f>
        <v/>
      </c>
      <c r="C671" s="222" t="e">
        <f>IF(dadosexternosBMF_1!A674="DOL - Dólar comercial","",IF(C670&lt;&gt;"",dadosexternosBMF_1!B674,IF(dadosexternosBMF_1!A674="DI1 - DI de 1 dia",dadosexternosBMF_1!B674,"")))</f>
        <v>#REF!</v>
      </c>
      <c r="D671" s="222" t="e">
        <f>IF(C671&lt;&gt;"",dadosexternosBMF_1!C674,"")</f>
        <v>#REF!</v>
      </c>
      <c r="E671" s="222" t="e">
        <f>IF(C671&lt;&gt;"",dadosexternosBMF_1!D674,"")</f>
        <v>#REF!</v>
      </c>
      <c r="G671" s="219" t="e">
        <f t="shared" si="79"/>
        <v>#REF!</v>
      </c>
      <c r="H671" s="219" t="e">
        <f t="shared" si="80"/>
        <v>#REF!</v>
      </c>
      <c r="I671" s="219" t="e">
        <f t="shared" si="81"/>
        <v>#REF!</v>
      </c>
      <c r="J671" s="219" t="e">
        <f>IF(I671="","",VLOOKUP(LEFT(C671,1),dadosexternosBMF_1!$L$2:$M$13,2,FALSE))</f>
        <v>#REF!</v>
      </c>
      <c r="K671" s="219" t="e">
        <f t="shared" si="82"/>
        <v>#REF!</v>
      </c>
      <c r="L671" s="422" t="e">
        <f t="shared" si="83"/>
        <v>#REF!</v>
      </c>
      <c r="M671" s="422" t="e">
        <f>IF(I671="","",WORKDAY(L671-1,1,FERIADOS!$A$2:$A$831))</f>
        <v>#REF!</v>
      </c>
      <c r="N671" s="219" t="e">
        <f>IF(I671="","",NETWORKDAYS(Curva!$M$2,M671,FERIADOS!$A$2:$A$831)-1)</f>
        <v>#REF!</v>
      </c>
      <c r="O671" s="423" t="e">
        <f>IF(C671&lt;&gt;"",IF(ISERROR((100000/E671)^(252/N671)-1),Curva!$B$2,((100000/E671)^(252/N671)-1)),"")</f>
        <v>#REF!</v>
      </c>
      <c r="P671" s="219" t="e">
        <f>IF(OR(G671=1,G671=2),dadosexternosBMF_1!B674,"")</f>
        <v>#REF!</v>
      </c>
      <c r="Q671" s="219" t="e">
        <f>IF(OR(G671=1,G671=2),dadosexternosBMF_1!D674,"")</f>
        <v>#REF!</v>
      </c>
    </row>
    <row r="672" spans="1:17" x14ac:dyDescent="0.2">
      <c r="A672" s="222" t="e">
        <f t="shared" si="78"/>
        <v>#REF!</v>
      </c>
      <c r="B672" s="222" t="str">
        <f>IF(dadosexternosBMF_1!A675="DI1 - DI de 1 dia","DI1 - DI de 1 dia","")</f>
        <v/>
      </c>
      <c r="C672" s="222" t="e">
        <f>IF(dadosexternosBMF_1!A675="DOL - Dólar comercial","",IF(C671&lt;&gt;"",dadosexternosBMF_1!B675,IF(dadosexternosBMF_1!A675="DI1 - DI de 1 dia",dadosexternosBMF_1!B675,"")))</f>
        <v>#REF!</v>
      </c>
      <c r="D672" s="222" t="e">
        <f>IF(C672&lt;&gt;"",dadosexternosBMF_1!C675,"")</f>
        <v>#REF!</v>
      </c>
      <c r="E672" s="222" t="e">
        <f>IF(C672&lt;&gt;"",dadosexternosBMF_1!D675,"")</f>
        <v>#REF!</v>
      </c>
      <c r="G672" s="219" t="e">
        <f t="shared" si="79"/>
        <v>#REF!</v>
      </c>
      <c r="H672" s="219" t="e">
        <f t="shared" si="80"/>
        <v>#REF!</v>
      </c>
      <c r="I672" s="219" t="e">
        <f t="shared" si="81"/>
        <v>#REF!</v>
      </c>
      <c r="J672" s="219" t="e">
        <f>IF(I672="","",VLOOKUP(LEFT(C672,1),dadosexternosBMF_1!$L$2:$M$13,2,FALSE))</f>
        <v>#REF!</v>
      </c>
      <c r="K672" s="219" t="e">
        <f t="shared" si="82"/>
        <v>#REF!</v>
      </c>
      <c r="L672" s="422" t="e">
        <f t="shared" si="83"/>
        <v>#REF!</v>
      </c>
      <c r="M672" s="422" t="e">
        <f>IF(I672="","",WORKDAY(L672-1,1,FERIADOS!$A$2:$A$831))</f>
        <v>#REF!</v>
      </c>
      <c r="N672" s="219" t="e">
        <f>IF(I672="","",NETWORKDAYS(Curva!$M$2,M672,FERIADOS!$A$2:$A$831)-1)</f>
        <v>#REF!</v>
      </c>
      <c r="O672" s="423" t="e">
        <f>IF(C672&lt;&gt;"",IF(ISERROR((100000/E672)^(252/N672)-1),Curva!$B$2,((100000/E672)^(252/N672)-1)),"")</f>
        <v>#REF!</v>
      </c>
      <c r="P672" s="219" t="e">
        <f>IF(OR(G672=1,G672=2),dadosexternosBMF_1!B675,"")</f>
        <v>#REF!</v>
      </c>
      <c r="Q672" s="219" t="e">
        <f>IF(OR(G672=1,G672=2),dadosexternosBMF_1!D675,"")</f>
        <v>#REF!</v>
      </c>
    </row>
    <row r="673" spans="1:17" x14ac:dyDescent="0.2">
      <c r="A673" s="222" t="e">
        <f t="shared" si="78"/>
        <v>#REF!</v>
      </c>
      <c r="B673" s="222" t="str">
        <f>IF(dadosexternosBMF_1!A676="DI1 - DI de 1 dia","DI1 - DI de 1 dia","")</f>
        <v/>
      </c>
      <c r="C673" s="222" t="e">
        <f>IF(dadosexternosBMF_1!A676="DOL - Dólar comercial","",IF(C672&lt;&gt;"",dadosexternosBMF_1!B676,IF(dadosexternosBMF_1!A676="DI1 - DI de 1 dia",dadosexternosBMF_1!B676,"")))</f>
        <v>#REF!</v>
      </c>
      <c r="D673" s="222" t="e">
        <f>IF(C673&lt;&gt;"",dadosexternosBMF_1!C676,"")</f>
        <v>#REF!</v>
      </c>
      <c r="E673" s="222" t="e">
        <f>IF(C673&lt;&gt;"",dadosexternosBMF_1!D676,"")</f>
        <v>#REF!</v>
      </c>
      <c r="G673" s="219" t="e">
        <f t="shared" si="79"/>
        <v>#REF!</v>
      </c>
      <c r="H673" s="219" t="e">
        <f t="shared" si="80"/>
        <v>#REF!</v>
      </c>
      <c r="I673" s="219" t="e">
        <f t="shared" si="81"/>
        <v>#REF!</v>
      </c>
      <c r="J673" s="219" t="e">
        <f>IF(I673="","",VLOOKUP(LEFT(C673,1),dadosexternosBMF_1!$L$2:$M$13,2,FALSE))</f>
        <v>#REF!</v>
      </c>
      <c r="K673" s="219" t="e">
        <f t="shared" si="82"/>
        <v>#REF!</v>
      </c>
      <c r="L673" s="422" t="e">
        <f t="shared" si="83"/>
        <v>#REF!</v>
      </c>
      <c r="M673" s="422" t="e">
        <f>IF(I673="","",WORKDAY(L673-1,1,FERIADOS!$A$2:$A$831))</f>
        <v>#REF!</v>
      </c>
      <c r="N673" s="219" t="e">
        <f>IF(I673="","",NETWORKDAYS(Curva!$M$2,M673,FERIADOS!$A$2:$A$831)-1)</f>
        <v>#REF!</v>
      </c>
      <c r="O673" s="423" t="e">
        <f>IF(C673&lt;&gt;"",IF(ISERROR((100000/E673)^(252/N673)-1),Curva!$B$2,((100000/E673)^(252/N673)-1)),"")</f>
        <v>#REF!</v>
      </c>
      <c r="P673" s="219" t="e">
        <f>IF(OR(G673=1,G673=2),dadosexternosBMF_1!B676,"")</f>
        <v>#REF!</v>
      </c>
      <c r="Q673" s="219" t="e">
        <f>IF(OR(G673=1,G673=2),dadosexternosBMF_1!D676,"")</f>
        <v>#REF!</v>
      </c>
    </row>
    <row r="674" spans="1:17" x14ac:dyDescent="0.2">
      <c r="A674" s="222" t="e">
        <f t="shared" si="78"/>
        <v>#REF!</v>
      </c>
      <c r="B674" s="222" t="str">
        <f>IF(dadosexternosBMF_1!A677="DI1 - DI de 1 dia","DI1 - DI de 1 dia","")</f>
        <v/>
      </c>
      <c r="C674" s="222" t="e">
        <f>IF(dadosexternosBMF_1!A677="DOL - Dólar comercial","",IF(C673&lt;&gt;"",dadosexternosBMF_1!B677,IF(dadosexternosBMF_1!A677="DI1 - DI de 1 dia",dadosexternosBMF_1!B677,"")))</f>
        <v>#REF!</v>
      </c>
      <c r="D674" s="222" t="e">
        <f>IF(C674&lt;&gt;"",dadosexternosBMF_1!C677,"")</f>
        <v>#REF!</v>
      </c>
      <c r="E674" s="222" t="e">
        <f>IF(C674&lt;&gt;"",dadosexternosBMF_1!D677,"")</f>
        <v>#REF!</v>
      </c>
      <c r="G674" s="219" t="e">
        <f t="shared" si="79"/>
        <v>#REF!</v>
      </c>
      <c r="H674" s="219" t="e">
        <f t="shared" si="80"/>
        <v>#REF!</v>
      </c>
      <c r="I674" s="219" t="e">
        <f t="shared" si="81"/>
        <v>#REF!</v>
      </c>
      <c r="J674" s="219" t="e">
        <f>IF(I674="","",VLOOKUP(LEFT(C674,1),dadosexternosBMF_1!$L$2:$M$13,2,FALSE))</f>
        <v>#REF!</v>
      </c>
      <c r="K674" s="219" t="e">
        <f t="shared" si="82"/>
        <v>#REF!</v>
      </c>
      <c r="L674" s="422" t="e">
        <f t="shared" si="83"/>
        <v>#REF!</v>
      </c>
      <c r="M674" s="422" t="e">
        <f>IF(I674="","",WORKDAY(L674-1,1,FERIADOS!$A$2:$A$831))</f>
        <v>#REF!</v>
      </c>
      <c r="N674" s="219" t="e">
        <f>IF(I674="","",NETWORKDAYS(Curva!$M$2,M674,FERIADOS!$A$2:$A$831)-1)</f>
        <v>#REF!</v>
      </c>
      <c r="O674" s="423" t="e">
        <f>IF(C674&lt;&gt;"",IF(ISERROR((100000/E674)^(252/N674)-1),Curva!$B$2,((100000/E674)^(252/N674)-1)),"")</f>
        <v>#REF!</v>
      </c>
      <c r="P674" s="219" t="e">
        <f>IF(OR(G674=1,G674=2),dadosexternosBMF_1!B677,"")</f>
        <v>#REF!</v>
      </c>
      <c r="Q674" s="219" t="e">
        <f>IF(OR(G674=1,G674=2),dadosexternosBMF_1!D677,"")</f>
        <v>#REF!</v>
      </c>
    </row>
    <row r="675" spans="1:17" x14ac:dyDescent="0.2">
      <c r="A675" s="222" t="e">
        <f t="shared" si="78"/>
        <v>#REF!</v>
      </c>
      <c r="B675" s="222" t="str">
        <f>IF(dadosexternosBMF_1!A678="DI1 - DI de 1 dia","DI1 - DI de 1 dia","")</f>
        <v/>
      </c>
      <c r="C675" s="222" t="e">
        <f>IF(dadosexternosBMF_1!A678="DOL - Dólar comercial","",IF(C674&lt;&gt;"",dadosexternosBMF_1!B678,IF(dadosexternosBMF_1!A678="DI1 - DI de 1 dia",dadosexternosBMF_1!B678,"")))</f>
        <v>#REF!</v>
      </c>
      <c r="D675" s="222" t="e">
        <f>IF(C675&lt;&gt;"",dadosexternosBMF_1!C678,"")</f>
        <v>#REF!</v>
      </c>
      <c r="E675" s="222" t="e">
        <f>IF(C675&lt;&gt;"",dadosexternosBMF_1!D678,"")</f>
        <v>#REF!</v>
      </c>
      <c r="G675" s="219" t="e">
        <f t="shared" si="79"/>
        <v>#REF!</v>
      </c>
      <c r="H675" s="219" t="e">
        <f t="shared" si="80"/>
        <v>#REF!</v>
      </c>
      <c r="I675" s="219" t="e">
        <f t="shared" si="81"/>
        <v>#REF!</v>
      </c>
      <c r="J675" s="219" t="e">
        <f>IF(I675="","",VLOOKUP(LEFT(C675,1),dadosexternosBMF_1!$L$2:$M$13,2,FALSE))</f>
        <v>#REF!</v>
      </c>
      <c r="K675" s="219" t="e">
        <f t="shared" si="82"/>
        <v>#REF!</v>
      </c>
      <c r="L675" s="422" t="e">
        <f t="shared" si="83"/>
        <v>#REF!</v>
      </c>
      <c r="M675" s="422" t="e">
        <f>IF(I675="","",WORKDAY(L675-1,1,FERIADOS!$A$2:$A$831))</f>
        <v>#REF!</v>
      </c>
      <c r="N675" s="219" t="e">
        <f>IF(I675="","",NETWORKDAYS(Curva!$M$2,M675,FERIADOS!$A$2:$A$831)-1)</f>
        <v>#REF!</v>
      </c>
      <c r="O675" s="423" t="e">
        <f>IF(C675&lt;&gt;"",IF(ISERROR((100000/E675)^(252/N675)-1),Curva!$B$2,((100000/E675)^(252/N675)-1)),"")</f>
        <v>#REF!</v>
      </c>
      <c r="P675" s="219" t="e">
        <f>IF(OR(G675=1,G675=2),dadosexternosBMF_1!B678,"")</f>
        <v>#REF!</v>
      </c>
      <c r="Q675" s="219" t="e">
        <f>IF(OR(G675=1,G675=2),dadosexternosBMF_1!D678,"")</f>
        <v>#REF!</v>
      </c>
    </row>
    <row r="676" spans="1:17" x14ac:dyDescent="0.2">
      <c r="A676" s="222" t="e">
        <f t="shared" si="78"/>
        <v>#REF!</v>
      </c>
      <c r="B676" s="222" t="str">
        <f>IF(dadosexternosBMF_1!A679="DI1 - DI de 1 dia","DI1 - DI de 1 dia","")</f>
        <v/>
      </c>
      <c r="C676" s="222" t="e">
        <f>IF(dadosexternosBMF_1!A679="DOL - Dólar comercial","",IF(C675&lt;&gt;"",dadosexternosBMF_1!B679,IF(dadosexternosBMF_1!A679="DI1 - DI de 1 dia",dadosexternosBMF_1!B679,"")))</f>
        <v>#REF!</v>
      </c>
      <c r="D676" s="222" t="e">
        <f>IF(C676&lt;&gt;"",dadosexternosBMF_1!C679,"")</f>
        <v>#REF!</v>
      </c>
      <c r="E676" s="222" t="e">
        <f>IF(C676&lt;&gt;"",dadosexternosBMF_1!D679,"")</f>
        <v>#REF!</v>
      </c>
      <c r="G676" s="219" t="e">
        <f t="shared" si="79"/>
        <v>#REF!</v>
      </c>
      <c r="H676" s="219" t="e">
        <f t="shared" si="80"/>
        <v>#REF!</v>
      </c>
      <c r="I676" s="219" t="e">
        <f t="shared" si="81"/>
        <v>#REF!</v>
      </c>
      <c r="J676" s="219" t="e">
        <f>IF(I676="","",VLOOKUP(LEFT(C676,1),dadosexternosBMF_1!$L$2:$M$13,2,FALSE))</f>
        <v>#REF!</v>
      </c>
      <c r="K676" s="219" t="e">
        <f t="shared" si="82"/>
        <v>#REF!</v>
      </c>
      <c r="L676" s="422" t="e">
        <f t="shared" si="83"/>
        <v>#REF!</v>
      </c>
      <c r="M676" s="422" t="e">
        <f>IF(I676="","",WORKDAY(L676-1,1,FERIADOS!$A$2:$A$831))</f>
        <v>#REF!</v>
      </c>
      <c r="N676" s="219" t="e">
        <f>IF(I676="","",NETWORKDAYS(Curva!$M$2,M676,FERIADOS!$A$2:$A$831)-1)</f>
        <v>#REF!</v>
      </c>
      <c r="O676" s="423" t="e">
        <f>IF(C676&lt;&gt;"",IF(ISERROR((100000/E676)^(252/N676)-1),Curva!$B$2,((100000/E676)^(252/N676)-1)),"")</f>
        <v>#REF!</v>
      </c>
      <c r="P676" s="219" t="e">
        <f>IF(OR(G676=1,G676=2),dadosexternosBMF_1!B679,"")</f>
        <v>#REF!</v>
      </c>
      <c r="Q676" s="219" t="e">
        <f>IF(OR(G676=1,G676=2),dadosexternosBMF_1!D679,"")</f>
        <v>#REF!</v>
      </c>
    </row>
    <row r="677" spans="1:17" x14ac:dyDescent="0.2">
      <c r="A677" s="222" t="e">
        <f t="shared" si="78"/>
        <v>#REF!</v>
      </c>
      <c r="B677" s="222" t="str">
        <f>IF(dadosexternosBMF_1!A680="DI1 - DI de 1 dia","DI1 - DI de 1 dia","")</f>
        <v/>
      </c>
      <c r="C677" s="222" t="e">
        <f>IF(dadosexternosBMF_1!A680="DOL - Dólar comercial","",IF(C676&lt;&gt;"",dadosexternosBMF_1!B680,IF(dadosexternosBMF_1!A680="DI1 - DI de 1 dia",dadosexternosBMF_1!B680,"")))</f>
        <v>#REF!</v>
      </c>
      <c r="D677" s="222" t="e">
        <f>IF(C677&lt;&gt;"",dadosexternosBMF_1!C680,"")</f>
        <v>#REF!</v>
      </c>
      <c r="E677" s="222" t="e">
        <f>IF(C677&lt;&gt;"",dadosexternosBMF_1!D680,"")</f>
        <v>#REF!</v>
      </c>
      <c r="G677" s="219" t="e">
        <f t="shared" si="79"/>
        <v>#REF!</v>
      </c>
      <c r="H677" s="219" t="e">
        <f t="shared" si="80"/>
        <v>#REF!</v>
      </c>
      <c r="I677" s="219" t="e">
        <f t="shared" si="81"/>
        <v>#REF!</v>
      </c>
      <c r="J677" s="219" t="e">
        <f>IF(I677="","",VLOOKUP(LEFT(C677,1),dadosexternosBMF_1!$L$2:$M$13,2,FALSE))</f>
        <v>#REF!</v>
      </c>
      <c r="K677" s="219" t="e">
        <f t="shared" si="82"/>
        <v>#REF!</v>
      </c>
      <c r="L677" s="422" t="e">
        <f t="shared" si="83"/>
        <v>#REF!</v>
      </c>
      <c r="M677" s="422" t="e">
        <f>IF(I677="","",WORKDAY(L677-1,1,FERIADOS!$A$2:$A$831))</f>
        <v>#REF!</v>
      </c>
      <c r="N677" s="219" t="e">
        <f>IF(I677="","",NETWORKDAYS(Curva!$M$2,M677,FERIADOS!$A$2:$A$831)-1)</f>
        <v>#REF!</v>
      </c>
      <c r="O677" s="423" t="e">
        <f>IF(C677&lt;&gt;"",IF(ISERROR((100000/E677)^(252/N677)-1),Curva!$B$2,((100000/E677)^(252/N677)-1)),"")</f>
        <v>#REF!</v>
      </c>
      <c r="P677" s="219" t="e">
        <f>IF(OR(G677=1,G677=2),dadosexternosBMF_1!B680,"")</f>
        <v>#REF!</v>
      </c>
      <c r="Q677" s="219" t="e">
        <f>IF(OR(G677=1,G677=2),dadosexternosBMF_1!D680,"")</f>
        <v>#REF!</v>
      </c>
    </row>
    <row r="678" spans="1:17" x14ac:dyDescent="0.2">
      <c r="A678" s="222" t="e">
        <f t="shared" si="78"/>
        <v>#REF!</v>
      </c>
      <c r="B678" s="222" t="str">
        <f>IF(dadosexternosBMF_1!A681="DI1 - DI de 1 dia","DI1 - DI de 1 dia","")</f>
        <v/>
      </c>
      <c r="C678" s="222" t="e">
        <f>IF(dadosexternosBMF_1!A681="DOL - Dólar comercial","",IF(C677&lt;&gt;"",dadosexternosBMF_1!B681,IF(dadosexternosBMF_1!A681="DI1 - DI de 1 dia",dadosexternosBMF_1!B681,"")))</f>
        <v>#REF!</v>
      </c>
      <c r="D678" s="222" t="e">
        <f>IF(C678&lt;&gt;"",dadosexternosBMF_1!C681,"")</f>
        <v>#REF!</v>
      </c>
      <c r="E678" s="222" t="e">
        <f>IF(C678&lt;&gt;"",dadosexternosBMF_1!D681,"")</f>
        <v>#REF!</v>
      </c>
      <c r="G678" s="219" t="e">
        <f t="shared" si="79"/>
        <v>#REF!</v>
      </c>
      <c r="H678" s="219" t="e">
        <f t="shared" si="80"/>
        <v>#REF!</v>
      </c>
      <c r="I678" s="219" t="e">
        <f t="shared" si="81"/>
        <v>#REF!</v>
      </c>
      <c r="J678" s="219" t="e">
        <f>IF(I678="","",VLOOKUP(LEFT(C678,1),dadosexternosBMF_1!$L$2:$M$13,2,FALSE))</f>
        <v>#REF!</v>
      </c>
      <c r="K678" s="219" t="e">
        <f t="shared" si="82"/>
        <v>#REF!</v>
      </c>
      <c r="L678" s="422" t="e">
        <f t="shared" si="83"/>
        <v>#REF!</v>
      </c>
      <c r="M678" s="422" t="e">
        <f>IF(I678="","",WORKDAY(L678-1,1,FERIADOS!$A$2:$A$831))</f>
        <v>#REF!</v>
      </c>
      <c r="N678" s="219" t="e">
        <f>IF(I678="","",NETWORKDAYS(Curva!$M$2,M678,FERIADOS!$A$2:$A$831)-1)</f>
        <v>#REF!</v>
      </c>
      <c r="O678" s="423" t="e">
        <f>IF(C678&lt;&gt;"",IF(ISERROR((100000/E678)^(252/N678)-1),Curva!$B$2,((100000/E678)^(252/N678)-1)),"")</f>
        <v>#REF!</v>
      </c>
      <c r="P678" s="219" t="e">
        <f>IF(OR(G678=1,G678=2),dadosexternosBMF_1!B681,"")</f>
        <v>#REF!</v>
      </c>
      <c r="Q678" s="219" t="e">
        <f>IF(OR(G678=1,G678=2),dadosexternosBMF_1!D681,"")</f>
        <v>#REF!</v>
      </c>
    </row>
    <row r="679" spans="1:17" x14ac:dyDescent="0.2">
      <c r="A679" s="222" t="e">
        <f t="shared" si="78"/>
        <v>#REF!</v>
      </c>
      <c r="B679" s="222" t="str">
        <f>IF(dadosexternosBMF_1!A682="DI1 - DI de 1 dia","DI1 - DI de 1 dia","")</f>
        <v/>
      </c>
      <c r="C679" s="222" t="e">
        <f>IF(dadosexternosBMF_1!A682="DOL - Dólar comercial","",IF(C678&lt;&gt;"",dadosexternosBMF_1!B682,IF(dadosexternosBMF_1!A682="DI1 - DI de 1 dia",dadosexternosBMF_1!B682,"")))</f>
        <v>#REF!</v>
      </c>
      <c r="D679" s="222" t="e">
        <f>IF(C679&lt;&gt;"",dadosexternosBMF_1!C682,"")</f>
        <v>#REF!</v>
      </c>
      <c r="E679" s="222" t="e">
        <f>IF(C679&lt;&gt;"",dadosexternosBMF_1!D682,"")</f>
        <v>#REF!</v>
      </c>
      <c r="G679" s="219" t="e">
        <f t="shared" si="79"/>
        <v>#REF!</v>
      </c>
      <c r="H679" s="219" t="e">
        <f t="shared" si="80"/>
        <v>#REF!</v>
      </c>
      <c r="I679" s="219" t="e">
        <f t="shared" si="81"/>
        <v>#REF!</v>
      </c>
      <c r="J679" s="219" t="e">
        <f>IF(I679="","",VLOOKUP(LEFT(C679,1),dadosexternosBMF_1!$L$2:$M$13,2,FALSE))</f>
        <v>#REF!</v>
      </c>
      <c r="K679" s="219" t="e">
        <f t="shared" si="82"/>
        <v>#REF!</v>
      </c>
      <c r="L679" s="422" t="e">
        <f t="shared" si="83"/>
        <v>#REF!</v>
      </c>
      <c r="M679" s="422" t="e">
        <f>IF(I679="","",WORKDAY(L679-1,1,FERIADOS!$A$2:$A$831))</f>
        <v>#REF!</v>
      </c>
      <c r="N679" s="219" t="e">
        <f>IF(I679="","",NETWORKDAYS(Curva!$M$2,M679,FERIADOS!$A$2:$A$831)-1)</f>
        <v>#REF!</v>
      </c>
      <c r="O679" s="423" t="e">
        <f>IF(C679&lt;&gt;"",IF(ISERROR((100000/E679)^(252/N679)-1),Curva!$B$2,((100000/E679)^(252/N679)-1)),"")</f>
        <v>#REF!</v>
      </c>
      <c r="P679" s="219" t="e">
        <f>IF(OR(G679=1,G679=2),dadosexternosBMF_1!B682,"")</f>
        <v>#REF!</v>
      </c>
      <c r="Q679" s="219" t="e">
        <f>IF(OR(G679=1,G679=2),dadosexternosBMF_1!D682,"")</f>
        <v>#REF!</v>
      </c>
    </row>
    <row r="680" spans="1:17" x14ac:dyDescent="0.2">
      <c r="A680" s="222" t="e">
        <f t="shared" si="78"/>
        <v>#REF!</v>
      </c>
      <c r="B680" s="222" t="str">
        <f>IF(dadosexternosBMF_1!A683="DI1 - DI de 1 dia","DI1 - DI de 1 dia","")</f>
        <v/>
      </c>
      <c r="C680" s="222" t="e">
        <f>IF(dadosexternosBMF_1!A683="DOL - Dólar comercial","",IF(C679&lt;&gt;"",dadosexternosBMF_1!B683,IF(dadosexternosBMF_1!A683="DI1 - DI de 1 dia",dadosexternosBMF_1!B683,"")))</f>
        <v>#REF!</v>
      </c>
      <c r="D680" s="222" t="e">
        <f>IF(C680&lt;&gt;"",dadosexternosBMF_1!C683,"")</f>
        <v>#REF!</v>
      </c>
      <c r="E680" s="222" t="e">
        <f>IF(C680&lt;&gt;"",dadosexternosBMF_1!D683,"")</f>
        <v>#REF!</v>
      </c>
      <c r="G680" s="219" t="e">
        <f t="shared" si="79"/>
        <v>#REF!</v>
      </c>
      <c r="H680" s="219" t="e">
        <f t="shared" si="80"/>
        <v>#REF!</v>
      </c>
      <c r="I680" s="219" t="e">
        <f t="shared" si="81"/>
        <v>#REF!</v>
      </c>
      <c r="J680" s="219" t="e">
        <f>IF(I680="","",VLOOKUP(LEFT(C680,1),dadosexternosBMF_1!$L$2:$M$13,2,FALSE))</f>
        <v>#REF!</v>
      </c>
      <c r="K680" s="219" t="e">
        <f t="shared" si="82"/>
        <v>#REF!</v>
      </c>
      <c r="L680" s="422" t="e">
        <f t="shared" si="83"/>
        <v>#REF!</v>
      </c>
      <c r="M680" s="422" t="e">
        <f>IF(I680="","",WORKDAY(L680-1,1,FERIADOS!$A$2:$A$831))</f>
        <v>#REF!</v>
      </c>
      <c r="N680" s="219" t="e">
        <f>IF(I680="","",NETWORKDAYS(Curva!$M$2,M680,FERIADOS!$A$2:$A$831)-1)</f>
        <v>#REF!</v>
      </c>
      <c r="O680" s="423" t="e">
        <f>IF(C680&lt;&gt;"",IF(ISERROR((100000/E680)^(252/N680)-1),Curva!$B$2,((100000/E680)^(252/N680)-1)),"")</f>
        <v>#REF!</v>
      </c>
      <c r="P680" s="219" t="e">
        <f>IF(OR(G680=1,G680=2),dadosexternosBMF_1!B683,"")</f>
        <v>#REF!</v>
      </c>
      <c r="Q680" s="219" t="e">
        <f>IF(OR(G680=1,G680=2),dadosexternosBMF_1!D683,"")</f>
        <v>#REF!</v>
      </c>
    </row>
    <row r="681" spans="1:17" x14ac:dyDescent="0.2">
      <c r="A681" s="222" t="e">
        <f t="shared" si="78"/>
        <v>#REF!</v>
      </c>
      <c r="B681" s="222" t="str">
        <f>IF(dadosexternosBMF_1!A684="DI1 - DI de 1 dia","DI1 - DI de 1 dia","")</f>
        <v/>
      </c>
      <c r="C681" s="222" t="e">
        <f>IF(dadosexternosBMF_1!A684="DOL - Dólar comercial","",IF(C680&lt;&gt;"",dadosexternosBMF_1!B684,IF(dadosexternosBMF_1!A684="DI1 - DI de 1 dia",dadosexternosBMF_1!B684,"")))</f>
        <v>#REF!</v>
      </c>
      <c r="D681" s="222" t="e">
        <f>IF(C681&lt;&gt;"",dadosexternosBMF_1!C684,"")</f>
        <v>#REF!</v>
      </c>
      <c r="E681" s="222" t="e">
        <f>IF(C681&lt;&gt;"",dadosexternosBMF_1!D684,"")</f>
        <v>#REF!</v>
      </c>
      <c r="G681" s="219" t="e">
        <f t="shared" si="79"/>
        <v>#REF!</v>
      </c>
      <c r="H681" s="219" t="e">
        <f t="shared" si="80"/>
        <v>#REF!</v>
      </c>
      <c r="I681" s="219" t="e">
        <f t="shared" si="81"/>
        <v>#REF!</v>
      </c>
      <c r="J681" s="219" t="e">
        <f>IF(I681="","",VLOOKUP(LEFT(C681,1),dadosexternosBMF_1!$L$2:$M$13,2,FALSE))</f>
        <v>#REF!</v>
      </c>
      <c r="K681" s="219" t="e">
        <f t="shared" si="82"/>
        <v>#REF!</v>
      </c>
      <c r="L681" s="422" t="e">
        <f t="shared" si="83"/>
        <v>#REF!</v>
      </c>
      <c r="M681" s="422" t="e">
        <f>IF(I681="","",WORKDAY(L681-1,1,FERIADOS!$A$2:$A$831))</f>
        <v>#REF!</v>
      </c>
      <c r="N681" s="219" t="e">
        <f>IF(I681="","",NETWORKDAYS(Curva!$M$2,M681,FERIADOS!$A$2:$A$831)-1)</f>
        <v>#REF!</v>
      </c>
      <c r="O681" s="423" t="e">
        <f>IF(C681&lt;&gt;"",IF(ISERROR((100000/E681)^(252/N681)-1),Curva!$B$2,((100000/E681)^(252/N681)-1)),"")</f>
        <v>#REF!</v>
      </c>
      <c r="P681" s="219" t="e">
        <f>IF(OR(G681=1,G681=2),dadosexternosBMF_1!B684,"")</f>
        <v>#REF!</v>
      </c>
      <c r="Q681" s="219" t="e">
        <f>IF(OR(G681=1,G681=2),dadosexternosBMF_1!D684,"")</f>
        <v>#REF!</v>
      </c>
    </row>
    <row r="682" spans="1:17" x14ac:dyDescent="0.2">
      <c r="A682" s="222" t="e">
        <f t="shared" si="78"/>
        <v>#REF!</v>
      </c>
      <c r="B682" s="222" t="str">
        <f>IF(dadosexternosBMF_1!A685="DI1 - DI de 1 dia","DI1 - DI de 1 dia","")</f>
        <v/>
      </c>
      <c r="C682" s="222" t="e">
        <f>IF(dadosexternosBMF_1!A685="DOL - Dólar comercial","",IF(C681&lt;&gt;"",dadosexternosBMF_1!B685,IF(dadosexternosBMF_1!A685="DI1 - DI de 1 dia",dadosexternosBMF_1!B685,"")))</f>
        <v>#REF!</v>
      </c>
      <c r="D682" s="222" t="e">
        <f>IF(C682&lt;&gt;"",dadosexternosBMF_1!C685,"")</f>
        <v>#REF!</v>
      </c>
      <c r="E682" s="222" t="e">
        <f>IF(C682&lt;&gt;"",dadosexternosBMF_1!D685,"")</f>
        <v>#REF!</v>
      </c>
      <c r="G682" s="219" t="e">
        <f t="shared" si="79"/>
        <v>#REF!</v>
      </c>
      <c r="H682" s="219" t="e">
        <f t="shared" si="80"/>
        <v>#REF!</v>
      </c>
      <c r="I682" s="219" t="e">
        <f t="shared" si="81"/>
        <v>#REF!</v>
      </c>
      <c r="J682" s="219" t="e">
        <f>IF(I682="","",VLOOKUP(LEFT(C682,1),dadosexternosBMF_1!$L$2:$M$13,2,FALSE))</f>
        <v>#REF!</v>
      </c>
      <c r="K682" s="219" t="e">
        <f t="shared" si="82"/>
        <v>#REF!</v>
      </c>
      <c r="L682" s="422" t="e">
        <f t="shared" si="83"/>
        <v>#REF!</v>
      </c>
      <c r="M682" s="422" t="e">
        <f>IF(I682="","",WORKDAY(L682-1,1,FERIADOS!$A$2:$A$831))</f>
        <v>#REF!</v>
      </c>
      <c r="N682" s="219" t="e">
        <f>IF(I682="","",NETWORKDAYS(Curva!$M$2,M682,FERIADOS!$A$2:$A$831)-1)</f>
        <v>#REF!</v>
      </c>
      <c r="O682" s="423" t="e">
        <f>IF(C682&lt;&gt;"",IF(ISERROR((100000/E682)^(252/N682)-1),Curva!$B$2,((100000/E682)^(252/N682)-1)),"")</f>
        <v>#REF!</v>
      </c>
      <c r="P682" s="219" t="e">
        <f>IF(OR(G682=1,G682=2),dadosexternosBMF_1!B685,"")</f>
        <v>#REF!</v>
      </c>
      <c r="Q682" s="219" t="e">
        <f>IF(OR(G682=1,G682=2),dadosexternosBMF_1!D685,"")</f>
        <v>#REF!</v>
      </c>
    </row>
    <row r="683" spans="1:17" x14ac:dyDescent="0.2">
      <c r="A683" s="222" t="e">
        <f t="shared" si="78"/>
        <v>#REF!</v>
      </c>
      <c r="B683" s="222" t="str">
        <f>IF(dadosexternosBMF_1!A686="DI1 - DI de 1 dia","DI1 - DI de 1 dia","")</f>
        <v/>
      </c>
      <c r="C683" s="222" t="e">
        <f>IF(dadosexternosBMF_1!A686="DOL - Dólar comercial","",IF(C682&lt;&gt;"",dadosexternosBMF_1!B686,IF(dadosexternosBMF_1!A686="DI1 - DI de 1 dia",dadosexternosBMF_1!B686,"")))</f>
        <v>#REF!</v>
      </c>
      <c r="D683" s="222" t="e">
        <f>IF(C683&lt;&gt;"",dadosexternosBMF_1!C686,"")</f>
        <v>#REF!</v>
      </c>
      <c r="E683" s="222" t="e">
        <f>IF(C683&lt;&gt;"",dadosexternosBMF_1!D686,"")</f>
        <v>#REF!</v>
      </c>
      <c r="G683" s="219" t="e">
        <f t="shared" si="79"/>
        <v>#REF!</v>
      </c>
      <c r="H683" s="219" t="e">
        <f t="shared" si="80"/>
        <v>#REF!</v>
      </c>
      <c r="I683" s="219" t="e">
        <f t="shared" si="81"/>
        <v>#REF!</v>
      </c>
      <c r="J683" s="219" t="e">
        <f>IF(I683="","",VLOOKUP(LEFT(C683,1),dadosexternosBMF_1!$L$2:$M$13,2,FALSE))</f>
        <v>#REF!</v>
      </c>
      <c r="K683" s="219" t="e">
        <f t="shared" si="82"/>
        <v>#REF!</v>
      </c>
      <c r="L683" s="422" t="e">
        <f t="shared" si="83"/>
        <v>#REF!</v>
      </c>
      <c r="M683" s="422" t="e">
        <f>IF(I683="","",WORKDAY(L683-1,1,FERIADOS!$A$2:$A$831))</f>
        <v>#REF!</v>
      </c>
      <c r="N683" s="219" t="e">
        <f>IF(I683="","",NETWORKDAYS(Curva!$M$2,M683,FERIADOS!$A$2:$A$831)-1)</f>
        <v>#REF!</v>
      </c>
      <c r="O683" s="423" t="e">
        <f>IF(C683&lt;&gt;"",IF(ISERROR((100000/E683)^(252/N683)-1),Curva!$B$2,((100000/E683)^(252/N683)-1)),"")</f>
        <v>#REF!</v>
      </c>
      <c r="P683" s="219" t="e">
        <f>IF(OR(G683=1,G683=2),dadosexternosBMF_1!B686,"")</f>
        <v>#REF!</v>
      </c>
      <c r="Q683" s="219" t="e">
        <f>IF(OR(G683=1,G683=2),dadosexternosBMF_1!D686,"")</f>
        <v>#REF!</v>
      </c>
    </row>
    <row r="684" spans="1:17" x14ac:dyDescent="0.2">
      <c r="A684" s="222" t="e">
        <f t="shared" si="78"/>
        <v>#REF!</v>
      </c>
      <c r="B684" s="222" t="str">
        <f>IF(dadosexternosBMF_1!A687="DI1 - DI de 1 dia","DI1 - DI de 1 dia","")</f>
        <v/>
      </c>
      <c r="C684" s="222" t="e">
        <f>IF(dadosexternosBMF_1!A687="DOL - Dólar comercial","",IF(C683&lt;&gt;"",dadosexternosBMF_1!B687,IF(dadosexternosBMF_1!A687="DI1 - DI de 1 dia",dadosexternosBMF_1!B687,"")))</f>
        <v>#REF!</v>
      </c>
      <c r="D684" s="222" t="e">
        <f>IF(C684&lt;&gt;"",dadosexternosBMF_1!C687,"")</f>
        <v>#REF!</v>
      </c>
      <c r="E684" s="222" t="e">
        <f>IF(C684&lt;&gt;"",dadosexternosBMF_1!D687,"")</f>
        <v>#REF!</v>
      </c>
      <c r="G684" s="219" t="e">
        <f t="shared" si="79"/>
        <v>#REF!</v>
      </c>
      <c r="H684" s="219" t="e">
        <f t="shared" si="80"/>
        <v>#REF!</v>
      </c>
      <c r="I684" s="219" t="e">
        <f t="shared" si="81"/>
        <v>#REF!</v>
      </c>
      <c r="J684" s="219" t="e">
        <f>IF(I684="","",VLOOKUP(LEFT(C684,1),dadosexternosBMF_1!$L$2:$M$13,2,FALSE))</f>
        <v>#REF!</v>
      </c>
      <c r="K684" s="219" t="e">
        <f t="shared" si="82"/>
        <v>#REF!</v>
      </c>
      <c r="L684" s="422" t="e">
        <f t="shared" si="83"/>
        <v>#REF!</v>
      </c>
      <c r="M684" s="422" t="e">
        <f>IF(I684="","",WORKDAY(L684-1,1,FERIADOS!$A$2:$A$831))</f>
        <v>#REF!</v>
      </c>
      <c r="N684" s="219" t="e">
        <f>IF(I684="","",NETWORKDAYS(Curva!$M$2,M684,FERIADOS!$A$2:$A$831)-1)</f>
        <v>#REF!</v>
      </c>
      <c r="O684" s="423" t="e">
        <f>IF(C684&lt;&gt;"",IF(ISERROR((100000/E684)^(252/N684)-1),Curva!$B$2,((100000/E684)^(252/N684)-1)),"")</f>
        <v>#REF!</v>
      </c>
      <c r="P684" s="219" t="e">
        <f>IF(OR(G684=1,G684=2),dadosexternosBMF_1!B687,"")</f>
        <v>#REF!</v>
      </c>
      <c r="Q684" s="219" t="e">
        <f>IF(OR(G684=1,G684=2),dadosexternosBMF_1!D687,"")</f>
        <v>#REF!</v>
      </c>
    </row>
    <row r="685" spans="1:17" x14ac:dyDescent="0.2">
      <c r="A685" s="222" t="e">
        <f t="shared" si="78"/>
        <v>#REF!</v>
      </c>
      <c r="B685" s="222" t="str">
        <f>IF(dadosexternosBMF_1!A688="DI1 - DI de 1 dia","DI1 - DI de 1 dia","")</f>
        <v/>
      </c>
      <c r="C685" s="222" t="e">
        <f>IF(dadosexternosBMF_1!A688="DOL - Dólar comercial","",IF(C684&lt;&gt;"",dadosexternosBMF_1!B688,IF(dadosexternosBMF_1!A688="DI1 - DI de 1 dia",dadosexternosBMF_1!B688,"")))</f>
        <v>#REF!</v>
      </c>
      <c r="D685" s="222" t="e">
        <f>IF(C685&lt;&gt;"",dadosexternosBMF_1!C688,"")</f>
        <v>#REF!</v>
      </c>
      <c r="E685" s="222" t="e">
        <f>IF(C685&lt;&gt;"",dadosexternosBMF_1!D688,"")</f>
        <v>#REF!</v>
      </c>
      <c r="G685" s="219" t="e">
        <f t="shared" si="79"/>
        <v>#REF!</v>
      </c>
      <c r="H685" s="219" t="e">
        <f t="shared" si="80"/>
        <v>#REF!</v>
      </c>
      <c r="I685" s="219" t="e">
        <f t="shared" si="81"/>
        <v>#REF!</v>
      </c>
      <c r="J685" s="219" t="e">
        <f>IF(I685="","",VLOOKUP(LEFT(C685,1),dadosexternosBMF_1!$L$2:$M$13,2,FALSE))</f>
        <v>#REF!</v>
      </c>
      <c r="K685" s="219" t="e">
        <f t="shared" si="82"/>
        <v>#REF!</v>
      </c>
      <c r="L685" s="422" t="e">
        <f t="shared" si="83"/>
        <v>#REF!</v>
      </c>
      <c r="M685" s="422" t="e">
        <f>IF(I685="","",WORKDAY(L685-1,1,FERIADOS!$A$2:$A$831))</f>
        <v>#REF!</v>
      </c>
      <c r="N685" s="219" t="e">
        <f>IF(I685="","",NETWORKDAYS(Curva!$M$2,M685,FERIADOS!$A$2:$A$831)-1)</f>
        <v>#REF!</v>
      </c>
      <c r="O685" s="423" t="e">
        <f>IF(C685&lt;&gt;"",IF(ISERROR((100000/E685)^(252/N685)-1),Curva!$B$2,((100000/E685)^(252/N685)-1)),"")</f>
        <v>#REF!</v>
      </c>
      <c r="P685" s="219" t="e">
        <f>IF(OR(G685=1,G685=2),dadosexternosBMF_1!B688,"")</f>
        <v>#REF!</v>
      </c>
      <c r="Q685" s="219" t="e">
        <f>IF(OR(G685=1,G685=2),dadosexternosBMF_1!D688,"")</f>
        <v>#REF!</v>
      </c>
    </row>
    <row r="686" spans="1:17" x14ac:dyDescent="0.2">
      <c r="A686" s="222" t="e">
        <f t="shared" si="78"/>
        <v>#REF!</v>
      </c>
      <c r="B686" s="222" t="str">
        <f>IF(dadosexternosBMF_1!A689="DI1 - DI de 1 dia","DI1 - DI de 1 dia","")</f>
        <v/>
      </c>
      <c r="C686" s="222" t="e">
        <f>IF(dadosexternosBMF_1!A689="DOL - Dólar comercial","",IF(C685&lt;&gt;"",dadosexternosBMF_1!B689,IF(dadosexternosBMF_1!A689="DI1 - DI de 1 dia",dadosexternosBMF_1!B689,"")))</f>
        <v>#REF!</v>
      </c>
      <c r="D686" s="222" t="e">
        <f>IF(C686&lt;&gt;"",dadosexternosBMF_1!C689,"")</f>
        <v>#REF!</v>
      </c>
      <c r="E686" s="222" t="e">
        <f>IF(C686&lt;&gt;"",dadosexternosBMF_1!D689,"")</f>
        <v>#REF!</v>
      </c>
      <c r="G686" s="219" t="e">
        <f t="shared" si="79"/>
        <v>#REF!</v>
      </c>
      <c r="H686" s="219" t="e">
        <f t="shared" si="80"/>
        <v>#REF!</v>
      </c>
      <c r="I686" s="219" t="e">
        <f t="shared" si="81"/>
        <v>#REF!</v>
      </c>
      <c r="J686" s="219" t="e">
        <f>IF(I686="","",VLOOKUP(LEFT(C686,1),dadosexternosBMF_1!$L$2:$M$13,2,FALSE))</f>
        <v>#REF!</v>
      </c>
      <c r="K686" s="219" t="e">
        <f t="shared" si="82"/>
        <v>#REF!</v>
      </c>
      <c r="L686" s="422" t="e">
        <f t="shared" si="83"/>
        <v>#REF!</v>
      </c>
      <c r="M686" s="422" t="e">
        <f>IF(I686="","",WORKDAY(L686-1,1,FERIADOS!$A$2:$A$831))</f>
        <v>#REF!</v>
      </c>
      <c r="N686" s="219" t="e">
        <f>IF(I686="","",NETWORKDAYS(Curva!$M$2,M686,FERIADOS!$A$2:$A$831)-1)</f>
        <v>#REF!</v>
      </c>
      <c r="O686" s="423" t="e">
        <f>IF(C686&lt;&gt;"",IF(ISERROR((100000/E686)^(252/N686)-1),Curva!$B$2,((100000/E686)^(252/N686)-1)),"")</f>
        <v>#REF!</v>
      </c>
      <c r="P686" s="219" t="e">
        <f>IF(OR(G686=1,G686=2),dadosexternosBMF_1!B689,"")</f>
        <v>#REF!</v>
      </c>
      <c r="Q686" s="219" t="e">
        <f>IF(OR(G686=1,G686=2),dadosexternosBMF_1!D689,"")</f>
        <v>#REF!</v>
      </c>
    </row>
    <row r="687" spans="1:17" x14ac:dyDescent="0.2">
      <c r="A687" s="222" t="e">
        <f t="shared" si="78"/>
        <v>#REF!</v>
      </c>
      <c r="B687" s="222" t="str">
        <f>IF(dadosexternosBMF_1!A690="DI1 - DI de 1 dia","DI1 - DI de 1 dia","")</f>
        <v/>
      </c>
      <c r="C687" s="222" t="e">
        <f>IF(dadosexternosBMF_1!A690="DOL - Dólar comercial","",IF(C686&lt;&gt;"",dadosexternosBMF_1!B690,IF(dadosexternosBMF_1!A690="DI1 - DI de 1 dia",dadosexternosBMF_1!B690,"")))</f>
        <v>#REF!</v>
      </c>
      <c r="D687" s="222" t="e">
        <f>IF(C687&lt;&gt;"",dadosexternosBMF_1!C690,"")</f>
        <v>#REF!</v>
      </c>
      <c r="E687" s="222" t="e">
        <f>IF(C687&lt;&gt;"",dadosexternosBMF_1!D690,"")</f>
        <v>#REF!</v>
      </c>
      <c r="G687" s="219" t="e">
        <f t="shared" si="79"/>
        <v>#REF!</v>
      </c>
      <c r="H687" s="219" t="e">
        <f t="shared" si="80"/>
        <v>#REF!</v>
      </c>
      <c r="I687" s="219" t="e">
        <f t="shared" si="81"/>
        <v>#REF!</v>
      </c>
      <c r="J687" s="219" t="e">
        <f>IF(I687="","",VLOOKUP(LEFT(C687,1),dadosexternosBMF_1!$L$2:$M$13,2,FALSE))</f>
        <v>#REF!</v>
      </c>
      <c r="K687" s="219" t="e">
        <f t="shared" si="82"/>
        <v>#REF!</v>
      </c>
      <c r="L687" s="422" t="e">
        <f t="shared" si="83"/>
        <v>#REF!</v>
      </c>
      <c r="M687" s="422" t="e">
        <f>IF(I687="","",WORKDAY(L687-1,1,FERIADOS!$A$2:$A$831))</f>
        <v>#REF!</v>
      </c>
      <c r="N687" s="219" t="e">
        <f>IF(I687="","",NETWORKDAYS(Curva!$M$2,M687,FERIADOS!$A$2:$A$831)-1)</f>
        <v>#REF!</v>
      </c>
      <c r="O687" s="423" t="e">
        <f>IF(C687&lt;&gt;"",IF(ISERROR((100000/E687)^(252/N687)-1),Curva!$B$2,((100000/E687)^(252/N687)-1)),"")</f>
        <v>#REF!</v>
      </c>
      <c r="P687" s="219" t="e">
        <f>IF(OR(G687=1,G687=2),dadosexternosBMF_1!B690,"")</f>
        <v>#REF!</v>
      </c>
      <c r="Q687" s="219" t="e">
        <f>IF(OR(G687=1,G687=2),dadosexternosBMF_1!D690,"")</f>
        <v>#REF!</v>
      </c>
    </row>
    <row r="688" spans="1:17" x14ac:dyDescent="0.2">
      <c r="A688" s="222" t="e">
        <f t="shared" si="78"/>
        <v>#REF!</v>
      </c>
      <c r="B688" s="222" t="str">
        <f>IF(dadosexternosBMF_1!A691="DI1 - DI de 1 dia","DI1 - DI de 1 dia","")</f>
        <v/>
      </c>
      <c r="C688" s="222" t="e">
        <f>IF(dadosexternosBMF_1!A691="DOL - Dólar comercial","",IF(C687&lt;&gt;"",dadosexternosBMF_1!B691,IF(dadosexternosBMF_1!A691="DI1 - DI de 1 dia",dadosexternosBMF_1!B691,"")))</f>
        <v>#REF!</v>
      </c>
      <c r="D688" s="222" t="e">
        <f>IF(C688&lt;&gt;"",dadosexternosBMF_1!C691,"")</f>
        <v>#REF!</v>
      </c>
      <c r="E688" s="222" t="e">
        <f>IF(C688&lt;&gt;"",dadosexternosBMF_1!D691,"")</f>
        <v>#REF!</v>
      </c>
      <c r="G688" s="219" t="e">
        <f t="shared" si="79"/>
        <v>#REF!</v>
      </c>
      <c r="H688" s="219" t="e">
        <f t="shared" si="80"/>
        <v>#REF!</v>
      </c>
      <c r="I688" s="219" t="e">
        <f t="shared" si="81"/>
        <v>#REF!</v>
      </c>
      <c r="J688" s="219" t="e">
        <f>IF(I688="","",VLOOKUP(LEFT(C688,1),dadosexternosBMF_1!$L$2:$M$13,2,FALSE))</f>
        <v>#REF!</v>
      </c>
      <c r="K688" s="219" t="e">
        <f t="shared" si="82"/>
        <v>#REF!</v>
      </c>
      <c r="L688" s="422" t="e">
        <f t="shared" si="83"/>
        <v>#REF!</v>
      </c>
      <c r="M688" s="422" t="e">
        <f>IF(I688="","",WORKDAY(L688-1,1,FERIADOS!$A$2:$A$831))</f>
        <v>#REF!</v>
      </c>
      <c r="N688" s="219" t="e">
        <f>IF(I688="","",NETWORKDAYS(Curva!$M$2,M688,FERIADOS!$A$2:$A$831)-1)</f>
        <v>#REF!</v>
      </c>
      <c r="O688" s="423" t="e">
        <f>IF(C688&lt;&gt;"",IF(ISERROR((100000/E688)^(252/N688)-1),Curva!$B$2,((100000/E688)^(252/N688)-1)),"")</f>
        <v>#REF!</v>
      </c>
      <c r="P688" s="219" t="e">
        <f>IF(OR(G688=1,G688=2),dadosexternosBMF_1!B691,"")</f>
        <v>#REF!</v>
      </c>
      <c r="Q688" s="219" t="e">
        <f>IF(OR(G688=1,G688=2),dadosexternosBMF_1!D691,"")</f>
        <v>#REF!</v>
      </c>
    </row>
    <row r="689" spans="1:17" x14ac:dyDescent="0.2">
      <c r="A689" s="222" t="e">
        <f t="shared" si="78"/>
        <v>#REF!</v>
      </c>
      <c r="B689" s="222" t="str">
        <f>IF(dadosexternosBMF_1!A692="DI1 - DI de 1 dia","DI1 - DI de 1 dia","")</f>
        <v/>
      </c>
      <c r="C689" s="222" t="e">
        <f>IF(dadosexternosBMF_1!A692="DOL - Dólar comercial","",IF(C688&lt;&gt;"",dadosexternosBMF_1!B692,IF(dadosexternosBMF_1!A692="DI1 - DI de 1 dia",dadosexternosBMF_1!B692,"")))</f>
        <v>#REF!</v>
      </c>
      <c r="D689" s="222" t="e">
        <f>IF(C689&lt;&gt;"",dadosexternosBMF_1!C692,"")</f>
        <v>#REF!</v>
      </c>
      <c r="E689" s="222" t="e">
        <f>IF(C689&lt;&gt;"",dadosexternosBMF_1!D692,"")</f>
        <v>#REF!</v>
      </c>
      <c r="G689" s="219" t="e">
        <f t="shared" si="79"/>
        <v>#REF!</v>
      </c>
      <c r="H689" s="219" t="e">
        <f t="shared" si="80"/>
        <v>#REF!</v>
      </c>
      <c r="I689" s="219" t="e">
        <f t="shared" si="81"/>
        <v>#REF!</v>
      </c>
      <c r="J689" s="219" t="e">
        <f>IF(I689="","",VLOOKUP(LEFT(C689,1),dadosexternosBMF_1!$L$2:$M$13,2,FALSE))</f>
        <v>#REF!</v>
      </c>
      <c r="K689" s="219" t="e">
        <f t="shared" si="82"/>
        <v>#REF!</v>
      </c>
      <c r="L689" s="422" t="e">
        <f t="shared" si="83"/>
        <v>#REF!</v>
      </c>
      <c r="M689" s="422" t="e">
        <f>IF(I689="","",WORKDAY(L689-1,1,FERIADOS!$A$2:$A$831))</f>
        <v>#REF!</v>
      </c>
      <c r="N689" s="219" t="e">
        <f>IF(I689="","",NETWORKDAYS(Curva!$M$2,M689,FERIADOS!$A$2:$A$831)-1)</f>
        <v>#REF!</v>
      </c>
      <c r="O689" s="423" t="e">
        <f>IF(C689&lt;&gt;"",IF(ISERROR((100000/E689)^(252/N689)-1),Curva!$B$2,((100000/E689)^(252/N689)-1)),"")</f>
        <v>#REF!</v>
      </c>
      <c r="P689" s="219" t="e">
        <f>IF(OR(G689=1,G689=2),dadosexternosBMF_1!B692,"")</f>
        <v>#REF!</v>
      </c>
      <c r="Q689" s="219" t="e">
        <f>IF(OR(G689=1,G689=2),dadosexternosBMF_1!D692,"")</f>
        <v>#REF!</v>
      </c>
    </row>
    <row r="690" spans="1:17" x14ac:dyDescent="0.2">
      <c r="A690" s="222" t="e">
        <f t="shared" si="78"/>
        <v>#REF!</v>
      </c>
      <c r="B690" s="222" t="str">
        <f>IF(dadosexternosBMF_1!A693="DI1 - DI de 1 dia","DI1 - DI de 1 dia","")</f>
        <v/>
      </c>
      <c r="C690" s="222" t="e">
        <f>IF(dadosexternosBMF_1!A693="DOL - Dólar comercial","",IF(C689&lt;&gt;"",dadosexternosBMF_1!B693,IF(dadosexternosBMF_1!A693="DI1 - DI de 1 dia",dadosexternosBMF_1!B693,"")))</f>
        <v>#REF!</v>
      </c>
      <c r="D690" s="222" t="e">
        <f>IF(C690&lt;&gt;"",dadosexternosBMF_1!C693,"")</f>
        <v>#REF!</v>
      </c>
      <c r="E690" s="222" t="e">
        <f>IF(C690&lt;&gt;"",dadosexternosBMF_1!D693,"")</f>
        <v>#REF!</v>
      </c>
      <c r="G690" s="219" t="e">
        <f t="shared" si="79"/>
        <v>#REF!</v>
      </c>
      <c r="H690" s="219" t="e">
        <f t="shared" si="80"/>
        <v>#REF!</v>
      </c>
      <c r="I690" s="219" t="e">
        <f t="shared" si="81"/>
        <v>#REF!</v>
      </c>
      <c r="J690" s="219" t="e">
        <f>IF(I690="","",VLOOKUP(LEFT(C690,1),dadosexternosBMF_1!$L$2:$M$13,2,FALSE))</f>
        <v>#REF!</v>
      </c>
      <c r="K690" s="219" t="e">
        <f t="shared" si="82"/>
        <v>#REF!</v>
      </c>
      <c r="L690" s="422" t="e">
        <f t="shared" si="83"/>
        <v>#REF!</v>
      </c>
      <c r="M690" s="422" t="e">
        <f>IF(I690="","",WORKDAY(L690-1,1,FERIADOS!$A$2:$A$831))</f>
        <v>#REF!</v>
      </c>
      <c r="N690" s="219" t="e">
        <f>IF(I690="","",NETWORKDAYS(Curva!$M$2,M690,FERIADOS!$A$2:$A$831)-1)</f>
        <v>#REF!</v>
      </c>
      <c r="O690" s="423" t="e">
        <f>IF(C690&lt;&gt;"",IF(ISERROR((100000/E690)^(252/N690)-1),Curva!$B$2,((100000/E690)^(252/N690)-1)),"")</f>
        <v>#REF!</v>
      </c>
      <c r="P690" s="219" t="e">
        <f>IF(OR(G690=1,G690=2),dadosexternosBMF_1!B693,"")</f>
        <v>#REF!</v>
      </c>
      <c r="Q690" s="219" t="e">
        <f>IF(OR(G690=1,G690=2),dadosexternosBMF_1!D693,"")</f>
        <v>#REF!</v>
      </c>
    </row>
    <row r="691" spans="1:17" x14ac:dyDescent="0.2">
      <c r="A691" s="222" t="e">
        <f t="shared" si="78"/>
        <v>#REF!</v>
      </c>
      <c r="B691" s="222" t="str">
        <f>IF(dadosexternosBMF_1!A694="DI1 - DI de 1 dia","DI1 - DI de 1 dia","")</f>
        <v/>
      </c>
      <c r="C691" s="222" t="e">
        <f>IF(dadosexternosBMF_1!A694="DOL - Dólar comercial","",IF(C690&lt;&gt;"",dadosexternosBMF_1!B694,IF(dadosexternosBMF_1!A694="DI1 - DI de 1 dia",dadosexternosBMF_1!B694,"")))</f>
        <v>#REF!</v>
      </c>
      <c r="D691" s="222" t="e">
        <f>IF(C691&lt;&gt;"",dadosexternosBMF_1!C694,"")</f>
        <v>#REF!</v>
      </c>
      <c r="E691" s="222" t="e">
        <f>IF(C691&lt;&gt;"",dadosexternosBMF_1!D694,"")</f>
        <v>#REF!</v>
      </c>
      <c r="G691" s="219" t="e">
        <f t="shared" si="79"/>
        <v>#REF!</v>
      </c>
      <c r="H691" s="219" t="e">
        <f t="shared" si="80"/>
        <v>#REF!</v>
      </c>
      <c r="I691" s="219" t="e">
        <f t="shared" si="81"/>
        <v>#REF!</v>
      </c>
      <c r="J691" s="219" t="e">
        <f>IF(I691="","",VLOOKUP(LEFT(C691,1),dadosexternosBMF_1!$L$2:$M$13,2,FALSE))</f>
        <v>#REF!</v>
      </c>
      <c r="K691" s="219" t="e">
        <f t="shared" si="82"/>
        <v>#REF!</v>
      </c>
      <c r="L691" s="422" t="e">
        <f t="shared" si="83"/>
        <v>#REF!</v>
      </c>
      <c r="M691" s="422" t="e">
        <f>IF(I691="","",WORKDAY(L691-1,1,FERIADOS!$A$2:$A$831))</f>
        <v>#REF!</v>
      </c>
      <c r="N691" s="219" t="e">
        <f>IF(I691="","",NETWORKDAYS(Curva!$M$2,M691,FERIADOS!$A$2:$A$831)-1)</f>
        <v>#REF!</v>
      </c>
      <c r="O691" s="423" t="e">
        <f>IF(C691&lt;&gt;"",IF(ISERROR((100000/E691)^(252/N691)-1),Curva!$B$2,((100000/E691)^(252/N691)-1)),"")</f>
        <v>#REF!</v>
      </c>
      <c r="P691" s="219" t="e">
        <f>IF(OR(G691=1,G691=2),dadosexternosBMF_1!B694,"")</f>
        <v>#REF!</v>
      </c>
      <c r="Q691" s="219" t="e">
        <f>IF(OR(G691=1,G691=2),dadosexternosBMF_1!D694,"")</f>
        <v>#REF!</v>
      </c>
    </row>
    <row r="692" spans="1:17" x14ac:dyDescent="0.2">
      <c r="A692" s="222" t="e">
        <f t="shared" si="78"/>
        <v>#REF!</v>
      </c>
      <c r="B692" s="222" t="str">
        <f>IF(dadosexternosBMF_1!A695="DI1 - DI de 1 dia","DI1 - DI de 1 dia","")</f>
        <v/>
      </c>
      <c r="C692" s="222" t="e">
        <f>IF(dadosexternosBMF_1!A695="DOL - Dólar comercial","",IF(C691&lt;&gt;"",dadosexternosBMF_1!B695,IF(dadosexternosBMF_1!A695="DI1 - DI de 1 dia",dadosexternosBMF_1!B695,"")))</f>
        <v>#REF!</v>
      </c>
      <c r="D692" s="222" t="e">
        <f>IF(C692&lt;&gt;"",dadosexternosBMF_1!C695,"")</f>
        <v>#REF!</v>
      </c>
      <c r="E692" s="222" t="e">
        <f>IF(C692&lt;&gt;"",dadosexternosBMF_1!D695,"")</f>
        <v>#REF!</v>
      </c>
      <c r="G692" s="219" t="e">
        <f t="shared" si="79"/>
        <v>#REF!</v>
      </c>
      <c r="H692" s="219" t="e">
        <f t="shared" si="80"/>
        <v>#REF!</v>
      </c>
      <c r="I692" s="219" t="e">
        <f t="shared" si="81"/>
        <v>#REF!</v>
      </c>
      <c r="J692" s="219" t="e">
        <f>IF(I692="","",VLOOKUP(LEFT(C692,1),dadosexternosBMF_1!$L$2:$M$13,2,FALSE))</f>
        <v>#REF!</v>
      </c>
      <c r="K692" s="219" t="e">
        <f t="shared" si="82"/>
        <v>#REF!</v>
      </c>
      <c r="L692" s="422" t="e">
        <f t="shared" si="83"/>
        <v>#REF!</v>
      </c>
      <c r="M692" s="422" t="e">
        <f>IF(I692="","",WORKDAY(L692-1,1,FERIADOS!$A$2:$A$831))</f>
        <v>#REF!</v>
      </c>
      <c r="N692" s="219" t="e">
        <f>IF(I692="","",NETWORKDAYS(Curva!$M$2,M692,FERIADOS!$A$2:$A$831)-1)</f>
        <v>#REF!</v>
      </c>
      <c r="O692" s="423" t="e">
        <f>IF(C692&lt;&gt;"",IF(ISERROR((100000/E692)^(252/N692)-1),Curva!$B$2,((100000/E692)^(252/N692)-1)),"")</f>
        <v>#REF!</v>
      </c>
      <c r="P692" s="219" t="e">
        <f>IF(OR(G692=1,G692=2),dadosexternosBMF_1!B695,"")</f>
        <v>#REF!</v>
      </c>
      <c r="Q692" s="219" t="e">
        <f>IF(OR(G692=1,G692=2),dadosexternosBMF_1!D695,"")</f>
        <v>#REF!</v>
      </c>
    </row>
    <row r="693" spans="1:17" x14ac:dyDescent="0.2">
      <c r="A693" s="222" t="e">
        <f t="shared" si="78"/>
        <v>#REF!</v>
      </c>
      <c r="B693" s="222" t="str">
        <f>IF(dadosexternosBMF_1!A696="DI1 - DI de 1 dia","DI1 - DI de 1 dia","")</f>
        <v/>
      </c>
      <c r="C693" s="222" t="e">
        <f>IF(dadosexternosBMF_1!A696="DOL - Dólar comercial","",IF(C692&lt;&gt;"",dadosexternosBMF_1!B696,IF(dadosexternosBMF_1!A696="DI1 - DI de 1 dia",dadosexternosBMF_1!B696,"")))</f>
        <v>#REF!</v>
      </c>
      <c r="D693" s="222" t="e">
        <f>IF(C693&lt;&gt;"",dadosexternosBMF_1!C696,"")</f>
        <v>#REF!</v>
      </c>
      <c r="E693" s="222" t="e">
        <f>IF(C693&lt;&gt;"",dadosexternosBMF_1!D696,"")</f>
        <v>#REF!</v>
      </c>
      <c r="G693" s="219" t="e">
        <f t="shared" si="79"/>
        <v>#REF!</v>
      </c>
      <c r="H693" s="219" t="e">
        <f t="shared" si="80"/>
        <v>#REF!</v>
      </c>
      <c r="I693" s="219" t="e">
        <f t="shared" si="81"/>
        <v>#REF!</v>
      </c>
      <c r="J693" s="219" t="e">
        <f>IF(I693="","",VLOOKUP(LEFT(C693,1),dadosexternosBMF_1!$L$2:$M$13,2,FALSE))</f>
        <v>#REF!</v>
      </c>
      <c r="K693" s="219" t="e">
        <f t="shared" si="82"/>
        <v>#REF!</v>
      </c>
      <c r="L693" s="422" t="e">
        <f t="shared" si="83"/>
        <v>#REF!</v>
      </c>
      <c r="M693" s="422" t="e">
        <f>IF(I693="","",WORKDAY(L693-1,1,FERIADOS!$A$2:$A$831))</f>
        <v>#REF!</v>
      </c>
      <c r="N693" s="219" t="e">
        <f>IF(I693="","",NETWORKDAYS(Curva!$M$2,M693,FERIADOS!$A$2:$A$831)-1)</f>
        <v>#REF!</v>
      </c>
      <c r="O693" s="423" t="e">
        <f>IF(C693&lt;&gt;"",IF(ISERROR((100000/E693)^(252/N693)-1),Curva!$B$2,((100000/E693)^(252/N693)-1)),"")</f>
        <v>#REF!</v>
      </c>
      <c r="P693" s="219" t="e">
        <f>IF(OR(G693=1,G693=2),dadosexternosBMF_1!B696,"")</f>
        <v>#REF!</v>
      </c>
      <c r="Q693" s="219" t="e">
        <f>IF(OR(G693=1,G693=2),dadosexternosBMF_1!D696,"")</f>
        <v>#REF!</v>
      </c>
    </row>
    <row r="694" spans="1:17" x14ac:dyDescent="0.2">
      <c r="A694" s="222" t="e">
        <f t="shared" si="78"/>
        <v>#REF!</v>
      </c>
      <c r="B694" s="222" t="str">
        <f>IF(dadosexternosBMF_1!A697="DI1 - DI de 1 dia","DI1 - DI de 1 dia","")</f>
        <v/>
      </c>
      <c r="C694" s="222" t="e">
        <f>IF(dadosexternosBMF_1!A697="DOL - Dólar comercial","",IF(C693&lt;&gt;"",dadosexternosBMF_1!B697,IF(dadosexternosBMF_1!A697="DI1 - DI de 1 dia",dadosexternosBMF_1!B697,"")))</f>
        <v>#REF!</v>
      </c>
      <c r="D694" s="222" t="e">
        <f>IF(C694&lt;&gt;"",dadosexternosBMF_1!C697,"")</f>
        <v>#REF!</v>
      </c>
      <c r="E694" s="222" t="e">
        <f>IF(C694&lt;&gt;"",dadosexternosBMF_1!D697,"")</f>
        <v>#REF!</v>
      </c>
      <c r="G694" s="219" t="e">
        <f t="shared" si="79"/>
        <v>#REF!</v>
      </c>
      <c r="H694" s="219" t="e">
        <f t="shared" si="80"/>
        <v>#REF!</v>
      </c>
      <c r="I694" s="219" t="e">
        <f t="shared" si="81"/>
        <v>#REF!</v>
      </c>
      <c r="J694" s="219" t="e">
        <f>IF(I694="","",VLOOKUP(LEFT(C694,1),dadosexternosBMF_1!$L$2:$M$13,2,FALSE))</f>
        <v>#REF!</v>
      </c>
      <c r="K694" s="219" t="e">
        <f t="shared" si="82"/>
        <v>#REF!</v>
      </c>
      <c r="L694" s="422" t="e">
        <f t="shared" si="83"/>
        <v>#REF!</v>
      </c>
      <c r="M694" s="422" t="e">
        <f>IF(I694="","",WORKDAY(L694-1,1,FERIADOS!$A$2:$A$831))</f>
        <v>#REF!</v>
      </c>
      <c r="N694" s="219" t="e">
        <f>IF(I694="","",NETWORKDAYS(Curva!$M$2,M694,FERIADOS!$A$2:$A$831)-1)</f>
        <v>#REF!</v>
      </c>
      <c r="O694" s="423" t="e">
        <f>IF(C694&lt;&gt;"",IF(ISERROR((100000/E694)^(252/N694)-1),Curva!$B$2,((100000/E694)^(252/N694)-1)),"")</f>
        <v>#REF!</v>
      </c>
      <c r="P694" s="219" t="e">
        <f>IF(OR(G694=1,G694=2),dadosexternosBMF_1!B697,"")</f>
        <v>#REF!</v>
      </c>
      <c r="Q694" s="219" t="e">
        <f>IF(OR(G694=1,G694=2),dadosexternosBMF_1!D697,"")</f>
        <v>#REF!</v>
      </c>
    </row>
    <row r="695" spans="1:17" x14ac:dyDescent="0.2">
      <c r="A695" s="222" t="e">
        <f t="shared" si="78"/>
        <v>#REF!</v>
      </c>
      <c r="B695" s="222" t="str">
        <f>IF(dadosexternosBMF_1!A698="DI1 - DI de 1 dia","DI1 - DI de 1 dia","")</f>
        <v/>
      </c>
      <c r="C695" s="222" t="e">
        <f>IF(dadosexternosBMF_1!A698="DOL - Dólar comercial","",IF(C694&lt;&gt;"",dadosexternosBMF_1!B698,IF(dadosexternosBMF_1!A698="DI1 - DI de 1 dia",dadosexternosBMF_1!B698,"")))</f>
        <v>#REF!</v>
      </c>
      <c r="D695" s="222" t="e">
        <f>IF(C695&lt;&gt;"",dadosexternosBMF_1!C698,"")</f>
        <v>#REF!</v>
      </c>
      <c r="E695" s="222" t="e">
        <f>IF(C695&lt;&gt;"",dadosexternosBMF_1!D698,"")</f>
        <v>#REF!</v>
      </c>
      <c r="G695" s="219" t="e">
        <f t="shared" si="79"/>
        <v>#REF!</v>
      </c>
      <c r="H695" s="219" t="e">
        <f t="shared" si="80"/>
        <v>#REF!</v>
      </c>
      <c r="I695" s="219" t="e">
        <f t="shared" si="81"/>
        <v>#REF!</v>
      </c>
      <c r="J695" s="219" t="e">
        <f>IF(I695="","",VLOOKUP(LEFT(C695,1),dadosexternosBMF_1!$L$2:$M$13,2,FALSE))</f>
        <v>#REF!</v>
      </c>
      <c r="K695" s="219" t="e">
        <f t="shared" si="82"/>
        <v>#REF!</v>
      </c>
      <c r="L695" s="422" t="e">
        <f t="shared" si="83"/>
        <v>#REF!</v>
      </c>
      <c r="M695" s="422" t="e">
        <f>IF(I695="","",WORKDAY(L695-1,1,FERIADOS!$A$2:$A$831))</f>
        <v>#REF!</v>
      </c>
      <c r="N695" s="219" t="e">
        <f>IF(I695="","",NETWORKDAYS(Curva!$M$2,M695,FERIADOS!$A$2:$A$831)-1)</f>
        <v>#REF!</v>
      </c>
      <c r="O695" s="423" t="e">
        <f>IF(C695&lt;&gt;"",IF(ISERROR((100000/E695)^(252/N695)-1),Curva!$B$2,((100000/E695)^(252/N695)-1)),"")</f>
        <v>#REF!</v>
      </c>
      <c r="P695" s="219" t="e">
        <f>IF(OR(G695=1,G695=2),dadosexternosBMF_1!B698,"")</f>
        <v>#REF!</v>
      </c>
      <c r="Q695" s="219" t="e">
        <f>IF(OR(G695=1,G695=2),dadosexternosBMF_1!D698,"")</f>
        <v>#REF!</v>
      </c>
    </row>
    <row r="696" spans="1:17" x14ac:dyDescent="0.2">
      <c r="A696" s="222" t="e">
        <f t="shared" si="78"/>
        <v>#REF!</v>
      </c>
      <c r="B696" s="222" t="str">
        <f>IF(dadosexternosBMF_1!A699="DI1 - DI de 1 dia","DI1 - DI de 1 dia","")</f>
        <v/>
      </c>
      <c r="C696" s="222" t="e">
        <f>IF(dadosexternosBMF_1!A699="DOL - Dólar comercial","",IF(C695&lt;&gt;"",dadosexternosBMF_1!B699,IF(dadosexternosBMF_1!A699="DI1 - DI de 1 dia",dadosexternosBMF_1!B699,"")))</f>
        <v>#REF!</v>
      </c>
      <c r="D696" s="222" t="e">
        <f>IF(C696&lt;&gt;"",dadosexternosBMF_1!C699,"")</f>
        <v>#REF!</v>
      </c>
      <c r="E696" s="222" t="e">
        <f>IF(C696&lt;&gt;"",dadosexternosBMF_1!D699,"")</f>
        <v>#REF!</v>
      </c>
      <c r="G696" s="219" t="e">
        <f t="shared" si="79"/>
        <v>#REF!</v>
      </c>
      <c r="H696" s="219" t="e">
        <f t="shared" si="80"/>
        <v>#REF!</v>
      </c>
      <c r="I696" s="219" t="e">
        <f t="shared" si="81"/>
        <v>#REF!</v>
      </c>
      <c r="J696" s="219" t="e">
        <f>IF(I696="","",VLOOKUP(LEFT(C696,1),dadosexternosBMF_1!$L$2:$M$13,2,FALSE))</f>
        <v>#REF!</v>
      </c>
      <c r="K696" s="219" t="e">
        <f t="shared" si="82"/>
        <v>#REF!</v>
      </c>
      <c r="L696" s="422" t="e">
        <f t="shared" si="83"/>
        <v>#REF!</v>
      </c>
      <c r="M696" s="422" t="e">
        <f>IF(I696="","",WORKDAY(L696-1,1,FERIADOS!$A$2:$A$831))</f>
        <v>#REF!</v>
      </c>
      <c r="N696" s="219" t="e">
        <f>IF(I696="","",NETWORKDAYS(Curva!$M$2,M696,FERIADOS!$A$2:$A$831)-1)</f>
        <v>#REF!</v>
      </c>
      <c r="O696" s="423" t="e">
        <f>IF(C696&lt;&gt;"",IF(ISERROR((100000/E696)^(252/N696)-1),Curva!$B$2,((100000/E696)^(252/N696)-1)),"")</f>
        <v>#REF!</v>
      </c>
      <c r="P696" s="219" t="e">
        <f>IF(OR(G696=1,G696=2),dadosexternosBMF_1!B699,"")</f>
        <v>#REF!</v>
      </c>
      <c r="Q696" s="219" t="e">
        <f>IF(OR(G696=1,G696=2),dadosexternosBMF_1!D699,"")</f>
        <v>#REF!</v>
      </c>
    </row>
    <row r="697" spans="1:17" x14ac:dyDescent="0.2">
      <c r="A697" s="222" t="e">
        <f t="shared" si="78"/>
        <v>#REF!</v>
      </c>
      <c r="B697" s="222" t="str">
        <f>IF(dadosexternosBMF_1!A700="DI1 - DI de 1 dia","DI1 - DI de 1 dia","")</f>
        <v/>
      </c>
      <c r="C697" s="222" t="e">
        <f>IF(dadosexternosBMF_1!A700="DOL - Dólar comercial","",IF(C696&lt;&gt;"",dadosexternosBMF_1!B700,IF(dadosexternosBMF_1!A700="DI1 - DI de 1 dia",dadosexternosBMF_1!B700,"")))</f>
        <v>#REF!</v>
      </c>
      <c r="D697" s="222" t="e">
        <f>IF(C697&lt;&gt;"",dadosexternosBMF_1!C700,"")</f>
        <v>#REF!</v>
      </c>
      <c r="E697" s="222" t="e">
        <f>IF(C697&lt;&gt;"",dadosexternosBMF_1!D700,"")</f>
        <v>#REF!</v>
      </c>
      <c r="G697" s="219" t="e">
        <f t="shared" si="79"/>
        <v>#REF!</v>
      </c>
      <c r="H697" s="219" t="e">
        <f t="shared" si="80"/>
        <v>#REF!</v>
      </c>
      <c r="I697" s="219" t="e">
        <f t="shared" si="81"/>
        <v>#REF!</v>
      </c>
      <c r="J697" s="219" t="e">
        <f>IF(I697="","",VLOOKUP(LEFT(C697,1),dadosexternosBMF_1!$L$2:$M$13,2,FALSE))</f>
        <v>#REF!</v>
      </c>
      <c r="K697" s="219" t="e">
        <f t="shared" si="82"/>
        <v>#REF!</v>
      </c>
      <c r="L697" s="422" t="e">
        <f t="shared" si="83"/>
        <v>#REF!</v>
      </c>
      <c r="M697" s="422" t="e">
        <f>IF(I697="","",WORKDAY(L697-1,1,FERIADOS!$A$2:$A$831))</f>
        <v>#REF!</v>
      </c>
      <c r="N697" s="219" t="e">
        <f>IF(I697="","",NETWORKDAYS(Curva!$M$2,M697,FERIADOS!$A$2:$A$831)-1)</f>
        <v>#REF!</v>
      </c>
      <c r="O697" s="423" t="e">
        <f>IF(C697&lt;&gt;"",IF(ISERROR((100000/E697)^(252/N697)-1),Curva!$B$2,((100000/E697)^(252/N697)-1)),"")</f>
        <v>#REF!</v>
      </c>
      <c r="P697" s="219" t="e">
        <f>IF(OR(G697=1,G697=2),dadosexternosBMF_1!B700,"")</f>
        <v>#REF!</v>
      </c>
      <c r="Q697" s="219" t="e">
        <f>IF(OR(G697=1,G697=2),dadosexternosBMF_1!D700,"")</f>
        <v>#REF!</v>
      </c>
    </row>
    <row r="698" spans="1:17" x14ac:dyDescent="0.2">
      <c r="A698" s="222" t="e">
        <f t="shared" si="78"/>
        <v>#REF!</v>
      </c>
      <c r="B698" s="222" t="str">
        <f>IF(dadosexternosBMF_1!A701="DI1 - DI de 1 dia","DI1 - DI de 1 dia","")</f>
        <v/>
      </c>
      <c r="C698" s="222" t="e">
        <f>IF(dadosexternosBMF_1!A701="DOL - Dólar comercial","",IF(C697&lt;&gt;"",dadosexternosBMF_1!B701,IF(dadosexternosBMF_1!A701="DI1 - DI de 1 dia",dadosexternosBMF_1!B701,"")))</f>
        <v>#REF!</v>
      </c>
      <c r="D698" s="222" t="e">
        <f>IF(C698&lt;&gt;"",dadosexternosBMF_1!C701,"")</f>
        <v>#REF!</v>
      </c>
      <c r="E698" s="222" t="e">
        <f>IF(C698&lt;&gt;"",dadosexternosBMF_1!D701,"")</f>
        <v>#REF!</v>
      </c>
      <c r="G698" s="219" t="e">
        <f t="shared" si="79"/>
        <v>#REF!</v>
      </c>
      <c r="H698" s="219" t="e">
        <f t="shared" si="80"/>
        <v>#REF!</v>
      </c>
      <c r="I698" s="219" t="e">
        <f t="shared" si="81"/>
        <v>#REF!</v>
      </c>
      <c r="J698" s="219" t="e">
        <f>IF(I698="","",VLOOKUP(LEFT(C698,1),dadosexternosBMF_1!$L$2:$M$13,2,FALSE))</f>
        <v>#REF!</v>
      </c>
      <c r="K698" s="219" t="e">
        <f t="shared" si="82"/>
        <v>#REF!</v>
      </c>
      <c r="L698" s="422" t="e">
        <f t="shared" si="83"/>
        <v>#REF!</v>
      </c>
      <c r="M698" s="422" t="e">
        <f>IF(I698="","",WORKDAY(L698-1,1,FERIADOS!$A$2:$A$831))</f>
        <v>#REF!</v>
      </c>
      <c r="N698" s="219" t="e">
        <f>IF(I698="","",NETWORKDAYS(Curva!$M$2,M698,FERIADOS!$A$2:$A$831)-1)</f>
        <v>#REF!</v>
      </c>
      <c r="O698" s="423" t="e">
        <f>IF(C698&lt;&gt;"",IF(ISERROR((100000/E698)^(252/N698)-1),Curva!$B$2,((100000/E698)^(252/N698)-1)),"")</f>
        <v>#REF!</v>
      </c>
      <c r="P698" s="219" t="e">
        <f>IF(OR(G698=1,G698=2),dadosexternosBMF_1!B701,"")</f>
        <v>#REF!</v>
      </c>
      <c r="Q698" s="219" t="e">
        <f>IF(OR(G698=1,G698=2),dadosexternosBMF_1!D701,"")</f>
        <v>#REF!</v>
      </c>
    </row>
    <row r="699" spans="1:17" x14ac:dyDescent="0.2">
      <c r="A699" s="222" t="e">
        <f t="shared" si="78"/>
        <v>#REF!</v>
      </c>
      <c r="B699" s="222" t="str">
        <f>IF(dadosexternosBMF_1!A702="DI1 - DI de 1 dia","DI1 - DI de 1 dia","")</f>
        <v/>
      </c>
      <c r="C699" s="222" t="e">
        <f>IF(dadosexternosBMF_1!A702="DOL - Dólar comercial","",IF(C698&lt;&gt;"",dadosexternosBMF_1!B702,IF(dadosexternosBMF_1!A702="DI1 - DI de 1 dia",dadosexternosBMF_1!B702,"")))</f>
        <v>#REF!</v>
      </c>
      <c r="D699" s="222" t="e">
        <f>IF(C699&lt;&gt;"",dadosexternosBMF_1!C702,"")</f>
        <v>#REF!</v>
      </c>
      <c r="E699" s="222" t="e">
        <f>IF(C699&lt;&gt;"",dadosexternosBMF_1!D702,"")</f>
        <v>#REF!</v>
      </c>
      <c r="G699" s="219" t="e">
        <f t="shared" si="79"/>
        <v>#REF!</v>
      </c>
      <c r="H699" s="219" t="e">
        <f t="shared" si="80"/>
        <v>#REF!</v>
      </c>
      <c r="I699" s="219" t="e">
        <f t="shared" si="81"/>
        <v>#REF!</v>
      </c>
      <c r="J699" s="219" t="e">
        <f>IF(I699="","",VLOOKUP(LEFT(C699,1),dadosexternosBMF_1!$L$2:$M$13,2,FALSE))</f>
        <v>#REF!</v>
      </c>
      <c r="K699" s="219" t="e">
        <f t="shared" si="82"/>
        <v>#REF!</v>
      </c>
      <c r="L699" s="422" t="e">
        <f t="shared" si="83"/>
        <v>#REF!</v>
      </c>
      <c r="M699" s="422" t="e">
        <f>IF(I699="","",WORKDAY(L699-1,1,FERIADOS!$A$2:$A$831))</f>
        <v>#REF!</v>
      </c>
      <c r="N699" s="219" t="e">
        <f>IF(I699="","",NETWORKDAYS(Curva!$M$2,M699,FERIADOS!$A$2:$A$831)-1)</f>
        <v>#REF!</v>
      </c>
      <c r="O699" s="423" t="e">
        <f>IF(C699&lt;&gt;"",IF(ISERROR((100000/E699)^(252/N699)-1),Curva!$B$2,((100000/E699)^(252/N699)-1)),"")</f>
        <v>#REF!</v>
      </c>
      <c r="P699" s="219" t="e">
        <f>IF(OR(G699=1,G699=2),dadosexternosBMF_1!B702,"")</f>
        <v>#REF!</v>
      </c>
      <c r="Q699" s="219" t="e">
        <f>IF(OR(G699=1,G699=2),dadosexternosBMF_1!D702,"")</f>
        <v>#REF!</v>
      </c>
    </row>
    <row r="700" spans="1:17" x14ac:dyDescent="0.2">
      <c r="A700" s="222" t="e">
        <f t="shared" si="78"/>
        <v>#REF!</v>
      </c>
      <c r="B700" s="222" t="str">
        <f>IF(dadosexternosBMF_1!A703="DI1 - DI de 1 dia","DI1 - DI de 1 dia","")</f>
        <v/>
      </c>
      <c r="C700" s="222" t="e">
        <f>IF(dadosexternosBMF_1!A703="DOL - Dólar comercial","",IF(C699&lt;&gt;"",dadosexternosBMF_1!B703,IF(dadosexternosBMF_1!A703="DI1 - DI de 1 dia",dadosexternosBMF_1!B703,"")))</f>
        <v>#REF!</v>
      </c>
      <c r="D700" s="222" t="e">
        <f>IF(C700&lt;&gt;"",dadosexternosBMF_1!C703,"")</f>
        <v>#REF!</v>
      </c>
      <c r="E700" s="222" t="e">
        <f>IF(C700&lt;&gt;"",dadosexternosBMF_1!D703,"")</f>
        <v>#REF!</v>
      </c>
      <c r="G700" s="219" t="e">
        <f t="shared" si="79"/>
        <v>#REF!</v>
      </c>
      <c r="H700" s="219" t="e">
        <f t="shared" si="80"/>
        <v>#REF!</v>
      </c>
      <c r="I700" s="219" t="e">
        <f t="shared" si="81"/>
        <v>#REF!</v>
      </c>
      <c r="J700" s="219" t="e">
        <f>IF(I700="","",VLOOKUP(LEFT(C700,1),dadosexternosBMF_1!$L$2:$M$13,2,FALSE))</f>
        <v>#REF!</v>
      </c>
      <c r="K700" s="219" t="e">
        <f t="shared" si="82"/>
        <v>#REF!</v>
      </c>
      <c r="L700" s="422" t="e">
        <f t="shared" si="83"/>
        <v>#REF!</v>
      </c>
      <c r="M700" s="422" t="e">
        <f>IF(I700="","",WORKDAY(L700-1,1,FERIADOS!$A$2:$A$831))</f>
        <v>#REF!</v>
      </c>
      <c r="N700" s="219" t="e">
        <f>IF(I700="","",NETWORKDAYS(Curva!$M$2,M700,FERIADOS!$A$2:$A$831)-1)</f>
        <v>#REF!</v>
      </c>
      <c r="O700" s="423" t="e">
        <f>IF(C700&lt;&gt;"",IF(ISERROR((100000/E700)^(252/N700)-1),Curva!$B$2,((100000/E700)^(252/N700)-1)),"")</f>
        <v>#REF!</v>
      </c>
      <c r="P700" s="219" t="e">
        <f>IF(OR(G700=1,G700=2),dadosexternosBMF_1!B703,"")</f>
        <v>#REF!</v>
      </c>
      <c r="Q700" s="219" t="e">
        <f>IF(OR(G700=1,G700=2),dadosexternosBMF_1!D703,"")</f>
        <v>#REF!</v>
      </c>
    </row>
    <row r="701" spans="1:17" x14ac:dyDescent="0.2">
      <c r="A701" s="222" t="e">
        <f t="shared" si="78"/>
        <v>#REF!</v>
      </c>
      <c r="B701" s="222" t="str">
        <f>IF(dadosexternosBMF_1!A704="DI1 - DI de 1 dia","DI1 - DI de 1 dia","")</f>
        <v/>
      </c>
      <c r="C701" s="222" t="e">
        <f>IF(dadosexternosBMF_1!A704="DOL - Dólar comercial","",IF(C700&lt;&gt;"",dadosexternosBMF_1!B704,IF(dadosexternosBMF_1!A704="DI1 - DI de 1 dia",dadosexternosBMF_1!B704,"")))</f>
        <v>#REF!</v>
      </c>
      <c r="D701" s="222" t="e">
        <f>IF(C701&lt;&gt;"",dadosexternosBMF_1!C704,"")</f>
        <v>#REF!</v>
      </c>
      <c r="E701" s="222" t="e">
        <f>IF(C701&lt;&gt;"",dadosexternosBMF_1!D704,"")</f>
        <v>#REF!</v>
      </c>
      <c r="G701" s="219" t="e">
        <f t="shared" si="79"/>
        <v>#REF!</v>
      </c>
      <c r="H701" s="219" t="e">
        <f t="shared" si="80"/>
        <v>#REF!</v>
      </c>
      <c r="I701" s="219" t="e">
        <f t="shared" si="81"/>
        <v>#REF!</v>
      </c>
      <c r="J701" s="219" t="e">
        <f>IF(I701="","",VLOOKUP(LEFT(C701,1),dadosexternosBMF_1!$L$2:$M$13,2,FALSE))</f>
        <v>#REF!</v>
      </c>
      <c r="K701" s="219" t="e">
        <f t="shared" si="82"/>
        <v>#REF!</v>
      </c>
      <c r="L701" s="422" t="e">
        <f t="shared" si="83"/>
        <v>#REF!</v>
      </c>
      <c r="M701" s="422" t="e">
        <f>IF(I701="","",WORKDAY(L701-1,1,FERIADOS!$A$2:$A$831))</f>
        <v>#REF!</v>
      </c>
      <c r="N701" s="219" t="e">
        <f>IF(I701="","",NETWORKDAYS(Curva!$M$2,M701,FERIADOS!$A$2:$A$831)-1)</f>
        <v>#REF!</v>
      </c>
      <c r="O701" s="423" t="e">
        <f>IF(C701&lt;&gt;"",IF(ISERROR((100000/E701)^(252/N701)-1),Curva!$B$2,((100000/E701)^(252/N701)-1)),"")</f>
        <v>#REF!</v>
      </c>
      <c r="P701" s="219" t="e">
        <f>IF(OR(G701=1,G701=2),dadosexternosBMF_1!B704,"")</f>
        <v>#REF!</v>
      </c>
      <c r="Q701" s="219" t="e">
        <f>IF(OR(G701=1,G701=2),dadosexternosBMF_1!D704,"")</f>
        <v>#REF!</v>
      </c>
    </row>
    <row r="702" spans="1:17" x14ac:dyDescent="0.2">
      <c r="A702" s="222" t="e">
        <f t="shared" si="78"/>
        <v>#REF!</v>
      </c>
      <c r="B702" s="222" t="str">
        <f>IF(dadosexternosBMF_1!A705="DI1 - DI de 1 dia","DI1 - DI de 1 dia","")</f>
        <v/>
      </c>
      <c r="C702" s="222" t="e">
        <f>IF(dadosexternosBMF_1!A705="DOL - Dólar comercial","",IF(C701&lt;&gt;"",dadosexternosBMF_1!B705,IF(dadosexternosBMF_1!A705="DI1 - DI de 1 dia",dadosexternosBMF_1!B705,"")))</f>
        <v>#REF!</v>
      </c>
      <c r="D702" s="222" t="e">
        <f>IF(C702&lt;&gt;"",dadosexternosBMF_1!C705,"")</f>
        <v>#REF!</v>
      </c>
      <c r="E702" s="222" t="e">
        <f>IF(C702&lt;&gt;"",dadosexternosBMF_1!D705,"")</f>
        <v>#REF!</v>
      </c>
      <c r="G702" s="219" t="e">
        <f t="shared" si="79"/>
        <v>#REF!</v>
      </c>
      <c r="H702" s="219" t="e">
        <f t="shared" si="80"/>
        <v>#REF!</v>
      </c>
      <c r="I702" s="219" t="e">
        <f t="shared" si="81"/>
        <v>#REF!</v>
      </c>
      <c r="J702" s="219" t="e">
        <f>IF(I702="","",VLOOKUP(LEFT(C702,1),dadosexternosBMF_1!$L$2:$M$13,2,FALSE))</f>
        <v>#REF!</v>
      </c>
      <c r="K702" s="219" t="e">
        <f t="shared" si="82"/>
        <v>#REF!</v>
      </c>
      <c r="L702" s="422" t="e">
        <f t="shared" si="83"/>
        <v>#REF!</v>
      </c>
      <c r="M702" s="422" t="e">
        <f>IF(I702="","",WORKDAY(L702-1,1,FERIADOS!$A$2:$A$831))</f>
        <v>#REF!</v>
      </c>
      <c r="N702" s="219" t="e">
        <f>IF(I702="","",NETWORKDAYS(Curva!$M$2,M702,FERIADOS!$A$2:$A$831)-1)</f>
        <v>#REF!</v>
      </c>
      <c r="O702" s="423" t="e">
        <f>IF(C702&lt;&gt;"",IF(ISERROR((100000/E702)^(252/N702)-1),Curva!$B$2,((100000/E702)^(252/N702)-1)),"")</f>
        <v>#REF!</v>
      </c>
      <c r="P702" s="219" t="e">
        <f>IF(OR(G702=1,G702=2),dadosexternosBMF_1!B705,"")</f>
        <v>#REF!</v>
      </c>
      <c r="Q702" s="219" t="e">
        <f>IF(OR(G702=1,G702=2),dadosexternosBMF_1!D705,"")</f>
        <v>#REF!</v>
      </c>
    </row>
    <row r="703" spans="1:17" x14ac:dyDescent="0.2">
      <c r="A703" s="222" t="e">
        <f t="shared" si="78"/>
        <v>#REF!</v>
      </c>
      <c r="B703" s="222" t="str">
        <f>IF(dadosexternosBMF_1!A706="DI1 - DI de 1 dia","DI1 - DI de 1 dia","")</f>
        <v/>
      </c>
      <c r="C703" s="222" t="e">
        <f>IF(dadosexternosBMF_1!A706="DOL - Dólar comercial","",IF(C702&lt;&gt;"",dadosexternosBMF_1!B706,IF(dadosexternosBMF_1!A706="DI1 - DI de 1 dia",dadosexternosBMF_1!B706,"")))</f>
        <v>#REF!</v>
      </c>
      <c r="D703" s="222" t="e">
        <f>IF(C703&lt;&gt;"",dadosexternosBMF_1!C706,"")</f>
        <v>#REF!</v>
      </c>
      <c r="E703" s="222" t="e">
        <f>IF(C703&lt;&gt;"",dadosexternosBMF_1!D706,"")</f>
        <v>#REF!</v>
      </c>
      <c r="G703" s="219" t="e">
        <f t="shared" si="79"/>
        <v>#REF!</v>
      </c>
      <c r="H703" s="219" t="e">
        <f t="shared" si="80"/>
        <v>#REF!</v>
      </c>
      <c r="I703" s="219" t="e">
        <f t="shared" si="81"/>
        <v>#REF!</v>
      </c>
      <c r="J703" s="219" t="e">
        <f>IF(I703="","",VLOOKUP(LEFT(C703,1),dadosexternosBMF_1!$L$2:$M$13,2,FALSE))</f>
        <v>#REF!</v>
      </c>
      <c r="K703" s="219" t="e">
        <f t="shared" si="82"/>
        <v>#REF!</v>
      </c>
      <c r="L703" s="422" t="e">
        <f t="shared" si="83"/>
        <v>#REF!</v>
      </c>
      <c r="M703" s="422" t="e">
        <f>IF(I703="","",WORKDAY(L703-1,1,FERIADOS!$A$2:$A$831))</f>
        <v>#REF!</v>
      </c>
      <c r="N703" s="219" t="e">
        <f>IF(I703="","",NETWORKDAYS(Curva!$M$2,M703,FERIADOS!$A$2:$A$831)-1)</f>
        <v>#REF!</v>
      </c>
      <c r="O703" s="423" t="e">
        <f>IF(C703&lt;&gt;"",IF(ISERROR((100000/E703)^(252/N703)-1),Curva!$B$2,((100000/E703)^(252/N703)-1)),"")</f>
        <v>#REF!</v>
      </c>
      <c r="P703" s="219" t="e">
        <f>IF(OR(G703=1,G703=2),dadosexternosBMF_1!B706,"")</f>
        <v>#REF!</v>
      </c>
      <c r="Q703" s="219" t="e">
        <f>IF(OR(G703=1,G703=2),dadosexternosBMF_1!D706,"")</f>
        <v>#REF!</v>
      </c>
    </row>
    <row r="704" spans="1:17" x14ac:dyDescent="0.2">
      <c r="A704" s="222" t="e">
        <f t="shared" si="78"/>
        <v>#REF!</v>
      </c>
      <c r="B704" s="222" t="str">
        <f>IF(dadosexternosBMF_1!A707="DI1 - DI de 1 dia","DI1 - DI de 1 dia","")</f>
        <v/>
      </c>
      <c r="C704" s="222" t="e">
        <f>IF(dadosexternosBMF_1!A707="DOL - Dólar comercial","",IF(C703&lt;&gt;"",dadosexternosBMF_1!B707,IF(dadosexternosBMF_1!A707="DI1 - DI de 1 dia",dadosexternosBMF_1!B707,"")))</f>
        <v>#REF!</v>
      </c>
      <c r="D704" s="222" t="e">
        <f>IF(C704&lt;&gt;"",dadosexternosBMF_1!C707,"")</f>
        <v>#REF!</v>
      </c>
      <c r="E704" s="222" t="e">
        <f>IF(C704&lt;&gt;"",dadosexternosBMF_1!D707,"")</f>
        <v>#REF!</v>
      </c>
      <c r="G704" s="219" t="e">
        <f t="shared" si="79"/>
        <v>#REF!</v>
      </c>
      <c r="H704" s="219" t="e">
        <f t="shared" si="80"/>
        <v>#REF!</v>
      </c>
      <c r="I704" s="219" t="e">
        <f t="shared" si="81"/>
        <v>#REF!</v>
      </c>
      <c r="J704" s="219" t="e">
        <f>IF(I704="","",VLOOKUP(LEFT(C704,1),dadosexternosBMF_1!$L$2:$M$13,2,FALSE))</f>
        <v>#REF!</v>
      </c>
      <c r="K704" s="219" t="e">
        <f t="shared" si="82"/>
        <v>#REF!</v>
      </c>
      <c r="L704" s="422" t="e">
        <f t="shared" si="83"/>
        <v>#REF!</v>
      </c>
      <c r="M704" s="422" t="e">
        <f>IF(I704="","",WORKDAY(L704-1,1,FERIADOS!$A$2:$A$831))</f>
        <v>#REF!</v>
      </c>
      <c r="N704" s="219" t="e">
        <f>IF(I704="","",NETWORKDAYS(Curva!$M$2,M704,FERIADOS!$A$2:$A$831)-1)</f>
        <v>#REF!</v>
      </c>
      <c r="O704" s="423" t="e">
        <f>IF(C704&lt;&gt;"",IF(ISERROR((100000/E704)^(252/N704)-1),Curva!$B$2,((100000/E704)^(252/N704)-1)),"")</f>
        <v>#REF!</v>
      </c>
      <c r="P704" s="219" t="e">
        <f>IF(OR(G704=1,G704=2),dadosexternosBMF_1!B707,"")</f>
        <v>#REF!</v>
      </c>
      <c r="Q704" s="219" t="e">
        <f>IF(OR(G704=1,G704=2),dadosexternosBMF_1!D707,"")</f>
        <v>#REF!</v>
      </c>
    </row>
    <row r="705" spans="1:17" x14ac:dyDescent="0.2">
      <c r="A705" s="222" t="e">
        <f t="shared" si="78"/>
        <v>#REF!</v>
      </c>
      <c r="B705" s="222" t="str">
        <f>IF(dadosexternosBMF_1!A708="DI1 - DI de 1 dia","DI1 - DI de 1 dia","")</f>
        <v/>
      </c>
      <c r="C705" s="222" t="e">
        <f>IF(dadosexternosBMF_1!A708="DOL - Dólar comercial","",IF(C704&lt;&gt;"",dadosexternosBMF_1!B708,IF(dadosexternosBMF_1!A708="DI1 - DI de 1 dia",dadosexternosBMF_1!B708,"")))</f>
        <v>#REF!</v>
      </c>
      <c r="D705" s="222" t="e">
        <f>IF(C705&lt;&gt;"",dadosexternosBMF_1!C708,"")</f>
        <v>#REF!</v>
      </c>
      <c r="E705" s="222" t="e">
        <f>IF(C705&lt;&gt;"",dadosexternosBMF_1!D708,"")</f>
        <v>#REF!</v>
      </c>
      <c r="G705" s="219" t="e">
        <f t="shared" si="79"/>
        <v>#REF!</v>
      </c>
      <c r="H705" s="219" t="e">
        <f t="shared" si="80"/>
        <v>#REF!</v>
      </c>
      <c r="I705" s="219" t="e">
        <f t="shared" si="81"/>
        <v>#REF!</v>
      </c>
      <c r="J705" s="219" t="e">
        <f>IF(I705="","",VLOOKUP(LEFT(C705,1),dadosexternosBMF_1!$L$2:$M$13,2,FALSE))</f>
        <v>#REF!</v>
      </c>
      <c r="K705" s="219" t="e">
        <f t="shared" si="82"/>
        <v>#REF!</v>
      </c>
      <c r="L705" s="422" t="e">
        <f t="shared" si="83"/>
        <v>#REF!</v>
      </c>
      <c r="M705" s="422" t="e">
        <f>IF(I705="","",WORKDAY(L705-1,1,FERIADOS!$A$2:$A$831))</f>
        <v>#REF!</v>
      </c>
      <c r="N705" s="219" t="e">
        <f>IF(I705="","",NETWORKDAYS(Curva!$M$2,M705,FERIADOS!$A$2:$A$831)-1)</f>
        <v>#REF!</v>
      </c>
      <c r="O705" s="423" t="e">
        <f>IF(C705&lt;&gt;"",IF(ISERROR((100000/E705)^(252/N705)-1),Curva!$B$2,((100000/E705)^(252/N705)-1)),"")</f>
        <v>#REF!</v>
      </c>
      <c r="P705" s="219" t="e">
        <f>IF(OR(G705=1,G705=2),dadosexternosBMF_1!B708,"")</f>
        <v>#REF!</v>
      </c>
      <c r="Q705" s="219" t="e">
        <f>IF(OR(G705=1,G705=2),dadosexternosBMF_1!D708,"")</f>
        <v>#REF!</v>
      </c>
    </row>
    <row r="706" spans="1:17" x14ac:dyDescent="0.2">
      <c r="A706" s="222" t="e">
        <f t="shared" si="78"/>
        <v>#REF!</v>
      </c>
      <c r="B706" s="222" t="str">
        <f>IF(dadosexternosBMF_1!A709="DI1 - DI de 1 dia","DI1 - DI de 1 dia","")</f>
        <v/>
      </c>
      <c r="C706" s="222" t="e">
        <f>IF(dadosexternosBMF_1!A709="DOL - Dólar comercial","",IF(C705&lt;&gt;"",dadosexternosBMF_1!B709,IF(dadosexternosBMF_1!A709="DI1 - DI de 1 dia",dadosexternosBMF_1!B709,"")))</f>
        <v>#REF!</v>
      </c>
      <c r="D706" s="222" t="e">
        <f>IF(C706&lt;&gt;"",dadosexternosBMF_1!C709,"")</f>
        <v>#REF!</v>
      </c>
      <c r="E706" s="222" t="e">
        <f>IF(C706&lt;&gt;"",dadosexternosBMF_1!D709,"")</f>
        <v>#REF!</v>
      </c>
      <c r="G706" s="219" t="e">
        <f t="shared" si="79"/>
        <v>#REF!</v>
      </c>
      <c r="H706" s="219" t="e">
        <f t="shared" si="80"/>
        <v>#REF!</v>
      </c>
      <c r="I706" s="219" t="e">
        <f t="shared" si="81"/>
        <v>#REF!</v>
      </c>
      <c r="J706" s="219" t="e">
        <f>IF(I706="","",VLOOKUP(LEFT(C706,1),dadosexternosBMF_1!$L$2:$M$13,2,FALSE))</f>
        <v>#REF!</v>
      </c>
      <c r="K706" s="219" t="e">
        <f t="shared" si="82"/>
        <v>#REF!</v>
      </c>
      <c r="L706" s="422" t="e">
        <f t="shared" si="83"/>
        <v>#REF!</v>
      </c>
      <c r="M706" s="422" t="e">
        <f>IF(I706="","",WORKDAY(L706-1,1,FERIADOS!$A$2:$A$831))</f>
        <v>#REF!</v>
      </c>
      <c r="N706" s="219" t="e">
        <f>IF(I706="","",NETWORKDAYS(Curva!$M$2,M706,FERIADOS!$A$2:$A$831)-1)</f>
        <v>#REF!</v>
      </c>
      <c r="O706" s="423" t="e">
        <f>IF(C706&lt;&gt;"",IF(ISERROR((100000/E706)^(252/N706)-1),Curva!$B$2,((100000/E706)^(252/N706)-1)),"")</f>
        <v>#REF!</v>
      </c>
      <c r="P706" s="219" t="e">
        <f>IF(OR(G706=1,G706=2),dadosexternosBMF_1!B709,"")</f>
        <v>#REF!</v>
      </c>
      <c r="Q706" s="219" t="e">
        <f>IF(OR(G706=1,G706=2),dadosexternosBMF_1!D709,"")</f>
        <v>#REF!</v>
      </c>
    </row>
    <row r="707" spans="1:17" x14ac:dyDescent="0.2">
      <c r="A707" s="222" t="e">
        <f t="shared" si="78"/>
        <v>#REF!</v>
      </c>
      <c r="B707" s="222" t="str">
        <f>IF(dadosexternosBMF_1!A710="DI1 - DI de 1 dia","DI1 - DI de 1 dia","")</f>
        <v/>
      </c>
      <c r="C707" s="222" t="e">
        <f>IF(dadosexternosBMF_1!A710="DOL - Dólar comercial","",IF(C706&lt;&gt;"",dadosexternosBMF_1!B710,IF(dadosexternosBMF_1!A710="DI1 - DI de 1 dia",dadosexternosBMF_1!B710,"")))</f>
        <v>#REF!</v>
      </c>
      <c r="D707" s="222" t="e">
        <f>IF(C707&lt;&gt;"",dadosexternosBMF_1!C710,"")</f>
        <v>#REF!</v>
      </c>
      <c r="E707" s="222" t="e">
        <f>IF(C707&lt;&gt;"",dadosexternosBMF_1!D710,"")</f>
        <v>#REF!</v>
      </c>
      <c r="G707" s="219" t="e">
        <f t="shared" si="79"/>
        <v>#REF!</v>
      </c>
      <c r="H707" s="219" t="e">
        <f t="shared" si="80"/>
        <v>#REF!</v>
      </c>
      <c r="I707" s="219" t="e">
        <f t="shared" si="81"/>
        <v>#REF!</v>
      </c>
      <c r="J707" s="219" t="e">
        <f>IF(I707="","",VLOOKUP(LEFT(C707,1),dadosexternosBMF_1!$L$2:$M$13,2,FALSE))</f>
        <v>#REF!</v>
      </c>
      <c r="K707" s="219" t="e">
        <f t="shared" si="82"/>
        <v>#REF!</v>
      </c>
      <c r="L707" s="422" t="e">
        <f t="shared" si="83"/>
        <v>#REF!</v>
      </c>
      <c r="M707" s="422" t="e">
        <f>IF(I707="","",WORKDAY(L707-1,1,FERIADOS!$A$2:$A$831))</f>
        <v>#REF!</v>
      </c>
      <c r="N707" s="219" t="e">
        <f>IF(I707="","",NETWORKDAYS(Curva!$M$2,M707,FERIADOS!$A$2:$A$831)-1)</f>
        <v>#REF!</v>
      </c>
      <c r="O707" s="423" t="e">
        <f>IF(C707&lt;&gt;"",IF(ISERROR((100000/E707)^(252/N707)-1),Curva!$B$2,((100000/E707)^(252/N707)-1)),"")</f>
        <v>#REF!</v>
      </c>
      <c r="P707" s="219" t="e">
        <f>IF(OR(G707=1,G707=2),dadosexternosBMF_1!B710,"")</f>
        <v>#REF!</v>
      </c>
      <c r="Q707" s="219" t="e">
        <f>IF(OR(G707=1,G707=2),dadosexternosBMF_1!D710,"")</f>
        <v>#REF!</v>
      </c>
    </row>
    <row r="708" spans="1:17" x14ac:dyDescent="0.2">
      <c r="A708" s="222" t="e">
        <f t="shared" si="78"/>
        <v>#REF!</v>
      </c>
      <c r="B708" s="222" t="str">
        <f>IF(dadosexternosBMF_1!A711="DI1 - DI de 1 dia","DI1 - DI de 1 dia","")</f>
        <v/>
      </c>
      <c r="C708" s="222" t="e">
        <f>IF(dadosexternosBMF_1!A711="DOL - Dólar comercial","",IF(C707&lt;&gt;"",dadosexternosBMF_1!B711,IF(dadosexternosBMF_1!A711="DI1 - DI de 1 dia",dadosexternosBMF_1!B711,"")))</f>
        <v>#REF!</v>
      </c>
      <c r="D708" s="222" t="e">
        <f>IF(C708&lt;&gt;"",dadosexternosBMF_1!C711,"")</f>
        <v>#REF!</v>
      </c>
      <c r="E708" s="222" t="e">
        <f>IF(C708&lt;&gt;"",dadosexternosBMF_1!D711,"")</f>
        <v>#REF!</v>
      </c>
      <c r="G708" s="219" t="e">
        <f t="shared" si="79"/>
        <v>#REF!</v>
      </c>
      <c r="H708" s="219" t="e">
        <f t="shared" si="80"/>
        <v>#REF!</v>
      </c>
      <c r="I708" s="219" t="e">
        <f t="shared" si="81"/>
        <v>#REF!</v>
      </c>
      <c r="J708" s="219" t="e">
        <f>IF(I708="","",VLOOKUP(LEFT(C708,1),dadosexternosBMF_1!$L$2:$M$13,2,FALSE))</f>
        <v>#REF!</v>
      </c>
      <c r="K708" s="219" t="e">
        <f t="shared" si="82"/>
        <v>#REF!</v>
      </c>
      <c r="L708" s="422" t="e">
        <f t="shared" si="83"/>
        <v>#REF!</v>
      </c>
      <c r="M708" s="422" t="e">
        <f>IF(I708="","",WORKDAY(L708-1,1,FERIADOS!$A$2:$A$831))</f>
        <v>#REF!</v>
      </c>
      <c r="N708" s="219" t="e">
        <f>IF(I708="","",NETWORKDAYS(Curva!$M$2,M708,FERIADOS!$A$2:$A$831)-1)</f>
        <v>#REF!</v>
      </c>
      <c r="O708" s="423" t="e">
        <f>IF(C708&lt;&gt;"",IF(ISERROR((100000/E708)^(252/N708)-1),Curva!$B$2,((100000/E708)^(252/N708)-1)),"")</f>
        <v>#REF!</v>
      </c>
      <c r="P708" s="219" t="e">
        <f>IF(OR(G708=1,G708=2),dadosexternosBMF_1!B711,"")</f>
        <v>#REF!</v>
      </c>
      <c r="Q708" s="219" t="e">
        <f>IF(OR(G708=1,G708=2),dadosexternosBMF_1!D711,"")</f>
        <v>#REF!</v>
      </c>
    </row>
    <row r="709" spans="1:17" x14ac:dyDescent="0.2">
      <c r="A709" s="222" t="e">
        <f t="shared" si="78"/>
        <v>#REF!</v>
      </c>
      <c r="B709" s="222" t="str">
        <f>IF(dadosexternosBMF_1!A712="DI1 - DI de 1 dia","DI1 - DI de 1 dia","")</f>
        <v/>
      </c>
      <c r="C709" s="222" t="e">
        <f>IF(dadosexternosBMF_1!A712="DOL - Dólar comercial","",IF(C708&lt;&gt;"",dadosexternosBMF_1!B712,IF(dadosexternosBMF_1!A712="DI1 - DI de 1 dia",dadosexternosBMF_1!B712,"")))</f>
        <v>#REF!</v>
      </c>
      <c r="D709" s="222" t="e">
        <f>IF(C709&lt;&gt;"",dadosexternosBMF_1!C712,"")</f>
        <v>#REF!</v>
      </c>
      <c r="E709" s="222" t="e">
        <f>IF(C709&lt;&gt;"",dadosexternosBMF_1!D712,"")</f>
        <v>#REF!</v>
      </c>
      <c r="G709" s="219" t="e">
        <f t="shared" si="79"/>
        <v>#REF!</v>
      </c>
      <c r="H709" s="219" t="e">
        <f t="shared" si="80"/>
        <v>#REF!</v>
      </c>
      <c r="I709" s="219" t="e">
        <f t="shared" si="81"/>
        <v>#REF!</v>
      </c>
      <c r="J709" s="219" t="e">
        <f>IF(I709="","",VLOOKUP(LEFT(C709,1),dadosexternosBMF_1!$L$2:$M$13,2,FALSE))</f>
        <v>#REF!</v>
      </c>
      <c r="K709" s="219" t="e">
        <f t="shared" si="82"/>
        <v>#REF!</v>
      </c>
      <c r="L709" s="422" t="e">
        <f t="shared" si="83"/>
        <v>#REF!</v>
      </c>
      <c r="M709" s="422" t="e">
        <f>IF(I709="","",WORKDAY(L709-1,1,FERIADOS!$A$2:$A$831))</f>
        <v>#REF!</v>
      </c>
      <c r="N709" s="219" t="e">
        <f>IF(I709="","",NETWORKDAYS(Curva!$M$2,M709,FERIADOS!$A$2:$A$831)-1)</f>
        <v>#REF!</v>
      </c>
      <c r="O709" s="423" t="e">
        <f>IF(C709&lt;&gt;"",IF(ISERROR((100000/E709)^(252/N709)-1),Curva!$B$2,((100000/E709)^(252/N709)-1)),"")</f>
        <v>#REF!</v>
      </c>
      <c r="P709" s="219" t="e">
        <f>IF(OR(G709=1,G709=2),dadosexternosBMF_1!B712,"")</f>
        <v>#REF!</v>
      </c>
      <c r="Q709" s="219" t="e">
        <f>IF(OR(G709=1,G709=2),dadosexternosBMF_1!D712,"")</f>
        <v>#REF!</v>
      </c>
    </row>
    <row r="710" spans="1:17" x14ac:dyDescent="0.2">
      <c r="A710" s="222" t="e">
        <f t="shared" si="78"/>
        <v>#REF!</v>
      </c>
      <c r="B710" s="222" t="str">
        <f>IF(dadosexternosBMF_1!A713="DI1 - DI de 1 dia","DI1 - DI de 1 dia","")</f>
        <v/>
      </c>
      <c r="C710" s="222" t="e">
        <f>IF(dadosexternosBMF_1!A713="DOL - Dólar comercial","",IF(C709&lt;&gt;"",dadosexternosBMF_1!B713,IF(dadosexternosBMF_1!A713="DI1 - DI de 1 dia",dadosexternosBMF_1!B713,"")))</f>
        <v>#REF!</v>
      </c>
      <c r="D710" s="222" t="e">
        <f>IF(C710&lt;&gt;"",dadosexternosBMF_1!C713,"")</f>
        <v>#REF!</v>
      </c>
      <c r="E710" s="222" t="e">
        <f>IF(C710&lt;&gt;"",dadosexternosBMF_1!D713,"")</f>
        <v>#REF!</v>
      </c>
      <c r="G710" s="219" t="e">
        <f t="shared" si="79"/>
        <v>#REF!</v>
      </c>
      <c r="H710" s="219" t="e">
        <f t="shared" si="80"/>
        <v>#REF!</v>
      </c>
      <c r="I710" s="219" t="e">
        <f t="shared" si="81"/>
        <v>#REF!</v>
      </c>
      <c r="J710" s="219" t="e">
        <f>IF(I710="","",VLOOKUP(LEFT(C710,1),dadosexternosBMF_1!$L$2:$M$13,2,FALSE))</f>
        <v>#REF!</v>
      </c>
      <c r="K710" s="219" t="e">
        <f t="shared" si="82"/>
        <v>#REF!</v>
      </c>
      <c r="L710" s="422" t="e">
        <f t="shared" si="83"/>
        <v>#REF!</v>
      </c>
      <c r="M710" s="422" t="e">
        <f>IF(I710="","",WORKDAY(L710-1,1,FERIADOS!$A$2:$A$831))</f>
        <v>#REF!</v>
      </c>
      <c r="N710" s="219" t="e">
        <f>IF(I710="","",NETWORKDAYS(Curva!$M$2,M710,FERIADOS!$A$2:$A$831)-1)</f>
        <v>#REF!</v>
      </c>
      <c r="O710" s="423" t="e">
        <f>IF(C710&lt;&gt;"",IF(ISERROR((100000/E710)^(252/N710)-1),Curva!$B$2,((100000/E710)^(252/N710)-1)),"")</f>
        <v>#REF!</v>
      </c>
      <c r="P710" s="219" t="e">
        <f>IF(OR(G710=1,G710=2),dadosexternosBMF_1!B713,"")</f>
        <v>#REF!</v>
      </c>
      <c r="Q710" s="219" t="e">
        <f>IF(OR(G710=1,G710=2),dadosexternosBMF_1!D713,"")</f>
        <v>#REF!</v>
      </c>
    </row>
    <row r="711" spans="1:17" x14ac:dyDescent="0.2">
      <c r="A711" s="222" t="e">
        <f t="shared" si="78"/>
        <v>#REF!</v>
      </c>
      <c r="B711" s="222" t="str">
        <f>IF(dadosexternosBMF_1!A714="DI1 - DI de 1 dia","DI1 - DI de 1 dia","")</f>
        <v/>
      </c>
      <c r="C711" s="222" t="e">
        <f>IF(dadosexternosBMF_1!A714="DOL - Dólar comercial","",IF(C710&lt;&gt;"",dadosexternosBMF_1!B714,IF(dadosexternosBMF_1!A714="DI1 - DI de 1 dia",dadosexternosBMF_1!B714,"")))</f>
        <v>#REF!</v>
      </c>
      <c r="D711" s="222" t="e">
        <f>IF(C711&lt;&gt;"",dadosexternosBMF_1!C714,"")</f>
        <v>#REF!</v>
      </c>
      <c r="E711" s="222" t="e">
        <f>IF(C711&lt;&gt;"",dadosexternosBMF_1!D714,"")</f>
        <v>#REF!</v>
      </c>
      <c r="G711" s="219" t="e">
        <f t="shared" si="79"/>
        <v>#REF!</v>
      </c>
      <c r="H711" s="219" t="e">
        <f t="shared" si="80"/>
        <v>#REF!</v>
      </c>
      <c r="I711" s="219" t="e">
        <f t="shared" si="81"/>
        <v>#REF!</v>
      </c>
      <c r="J711" s="219" t="e">
        <f>IF(I711="","",VLOOKUP(LEFT(C711,1),dadosexternosBMF_1!$L$2:$M$13,2,FALSE))</f>
        <v>#REF!</v>
      </c>
      <c r="K711" s="219" t="e">
        <f t="shared" si="82"/>
        <v>#REF!</v>
      </c>
      <c r="L711" s="422" t="e">
        <f t="shared" si="83"/>
        <v>#REF!</v>
      </c>
      <c r="M711" s="422" t="e">
        <f>IF(I711="","",WORKDAY(L711-1,1,FERIADOS!$A$2:$A$831))</f>
        <v>#REF!</v>
      </c>
      <c r="N711" s="219" t="e">
        <f>IF(I711="","",NETWORKDAYS(Curva!$M$2,M711,FERIADOS!$A$2:$A$831)-1)</f>
        <v>#REF!</v>
      </c>
      <c r="O711" s="423" t="e">
        <f>IF(C711&lt;&gt;"",IF(ISERROR((100000/E711)^(252/N711)-1),Curva!$B$2,((100000/E711)^(252/N711)-1)),"")</f>
        <v>#REF!</v>
      </c>
      <c r="P711" s="219" t="e">
        <f>IF(OR(G711=1,G711=2),dadosexternosBMF_1!B714,"")</f>
        <v>#REF!</v>
      </c>
      <c r="Q711" s="219" t="e">
        <f>IF(OR(G711=1,G711=2),dadosexternosBMF_1!D714,"")</f>
        <v>#REF!</v>
      </c>
    </row>
    <row r="712" spans="1:17" x14ac:dyDescent="0.2">
      <c r="A712" s="222" t="e">
        <f t="shared" si="78"/>
        <v>#REF!</v>
      </c>
      <c r="B712" s="222" t="str">
        <f>IF(dadosexternosBMF_1!A715="DI1 - DI de 1 dia","DI1 - DI de 1 dia","")</f>
        <v/>
      </c>
      <c r="C712" s="222" t="e">
        <f>IF(dadosexternosBMF_1!A715="DOL - Dólar comercial","",IF(C711&lt;&gt;"",dadosexternosBMF_1!B715,IF(dadosexternosBMF_1!A715="DI1 - DI de 1 dia",dadosexternosBMF_1!B715,"")))</f>
        <v>#REF!</v>
      </c>
      <c r="D712" s="222" t="e">
        <f>IF(C712&lt;&gt;"",dadosexternosBMF_1!C715,"")</f>
        <v>#REF!</v>
      </c>
      <c r="E712" s="222" t="e">
        <f>IF(C712&lt;&gt;"",dadosexternosBMF_1!D715,"")</f>
        <v>#REF!</v>
      </c>
      <c r="G712" s="219" t="e">
        <f t="shared" si="79"/>
        <v>#REF!</v>
      </c>
      <c r="H712" s="219" t="e">
        <f t="shared" si="80"/>
        <v>#REF!</v>
      </c>
      <c r="I712" s="219" t="e">
        <f t="shared" si="81"/>
        <v>#REF!</v>
      </c>
      <c r="J712" s="219" t="e">
        <f>IF(I712="","",VLOOKUP(LEFT(C712,1),dadosexternosBMF_1!$L$2:$M$13,2,FALSE))</f>
        <v>#REF!</v>
      </c>
      <c r="K712" s="219" t="e">
        <f t="shared" si="82"/>
        <v>#REF!</v>
      </c>
      <c r="L712" s="422" t="e">
        <f t="shared" si="83"/>
        <v>#REF!</v>
      </c>
      <c r="M712" s="422" t="e">
        <f>IF(I712="","",WORKDAY(L712-1,1,FERIADOS!$A$2:$A$831))</f>
        <v>#REF!</v>
      </c>
      <c r="N712" s="219" t="e">
        <f>IF(I712="","",NETWORKDAYS(Curva!$M$2,M712,FERIADOS!$A$2:$A$831)-1)</f>
        <v>#REF!</v>
      </c>
      <c r="O712" s="423" t="e">
        <f>IF(C712&lt;&gt;"",IF(ISERROR((100000/E712)^(252/N712)-1),Curva!$B$2,((100000/E712)^(252/N712)-1)),"")</f>
        <v>#REF!</v>
      </c>
      <c r="P712" s="219" t="e">
        <f>IF(OR(G712=1,G712=2),dadosexternosBMF_1!B715,"")</f>
        <v>#REF!</v>
      </c>
      <c r="Q712" s="219" t="e">
        <f>IF(OR(G712=1,G712=2),dadosexternosBMF_1!D715,"")</f>
        <v>#REF!</v>
      </c>
    </row>
    <row r="713" spans="1:17" x14ac:dyDescent="0.2">
      <c r="A713" s="222" t="e">
        <f t="shared" si="78"/>
        <v>#REF!</v>
      </c>
      <c r="B713" s="222" t="str">
        <f>IF(dadosexternosBMF_1!A716="DI1 - DI de 1 dia","DI1 - DI de 1 dia","")</f>
        <v/>
      </c>
      <c r="C713" s="222" t="e">
        <f>IF(dadosexternosBMF_1!A716="DOL - Dólar comercial","",IF(C712&lt;&gt;"",dadosexternosBMF_1!B716,IF(dadosexternosBMF_1!A716="DI1 - DI de 1 dia",dadosexternosBMF_1!B716,"")))</f>
        <v>#REF!</v>
      </c>
      <c r="D713" s="222" t="e">
        <f>IF(C713&lt;&gt;"",dadosexternosBMF_1!C716,"")</f>
        <v>#REF!</v>
      </c>
      <c r="E713" s="222" t="e">
        <f>IF(C713&lt;&gt;"",dadosexternosBMF_1!D716,"")</f>
        <v>#REF!</v>
      </c>
      <c r="G713" s="219" t="e">
        <f t="shared" si="79"/>
        <v>#REF!</v>
      </c>
      <c r="H713" s="219" t="e">
        <f t="shared" si="80"/>
        <v>#REF!</v>
      </c>
      <c r="I713" s="219" t="e">
        <f t="shared" si="81"/>
        <v>#REF!</v>
      </c>
      <c r="J713" s="219" t="e">
        <f>IF(I713="","",VLOOKUP(LEFT(C713,1),dadosexternosBMF_1!$L$2:$M$13,2,FALSE))</f>
        <v>#REF!</v>
      </c>
      <c r="K713" s="219" t="e">
        <f t="shared" si="82"/>
        <v>#REF!</v>
      </c>
      <c r="L713" s="422" t="e">
        <f t="shared" si="83"/>
        <v>#REF!</v>
      </c>
      <c r="M713" s="422" t="e">
        <f>IF(I713="","",WORKDAY(L713-1,1,FERIADOS!$A$2:$A$831))</f>
        <v>#REF!</v>
      </c>
      <c r="N713" s="219" t="e">
        <f>IF(I713="","",NETWORKDAYS(Curva!$M$2,M713,FERIADOS!$A$2:$A$831)-1)</f>
        <v>#REF!</v>
      </c>
      <c r="O713" s="423" t="e">
        <f>IF(C713&lt;&gt;"",IF(ISERROR((100000/E713)^(252/N713)-1),Curva!$B$2,((100000/E713)^(252/N713)-1)),"")</f>
        <v>#REF!</v>
      </c>
      <c r="P713" s="219" t="e">
        <f>IF(OR(G713=1,G713=2),dadosexternosBMF_1!B716,"")</f>
        <v>#REF!</v>
      </c>
      <c r="Q713" s="219" t="e">
        <f>IF(OR(G713=1,G713=2),dadosexternosBMF_1!D716,"")</f>
        <v>#REF!</v>
      </c>
    </row>
    <row r="714" spans="1:17" x14ac:dyDescent="0.2">
      <c r="A714" s="222" t="e">
        <f t="shared" si="78"/>
        <v>#REF!</v>
      </c>
      <c r="B714" s="222" t="str">
        <f>IF(dadosexternosBMF_1!A717="DI1 - DI de 1 dia","DI1 - DI de 1 dia","")</f>
        <v/>
      </c>
      <c r="C714" s="222" t="e">
        <f>IF(dadosexternosBMF_1!A717="DOL - Dólar comercial","",IF(C713&lt;&gt;"",dadosexternosBMF_1!B717,IF(dadosexternosBMF_1!A717="DI1 - DI de 1 dia",dadosexternosBMF_1!B717,"")))</f>
        <v>#REF!</v>
      </c>
      <c r="D714" s="222" t="e">
        <f>IF(C714&lt;&gt;"",dadosexternosBMF_1!C717,"")</f>
        <v>#REF!</v>
      </c>
      <c r="E714" s="222" t="e">
        <f>IF(C714&lt;&gt;"",dadosexternosBMF_1!D717,"")</f>
        <v>#REF!</v>
      </c>
      <c r="G714" s="219" t="e">
        <f t="shared" si="79"/>
        <v>#REF!</v>
      </c>
      <c r="H714" s="219" t="e">
        <f t="shared" si="80"/>
        <v>#REF!</v>
      </c>
      <c r="I714" s="219" t="e">
        <f t="shared" si="81"/>
        <v>#REF!</v>
      </c>
      <c r="J714" s="219" t="e">
        <f>IF(I714="","",VLOOKUP(LEFT(C714,1),dadosexternosBMF_1!$L$2:$M$13,2,FALSE))</f>
        <v>#REF!</v>
      </c>
      <c r="K714" s="219" t="e">
        <f t="shared" si="82"/>
        <v>#REF!</v>
      </c>
      <c r="L714" s="422" t="e">
        <f t="shared" si="83"/>
        <v>#REF!</v>
      </c>
      <c r="M714" s="422" t="e">
        <f>IF(I714="","",WORKDAY(L714-1,1,FERIADOS!$A$2:$A$831))</f>
        <v>#REF!</v>
      </c>
      <c r="N714" s="219" t="e">
        <f>IF(I714="","",NETWORKDAYS(Curva!$M$2,M714,FERIADOS!$A$2:$A$831)-1)</f>
        <v>#REF!</v>
      </c>
      <c r="O714" s="423" t="e">
        <f>IF(C714&lt;&gt;"",IF(ISERROR((100000/E714)^(252/N714)-1),Curva!$B$2,((100000/E714)^(252/N714)-1)),"")</f>
        <v>#REF!</v>
      </c>
      <c r="P714" s="219" t="e">
        <f>IF(OR(G714=1,G714=2),dadosexternosBMF_1!B717,"")</f>
        <v>#REF!</v>
      </c>
      <c r="Q714" s="219" t="e">
        <f>IF(OR(G714=1,G714=2),dadosexternosBMF_1!D717,"")</f>
        <v>#REF!</v>
      </c>
    </row>
    <row r="715" spans="1:17" x14ac:dyDescent="0.2">
      <c r="A715" s="222" t="e">
        <f t="shared" si="78"/>
        <v>#REF!</v>
      </c>
      <c r="B715" s="222" t="str">
        <f>IF(dadosexternosBMF_1!A718="DI1 - DI de 1 dia","DI1 - DI de 1 dia","")</f>
        <v/>
      </c>
      <c r="C715" s="222" t="e">
        <f>IF(dadosexternosBMF_1!A718="DOL - Dólar comercial","",IF(C714&lt;&gt;"",dadosexternosBMF_1!B718,IF(dadosexternosBMF_1!A718="DI1 - DI de 1 dia",dadosexternosBMF_1!B718,"")))</f>
        <v>#REF!</v>
      </c>
      <c r="D715" s="222" t="e">
        <f>IF(C715&lt;&gt;"",dadosexternosBMF_1!C718,"")</f>
        <v>#REF!</v>
      </c>
      <c r="E715" s="222" t="e">
        <f>IF(C715&lt;&gt;"",dadosexternosBMF_1!D718,"")</f>
        <v>#REF!</v>
      </c>
      <c r="G715" s="219" t="e">
        <f t="shared" si="79"/>
        <v>#REF!</v>
      </c>
      <c r="H715" s="219" t="e">
        <f t="shared" si="80"/>
        <v>#REF!</v>
      </c>
      <c r="I715" s="219" t="e">
        <f t="shared" si="81"/>
        <v>#REF!</v>
      </c>
      <c r="J715" s="219" t="e">
        <f>IF(I715="","",VLOOKUP(LEFT(C715,1),dadosexternosBMF_1!$L$2:$M$13,2,FALSE))</f>
        <v>#REF!</v>
      </c>
      <c r="K715" s="219" t="e">
        <f t="shared" si="82"/>
        <v>#REF!</v>
      </c>
      <c r="L715" s="422" t="e">
        <f t="shared" si="83"/>
        <v>#REF!</v>
      </c>
      <c r="M715" s="422" t="e">
        <f>IF(I715="","",WORKDAY(L715-1,1,FERIADOS!$A$2:$A$831))</f>
        <v>#REF!</v>
      </c>
      <c r="N715" s="219" t="e">
        <f>IF(I715="","",NETWORKDAYS(Curva!$M$2,M715,FERIADOS!$A$2:$A$831)-1)</f>
        <v>#REF!</v>
      </c>
      <c r="O715" s="423" t="e">
        <f>IF(C715&lt;&gt;"",IF(ISERROR((100000/E715)^(252/N715)-1),Curva!$B$2,((100000/E715)^(252/N715)-1)),"")</f>
        <v>#REF!</v>
      </c>
      <c r="P715" s="219" t="e">
        <f>IF(OR(G715=1,G715=2),dadosexternosBMF_1!B718,"")</f>
        <v>#REF!</v>
      </c>
      <c r="Q715" s="219" t="e">
        <f>IF(OR(G715=1,G715=2),dadosexternosBMF_1!D718,"")</f>
        <v>#REF!</v>
      </c>
    </row>
    <row r="716" spans="1:17" x14ac:dyDescent="0.2">
      <c r="A716" s="222" t="e">
        <f t="shared" si="78"/>
        <v>#REF!</v>
      </c>
      <c r="B716" s="222" t="str">
        <f>IF(dadosexternosBMF_1!A719="DI1 - DI de 1 dia","DI1 - DI de 1 dia","")</f>
        <v/>
      </c>
      <c r="C716" s="222" t="e">
        <f>IF(dadosexternosBMF_1!A719="DOL - Dólar comercial","",IF(C715&lt;&gt;"",dadosexternosBMF_1!B719,IF(dadosexternosBMF_1!A719="DI1 - DI de 1 dia",dadosexternosBMF_1!B719,"")))</f>
        <v>#REF!</v>
      </c>
      <c r="D716" s="222" t="e">
        <f>IF(C716&lt;&gt;"",dadosexternosBMF_1!C719,"")</f>
        <v>#REF!</v>
      </c>
      <c r="E716" s="222" t="e">
        <f>IF(C716&lt;&gt;"",dadosexternosBMF_1!D719,"")</f>
        <v>#REF!</v>
      </c>
      <c r="G716" s="219" t="e">
        <f t="shared" si="79"/>
        <v>#REF!</v>
      </c>
      <c r="H716" s="219" t="e">
        <f t="shared" si="80"/>
        <v>#REF!</v>
      </c>
      <c r="I716" s="219" t="e">
        <f t="shared" si="81"/>
        <v>#REF!</v>
      </c>
      <c r="J716" s="219" t="e">
        <f>IF(I716="","",VLOOKUP(LEFT(C716,1),dadosexternosBMF_1!$L$2:$M$13,2,FALSE))</f>
        <v>#REF!</v>
      </c>
      <c r="K716" s="219" t="e">
        <f t="shared" si="82"/>
        <v>#REF!</v>
      </c>
      <c r="L716" s="422" t="e">
        <f t="shared" si="83"/>
        <v>#REF!</v>
      </c>
      <c r="M716" s="422" t="e">
        <f>IF(I716="","",WORKDAY(L716-1,1,FERIADOS!$A$2:$A$831))</f>
        <v>#REF!</v>
      </c>
      <c r="N716" s="219" t="e">
        <f>IF(I716="","",NETWORKDAYS(Curva!$M$2,M716,FERIADOS!$A$2:$A$831)-1)</f>
        <v>#REF!</v>
      </c>
      <c r="O716" s="423" t="e">
        <f>IF(C716&lt;&gt;"",IF(ISERROR((100000/E716)^(252/N716)-1),Curva!$B$2,((100000/E716)^(252/N716)-1)),"")</f>
        <v>#REF!</v>
      </c>
      <c r="P716" s="219" t="e">
        <f>IF(OR(G716=1,G716=2),dadosexternosBMF_1!B719,"")</f>
        <v>#REF!</v>
      </c>
      <c r="Q716" s="219" t="e">
        <f>IF(OR(G716=1,G716=2),dadosexternosBMF_1!D719,"")</f>
        <v>#REF!</v>
      </c>
    </row>
    <row r="717" spans="1:17" x14ac:dyDescent="0.2">
      <c r="A717" s="222" t="e">
        <f t="shared" si="78"/>
        <v>#REF!</v>
      </c>
      <c r="B717" s="222" t="str">
        <f>IF(dadosexternosBMF_1!A720="DI1 - DI de 1 dia","DI1 - DI de 1 dia","")</f>
        <v/>
      </c>
      <c r="C717" s="222" t="e">
        <f>IF(dadosexternosBMF_1!A720="DOL - Dólar comercial","",IF(C716&lt;&gt;"",dadosexternosBMF_1!B720,IF(dadosexternosBMF_1!A720="DI1 - DI de 1 dia",dadosexternosBMF_1!B720,"")))</f>
        <v>#REF!</v>
      </c>
      <c r="D717" s="222" t="e">
        <f>IF(C717&lt;&gt;"",dadosexternosBMF_1!C720,"")</f>
        <v>#REF!</v>
      </c>
      <c r="E717" s="222" t="e">
        <f>IF(C717&lt;&gt;"",dadosexternosBMF_1!D720,"")</f>
        <v>#REF!</v>
      </c>
      <c r="G717" s="219" t="e">
        <f t="shared" si="79"/>
        <v>#REF!</v>
      </c>
      <c r="H717" s="219" t="e">
        <f t="shared" si="80"/>
        <v>#REF!</v>
      </c>
      <c r="I717" s="219" t="e">
        <f t="shared" si="81"/>
        <v>#REF!</v>
      </c>
      <c r="J717" s="219" t="e">
        <f>IF(I717="","",VLOOKUP(LEFT(C717,1),dadosexternosBMF_1!$L$2:$M$13,2,FALSE))</f>
        <v>#REF!</v>
      </c>
      <c r="K717" s="219" t="e">
        <f t="shared" si="82"/>
        <v>#REF!</v>
      </c>
      <c r="L717" s="422" t="e">
        <f t="shared" si="83"/>
        <v>#REF!</v>
      </c>
      <c r="M717" s="422" t="e">
        <f>IF(I717="","",WORKDAY(L717-1,1,FERIADOS!$A$2:$A$831))</f>
        <v>#REF!</v>
      </c>
      <c r="N717" s="219" t="e">
        <f>IF(I717="","",NETWORKDAYS(Curva!$M$2,M717,FERIADOS!$A$2:$A$831)-1)</f>
        <v>#REF!</v>
      </c>
      <c r="O717" s="423" t="e">
        <f>IF(C717&lt;&gt;"",IF(ISERROR((100000/E717)^(252/N717)-1),Curva!$B$2,((100000/E717)^(252/N717)-1)),"")</f>
        <v>#REF!</v>
      </c>
      <c r="P717" s="219" t="e">
        <f>IF(OR(G717=1,G717=2),dadosexternosBMF_1!B720,"")</f>
        <v>#REF!</v>
      </c>
      <c r="Q717" s="219" t="e">
        <f>IF(OR(G717=1,G717=2),dadosexternosBMF_1!D720,"")</f>
        <v>#REF!</v>
      </c>
    </row>
    <row r="718" spans="1:17" x14ac:dyDescent="0.2">
      <c r="A718" s="222" t="e">
        <f t="shared" si="78"/>
        <v>#REF!</v>
      </c>
      <c r="B718" s="222" t="str">
        <f>IF(dadosexternosBMF_1!A721="DI1 - DI de 1 dia","DI1 - DI de 1 dia","")</f>
        <v/>
      </c>
      <c r="C718" s="222" t="e">
        <f>IF(dadosexternosBMF_1!A721="DOL - Dólar comercial","",IF(C717&lt;&gt;"",dadosexternosBMF_1!B721,IF(dadosexternosBMF_1!A721="DI1 - DI de 1 dia",dadosexternosBMF_1!B721,"")))</f>
        <v>#REF!</v>
      </c>
      <c r="D718" s="222" t="e">
        <f>IF(C718&lt;&gt;"",dadosexternosBMF_1!C721,"")</f>
        <v>#REF!</v>
      </c>
      <c r="E718" s="222" t="e">
        <f>IF(C718&lt;&gt;"",dadosexternosBMF_1!D721,"")</f>
        <v>#REF!</v>
      </c>
      <c r="G718" s="219" t="e">
        <f t="shared" si="79"/>
        <v>#REF!</v>
      </c>
      <c r="H718" s="219" t="e">
        <f t="shared" si="80"/>
        <v>#REF!</v>
      </c>
      <c r="I718" s="219" t="e">
        <f t="shared" si="81"/>
        <v>#REF!</v>
      </c>
      <c r="J718" s="219" t="e">
        <f>IF(I718="","",VLOOKUP(LEFT(C718,1),dadosexternosBMF_1!$L$2:$M$13,2,FALSE))</f>
        <v>#REF!</v>
      </c>
      <c r="K718" s="219" t="e">
        <f t="shared" si="82"/>
        <v>#REF!</v>
      </c>
      <c r="L718" s="422" t="e">
        <f t="shared" si="83"/>
        <v>#REF!</v>
      </c>
      <c r="M718" s="422" t="e">
        <f>IF(I718="","",WORKDAY(L718-1,1,FERIADOS!$A$2:$A$831))</f>
        <v>#REF!</v>
      </c>
      <c r="N718" s="219" t="e">
        <f>IF(I718="","",NETWORKDAYS(Curva!$M$2,M718,FERIADOS!$A$2:$A$831)-1)</f>
        <v>#REF!</v>
      </c>
      <c r="O718" s="423" t="e">
        <f>IF(C718&lt;&gt;"",IF(ISERROR((100000/E718)^(252/N718)-1),Curva!$B$2,((100000/E718)^(252/N718)-1)),"")</f>
        <v>#REF!</v>
      </c>
      <c r="P718" s="219" t="e">
        <f>IF(OR(G718=1,G718=2),dadosexternosBMF_1!B721,"")</f>
        <v>#REF!</v>
      </c>
      <c r="Q718" s="219" t="e">
        <f>IF(OR(G718=1,G718=2),dadosexternosBMF_1!D721,"")</f>
        <v>#REF!</v>
      </c>
    </row>
    <row r="719" spans="1:17" x14ac:dyDescent="0.2">
      <c r="A719" s="222" t="e">
        <f t="shared" si="78"/>
        <v>#REF!</v>
      </c>
      <c r="B719" s="222" t="str">
        <f>IF(dadosexternosBMF_1!A722="DI1 - DI de 1 dia","DI1 - DI de 1 dia","")</f>
        <v/>
      </c>
      <c r="C719" s="222" t="e">
        <f>IF(dadosexternosBMF_1!A722="DOL - Dólar comercial","",IF(C718&lt;&gt;"",dadosexternosBMF_1!B722,IF(dadosexternosBMF_1!A722="DI1 - DI de 1 dia",dadosexternosBMF_1!B722,"")))</f>
        <v>#REF!</v>
      </c>
      <c r="D719" s="222" t="e">
        <f>IF(C719&lt;&gt;"",dadosexternosBMF_1!C722,"")</f>
        <v>#REF!</v>
      </c>
      <c r="E719" s="222" t="e">
        <f>IF(C719&lt;&gt;"",dadosexternosBMF_1!D722,"")</f>
        <v>#REF!</v>
      </c>
      <c r="G719" s="219" t="e">
        <f t="shared" si="79"/>
        <v>#REF!</v>
      </c>
      <c r="H719" s="219" t="e">
        <f t="shared" si="80"/>
        <v>#REF!</v>
      </c>
      <c r="I719" s="219" t="e">
        <f t="shared" si="81"/>
        <v>#REF!</v>
      </c>
      <c r="J719" s="219" t="e">
        <f>IF(I719="","",VLOOKUP(LEFT(C719,1),dadosexternosBMF_1!$L$2:$M$13,2,FALSE))</f>
        <v>#REF!</v>
      </c>
      <c r="K719" s="219" t="e">
        <f t="shared" si="82"/>
        <v>#REF!</v>
      </c>
      <c r="L719" s="422" t="e">
        <f t="shared" si="83"/>
        <v>#REF!</v>
      </c>
      <c r="M719" s="422" t="e">
        <f>IF(I719="","",WORKDAY(L719-1,1,FERIADOS!$A$2:$A$831))</f>
        <v>#REF!</v>
      </c>
      <c r="N719" s="219" t="e">
        <f>IF(I719="","",NETWORKDAYS(Curva!$M$2,M719,FERIADOS!$A$2:$A$831)-1)</f>
        <v>#REF!</v>
      </c>
      <c r="O719" s="423" t="e">
        <f>IF(C719&lt;&gt;"",IF(ISERROR((100000/E719)^(252/N719)-1),Curva!$B$2,((100000/E719)^(252/N719)-1)),"")</f>
        <v>#REF!</v>
      </c>
      <c r="P719" s="219" t="e">
        <f>IF(OR(G719=1,G719=2),dadosexternosBMF_1!B722,"")</f>
        <v>#REF!</v>
      </c>
      <c r="Q719" s="219" t="e">
        <f>IF(OR(G719=1,G719=2),dadosexternosBMF_1!D722,"")</f>
        <v>#REF!</v>
      </c>
    </row>
    <row r="720" spans="1:17" x14ac:dyDescent="0.2">
      <c r="A720" s="222" t="e">
        <f t="shared" si="78"/>
        <v>#REF!</v>
      </c>
      <c r="B720" s="222" t="str">
        <f>IF(dadosexternosBMF_1!A723="DI1 - DI de 1 dia","DI1 - DI de 1 dia","")</f>
        <v/>
      </c>
      <c r="C720" s="222" t="e">
        <f>IF(dadosexternosBMF_1!A723="DOL - Dólar comercial","",IF(C719&lt;&gt;"",dadosexternosBMF_1!B723,IF(dadosexternosBMF_1!A723="DI1 - DI de 1 dia",dadosexternosBMF_1!B723,"")))</f>
        <v>#REF!</v>
      </c>
      <c r="D720" s="222" t="e">
        <f>IF(C720&lt;&gt;"",dadosexternosBMF_1!C723,"")</f>
        <v>#REF!</v>
      </c>
      <c r="E720" s="222" t="e">
        <f>IF(C720&lt;&gt;"",dadosexternosBMF_1!D723,"")</f>
        <v>#REF!</v>
      </c>
      <c r="G720" s="219" t="e">
        <f t="shared" si="79"/>
        <v>#REF!</v>
      </c>
      <c r="H720" s="219" t="e">
        <f t="shared" si="80"/>
        <v>#REF!</v>
      </c>
      <c r="I720" s="219" t="e">
        <f t="shared" si="81"/>
        <v>#REF!</v>
      </c>
      <c r="J720" s="219" t="e">
        <f>IF(I720="","",VLOOKUP(LEFT(C720,1),dadosexternosBMF_1!$L$2:$M$13,2,FALSE))</f>
        <v>#REF!</v>
      </c>
      <c r="K720" s="219" t="e">
        <f t="shared" si="82"/>
        <v>#REF!</v>
      </c>
      <c r="L720" s="422" t="e">
        <f t="shared" si="83"/>
        <v>#REF!</v>
      </c>
      <c r="M720" s="422" t="e">
        <f>IF(I720="","",WORKDAY(L720-1,1,FERIADOS!$A$2:$A$831))</f>
        <v>#REF!</v>
      </c>
      <c r="N720" s="219" t="e">
        <f>IF(I720="","",NETWORKDAYS(Curva!$M$2,M720,FERIADOS!$A$2:$A$831)-1)</f>
        <v>#REF!</v>
      </c>
      <c r="O720" s="423" t="e">
        <f>IF(C720&lt;&gt;"",IF(ISERROR((100000/E720)^(252/N720)-1),Curva!$B$2,((100000/E720)^(252/N720)-1)),"")</f>
        <v>#REF!</v>
      </c>
      <c r="P720" s="219" t="e">
        <f>IF(OR(G720=1,G720=2),dadosexternosBMF_1!B723,"")</f>
        <v>#REF!</v>
      </c>
      <c r="Q720" s="219" t="e">
        <f>IF(OR(G720=1,G720=2),dadosexternosBMF_1!D723,"")</f>
        <v>#REF!</v>
      </c>
    </row>
    <row r="721" spans="1:17" x14ac:dyDescent="0.2">
      <c r="A721" s="222" t="e">
        <f t="shared" si="78"/>
        <v>#REF!</v>
      </c>
      <c r="B721" s="222" t="str">
        <f>IF(dadosexternosBMF_1!A724="DI1 - DI de 1 dia","DI1 - DI de 1 dia","")</f>
        <v/>
      </c>
      <c r="C721" s="222" t="e">
        <f>IF(dadosexternosBMF_1!A724="DOL - Dólar comercial","",IF(C720&lt;&gt;"",dadosexternosBMF_1!B724,IF(dadosexternosBMF_1!A724="DI1 - DI de 1 dia",dadosexternosBMF_1!B724,"")))</f>
        <v>#REF!</v>
      </c>
      <c r="D721" s="222" t="e">
        <f>IF(C721&lt;&gt;"",dadosexternosBMF_1!C724,"")</f>
        <v>#REF!</v>
      </c>
      <c r="E721" s="222" t="e">
        <f>IF(C721&lt;&gt;"",dadosexternosBMF_1!D724,"")</f>
        <v>#REF!</v>
      </c>
      <c r="G721" s="219" t="e">
        <f t="shared" si="79"/>
        <v>#REF!</v>
      </c>
      <c r="H721" s="219" t="e">
        <f t="shared" si="80"/>
        <v>#REF!</v>
      </c>
      <c r="I721" s="219" t="e">
        <f t="shared" si="81"/>
        <v>#REF!</v>
      </c>
      <c r="J721" s="219" t="e">
        <f>IF(I721="","",VLOOKUP(LEFT(C721,1),dadosexternosBMF_1!$L$2:$M$13,2,FALSE))</f>
        <v>#REF!</v>
      </c>
      <c r="K721" s="219" t="e">
        <f t="shared" si="82"/>
        <v>#REF!</v>
      </c>
      <c r="L721" s="422" t="e">
        <f t="shared" si="83"/>
        <v>#REF!</v>
      </c>
      <c r="M721" s="422" t="e">
        <f>IF(I721="","",WORKDAY(L721-1,1,FERIADOS!$A$2:$A$831))</f>
        <v>#REF!</v>
      </c>
      <c r="N721" s="219" t="e">
        <f>IF(I721="","",NETWORKDAYS(Curva!$M$2,M721,FERIADOS!$A$2:$A$831)-1)</f>
        <v>#REF!</v>
      </c>
      <c r="O721" s="423" t="e">
        <f>IF(C721&lt;&gt;"",IF(ISERROR((100000/E721)^(252/N721)-1),Curva!$B$2,((100000/E721)^(252/N721)-1)),"")</f>
        <v>#REF!</v>
      </c>
      <c r="P721" s="219" t="e">
        <f>IF(OR(G721=1,G721=2),dadosexternosBMF_1!B724,"")</f>
        <v>#REF!</v>
      </c>
      <c r="Q721" s="219" t="e">
        <f>IF(OR(G721=1,G721=2),dadosexternosBMF_1!D724,"")</f>
        <v>#REF!</v>
      </c>
    </row>
    <row r="722" spans="1:17" x14ac:dyDescent="0.2">
      <c r="A722" s="222" t="e">
        <f t="shared" si="78"/>
        <v>#REF!</v>
      </c>
      <c r="B722" s="222" t="str">
        <f>IF(dadosexternosBMF_1!A725="DI1 - DI de 1 dia","DI1 - DI de 1 dia","")</f>
        <v/>
      </c>
      <c r="C722" s="222" t="e">
        <f>IF(dadosexternosBMF_1!A725="DOL - Dólar comercial","",IF(C721&lt;&gt;"",dadosexternosBMF_1!B725,IF(dadosexternosBMF_1!A725="DI1 - DI de 1 dia",dadosexternosBMF_1!B725,"")))</f>
        <v>#REF!</v>
      </c>
      <c r="D722" s="222" t="e">
        <f>IF(C722&lt;&gt;"",dadosexternosBMF_1!C725,"")</f>
        <v>#REF!</v>
      </c>
      <c r="E722" s="222" t="e">
        <f>IF(C722&lt;&gt;"",dadosexternosBMF_1!D725,"")</f>
        <v>#REF!</v>
      </c>
      <c r="G722" s="219" t="e">
        <f t="shared" si="79"/>
        <v>#REF!</v>
      </c>
      <c r="H722" s="219" t="e">
        <f t="shared" si="80"/>
        <v>#REF!</v>
      </c>
      <c r="I722" s="219" t="e">
        <f t="shared" si="81"/>
        <v>#REF!</v>
      </c>
      <c r="J722" s="219" t="e">
        <f>IF(I722="","",VLOOKUP(LEFT(C722,1),dadosexternosBMF_1!$L$2:$M$13,2,FALSE))</f>
        <v>#REF!</v>
      </c>
      <c r="K722" s="219" t="e">
        <f t="shared" si="82"/>
        <v>#REF!</v>
      </c>
      <c r="L722" s="422" t="e">
        <f t="shared" si="83"/>
        <v>#REF!</v>
      </c>
      <c r="M722" s="422" t="e">
        <f>IF(I722="","",WORKDAY(L722-1,1,FERIADOS!$A$2:$A$831))</f>
        <v>#REF!</v>
      </c>
      <c r="N722" s="219" t="e">
        <f>IF(I722="","",NETWORKDAYS(Curva!$M$2,M722,FERIADOS!$A$2:$A$831)-1)</f>
        <v>#REF!</v>
      </c>
      <c r="O722" s="423" t="e">
        <f>IF(C722&lt;&gt;"",IF(ISERROR((100000/E722)^(252/N722)-1),Curva!$B$2,((100000/E722)^(252/N722)-1)),"")</f>
        <v>#REF!</v>
      </c>
      <c r="P722" s="219" t="e">
        <f>IF(OR(G722=1,G722=2),dadosexternosBMF_1!B725,"")</f>
        <v>#REF!</v>
      </c>
      <c r="Q722" s="219" t="e">
        <f>IF(OR(G722=1,G722=2),dadosexternosBMF_1!D725,"")</f>
        <v>#REF!</v>
      </c>
    </row>
    <row r="723" spans="1:17" x14ac:dyDescent="0.2">
      <c r="A723" s="222" t="e">
        <f t="shared" si="78"/>
        <v>#REF!</v>
      </c>
      <c r="B723" s="222" t="str">
        <f>IF(dadosexternosBMF_1!A726="DI1 - DI de 1 dia","DI1 - DI de 1 dia","")</f>
        <v/>
      </c>
      <c r="C723" s="222" t="e">
        <f>IF(dadosexternosBMF_1!A726="DOL - Dólar comercial","",IF(C722&lt;&gt;"",dadosexternosBMF_1!B726,IF(dadosexternosBMF_1!A726="DI1 - DI de 1 dia",dadosexternosBMF_1!B726,"")))</f>
        <v>#REF!</v>
      </c>
      <c r="D723" s="222" t="e">
        <f>IF(C723&lt;&gt;"",dadosexternosBMF_1!C726,"")</f>
        <v>#REF!</v>
      </c>
      <c r="E723" s="222" t="e">
        <f>IF(C723&lt;&gt;"",dadosexternosBMF_1!D726,"")</f>
        <v>#REF!</v>
      </c>
      <c r="G723" s="219" t="e">
        <f t="shared" si="79"/>
        <v>#REF!</v>
      </c>
      <c r="H723" s="219" t="e">
        <f t="shared" si="80"/>
        <v>#REF!</v>
      </c>
      <c r="I723" s="219" t="e">
        <f t="shared" si="81"/>
        <v>#REF!</v>
      </c>
      <c r="J723" s="219" t="e">
        <f>IF(I723="","",VLOOKUP(LEFT(C723,1),dadosexternosBMF_1!$L$2:$M$13,2,FALSE))</f>
        <v>#REF!</v>
      </c>
      <c r="K723" s="219" t="e">
        <f t="shared" si="82"/>
        <v>#REF!</v>
      </c>
      <c r="L723" s="422" t="e">
        <f t="shared" si="83"/>
        <v>#REF!</v>
      </c>
      <c r="M723" s="422" t="e">
        <f>IF(I723="","",WORKDAY(L723-1,1,FERIADOS!$A$2:$A$831))</f>
        <v>#REF!</v>
      </c>
      <c r="N723" s="219" t="e">
        <f>IF(I723="","",NETWORKDAYS(Curva!$M$2,M723,FERIADOS!$A$2:$A$831)-1)</f>
        <v>#REF!</v>
      </c>
      <c r="O723" s="423" t="e">
        <f>IF(C723&lt;&gt;"",IF(ISERROR((100000/E723)^(252/N723)-1),Curva!$B$2,((100000/E723)^(252/N723)-1)),"")</f>
        <v>#REF!</v>
      </c>
      <c r="P723" s="219" t="e">
        <f>IF(OR(G723=1,G723=2),dadosexternosBMF_1!B726,"")</f>
        <v>#REF!</v>
      </c>
      <c r="Q723" s="219" t="e">
        <f>IF(OR(G723=1,G723=2),dadosexternosBMF_1!D726,"")</f>
        <v>#REF!</v>
      </c>
    </row>
    <row r="724" spans="1:17" x14ac:dyDescent="0.2">
      <c r="A724" s="222" t="e">
        <f t="shared" si="78"/>
        <v>#REF!</v>
      </c>
      <c r="B724" s="222" t="str">
        <f>IF(dadosexternosBMF_1!A727="DI1 - DI de 1 dia","DI1 - DI de 1 dia","")</f>
        <v/>
      </c>
      <c r="C724" s="222" t="e">
        <f>IF(dadosexternosBMF_1!A727="DOL - Dólar comercial","",IF(C723&lt;&gt;"",dadosexternosBMF_1!B727,IF(dadosexternosBMF_1!A727="DI1 - DI de 1 dia",dadosexternosBMF_1!B727,"")))</f>
        <v>#REF!</v>
      </c>
      <c r="D724" s="222" t="e">
        <f>IF(C724&lt;&gt;"",dadosexternosBMF_1!C727,"")</f>
        <v>#REF!</v>
      </c>
      <c r="E724" s="222" t="e">
        <f>IF(C724&lt;&gt;"",dadosexternosBMF_1!D727,"")</f>
        <v>#REF!</v>
      </c>
      <c r="G724" s="219" t="e">
        <f t="shared" si="79"/>
        <v>#REF!</v>
      </c>
      <c r="H724" s="219" t="e">
        <f t="shared" si="80"/>
        <v>#REF!</v>
      </c>
      <c r="I724" s="219" t="e">
        <f t="shared" si="81"/>
        <v>#REF!</v>
      </c>
      <c r="J724" s="219" t="e">
        <f>IF(I724="","",VLOOKUP(LEFT(C724,1),dadosexternosBMF_1!$L$2:$M$13,2,FALSE))</f>
        <v>#REF!</v>
      </c>
      <c r="K724" s="219" t="e">
        <f t="shared" si="82"/>
        <v>#REF!</v>
      </c>
      <c r="L724" s="422" t="e">
        <f t="shared" si="83"/>
        <v>#REF!</v>
      </c>
      <c r="M724" s="422" t="e">
        <f>IF(I724="","",WORKDAY(L724-1,1,FERIADOS!$A$2:$A$831))</f>
        <v>#REF!</v>
      </c>
      <c r="N724" s="219" t="e">
        <f>IF(I724="","",NETWORKDAYS(Curva!$M$2,M724,FERIADOS!$A$2:$A$831)-1)</f>
        <v>#REF!</v>
      </c>
      <c r="O724" s="423" t="e">
        <f>IF(C724&lt;&gt;"",IF(ISERROR((100000/E724)^(252/N724)-1),Curva!$B$2,((100000/E724)^(252/N724)-1)),"")</f>
        <v>#REF!</v>
      </c>
      <c r="P724" s="219" t="e">
        <f>IF(OR(G724=1,G724=2),dadosexternosBMF_1!B727,"")</f>
        <v>#REF!</v>
      </c>
      <c r="Q724" s="219" t="e">
        <f>IF(OR(G724=1,G724=2),dadosexternosBMF_1!D727,"")</f>
        <v>#REF!</v>
      </c>
    </row>
    <row r="725" spans="1:17" x14ac:dyDescent="0.2">
      <c r="A725" s="222" t="e">
        <f t="shared" si="78"/>
        <v>#REF!</v>
      </c>
      <c r="B725" s="222" t="str">
        <f>IF(dadosexternosBMF_1!A728="DI1 - DI de 1 dia","DI1 - DI de 1 dia","")</f>
        <v/>
      </c>
      <c r="C725" s="222" t="e">
        <f>IF(dadosexternosBMF_1!A728="DOL - Dólar comercial","",IF(C724&lt;&gt;"",dadosexternosBMF_1!B728,IF(dadosexternosBMF_1!A728="DI1 - DI de 1 dia",dadosexternosBMF_1!B728,"")))</f>
        <v>#REF!</v>
      </c>
      <c r="D725" s="222" t="e">
        <f>IF(C725&lt;&gt;"",dadosexternosBMF_1!C728,"")</f>
        <v>#REF!</v>
      </c>
      <c r="E725" s="222" t="e">
        <f>IF(C725&lt;&gt;"",dadosexternosBMF_1!D728,"")</f>
        <v>#REF!</v>
      </c>
      <c r="G725" s="219" t="e">
        <f t="shared" si="79"/>
        <v>#REF!</v>
      </c>
      <c r="H725" s="219" t="e">
        <f t="shared" si="80"/>
        <v>#REF!</v>
      </c>
      <c r="I725" s="219" t="e">
        <f t="shared" si="81"/>
        <v>#REF!</v>
      </c>
      <c r="J725" s="219" t="e">
        <f>IF(I725="","",VLOOKUP(LEFT(C725,1),dadosexternosBMF_1!$L$2:$M$13,2,FALSE))</f>
        <v>#REF!</v>
      </c>
      <c r="K725" s="219" t="e">
        <f t="shared" si="82"/>
        <v>#REF!</v>
      </c>
      <c r="L725" s="422" t="e">
        <f t="shared" si="83"/>
        <v>#REF!</v>
      </c>
      <c r="M725" s="422" t="e">
        <f>IF(I725="","",WORKDAY(L725-1,1,FERIADOS!$A$2:$A$831))</f>
        <v>#REF!</v>
      </c>
      <c r="N725" s="219" t="e">
        <f>IF(I725="","",NETWORKDAYS(Curva!$M$2,M725,FERIADOS!$A$2:$A$831)-1)</f>
        <v>#REF!</v>
      </c>
      <c r="O725" s="423" t="e">
        <f>IF(C725&lt;&gt;"",IF(ISERROR((100000/E725)^(252/N725)-1),Curva!$B$2,((100000/E725)^(252/N725)-1)),"")</f>
        <v>#REF!</v>
      </c>
      <c r="P725" s="219" t="e">
        <f>IF(OR(G725=1,G725=2),dadosexternosBMF_1!B728,"")</f>
        <v>#REF!</v>
      </c>
      <c r="Q725" s="219" t="e">
        <f>IF(OR(G725=1,G725=2),dadosexternosBMF_1!D728,"")</f>
        <v>#REF!</v>
      </c>
    </row>
    <row r="726" spans="1:17" x14ac:dyDescent="0.2">
      <c r="A726" s="222" t="e">
        <f t="shared" si="78"/>
        <v>#REF!</v>
      </c>
      <c r="B726" s="222" t="str">
        <f>IF(dadosexternosBMF_1!A729="DI1 - DI de 1 dia","DI1 - DI de 1 dia","")</f>
        <v/>
      </c>
      <c r="C726" s="222" t="e">
        <f>IF(dadosexternosBMF_1!A729="DOL - Dólar comercial","",IF(C725&lt;&gt;"",dadosexternosBMF_1!B729,IF(dadosexternosBMF_1!A729="DI1 - DI de 1 dia",dadosexternosBMF_1!B729,"")))</f>
        <v>#REF!</v>
      </c>
      <c r="D726" s="222" t="e">
        <f>IF(C726&lt;&gt;"",dadosexternosBMF_1!C729,"")</f>
        <v>#REF!</v>
      </c>
      <c r="E726" s="222" t="e">
        <f>IF(C726&lt;&gt;"",dadosexternosBMF_1!D729,"")</f>
        <v>#REF!</v>
      </c>
      <c r="G726" s="219" t="e">
        <f t="shared" si="79"/>
        <v>#REF!</v>
      </c>
      <c r="H726" s="219" t="e">
        <f t="shared" si="80"/>
        <v>#REF!</v>
      </c>
      <c r="I726" s="219" t="e">
        <f t="shared" si="81"/>
        <v>#REF!</v>
      </c>
      <c r="J726" s="219" t="e">
        <f>IF(I726="","",VLOOKUP(LEFT(C726,1),dadosexternosBMF_1!$L$2:$M$13,2,FALSE))</f>
        <v>#REF!</v>
      </c>
      <c r="K726" s="219" t="e">
        <f t="shared" si="82"/>
        <v>#REF!</v>
      </c>
      <c r="L726" s="422" t="e">
        <f t="shared" si="83"/>
        <v>#REF!</v>
      </c>
      <c r="M726" s="422" t="e">
        <f>IF(I726="","",WORKDAY(L726-1,1,FERIADOS!$A$2:$A$831))</f>
        <v>#REF!</v>
      </c>
      <c r="N726" s="219" t="e">
        <f>IF(I726="","",NETWORKDAYS(Curva!$M$2,M726,FERIADOS!$A$2:$A$831)-1)</f>
        <v>#REF!</v>
      </c>
      <c r="O726" s="423" t="e">
        <f>IF(C726&lt;&gt;"",IF(ISERROR((100000/E726)^(252/N726)-1),Curva!$B$2,((100000/E726)^(252/N726)-1)),"")</f>
        <v>#REF!</v>
      </c>
      <c r="P726" s="219" t="e">
        <f>IF(OR(G726=1,G726=2),dadosexternosBMF_1!B729,"")</f>
        <v>#REF!</v>
      </c>
      <c r="Q726" s="219" t="e">
        <f>IF(OR(G726=1,G726=2),dadosexternosBMF_1!D729,"")</f>
        <v>#REF!</v>
      </c>
    </row>
    <row r="727" spans="1:17" x14ac:dyDescent="0.2">
      <c r="A727" s="222" t="e">
        <f t="shared" si="78"/>
        <v>#REF!</v>
      </c>
      <c r="B727" s="222" t="str">
        <f>IF(dadosexternosBMF_1!A730="DI1 - DI de 1 dia","DI1 - DI de 1 dia","")</f>
        <v/>
      </c>
      <c r="C727" s="222" t="e">
        <f>IF(dadosexternosBMF_1!A730="DOL - Dólar comercial","",IF(C726&lt;&gt;"",dadosexternosBMF_1!B730,IF(dadosexternosBMF_1!A730="DI1 - DI de 1 dia",dadosexternosBMF_1!B730,"")))</f>
        <v>#REF!</v>
      </c>
      <c r="D727" s="222" t="e">
        <f>IF(C727&lt;&gt;"",dadosexternosBMF_1!C730,"")</f>
        <v>#REF!</v>
      </c>
      <c r="E727" s="222" t="e">
        <f>IF(C727&lt;&gt;"",dadosexternosBMF_1!D730,"")</f>
        <v>#REF!</v>
      </c>
      <c r="G727" s="219" t="e">
        <f t="shared" si="79"/>
        <v>#REF!</v>
      </c>
      <c r="H727" s="219" t="e">
        <f t="shared" si="80"/>
        <v>#REF!</v>
      </c>
      <c r="I727" s="219" t="e">
        <f t="shared" si="81"/>
        <v>#REF!</v>
      </c>
      <c r="J727" s="219" t="e">
        <f>IF(I727="","",VLOOKUP(LEFT(C727,1),dadosexternosBMF_1!$L$2:$M$13,2,FALSE))</f>
        <v>#REF!</v>
      </c>
      <c r="K727" s="219" t="e">
        <f t="shared" si="82"/>
        <v>#REF!</v>
      </c>
      <c r="L727" s="422" t="e">
        <f t="shared" si="83"/>
        <v>#REF!</v>
      </c>
      <c r="M727" s="422" t="e">
        <f>IF(I727="","",WORKDAY(L727-1,1,FERIADOS!$A$2:$A$831))</f>
        <v>#REF!</v>
      </c>
      <c r="N727" s="219" t="e">
        <f>IF(I727="","",NETWORKDAYS(Curva!$M$2,M727,FERIADOS!$A$2:$A$831)-1)</f>
        <v>#REF!</v>
      </c>
      <c r="O727" s="423" t="e">
        <f>IF(C727&lt;&gt;"",IF(ISERROR((100000/E727)^(252/N727)-1),Curva!$B$2,((100000/E727)^(252/N727)-1)),"")</f>
        <v>#REF!</v>
      </c>
      <c r="P727" s="219" t="e">
        <f>IF(OR(G727=1,G727=2),dadosexternosBMF_1!B730,"")</f>
        <v>#REF!</v>
      </c>
      <c r="Q727" s="219" t="e">
        <f>IF(OR(G727=1,G727=2),dadosexternosBMF_1!D730,"")</f>
        <v>#REF!</v>
      </c>
    </row>
    <row r="728" spans="1:17" x14ac:dyDescent="0.2">
      <c r="A728" s="222" t="e">
        <f t="shared" si="78"/>
        <v>#REF!</v>
      </c>
      <c r="B728" s="222" t="str">
        <f>IF(dadosexternosBMF_1!A731="DI1 - DI de 1 dia","DI1 - DI de 1 dia","")</f>
        <v/>
      </c>
      <c r="C728" s="222" t="e">
        <f>IF(dadosexternosBMF_1!A731="DOL - Dólar comercial","",IF(C727&lt;&gt;"",dadosexternosBMF_1!B731,IF(dadosexternosBMF_1!A731="DI1 - DI de 1 dia",dadosexternosBMF_1!B731,"")))</f>
        <v>#REF!</v>
      </c>
      <c r="D728" s="222" t="e">
        <f>IF(C728&lt;&gt;"",dadosexternosBMF_1!C731,"")</f>
        <v>#REF!</v>
      </c>
      <c r="E728" s="222" t="e">
        <f>IF(C728&lt;&gt;"",dadosexternosBMF_1!D731,"")</f>
        <v>#REF!</v>
      </c>
      <c r="G728" s="219" t="e">
        <f t="shared" si="79"/>
        <v>#REF!</v>
      </c>
      <c r="H728" s="219" t="e">
        <f t="shared" si="80"/>
        <v>#REF!</v>
      </c>
      <c r="I728" s="219" t="e">
        <f t="shared" si="81"/>
        <v>#REF!</v>
      </c>
      <c r="J728" s="219" t="e">
        <f>IF(I728="","",VLOOKUP(LEFT(C728,1),dadosexternosBMF_1!$L$2:$M$13,2,FALSE))</f>
        <v>#REF!</v>
      </c>
      <c r="K728" s="219" t="e">
        <f t="shared" si="82"/>
        <v>#REF!</v>
      </c>
      <c r="L728" s="422" t="e">
        <f t="shared" si="83"/>
        <v>#REF!</v>
      </c>
      <c r="M728" s="422" t="e">
        <f>IF(I728="","",WORKDAY(L728-1,1,FERIADOS!$A$2:$A$831))</f>
        <v>#REF!</v>
      </c>
      <c r="N728" s="219" t="e">
        <f>IF(I728="","",NETWORKDAYS(Curva!$M$2,M728,FERIADOS!$A$2:$A$831)-1)</f>
        <v>#REF!</v>
      </c>
      <c r="O728" s="423" t="e">
        <f>IF(C728&lt;&gt;"",IF(ISERROR((100000/E728)^(252/N728)-1),Curva!$B$2,((100000/E728)^(252/N728)-1)),"")</f>
        <v>#REF!</v>
      </c>
      <c r="P728" s="219" t="e">
        <f>IF(OR(G728=1,G728=2),dadosexternosBMF_1!B731,"")</f>
        <v>#REF!</v>
      </c>
      <c r="Q728" s="219" t="e">
        <f>IF(OR(G728=1,G728=2),dadosexternosBMF_1!D731,"")</f>
        <v>#REF!</v>
      </c>
    </row>
    <row r="729" spans="1:17" x14ac:dyDescent="0.2">
      <c r="A729" s="222" t="e">
        <f t="shared" si="78"/>
        <v>#REF!</v>
      </c>
      <c r="B729" s="222" t="str">
        <f>IF(dadosexternosBMF_1!A732="DI1 - DI de 1 dia","DI1 - DI de 1 dia","")</f>
        <v/>
      </c>
      <c r="C729" s="222" t="e">
        <f>IF(dadosexternosBMF_1!A732="DOL - Dólar comercial","",IF(C728&lt;&gt;"",dadosexternosBMF_1!B732,IF(dadosexternosBMF_1!A732="DI1 - DI de 1 dia",dadosexternosBMF_1!B732,"")))</f>
        <v>#REF!</v>
      </c>
      <c r="D729" s="222" t="e">
        <f>IF(C729&lt;&gt;"",dadosexternosBMF_1!C732,"")</f>
        <v>#REF!</v>
      </c>
      <c r="E729" s="222" t="e">
        <f>IF(C729&lt;&gt;"",dadosexternosBMF_1!D732,"")</f>
        <v>#REF!</v>
      </c>
      <c r="G729" s="219" t="e">
        <f t="shared" si="79"/>
        <v>#REF!</v>
      </c>
      <c r="H729" s="219" t="e">
        <f t="shared" si="80"/>
        <v>#REF!</v>
      </c>
      <c r="I729" s="219" t="e">
        <f t="shared" si="81"/>
        <v>#REF!</v>
      </c>
      <c r="J729" s="219" t="e">
        <f>IF(I729="","",VLOOKUP(LEFT(C729,1),dadosexternosBMF_1!$L$2:$M$13,2,FALSE))</f>
        <v>#REF!</v>
      </c>
      <c r="K729" s="219" t="e">
        <f t="shared" si="82"/>
        <v>#REF!</v>
      </c>
      <c r="L729" s="422" t="e">
        <f t="shared" si="83"/>
        <v>#REF!</v>
      </c>
      <c r="M729" s="422" t="e">
        <f>IF(I729="","",WORKDAY(L729-1,1,FERIADOS!$A$2:$A$831))</f>
        <v>#REF!</v>
      </c>
      <c r="N729" s="219" t="e">
        <f>IF(I729="","",NETWORKDAYS(Curva!$M$2,M729,FERIADOS!$A$2:$A$831)-1)</f>
        <v>#REF!</v>
      </c>
      <c r="O729" s="423" t="e">
        <f>IF(C729&lt;&gt;"",IF(ISERROR((100000/E729)^(252/N729)-1),Curva!$B$2,((100000/E729)^(252/N729)-1)),"")</f>
        <v>#REF!</v>
      </c>
      <c r="P729" s="219" t="e">
        <f>IF(OR(G729=1,G729=2),dadosexternosBMF_1!B732,"")</f>
        <v>#REF!</v>
      </c>
      <c r="Q729" s="219" t="e">
        <f>IF(OR(G729=1,G729=2),dadosexternosBMF_1!D732,"")</f>
        <v>#REF!</v>
      </c>
    </row>
    <row r="730" spans="1:17" x14ac:dyDescent="0.2">
      <c r="A730" s="222" t="e">
        <f t="shared" si="78"/>
        <v>#REF!</v>
      </c>
      <c r="B730" s="222" t="str">
        <f>IF(dadosexternosBMF_1!A733="DI1 - DI de 1 dia","DI1 - DI de 1 dia","")</f>
        <v/>
      </c>
      <c r="C730" s="222" t="e">
        <f>IF(dadosexternosBMF_1!A733="DOL - Dólar comercial","",IF(C729&lt;&gt;"",dadosexternosBMF_1!B733,IF(dadosexternosBMF_1!A733="DI1 - DI de 1 dia",dadosexternosBMF_1!B733,"")))</f>
        <v>#REF!</v>
      </c>
      <c r="D730" s="222" t="e">
        <f>IF(C730&lt;&gt;"",dadosexternosBMF_1!C733,"")</f>
        <v>#REF!</v>
      </c>
      <c r="E730" s="222" t="e">
        <f>IF(C730&lt;&gt;"",dadosexternosBMF_1!D733,"")</f>
        <v>#REF!</v>
      </c>
      <c r="G730" s="219" t="e">
        <f t="shared" si="79"/>
        <v>#REF!</v>
      </c>
      <c r="H730" s="219" t="e">
        <f t="shared" si="80"/>
        <v>#REF!</v>
      </c>
      <c r="I730" s="219" t="e">
        <f t="shared" si="81"/>
        <v>#REF!</v>
      </c>
      <c r="J730" s="219" t="e">
        <f>IF(I730="","",VLOOKUP(LEFT(C730,1),dadosexternosBMF_1!$L$2:$M$13,2,FALSE))</f>
        <v>#REF!</v>
      </c>
      <c r="K730" s="219" t="e">
        <f t="shared" si="82"/>
        <v>#REF!</v>
      </c>
      <c r="L730" s="422" t="e">
        <f t="shared" si="83"/>
        <v>#REF!</v>
      </c>
      <c r="M730" s="422" t="e">
        <f>IF(I730="","",WORKDAY(L730-1,1,FERIADOS!$A$2:$A$831))</f>
        <v>#REF!</v>
      </c>
      <c r="N730" s="219" t="e">
        <f>IF(I730="","",NETWORKDAYS(Curva!$M$2,M730,FERIADOS!$A$2:$A$831)-1)</f>
        <v>#REF!</v>
      </c>
      <c r="O730" s="423" t="e">
        <f>IF(C730&lt;&gt;"",IF(ISERROR((100000/E730)^(252/N730)-1),Curva!$B$2,((100000/E730)^(252/N730)-1)),"")</f>
        <v>#REF!</v>
      </c>
      <c r="P730" s="219" t="e">
        <f>IF(OR(G730=1,G730=2),dadosexternosBMF_1!B733,"")</f>
        <v>#REF!</v>
      </c>
      <c r="Q730" s="219" t="e">
        <f>IF(OR(G730=1,G730=2),dadosexternosBMF_1!D733,"")</f>
        <v>#REF!</v>
      </c>
    </row>
    <row r="731" spans="1:17" x14ac:dyDescent="0.2">
      <c r="A731" s="222" t="e">
        <f t="shared" ref="A731:A794" si="84">IF(AND(A730&lt;&gt;"",C731&lt;&gt;""),A730+1,IF(B731="DI1 - DI de 1 dia",1,""))</f>
        <v>#REF!</v>
      </c>
      <c r="B731" s="222" t="str">
        <f>IF(dadosexternosBMF_1!A734="DI1 - DI de 1 dia","DI1 - DI de 1 dia","")</f>
        <v/>
      </c>
      <c r="C731" s="222" t="e">
        <f>IF(dadosexternosBMF_1!A734="DOL - Dólar comercial","",IF(C730&lt;&gt;"",dadosexternosBMF_1!B734,IF(dadosexternosBMF_1!A734="DI1 - DI de 1 dia",dadosexternosBMF_1!B734,"")))</f>
        <v>#REF!</v>
      </c>
      <c r="D731" s="222" t="e">
        <f>IF(C731&lt;&gt;"",dadosexternosBMF_1!C734,"")</f>
        <v>#REF!</v>
      </c>
      <c r="E731" s="222" t="e">
        <f>IF(C731&lt;&gt;"",dadosexternosBMF_1!D734,"")</f>
        <v>#REF!</v>
      </c>
      <c r="G731" s="219" t="e">
        <f t="shared" ref="G731:G794" si="85">IF(G730=1,2,IF(AND(H731="",H730&lt;&gt;""),1,""))</f>
        <v>#REF!</v>
      </c>
      <c r="H731" s="219" t="e">
        <f t="shared" ref="H731:H794" si="86">IF(A731&lt;&gt;"",A731,"")</f>
        <v>#REF!</v>
      </c>
      <c r="I731" s="219" t="e">
        <f t="shared" ref="I731:I794" si="87">IF(A731&lt;&gt;"",(CONCATENATE("DI1",C731)),"")</f>
        <v>#REF!</v>
      </c>
      <c r="J731" s="219" t="e">
        <f>IF(I731="","",VLOOKUP(LEFT(C731,1),dadosexternosBMF_1!$L$2:$M$13,2,FALSE))</f>
        <v>#REF!</v>
      </c>
      <c r="K731" s="219" t="e">
        <f t="shared" ref="K731:K794" si="88">IF(I731="","",1+CONCATENATE(20,RIGHT(C731,2))-1)</f>
        <v>#REF!</v>
      </c>
      <c r="L731" s="422" t="e">
        <f t="shared" ref="L731:L794" si="89">IF(I731="","",CONCATENATE(1,"/",J731,"/",K731)+1-1)</f>
        <v>#REF!</v>
      </c>
      <c r="M731" s="422" t="e">
        <f>IF(I731="","",WORKDAY(L731-1,1,FERIADOS!$A$2:$A$831))</f>
        <v>#REF!</v>
      </c>
      <c r="N731" s="219" t="e">
        <f>IF(I731="","",NETWORKDAYS(Curva!$M$2,M731,FERIADOS!$A$2:$A$831)-1)</f>
        <v>#REF!</v>
      </c>
      <c r="O731" s="423" t="e">
        <f>IF(C731&lt;&gt;"",IF(ISERROR((100000/E731)^(252/N731)-1),Curva!$B$2,((100000/E731)^(252/N731)-1)),"")</f>
        <v>#REF!</v>
      </c>
      <c r="P731" s="219" t="e">
        <f>IF(OR(G731=1,G731=2),dadosexternosBMF_1!B734,"")</f>
        <v>#REF!</v>
      </c>
      <c r="Q731" s="219" t="e">
        <f>IF(OR(G731=1,G731=2),dadosexternosBMF_1!D734,"")</f>
        <v>#REF!</v>
      </c>
    </row>
    <row r="732" spans="1:17" x14ac:dyDescent="0.2">
      <c r="A732" s="222" t="e">
        <f t="shared" si="84"/>
        <v>#REF!</v>
      </c>
      <c r="B732" s="222" t="str">
        <f>IF(dadosexternosBMF_1!A735="DI1 - DI de 1 dia","DI1 - DI de 1 dia","")</f>
        <v/>
      </c>
      <c r="C732" s="222" t="e">
        <f>IF(dadosexternosBMF_1!A735="DOL - Dólar comercial","",IF(C731&lt;&gt;"",dadosexternosBMF_1!B735,IF(dadosexternosBMF_1!A735="DI1 - DI de 1 dia",dadosexternosBMF_1!B735,"")))</f>
        <v>#REF!</v>
      </c>
      <c r="D732" s="222" t="e">
        <f>IF(C732&lt;&gt;"",dadosexternosBMF_1!C735,"")</f>
        <v>#REF!</v>
      </c>
      <c r="E732" s="222" t="e">
        <f>IF(C732&lt;&gt;"",dadosexternosBMF_1!D735,"")</f>
        <v>#REF!</v>
      </c>
      <c r="G732" s="219" t="e">
        <f t="shared" si="85"/>
        <v>#REF!</v>
      </c>
      <c r="H732" s="219" t="e">
        <f t="shared" si="86"/>
        <v>#REF!</v>
      </c>
      <c r="I732" s="219" t="e">
        <f t="shared" si="87"/>
        <v>#REF!</v>
      </c>
      <c r="J732" s="219" t="e">
        <f>IF(I732="","",VLOOKUP(LEFT(C732,1),dadosexternosBMF_1!$L$2:$M$13,2,FALSE))</f>
        <v>#REF!</v>
      </c>
      <c r="K732" s="219" t="e">
        <f t="shared" si="88"/>
        <v>#REF!</v>
      </c>
      <c r="L732" s="422" t="e">
        <f t="shared" si="89"/>
        <v>#REF!</v>
      </c>
      <c r="M732" s="422" t="e">
        <f>IF(I732="","",WORKDAY(L732-1,1,FERIADOS!$A$2:$A$831))</f>
        <v>#REF!</v>
      </c>
      <c r="N732" s="219" t="e">
        <f>IF(I732="","",NETWORKDAYS(Curva!$M$2,M732,FERIADOS!$A$2:$A$831)-1)</f>
        <v>#REF!</v>
      </c>
      <c r="O732" s="423" t="e">
        <f>IF(C732&lt;&gt;"",IF(ISERROR((100000/E732)^(252/N732)-1),Curva!$B$2,((100000/E732)^(252/N732)-1)),"")</f>
        <v>#REF!</v>
      </c>
      <c r="P732" s="219" t="e">
        <f>IF(OR(G732=1,G732=2),dadosexternosBMF_1!B735,"")</f>
        <v>#REF!</v>
      </c>
      <c r="Q732" s="219" t="e">
        <f>IF(OR(G732=1,G732=2),dadosexternosBMF_1!D735,"")</f>
        <v>#REF!</v>
      </c>
    </row>
    <row r="733" spans="1:17" x14ac:dyDescent="0.2">
      <c r="A733" s="222" t="e">
        <f t="shared" si="84"/>
        <v>#REF!</v>
      </c>
      <c r="B733" s="222" t="str">
        <f>IF(dadosexternosBMF_1!A736="DI1 - DI de 1 dia","DI1 - DI de 1 dia","")</f>
        <v/>
      </c>
      <c r="C733" s="222" t="e">
        <f>IF(dadosexternosBMF_1!A736="DOL - Dólar comercial","",IF(C732&lt;&gt;"",dadosexternosBMF_1!B736,IF(dadosexternosBMF_1!A736="DI1 - DI de 1 dia",dadosexternosBMF_1!B736,"")))</f>
        <v>#REF!</v>
      </c>
      <c r="D733" s="222" t="e">
        <f>IF(C733&lt;&gt;"",dadosexternosBMF_1!C736,"")</f>
        <v>#REF!</v>
      </c>
      <c r="E733" s="222" t="e">
        <f>IF(C733&lt;&gt;"",dadosexternosBMF_1!D736,"")</f>
        <v>#REF!</v>
      </c>
      <c r="G733" s="219" t="e">
        <f t="shared" si="85"/>
        <v>#REF!</v>
      </c>
      <c r="H733" s="219" t="e">
        <f t="shared" si="86"/>
        <v>#REF!</v>
      </c>
      <c r="I733" s="219" t="e">
        <f t="shared" si="87"/>
        <v>#REF!</v>
      </c>
      <c r="J733" s="219" t="e">
        <f>IF(I733="","",VLOOKUP(LEFT(C733,1),dadosexternosBMF_1!$L$2:$M$13,2,FALSE))</f>
        <v>#REF!</v>
      </c>
      <c r="K733" s="219" t="e">
        <f t="shared" si="88"/>
        <v>#REF!</v>
      </c>
      <c r="L733" s="422" t="e">
        <f t="shared" si="89"/>
        <v>#REF!</v>
      </c>
      <c r="M733" s="422" t="e">
        <f>IF(I733="","",WORKDAY(L733-1,1,FERIADOS!$A$2:$A$831))</f>
        <v>#REF!</v>
      </c>
      <c r="N733" s="219" t="e">
        <f>IF(I733="","",NETWORKDAYS(Curva!$M$2,M733,FERIADOS!$A$2:$A$831)-1)</f>
        <v>#REF!</v>
      </c>
      <c r="O733" s="423" t="e">
        <f>IF(C733&lt;&gt;"",IF(ISERROR((100000/E733)^(252/N733)-1),Curva!$B$2,((100000/E733)^(252/N733)-1)),"")</f>
        <v>#REF!</v>
      </c>
      <c r="P733" s="219" t="e">
        <f>IF(OR(G733=1,G733=2),dadosexternosBMF_1!B736,"")</f>
        <v>#REF!</v>
      </c>
      <c r="Q733" s="219" t="e">
        <f>IF(OR(G733=1,G733=2),dadosexternosBMF_1!D736,"")</f>
        <v>#REF!</v>
      </c>
    </row>
    <row r="734" spans="1:17" x14ac:dyDescent="0.2">
      <c r="A734" s="222" t="e">
        <f t="shared" si="84"/>
        <v>#REF!</v>
      </c>
      <c r="B734" s="222" t="str">
        <f>IF(dadosexternosBMF_1!A737="DI1 - DI de 1 dia","DI1 - DI de 1 dia","")</f>
        <v/>
      </c>
      <c r="C734" s="222" t="e">
        <f>IF(dadosexternosBMF_1!A737="DOL - Dólar comercial","",IF(C733&lt;&gt;"",dadosexternosBMF_1!B737,IF(dadosexternosBMF_1!A737="DI1 - DI de 1 dia",dadosexternosBMF_1!B737,"")))</f>
        <v>#REF!</v>
      </c>
      <c r="D734" s="222" t="e">
        <f>IF(C734&lt;&gt;"",dadosexternosBMF_1!C737,"")</f>
        <v>#REF!</v>
      </c>
      <c r="E734" s="222" t="e">
        <f>IF(C734&lt;&gt;"",dadosexternosBMF_1!D737,"")</f>
        <v>#REF!</v>
      </c>
      <c r="G734" s="219" t="e">
        <f t="shared" si="85"/>
        <v>#REF!</v>
      </c>
      <c r="H734" s="219" t="e">
        <f t="shared" si="86"/>
        <v>#REF!</v>
      </c>
      <c r="I734" s="219" t="e">
        <f t="shared" si="87"/>
        <v>#REF!</v>
      </c>
      <c r="J734" s="219" t="e">
        <f>IF(I734="","",VLOOKUP(LEFT(C734,1),dadosexternosBMF_1!$L$2:$M$13,2,FALSE))</f>
        <v>#REF!</v>
      </c>
      <c r="K734" s="219" t="e">
        <f t="shared" si="88"/>
        <v>#REF!</v>
      </c>
      <c r="L734" s="422" t="e">
        <f t="shared" si="89"/>
        <v>#REF!</v>
      </c>
      <c r="M734" s="422" t="e">
        <f>IF(I734="","",WORKDAY(L734-1,1,FERIADOS!$A$2:$A$831))</f>
        <v>#REF!</v>
      </c>
      <c r="N734" s="219" t="e">
        <f>IF(I734="","",NETWORKDAYS(Curva!$M$2,M734,FERIADOS!$A$2:$A$831)-1)</f>
        <v>#REF!</v>
      </c>
      <c r="O734" s="423" t="e">
        <f>IF(C734&lt;&gt;"",IF(ISERROR((100000/E734)^(252/N734)-1),Curva!$B$2,((100000/E734)^(252/N734)-1)),"")</f>
        <v>#REF!</v>
      </c>
      <c r="P734" s="219" t="e">
        <f>IF(OR(G734=1,G734=2),dadosexternosBMF_1!B737,"")</f>
        <v>#REF!</v>
      </c>
      <c r="Q734" s="219" t="e">
        <f>IF(OR(G734=1,G734=2),dadosexternosBMF_1!D737,"")</f>
        <v>#REF!</v>
      </c>
    </row>
    <row r="735" spans="1:17" x14ac:dyDescent="0.2">
      <c r="A735" s="222" t="e">
        <f t="shared" si="84"/>
        <v>#REF!</v>
      </c>
      <c r="B735" s="222" t="str">
        <f>IF(dadosexternosBMF_1!A738="DI1 - DI de 1 dia","DI1 - DI de 1 dia","")</f>
        <v/>
      </c>
      <c r="C735" s="222" t="e">
        <f>IF(dadosexternosBMF_1!A738="DOL - Dólar comercial","",IF(C734&lt;&gt;"",dadosexternosBMF_1!B738,IF(dadosexternosBMF_1!A738="DI1 - DI de 1 dia",dadosexternosBMF_1!B738,"")))</f>
        <v>#REF!</v>
      </c>
      <c r="D735" s="222" t="e">
        <f>IF(C735&lt;&gt;"",dadosexternosBMF_1!C738,"")</f>
        <v>#REF!</v>
      </c>
      <c r="E735" s="222" t="e">
        <f>IF(C735&lt;&gt;"",dadosexternosBMF_1!D738,"")</f>
        <v>#REF!</v>
      </c>
      <c r="G735" s="219" t="e">
        <f t="shared" si="85"/>
        <v>#REF!</v>
      </c>
      <c r="H735" s="219" t="e">
        <f t="shared" si="86"/>
        <v>#REF!</v>
      </c>
      <c r="I735" s="219" t="e">
        <f t="shared" si="87"/>
        <v>#REF!</v>
      </c>
      <c r="J735" s="219" t="e">
        <f>IF(I735="","",VLOOKUP(LEFT(C735,1),dadosexternosBMF_1!$L$2:$M$13,2,FALSE))</f>
        <v>#REF!</v>
      </c>
      <c r="K735" s="219" t="e">
        <f t="shared" si="88"/>
        <v>#REF!</v>
      </c>
      <c r="L735" s="422" t="e">
        <f t="shared" si="89"/>
        <v>#REF!</v>
      </c>
      <c r="M735" s="422" t="e">
        <f>IF(I735="","",WORKDAY(L735-1,1,FERIADOS!$A$2:$A$831))</f>
        <v>#REF!</v>
      </c>
      <c r="N735" s="219" t="e">
        <f>IF(I735="","",NETWORKDAYS(Curva!$M$2,M735,FERIADOS!$A$2:$A$831)-1)</f>
        <v>#REF!</v>
      </c>
      <c r="O735" s="423" t="e">
        <f>IF(C735&lt;&gt;"",IF(ISERROR((100000/E735)^(252/N735)-1),Curva!$B$2,((100000/E735)^(252/N735)-1)),"")</f>
        <v>#REF!</v>
      </c>
      <c r="P735" s="219" t="e">
        <f>IF(OR(G735=1,G735=2),dadosexternosBMF_1!B738,"")</f>
        <v>#REF!</v>
      </c>
      <c r="Q735" s="219" t="e">
        <f>IF(OR(G735=1,G735=2),dadosexternosBMF_1!D738,"")</f>
        <v>#REF!</v>
      </c>
    </row>
    <row r="736" spans="1:17" x14ac:dyDescent="0.2">
      <c r="A736" s="222" t="e">
        <f t="shared" si="84"/>
        <v>#REF!</v>
      </c>
      <c r="B736" s="222" t="str">
        <f>IF(dadosexternosBMF_1!A739="DI1 - DI de 1 dia","DI1 - DI de 1 dia","")</f>
        <v/>
      </c>
      <c r="C736" s="222" t="e">
        <f>IF(dadosexternosBMF_1!A739="DOL - Dólar comercial","",IF(C735&lt;&gt;"",dadosexternosBMF_1!B739,IF(dadosexternosBMF_1!A739="DI1 - DI de 1 dia",dadosexternosBMF_1!B739,"")))</f>
        <v>#REF!</v>
      </c>
      <c r="D736" s="222" t="e">
        <f>IF(C736&lt;&gt;"",dadosexternosBMF_1!C739,"")</f>
        <v>#REF!</v>
      </c>
      <c r="E736" s="222" t="e">
        <f>IF(C736&lt;&gt;"",dadosexternosBMF_1!D739,"")</f>
        <v>#REF!</v>
      </c>
      <c r="G736" s="219" t="e">
        <f t="shared" si="85"/>
        <v>#REF!</v>
      </c>
      <c r="H736" s="219" t="e">
        <f t="shared" si="86"/>
        <v>#REF!</v>
      </c>
      <c r="I736" s="219" t="e">
        <f t="shared" si="87"/>
        <v>#REF!</v>
      </c>
      <c r="J736" s="219" t="e">
        <f>IF(I736="","",VLOOKUP(LEFT(C736,1),dadosexternosBMF_1!$L$2:$M$13,2,FALSE))</f>
        <v>#REF!</v>
      </c>
      <c r="K736" s="219" t="e">
        <f t="shared" si="88"/>
        <v>#REF!</v>
      </c>
      <c r="L736" s="422" t="e">
        <f t="shared" si="89"/>
        <v>#REF!</v>
      </c>
      <c r="M736" s="422" t="e">
        <f>IF(I736="","",WORKDAY(L736-1,1,FERIADOS!$A$2:$A$831))</f>
        <v>#REF!</v>
      </c>
      <c r="N736" s="219" t="e">
        <f>IF(I736="","",NETWORKDAYS(Curva!$M$2,M736,FERIADOS!$A$2:$A$831)-1)</f>
        <v>#REF!</v>
      </c>
      <c r="O736" s="423" t="e">
        <f>IF(C736&lt;&gt;"",IF(ISERROR((100000/E736)^(252/N736)-1),Curva!$B$2,((100000/E736)^(252/N736)-1)),"")</f>
        <v>#REF!</v>
      </c>
      <c r="P736" s="219" t="e">
        <f>IF(OR(G736=1,G736=2),dadosexternosBMF_1!B739,"")</f>
        <v>#REF!</v>
      </c>
      <c r="Q736" s="219" t="e">
        <f>IF(OR(G736=1,G736=2),dadosexternosBMF_1!D739,"")</f>
        <v>#REF!</v>
      </c>
    </row>
    <row r="737" spans="1:17" x14ac:dyDescent="0.2">
      <c r="A737" s="222" t="e">
        <f t="shared" si="84"/>
        <v>#REF!</v>
      </c>
      <c r="B737" s="222" t="str">
        <f>IF(dadosexternosBMF_1!A740="DI1 - DI de 1 dia","DI1 - DI de 1 dia","")</f>
        <v/>
      </c>
      <c r="C737" s="222" t="e">
        <f>IF(dadosexternosBMF_1!A740="DOL - Dólar comercial","",IF(C736&lt;&gt;"",dadosexternosBMF_1!B740,IF(dadosexternosBMF_1!A740="DI1 - DI de 1 dia",dadosexternosBMF_1!B740,"")))</f>
        <v>#REF!</v>
      </c>
      <c r="D737" s="222" t="e">
        <f>IF(C737&lt;&gt;"",dadosexternosBMF_1!C740,"")</f>
        <v>#REF!</v>
      </c>
      <c r="E737" s="222" t="e">
        <f>IF(C737&lt;&gt;"",dadosexternosBMF_1!D740,"")</f>
        <v>#REF!</v>
      </c>
      <c r="G737" s="219" t="e">
        <f t="shared" si="85"/>
        <v>#REF!</v>
      </c>
      <c r="H737" s="219" t="e">
        <f t="shared" si="86"/>
        <v>#REF!</v>
      </c>
      <c r="I737" s="219" t="e">
        <f t="shared" si="87"/>
        <v>#REF!</v>
      </c>
      <c r="J737" s="219" t="e">
        <f>IF(I737="","",VLOOKUP(LEFT(C737,1),dadosexternosBMF_1!$L$2:$M$13,2,FALSE))</f>
        <v>#REF!</v>
      </c>
      <c r="K737" s="219" t="e">
        <f t="shared" si="88"/>
        <v>#REF!</v>
      </c>
      <c r="L737" s="422" t="e">
        <f t="shared" si="89"/>
        <v>#REF!</v>
      </c>
      <c r="M737" s="422" t="e">
        <f>IF(I737="","",WORKDAY(L737-1,1,FERIADOS!$A$2:$A$831))</f>
        <v>#REF!</v>
      </c>
      <c r="N737" s="219" t="e">
        <f>IF(I737="","",NETWORKDAYS(Curva!$M$2,M737,FERIADOS!$A$2:$A$831)-1)</f>
        <v>#REF!</v>
      </c>
      <c r="O737" s="423" t="e">
        <f>IF(C737&lt;&gt;"",IF(ISERROR((100000/E737)^(252/N737)-1),Curva!$B$2,((100000/E737)^(252/N737)-1)),"")</f>
        <v>#REF!</v>
      </c>
      <c r="P737" s="219" t="e">
        <f>IF(OR(G737=1,G737=2),dadosexternosBMF_1!B740,"")</f>
        <v>#REF!</v>
      </c>
      <c r="Q737" s="219" t="e">
        <f>IF(OR(G737=1,G737=2),dadosexternosBMF_1!D740,"")</f>
        <v>#REF!</v>
      </c>
    </row>
    <row r="738" spans="1:17" x14ac:dyDescent="0.2">
      <c r="A738" s="222" t="e">
        <f t="shared" si="84"/>
        <v>#REF!</v>
      </c>
      <c r="B738" s="222" t="str">
        <f>IF(dadosexternosBMF_1!A741="DI1 - DI de 1 dia","DI1 - DI de 1 dia","")</f>
        <v/>
      </c>
      <c r="C738" s="222" t="e">
        <f>IF(dadosexternosBMF_1!A741="DOL - Dólar comercial","",IF(C737&lt;&gt;"",dadosexternosBMF_1!B741,IF(dadosexternosBMF_1!A741="DI1 - DI de 1 dia",dadosexternosBMF_1!B741,"")))</f>
        <v>#REF!</v>
      </c>
      <c r="D738" s="222" t="e">
        <f>IF(C738&lt;&gt;"",dadosexternosBMF_1!C741,"")</f>
        <v>#REF!</v>
      </c>
      <c r="E738" s="222" t="e">
        <f>IF(C738&lt;&gt;"",dadosexternosBMF_1!D741,"")</f>
        <v>#REF!</v>
      </c>
      <c r="G738" s="219" t="e">
        <f t="shared" si="85"/>
        <v>#REF!</v>
      </c>
      <c r="H738" s="219" t="e">
        <f t="shared" si="86"/>
        <v>#REF!</v>
      </c>
      <c r="I738" s="219" t="e">
        <f t="shared" si="87"/>
        <v>#REF!</v>
      </c>
      <c r="J738" s="219" t="e">
        <f>IF(I738="","",VLOOKUP(LEFT(C738,1),dadosexternosBMF_1!$L$2:$M$13,2,FALSE))</f>
        <v>#REF!</v>
      </c>
      <c r="K738" s="219" t="e">
        <f t="shared" si="88"/>
        <v>#REF!</v>
      </c>
      <c r="L738" s="422" t="e">
        <f t="shared" si="89"/>
        <v>#REF!</v>
      </c>
      <c r="M738" s="422" t="e">
        <f>IF(I738="","",WORKDAY(L738-1,1,FERIADOS!$A$2:$A$831))</f>
        <v>#REF!</v>
      </c>
      <c r="N738" s="219" t="e">
        <f>IF(I738="","",NETWORKDAYS(Curva!$M$2,M738,FERIADOS!$A$2:$A$831)-1)</f>
        <v>#REF!</v>
      </c>
      <c r="O738" s="423" t="e">
        <f>IF(C738&lt;&gt;"",IF(ISERROR((100000/E738)^(252/N738)-1),Curva!$B$2,((100000/E738)^(252/N738)-1)),"")</f>
        <v>#REF!</v>
      </c>
      <c r="P738" s="219" t="e">
        <f>IF(OR(G738=1,G738=2),dadosexternosBMF_1!B741,"")</f>
        <v>#REF!</v>
      </c>
      <c r="Q738" s="219" t="e">
        <f>IF(OR(G738=1,G738=2),dadosexternosBMF_1!D741,"")</f>
        <v>#REF!</v>
      </c>
    </row>
    <row r="739" spans="1:17" x14ac:dyDescent="0.2">
      <c r="A739" s="222" t="e">
        <f t="shared" si="84"/>
        <v>#REF!</v>
      </c>
      <c r="B739" s="222" t="str">
        <f>IF(dadosexternosBMF_1!A742="DI1 - DI de 1 dia","DI1 - DI de 1 dia","")</f>
        <v/>
      </c>
      <c r="C739" s="222" t="e">
        <f>IF(dadosexternosBMF_1!A742="DOL - Dólar comercial","",IF(C738&lt;&gt;"",dadosexternosBMF_1!B742,IF(dadosexternosBMF_1!A742="DI1 - DI de 1 dia",dadosexternosBMF_1!B742,"")))</f>
        <v>#REF!</v>
      </c>
      <c r="D739" s="222" t="e">
        <f>IF(C739&lt;&gt;"",dadosexternosBMF_1!C742,"")</f>
        <v>#REF!</v>
      </c>
      <c r="E739" s="222" t="e">
        <f>IF(C739&lt;&gt;"",dadosexternosBMF_1!D742,"")</f>
        <v>#REF!</v>
      </c>
      <c r="G739" s="219" t="e">
        <f t="shared" si="85"/>
        <v>#REF!</v>
      </c>
      <c r="H739" s="219" t="e">
        <f t="shared" si="86"/>
        <v>#REF!</v>
      </c>
      <c r="I739" s="219" t="e">
        <f t="shared" si="87"/>
        <v>#REF!</v>
      </c>
      <c r="J739" s="219" t="e">
        <f>IF(I739="","",VLOOKUP(LEFT(C739,1),dadosexternosBMF_1!$L$2:$M$13,2,FALSE))</f>
        <v>#REF!</v>
      </c>
      <c r="K739" s="219" t="e">
        <f t="shared" si="88"/>
        <v>#REF!</v>
      </c>
      <c r="L739" s="422" t="e">
        <f t="shared" si="89"/>
        <v>#REF!</v>
      </c>
      <c r="M739" s="422" t="e">
        <f>IF(I739="","",WORKDAY(L739-1,1,FERIADOS!$A$2:$A$831))</f>
        <v>#REF!</v>
      </c>
      <c r="N739" s="219" t="e">
        <f>IF(I739="","",NETWORKDAYS(Curva!$M$2,M739,FERIADOS!$A$2:$A$831)-1)</f>
        <v>#REF!</v>
      </c>
      <c r="O739" s="423" t="e">
        <f>IF(C739&lt;&gt;"",IF(ISERROR((100000/E739)^(252/N739)-1),Curva!$B$2,((100000/E739)^(252/N739)-1)),"")</f>
        <v>#REF!</v>
      </c>
      <c r="P739" s="219" t="e">
        <f>IF(OR(G739=1,G739=2),dadosexternosBMF_1!B742,"")</f>
        <v>#REF!</v>
      </c>
      <c r="Q739" s="219" t="e">
        <f>IF(OR(G739=1,G739=2),dadosexternosBMF_1!D742,"")</f>
        <v>#REF!</v>
      </c>
    </row>
    <row r="740" spans="1:17" x14ac:dyDescent="0.2">
      <c r="A740" s="222" t="e">
        <f t="shared" si="84"/>
        <v>#REF!</v>
      </c>
      <c r="B740" s="222" t="str">
        <f>IF(dadosexternosBMF_1!A743="DI1 - DI de 1 dia","DI1 - DI de 1 dia","")</f>
        <v/>
      </c>
      <c r="C740" s="222" t="e">
        <f>IF(dadosexternosBMF_1!A743="DOL - Dólar comercial","",IF(C739&lt;&gt;"",dadosexternosBMF_1!B743,IF(dadosexternosBMF_1!A743="DI1 - DI de 1 dia",dadosexternosBMF_1!B743,"")))</f>
        <v>#REF!</v>
      </c>
      <c r="D740" s="222" t="e">
        <f>IF(C740&lt;&gt;"",dadosexternosBMF_1!C743,"")</f>
        <v>#REF!</v>
      </c>
      <c r="E740" s="222" t="e">
        <f>IF(C740&lt;&gt;"",dadosexternosBMF_1!D743,"")</f>
        <v>#REF!</v>
      </c>
      <c r="G740" s="219" t="e">
        <f t="shared" si="85"/>
        <v>#REF!</v>
      </c>
      <c r="H740" s="219" t="e">
        <f t="shared" si="86"/>
        <v>#REF!</v>
      </c>
      <c r="I740" s="219" t="e">
        <f t="shared" si="87"/>
        <v>#REF!</v>
      </c>
      <c r="J740" s="219" t="e">
        <f>IF(I740="","",VLOOKUP(LEFT(C740,1),dadosexternosBMF_1!$L$2:$M$13,2,FALSE))</f>
        <v>#REF!</v>
      </c>
      <c r="K740" s="219" t="e">
        <f t="shared" si="88"/>
        <v>#REF!</v>
      </c>
      <c r="L740" s="422" t="e">
        <f t="shared" si="89"/>
        <v>#REF!</v>
      </c>
      <c r="M740" s="422" t="e">
        <f>IF(I740="","",WORKDAY(L740-1,1,FERIADOS!$A$2:$A$831))</f>
        <v>#REF!</v>
      </c>
      <c r="N740" s="219" t="e">
        <f>IF(I740="","",NETWORKDAYS(Curva!$M$2,M740,FERIADOS!$A$2:$A$831)-1)</f>
        <v>#REF!</v>
      </c>
      <c r="O740" s="423" t="e">
        <f>IF(C740&lt;&gt;"",IF(ISERROR((100000/E740)^(252/N740)-1),Curva!$B$2,((100000/E740)^(252/N740)-1)),"")</f>
        <v>#REF!</v>
      </c>
      <c r="P740" s="219" t="e">
        <f>IF(OR(G740=1,G740=2),dadosexternosBMF_1!B743,"")</f>
        <v>#REF!</v>
      </c>
      <c r="Q740" s="219" t="e">
        <f>IF(OR(G740=1,G740=2),dadosexternosBMF_1!D743,"")</f>
        <v>#REF!</v>
      </c>
    </row>
    <row r="741" spans="1:17" x14ac:dyDescent="0.2">
      <c r="A741" s="222" t="e">
        <f t="shared" si="84"/>
        <v>#REF!</v>
      </c>
      <c r="B741" s="222" t="str">
        <f>IF(dadosexternosBMF_1!A744="DI1 - DI de 1 dia","DI1 - DI de 1 dia","")</f>
        <v/>
      </c>
      <c r="C741" s="222" t="e">
        <f>IF(dadosexternosBMF_1!A744="DOL - Dólar comercial","",IF(C740&lt;&gt;"",dadosexternosBMF_1!B744,IF(dadosexternosBMF_1!A744="DI1 - DI de 1 dia",dadosexternosBMF_1!B744,"")))</f>
        <v>#REF!</v>
      </c>
      <c r="D741" s="222" t="e">
        <f>IF(C741&lt;&gt;"",dadosexternosBMF_1!C744,"")</f>
        <v>#REF!</v>
      </c>
      <c r="E741" s="222" t="e">
        <f>IF(C741&lt;&gt;"",dadosexternosBMF_1!D744,"")</f>
        <v>#REF!</v>
      </c>
      <c r="G741" s="219" t="e">
        <f t="shared" si="85"/>
        <v>#REF!</v>
      </c>
      <c r="H741" s="219" t="e">
        <f t="shared" si="86"/>
        <v>#REF!</v>
      </c>
      <c r="I741" s="219" t="e">
        <f t="shared" si="87"/>
        <v>#REF!</v>
      </c>
      <c r="J741" s="219" t="e">
        <f>IF(I741="","",VLOOKUP(LEFT(C741,1),dadosexternosBMF_1!$L$2:$M$13,2,FALSE))</f>
        <v>#REF!</v>
      </c>
      <c r="K741" s="219" t="e">
        <f t="shared" si="88"/>
        <v>#REF!</v>
      </c>
      <c r="L741" s="422" t="e">
        <f t="shared" si="89"/>
        <v>#REF!</v>
      </c>
      <c r="M741" s="422" t="e">
        <f>IF(I741="","",WORKDAY(L741-1,1,FERIADOS!$A$2:$A$831))</f>
        <v>#REF!</v>
      </c>
      <c r="N741" s="219" t="e">
        <f>IF(I741="","",NETWORKDAYS(Curva!$M$2,M741,FERIADOS!$A$2:$A$831)-1)</f>
        <v>#REF!</v>
      </c>
      <c r="O741" s="423" t="e">
        <f>IF(C741&lt;&gt;"",IF(ISERROR((100000/E741)^(252/N741)-1),Curva!$B$2,((100000/E741)^(252/N741)-1)),"")</f>
        <v>#REF!</v>
      </c>
      <c r="P741" s="219" t="e">
        <f>IF(OR(G741=1,G741=2),dadosexternosBMF_1!B744,"")</f>
        <v>#REF!</v>
      </c>
      <c r="Q741" s="219" t="e">
        <f>IF(OR(G741=1,G741=2),dadosexternosBMF_1!D744,"")</f>
        <v>#REF!</v>
      </c>
    </row>
    <row r="742" spans="1:17" x14ac:dyDescent="0.2">
      <c r="A742" s="222" t="e">
        <f t="shared" si="84"/>
        <v>#REF!</v>
      </c>
      <c r="B742" s="222" t="str">
        <f>IF(dadosexternosBMF_1!A745="DI1 - DI de 1 dia","DI1 - DI de 1 dia","")</f>
        <v/>
      </c>
      <c r="C742" s="222" t="e">
        <f>IF(dadosexternosBMF_1!A745="DOL - Dólar comercial","",IF(C741&lt;&gt;"",dadosexternosBMF_1!B745,IF(dadosexternosBMF_1!A745="DI1 - DI de 1 dia",dadosexternosBMF_1!B745,"")))</f>
        <v>#REF!</v>
      </c>
      <c r="D742" s="222" t="e">
        <f>IF(C742&lt;&gt;"",dadosexternosBMF_1!C745,"")</f>
        <v>#REF!</v>
      </c>
      <c r="E742" s="222" t="e">
        <f>IF(C742&lt;&gt;"",dadosexternosBMF_1!D745,"")</f>
        <v>#REF!</v>
      </c>
      <c r="G742" s="219" t="e">
        <f t="shared" si="85"/>
        <v>#REF!</v>
      </c>
      <c r="H742" s="219" t="e">
        <f t="shared" si="86"/>
        <v>#REF!</v>
      </c>
      <c r="I742" s="219" t="e">
        <f t="shared" si="87"/>
        <v>#REF!</v>
      </c>
      <c r="J742" s="219" t="e">
        <f>IF(I742="","",VLOOKUP(LEFT(C742,1),dadosexternosBMF_1!$L$2:$M$13,2,FALSE))</f>
        <v>#REF!</v>
      </c>
      <c r="K742" s="219" t="e">
        <f t="shared" si="88"/>
        <v>#REF!</v>
      </c>
      <c r="L742" s="422" t="e">
        <f t="shared" si="89"/>
        <v>#REF!</v>
      </c>
      <c r="M742" s="422" t="e">
        <f>IF(I742="","",WORKDAY(L742-1,1,FERIADOS!$A$2:$A$831))</f>
        <v>#REF!</v>
      </c>
      <c r="N742" s="219" t="e">
        <f>IF(I742="","",NETWORKDAYS(Curva!$M$2,M742,FERIADOS!$A$2:$A$831)-1)</f>
        <v>#REF!</v>
      </c>
      <c r="O742" s="423" t="e">
        <f>IF(C742&lt;&gt;"",IF(ISERROR((100000/E742)^(252/N742)-1),Curva!$B$2,((100000/E742)^(252/N742)-1)),"")</f>
        <v>#REF!</v>
      </c>
      <c r="P742" s="219" t="e">
        <f>IF(OR(G742=1,G742=2),dadosexternosBMF_1!B745,"")</f>
        <v>#REF!</v>
      </c>
      <c r="Q742" s="219" t="e">
        <f>IF(OR(G742=1,G742=2),dadosexternosBMF_1!D745,"")</f>
        <v>#REF!</v>
      </c>
    </row>
    <row r="743" spans="1:17" x14ac:dyDescent="0.2">
      <c r="A743" s="222" t="e">
        <f t="shared" si="84"/>
        <v>#REF!</v>
      </c>
      <c r="B743" s="222" t="str">
        <f>IF(dadosexternosBMF_1!A746="DI1 - DI de 1 dia","DI1 - DI de 1 dia","")</f>
        <v/>
      </c>
      <c r="C743" s="222" t="e">
        <f>IF(dadosexternosBMF_1!A746="DOL - Dólar comercial","",IF(C742&lt;&gt;"",dadosexternosBMF_1!B746,IF(dadosexternosBMF_1!A746="DI1 - DI de 1 dia",dadosexternosBMF_1!B746,"")))</f>
        <v>#REF!</v>
      </c>
      <c r="D743" s="222" t="e">
        <f>IF(C743&lt;&gt;"",dadosexternosBMF_1!C746,"")</f>
        <v>#REF!</v>
      </c>
      <c r="E743" s="222" t="e">
        <f>IF(C743&lt;&gt;"",dadosexternosBMF_1!D746,"")</f>
        <v>#REF!</v>
      </c>
      <c r="G743" s="219" t="e">
        <f t="shared" si="85"/>
        <v>#REF!</v>
      </c>
      <c r="H743" s="219" t="e">
        <f t="shared" si="86"/>
        <v>#REF!</v>
      </c>
      <c r="I743" s="219" t="e">
        <f t="shared" si="87"/>
        <v>#REF!</v>
      </c>
      <c r="J743" s="219" t="e">
        <f>IF(I743="","",VLOOKUP(LEFT(C743,1),dadosexternosBMF_1!$L$2:$M$13,2,FALSE))</f>
        <v>#REF!</v>
      </c>
      <c r="K743" s="219" t="e">
        <f t="shared" si="88"/>
        <v>#REF!</v>
      </c>
      <c r="L743" s="422" t="e">
        <f t="shared" si="89"/>
        <v>#REF!</v>
      </c>
      <c r="M743" s="422" t="e">
        <f>IF(I743="","",WORKDAY(L743-1,1,FERIADOS!$A$2:$A$831))</f>
        <v>#REF!</v>
      </c>
      <c r="N743" s="219" t="e">
        <f>IF(I743="","",NETWORKDAYS(Curva!$M$2,M743,FERIADOS!$A$2:$A$831)-1)</f>
        <v>#REF!</v>
      </c>
      <c r="O743" s="423" t="e">
        <f>IF(C743&lt;&gt;"",IF(ISERROR((100000/E743)^(252/N743)-1),Curva!$B$2,((100000/E743)^(252/N743)-1)),"")</f>
        <v>#REF!</v>
      </c>
      <c r="P743" s="219" t="e">
        <f>IF(OR(G743=1,G743=2),dadosexternosBMF_1!B746,"")</f>
        <v>#REF!</v>
      </c>
      <c r="Q743" s="219" t="e">
        <f>IF(OR(G743=1,G743=2),dadosexternosBMF_1!D746,"")</f>
        <v>#REF!</v>
      </c>
    </row>
    <row r="744" spans="1:17" x14ac:dyDescent="0.2">
      <c r="A744" s="222" t="e">
        <f t="shared" si="84"/>
        <v>#REF!</v>
      </c>
      <c r="B744" s="222" t="str">
        <f>IF(dadosexternosBMF_1!A747="DI1 - DI de 1 dia","DI1 - DI de 1 dia","")</f>
        <v/>
      </c>
      <c r="C744" s="222" t="e">
        <f>IF(dadosexternosBMF_1!A747="DOL - Dólar comercial","",IF(C743&lt;&gt;"",dadosexternosBMF_1!B747,IF(dadosexternosBMF_1!A747="DI1 - DI de 1 dia",dadosexternosBMF_1!B747,"")))</f>
        <v>#REF!</v>
      </c>
      <c r="D744" s="222" t="e">
        <f>IF(C744&lt;&gt;"",dadosexternosBMF_1!C747,"")</f>
        <v>#REF!</v>
      </c>
      <c r="E744" s="222" t="e">
        <f>IF(C744&lt;&gt;"",dadosexternosBMF_1!D747,"")</f>
        <v>#REF!</v>
      </c>
      <c r="G744" s="219" t="e">
        <f t="shared" si="85"/>
        <v>#REF!</v>
      </c>
      <c r="H744" s="219" t="e">
        <f t="shared" si="86"/>
        <v>#REF!</v>
      </c>
      <c r="I744" s="219" t="e">
        <f t="shared" si="87"/>
        <v>#REF!</v>
      </c>
      <c r="J744" s="219" t="e">
        <f>IF(I744="","",VLOOKUP(LEFT(C744,1),dadosexternosBMF_1!$L$2:$M$13,2,FALSE))</f>
        <v>#REF!</v>
      </c>
      <c r="K744" s="219" t="e">
        <f t="shared" si="88"/>
        <v>#REF!</v>
      </c>
      <c r="L744" s="422" t="e">
        <f t="shared" si="89"/>
        <v>#REF!</v>
      </c>
      <c r="M744" s="422" t="e">
        <f>IF(I744="","",WORKDAY(L744-1,1,FERIADOS!$A$2:$A$831))</f>
        <v>#REF!</v>
      </c>
      <c r="N744" s="219" t="e">
        <f>IF(I744="","",NETWORKDAYS(Curva!$M$2,M744,FERIADOS!$A$2:$A$831)-1)</f>
        <v>#REF!</v>
      </c>
      <c r="O744" s="423" t="e">
        <f>IF(C744&lt;&gt;"",IF(ISERROR((100000/E744)^(252/N744)-1),Curva!$B$2,((100000/E744)^(252/N744)-1)),"")</f>
        <v>#REF!</v>
      </c>
      <c r="P744" s="219" t="e">
        <f>IF(OR(G744=1,G744=2),dadosexternosBMF_1!B747,"")</f>
        <v>#REF!</v>
      </c>
      <c r="Q744" s="219" t="e">
        <f>IF(OR(G744=1,G744=2),dadosexternosBMF_1!D747,"")</f>
        <v>#REF!</v>
      </c>
    </row>
    <row r="745" spans="1:17" x14ac:dyDescent="0.2">
      <c r="A745" s="222" t="e">
        <f t="shared" si="84"/>
        <v>#REF!</v>
      </c>
      <c r="B745" s="222" t="str">
        <f>IF(dadosexternosBMF_1!A748="DI1 - DI de 1 dia","DI1 - DI de 1 dia","")</f>
        <v/>
      </c>
      <c r="C745" s="222" t="e">
        <f>IF(dadosexternosBMF_1!A748="DOL - Dólar comercial","",IF(C744&lt;&gt;"",dadosexternosBMF_1!B748,IF(dadosexternosBMF_1!A748="DI1 - DI de 1 dia",dadosexternosBMF_1!B748,"")))</f>
        <v>#REF!</v>
      </c>
      <c r="D745" s="222" t="e">
        <f>IF(C745&lt;&gt;"",dadosexternosBMF_1!C748,"")</f>
        <v>#REF!</v>
      </c>
      <c r="E745" s="222" t="e">
        <f>IF(C745&lt;&gt;"",dadosexternosBMF_1!D748,"")</f>
        <v>#REF!</v>
      </c>
      <c r="G745" s="219" t="e">
        <f t="shared" si="85"/>
        <v>#REF!</v>
      </c>
      <c r="H745" s="219" t="e">
        <f t="shared" si="86"/>
        <v>#REF!</v>
      </c>
      <c r="I745" s="219" t="e">
        <f t="shared" si="87"/>
        <v>#REF!</v>
      </c>
      <c r="J745" s="219" t="e">
        <f>IF(I745="","",VLOOKUP(LEFT(C745,1),dadosexternosBMF_1!$L$2:$M$13,2,FALSE))</f>
        <v>#REF!</v>
      </c>
      <c r="K745" s="219" t="e">
        <f t="shared" si="88"/>
        <v>#REF!</v>
      </c>
      <c r="L745" s="422" t="e">
        <f t="shared" si="89"/>
        <v>#REF!</v>
      </c>
      <c r="M745" s="422" t="e">
        <f>IF(I745="","",WORKDAY(L745-1,1,FERIADOS!$A$2:$A$831))</f>
        <v>#REF!</v>
      </c>
      <c r="N745" s="219" t="e">
        <f>IF(I745="","",NETWORKDAYS(Curva!$M$2,M745,FERIADOS!$A$2:$A$831)-1)</f>
        <v>#REF!</v>
      </c>
      <c r="O745" s="423" t="e">
        <f>IF(C745&lt;&gt;"",IF(ISERROR((100000/E745)^(252/N745)-1),Curva!$B$2,((100000/E745)^(252/N745)-1)),"")</f>
        <v>#REF!</v>
      </c>
      <c r="P745" s="219" t="e">
        <f>IF(OR(G745=1,G745=2),dadosexternosBMF_1!B748,"")</f>
        <v>#REF!</v>
      </c>
      <c r="Q745" s="219" t="e">
        <f>IF(OR(G745=1,G745=2),dadosexternosBMF_1!D748,"")</f>
        <v>#REF!</v>
      </c>
    </row>
    <row r="746" spans="1:17" x14ac:dyDescent="0.2">
      <c r="A746" s="222" t="e">
        <f t="shared" si="84"/>
        <v>#REF!</v>
      </c>
      <c r="B746" s="222" t="str">
        <f>IF(dadosexternosBMF_1!A749="DI1 - DI de 1 dia","DI1 - DI de 1 dia","")</f>
        <v/>
      </c>
      <c r="C746" s="222" t="e">
        <f>IF(dadosexternosBMF_1!A749="DOL - Dólar comercial","",IF(C745&lt;&gt;"",dadosexternosBMF_1!B749,IF(dadosexternosBMF_1!A749="DI1 - DI de 1 dia",dadosexternosBMF_1!B749,"")))</f>
        <v>#REF!</v>
      </c>
      <c r="D746" s="222" t="e">
        <f>IF(C746&lt;&gt;"",dadosexternosBMF_1!C749,"")</f>
        <v>#REF!</v>
      </c>
      <c r="E746" s="222" t="e">
        <f>IF(C746&lt;&gt;"",dadosexternosBMF_1!D749,"")</f>
        <v>#REF!</v>
      </c>
      <c r="G746" s="219" t="e">
        <f t="shared" si="85"/>
        <v>#REF!</v>
      </c>
      <c r="H746" s="219" t="e">
        <f t="shared" si="86"/>
        <v>#REF!</v>
      </c>
      <c r="I746" s="219" t="e">
        <f t="shared" si="87"/>
        <v>#REF!</v>
      </c>
      <c r="J746" s="219" t="e">
        <f>IF(I746="","",VLOOKUP(LEFT(C746,1),dadosexternosBMF_1!$L$2:$M$13,2,FALSE))</f>
        <v>#REF!</v>
      </c>
      <c r="K746" s="219" t="e">
        <f t="shared" si="88"/>
        <v>#REF!</v>
      </c>
      <c r="L746" s="422" t="e">
        <f t="shared" si="89"/>
        <v>#REF!</v>
      </c>
      <c r="M746" s="422" t="e">
        <f>IF(I746="","",WORKDAY(L746-1,1,FERIADOS!$A$2:$A$831))</f>
        <v>#REF!</v>
      </c>
      <c r="N746" s="219" t="e">
        <f>IF(I746="","",NETWORKDAYS(Curva!$M$2,M746,FERIADOS!$A$2:$A$831)-1)</f>
        <v>#REF!</v>
      </c>
      <c r="O746" s="423" t="e">
        <f>IF(C746&lt;&gt;"",IF(ISERROR((100000/E746)^(252/N746)-1),Curva!$B$2,((100000/E746)^(252/N746)-1)),"")</f>
        <v>#REF!</v>
      </c>
      <c r="P746" s="219" t="e">
        <f>IF(OR(G746=1,G746=2),dadosexternosBMF_1!B749,"")</f>
        <v>#REF!</v>
      </c>
      <c r="Q746" s="219" t="e">
        <f>IF(OR(G746=1,G746=2),dadosexternosBMF_1!D749,"")</f>
        <v>#REF!</v>
      </c>
    </row>
    <row r="747" spans="1:17" x14ac:dyDescent="0.2">
      <c r="A747" s="222" t="e">
        <f t="shared" si="84"/>
        <v>#REF!</v>
      </c>
      <c r="B747" s="222" t="str">
        <f>IF(dadosexternosBMF_1!A750="DI1 - DI de 1 dia","DI1 - DI de 1 dia","")</f>
        <v/>
      </c>
      <c r="C747" s="222" t="e">
        <f>IF(dadosexternosBMF_1!A750="DOL - Dólar comercial","",IF(C746&lt;&gt;"",dadosexternosBMF_1!B750,IF(dadosexternosBMF_1!A750="DI1 - DI de 1 dia",dadosexternosBMF_1!B750,"")))</f>
        <v>#REF!</v>
      </c>
      <c r="D747" s="222" t="e">
        <f>IF(C747&lt;&gt;"",dadosexternosBMF_1!C750,"")</f>
        <v>#REF!</v>
      </c>
      <c r="E747" s="222" t="e">
        <f>IF(C747&lt;&gt;"",dadosexternosBMF_1!D750,"")</f>
        <v>#REF!</v>
      </c>
      <c r="G747" s="219" t="e">
        <f t="shared" si="85"/>
        <v>#REF!</v>
      </c>
      <c r="H747" s="219" t="e">
        <f t="shared" si="86"/>
        <v>#REF!</v>
      </c>
      <c r="I747" s="219" t="e">
        <f t="shared" si="87"/>
        <v>#REF!</v>
      </c>
      <c r="J747" s="219" t="e">
        <f>IF(I747="","",VLOOKUP(LEFT(C747,1),dadosexternosBMF_1!$L$2:$M$13,2,FALSE))</f>
        <v>#REF!</v>
      </c>
      <c r="K747" s="219" t="e">
        <f t="shared" si="88"/>
        <v>#REF!</v>
      </c>
      <c r="L747" s="422" t="e">
        <f t="shared" si="89"/>
        <v>#REF!</v>
      </c>
      <c r="M747" s="422" t="e">
        <f>IF(I747="","",WORKDAY(L747-1,1,FERIADOS!$A$2:$A$831))</f>
        <v>#REF!</v>
      </c>
      <c r="N747" s="219" t="e">
        <f>IF(I747="","",NETWORKDAYS(Curva!$M$2,M747,FERIADOS!$A$2:$A$831)-1)</f>
        <v>#REF!</v>
      </c>
      <c r="O747" s="423" t="e">
        <f>IF(C747&lt;&gt;"",IF(ISERROR((100000/E747)^(252/N747)-1),Curva!$B$2,((100000/E747)^(252/N747)-1)),"")</f>
        <v>#REF!</v>
      </c>
      <c r="P747" s="219" t="e">
        <f>IF(OR(G747=1,G747=2),dadosexternosBMF_1!B750,"")</f>
        <v>#REF!</v>
      </c>
      <c r="Q747" s="219" t="e">
        <f>IF(OR(G747=1,G747=2),dadosexternosBMF_1!D750,"")</f>
        <v>#REF!</v>
      </c>
    </row>
    <row r="748" spans="1:17" x14ac:dyDescent="0.2">
      <c r="A748" s="222" t="e">
        <f t="shared" si="84"/>
        <v>#REF!</v>
      </c>
      <c r="B748" s="222" t="str">
        <f>IF(dadosexternosBMF_1!A751="DI1 - DI de 1 dia","DI1 - DI de 1 dia","")</f>
        <v/>
      </c>
      <c r="C748" s="222" t="e">
        <f>IF(dadosexternosBMF_1!A751="DOL - Dólar comercial","",IF(C747&lt;&gt;"",dadosexternosBMF_1!B751,IF(dadosexternosBMF_1!A751="DI1 - DI de 1 dia",dadosexternosBMF_1!B751,"")))</f>
        <v>#REF!</v>
      </c>
      <c r="D748" s="222" t="e">
        <f>IF(C748&lt;&gt;"",dadosexternosBMF_1!C751,"")</f>
        <v>#REF!</v>
      </c>
      <c r="E748" s="222" t="e">
        <f>IF(C748&lt;&gt;"",dadosexternosBMF_1!D751,"")</f>
        <v>#REF!</v>
      </c>
      <c r="G748" s="219" t="e">
        <f t="shared" si="85"/>
        <v>#REF!</v>
      </c>
      <c r="H748" s="219" t="e">
        <f t="shared" si="86"/>
        <v>#REF!</v>
      </c>
      <c r="I748" s="219" t="e">
        <f t="shared" si="87"/>
        <v>#REF!</v>
      </c>
      <c r="J748" s="219" t="e">
        <f>IF(I748="","",VLOOKUP(LEFT(C748,1),dadosexternosBMF_1!$L$2:$M$13,2,FALSE))</f>
        <v>#REF!</v>
      </c>
      <c r="K748" s="219" t="e">
        <f t="shared" si="88"/>
        <v>#REF!</v>
      </c>
      <c r="L748" s="422" t="e">
        <f t="shared" si="89"/>
        <v>#REF!</v>
      </c>
      <c r="M748" s="422" t="e">
        <f>IF(I748="","",WORKDAY(L748-1,1,FERIADOS!$A$2:$A$831))</f>
        <v>#REF!</v>
      </c>
      <c r="N748" s="219" t="e">
        <f>IF(I748="","",NETWORKDAYS(Curva!$M$2,M748,FERIADOS!$A$2:$A$831)-1)</f>
        <v>#REF!</v>
      </c>
      <c r="O748" s="423" t="e">
        <f>IF(C748&lt;&gt;"",IF(ISERROR((100000/E748)^(252/N748)-1),Curva!$B$2,((100000/E748)^(252/N748)-1)),"")</f>
        <v>#REF!</v>
      </c>
      <c r="P748" s="219" t="e">
        <f>IF(OR(G748=1,G748=2),dadosexternosBMF_1!B751,"")</f>
        <v>#REF!</v>
      </c>
      <c r="Q748" s="219" t="e">
        <f>IF(OR(G748=1,G748=2),dadosexternosBMF_1!D751,"")</f>
        <v>#REF!</v>
      </c>
    </row>
    <row r="749" spans="1:17" x14ac:dyDescent="0.2">
      <c r="A749" s="222" t="e">
        <f t="shared" si="84"/>
        <v>#REF!</v>
      </c>
      <c r="B749" s="222" t="str">
        <f>IF(dadosexternosBMF_1!A752="DI1 - DI de 1 dia","DI1 - DI de 1 dia","")</f>
        <v/>
      </c>
      <c r="C749" s="222" t="e">
        <f>IF(dadosexternosBMF_1!A752="DOL - Dólar comercial","",IF(C748&lt;&gt;"",dadosexternosBMF_1!B752,IF(dadosexternosBMF_1!A752="DI1 - DI de 1 dia",dadosexternosBMF_1!B752,"")))</f>
        <v>#REF!</v>
      </c>
      <c r="D749" s="222" t="e">
        <f>IF(C749&lt;&gt;"",dadosexternosBMF_1!C752,"")</f>
        <v>#REF!</v>
      </c>
      <c r="E749" s="222" t="e">
        <f>IF(C749&lt;&gt;"",dadosexternosBMF_1!D752,"")</f>
        <v>#REF!</v>
      </c>
      <c r="G749" s="219" t="e">
        <f t="shared" si="85"/>
        <v>#REF!</v>
      </c>
      <c r="H749" s="219" t="e">
        <f t="shared" si="86"/>
        <v>#REF!</v>
      </c>
      <c r="I749" s="219" t="e">
        <f t="shared" si="87"/>
        <v>#REF!</v>
      </c>
      <c r="J749" s="219" t="e">
        <f>IF(I749="","",VLOOKUP(LEFT(C749,1),dadosexternosBMF_1!$L$2:$M$13,2,FALSE))</f>
        <v>#REF!</v>
      </c>
      <c r="K749" s="219" t="e">
        <f t="shared" si="88"/>
        <v>#REF!</v>
      </c>
      <c r="L749" s="422" t="e">
        <f t="shared" si="89"/>
        <v>#REF!</v>
      </c>
      <c r="M749" s="422" t="e">
        <f>IF(I749="","",WORKDAY(L749-1,1,FERIADOS!$A$2:$A$831))</f>
        <v>#REF!</v>
      </c>
      <c r="N749" s="219" t="e">
        <f>IF(I749="","",NETWORKDAYS(Curva!$M$2,M749,FERIADOS!$A$2:$A$831)-1)</f>
        <v>#REF!</v>
      </c>
      <c r="O749" s="423" t="e">
        <f>IF(C749&lt;&gt;"",IF(ISERROR((100000/E749)^(252/N749)-1),Curva!$B$2,((100000/E749)^(252/N749)-1)),"")</f>
        <v>#REF!</v>
      </c>
      <c r="P749" s="219" t="e">
        <f>IF(OR(G749=1,G749=2),dadosexternosBMF_1!B752,"")</f>
        <v>#REF!</v>
      </c>
      <c r="Q749" s="219" t="e">
        <f>IF(OR(G749=1,G749=2),dadosexternosBMF_1!D752,"")</f>
        <v>#REF!</v>
      </c>
    </row>
    <row r="750" spans="1:17" x14ac:dyDescent="0.2">
      <c r="A750" s="222" t="e">
        <f t="shared" si="84"/>
        <v>#REF!</v>
      </c>
      <c r="B750" s="222" t="str">
        <f>IF(dadosexternosBMF_1!A753="DI1 - DI de 1 dia","DI1 - DI de 1 dia","")</f>
        <v/>
      </c>
      <c r="C750" s="222" t="e">
        <f>IF(dadosexternosBMF_1!A753="DOL - Dólar comercial","",IF(C749&lt;&gt;"",dadosexternosBMF_1!B753,IF(dadosexternosBMF_1!A753="DI1 - DI de 1 dia",dadosexternosBMF_1!B753,"")))</f>
        <v>#REF!</v>
      </c>
      <c r="D750" s="222" t="e">
        <f>IF(C750&lt;&gt;"",dadosexternosBMF_1!C753,"")</f>
        <v>#REF!</v>
      </c>
      <c r="E750" s="222" t="e">
        <f>IF(C750&lt;&gt;"",dadosexternosBMF_1!D753,"")</f>
        <v>#REF!</v>
      </c>
      <c r="G750" s="219" t="e">
        <f t="shared" si="85"/>
        <v>#REF!</v>
      </c>
      <c r="H750" s="219" t="e">
        <f t="shared" si="86"/>
        <v>#REF!</v>
      </c>
      <c r="I750" s="219" t="e">
        <f t="shared" si="87"/>
        <v>#REF!</v>
      </c>
      <c r="J750" s="219" t="e">
        <f>IF(I750="","",VLOOKUP(LEFT(C750,1),dadosexternosBMF_1!$L$2:$M$13,2,FALSE))</f>
        <v>#REF!</v>
      </c>
      <c r="K750" s="219" t="e">
        <f t="shared" si="88"/>
        <v>#REF!</v>
      </c>
      <c r="L750" s="422" t="e">
        <f t="shared" si="89"/>
        <v>#REF!</v>
      </c>
      <c r="M750" s="422" t="e">
        <f>IF(I750="","",WORKDAY(L750-1,1,FERIADOS!$A$2:$A$831))</f>
        <v>#REF!</v>
      </c>
      <c r="N750" s="219" t="e">
        <f>IF(I750="","",NETWORKDAYS(Curva!$M$2,M750,FERIADOS!$A$2:$A$831)-1)</f>
        <v>#REF!</v>
      </c>
      <c r="O750" s="423" t="e">
        <f>IF(C750&lt;&gt;"",IF(ISERROR((100000/E750)^(252/N750)-1),Curva!$B$2,((100000/E750)^(252/N750)-1)),"")</f>
        <v>#REF!</v>
      </c>
      <c r="P750" s="219" t="e">
        <f>IF(OR(G750=1,G750=2),dadosexternosBMF_1!B753,"")</f>
        <v>#REF!</v>
      </c>
      <c r="Q750" s="219" t="e">
        <f>IF(OR(G750=1,G750=2),dadosexternosBMF_1!D753,"")</f>
        <v>#REF!</v>
      </c>
    </row>
    <row r="751" spans="1:17" x14ac:dyDescent="0.2">
      <c r="A751" s="222" t="e">
        <f t="shared" si="84"/>
        <v>#REF!</v>
      </c>
      <c r="B751" s="222" t="str">
        <f>IF(dadosexternosBMF_1!A754="DI1 - DI de 1 dia","DI1 - DI de 1 dia","")</f>
        <v/>
      </c>
      <c r="C751" s="222" t="e">
        <f>IF(dadosexternosBMF_1!A754="DOL - Dólar comercial","",IF(C750&lt;&gt;"",dadosexternosBMF_1!B754,IF(dadosexternosBMF_1!A754="DI1 - DI de 1 dia",dadosexternosBMF_1!B754,"")))</f>
        <v>#REF!</v>
      </c>
      <c r="D751" s="222" t="e">
        <f>IF(C751&lt;&gt;"",dadosexternosBMF_1!C754,"")</f>
        <v>#REF!</v>
      </c>
      <c r="E751" s="222" t="e">
        <f>IF(C751&lt;&gt;"",dadosexternosBMF_1!D754,"")</f>
        <v>#REF!</v>
      </c>
      <c r="G751" s="219" t="e">
        <f t="shared" si="85"/>
        <v>#REF!</v>
      </c>
      <c r="H751" s="219" t="e">
        <f t="shared" si="86"/>
        <v>#REF!</v>
      </c>
      <c r="I751" s="219" t="e">
        <f t="shared" si="87"/>
        <v>#REF!</v>
      </c>
      <c r="J751" s="219" t="e">
        <f>IF(I751="","",VLOOKUP(LEFT(C751,1),dadosexternosBMF_1!$L$2:$M$13,2,FALSE))</f>
        <v>#REF!</v>
      </c>
      <c r="K751" s="219" t="e">
        <f t="shared" si="88"/>
        <v>#REF!</v>
      </c>
      <c r="L751" s="422" t="e">
        <f t="shared" si="89"/>
        <v>#REF!</v>
      </c>
      <c r="M751" s="422" t="e">
        <f>IF(I751="","",WORKDAY(L751-1,1,FERIADOS!$A$2:$A$831))</f>
        <v>#REF!</v>
      </c>
      <c r="N751" s="219" t="e">
        <f>IF(I751="","",NETWORKDAYS(Curva!$M$2,M751,FERIADOS!$A$2:$A$831)-1)</f>
        <v>#REF!</v>
      </c>
      <c r="O751" s="423" t="e">
        <f>IF(C751&lt;&gt;"",IF(ISERROR((100000/E751)^(252/N751)-1),Curva!$B$2,((100000/E751)^(252/N751)-1)),"")</f>
        <v>#REF!</v>
      </c>
      <c r="P751" s="219" t="e">
        <f>IF(OR(G751=1,G751=2),dadosexternosBMF_1!B754,"")</f>
        <v>#REF!</v>
      </c>
      <c r="Q751" s="219" t="e">
        <f>IF(OR(G751=1,G751=2),dadosexternosBMF_1!D754,"")</f>
        <v>#REF!</v>
      </c>
    </row>
    <row r="752" spans="1:17" x14ac:dyDescent="0.2">
      <c r="A752" s="222" t="e">
        <f t="shared" si="84"/>
        <v>#REF!</v>
      </c>
      <c r="B752" s="222" t="str">
        <f>IF(dadosexternosBMF_1!A755="DI1 - DI de 1 dia","DI1 - DI de 1 dia","")</f>
        <v/>
      </c>
      <c r="C752" s="222" t="e">
        <f>IF(dadosexternosBMF_1!A755="DOL - Dólar comercial","",IF(C751&lt;&gt;"",dadosexternosBMF_1!B755,IF(dadosexternosBMF_1!A755="DI1 - DI de 1 dia",dadosexternosBMF_1!B755,"")))</f>
        <v>#REF!</v>
      </c>
      <c r="D752" s="222" t="e">
        <f>IF(C752&lt;&gt;"",dadosexternosBMF_1!C755,"")</f>
        <v>#REF!</v>
      </c>
      <c r="E752" s="222" t="e">
        <f>IF(C752&lt;&gt;"",dadosexternosBMF_1!D755,"")</f>
        <v>#REF!</v>
      </c>
      <c r="G752" s="219" t="e">
        <f t="shared" si="85"/>
        <v>#REF!</v>
      </c>
      <c r="H752" s="219" t="e">
        <f t="shared" si="86"/>
        <v>#REF!</v>
      </c>
      <c r="I752" s="219" t="e">
        <f t="shared" si="87"/>
        <v>#REF!</v>
      </c>
      <c r="J752" s="219" t="e">
        <f>IF(I752="","",VLOOKUP(LEFT(C752,1),dadosexternosBMF_1!$L$2:$M$13,2,FALSE))</f>
        <v>#REF!</v>
      </c>
      <c r="K752" s="219" t="e">
        <f t="shared" si="88"/>
        <v>#REF!</v>
      </c>
      <c r="L752" s="422" t="e">
        <f t="shared" si="89"/>
        <v>#REF!</v>
      </c>
      <c r="M752" s="422" t="e">
        <f>IF(I752="","",WORKDAY(L752-1,1,FERIADOS!$A$2:$A$831))</f>
        <v>#REF!</v>
      </c>
      <c r="N752" s="219" t="e">
        <f>IF(I752="","",NETWORKDAYS(Curva!$M$2,M752,FERIADOS!$A$2:$A$831)-1)</f>
        <v>#REF!</v>
      </c>
      <c r="O752" s="423" t="e">
        <f>IF(C752&lt;&gt;"",IF(ISERROR((100000/E752)^(252/N752)-1),Curva!$B$2,((100000/E752)^(252/N752)-1)),"")</f>
        <v>#REF!</v>
      </c>
      <c r="P752" s="219" t="e">
        <f>IF(OR(G752=1,G752=2),dadosexternosBMF_1!B755,"")</f>
        <v>#REF!</v>
      </c>
      <c r="Q752" s="219" t="e">
        <f>IF(OR(G752=1,G752=2),dadosexternosBMF_1!D755,"")</f>
        <v>#REF!</v>
      </c>
    </row>
    <row r="753" spans="1:17" x14ac:dyDescent="0.2">
      <c r="A753" s="222" t="e">
        <f t="shared" si="84"/>
        <v>#REF!</v>
      </c>
      <c r="B753" s="222" t="str">
        <f>IF(dadosexternosBMF_1!A756="DI1 - DI de 1 dia","DI1 - DI de 1 dia","")</f>
        <v/>
      </c>
      <c r="C753" s="222" t="e">
        <f>IF(dadosexternosBMF_1!A756="DOL - Dólar comercial","",IF(C752&lt;&gt;"",dadosexternosBMF_1!B756,IF(dadosexternosBMF_1!A756="DI1 - DI de 1 dia",dadosexternosBMF_1!B756,"")))</f>
        <v>#REF!</v>
      </c>
      <c r="D753" s="222" t="e">
        <f>IF(C753&lt;&gt;"",dadosexternosBMF_1!C756,"")</f>
        <v>#REF!</v>
      </c>
      <c r="E753" s="222" t="e">
        <f>IF(C753&lt;&gt;"",dadosexternosBMF_1!D756,"")</f>
        <v>#REF!</v>
      </c>
      <c r="G753" s="219" t="e">
        <f t="shared" si="85"/>
        <v>#REF!</v>
      </c>
      <c r="H753" s="219" t="e">
        <f t="shared" si="86"/>
        <v>#REF!</v>
      </c>
      <c r="I753" s="219" t="e">
        <f t="shared" si="87"/>
        <v>#REF!</v>
      </c>
      <c r="J753" s="219" t="e">
        <f>IF(I753="","",VLOOKUP(LEFT(C753,1),dadosexternosBMF_1!$L$2:$M$13,2,FALSE))</f>
        <v>#REF!</v>
      </c>
      <c r="K753" s="219" t="e">
        <f t="shared" si="88"/>
        <v>#REF!</v>
      </c>
      <c r="L753" s="422" t="e">
        <f t="shared" si="89"/>
        <v>#REF!</v>
      </c>
      <c r="M753" s="422" t="e">
        <f>IF(I753="","",WORKDAY(L753-1,1,FERIADOS!$A$2:$A$831))</f>
        <v>#REF!</v>
      </c>
      <c r="N753" s="219" t="e">
        <f>IF(I753="","",NETWORKDAYS(Curva!$M$2,M753,FERIADOS!$A$2:$A$831)-1)</f>
        <v>#REF!</v>
      </c>
      <c r="O753" s="423" t="e">
        <f>IF(C753&lt;&gt;"",IF(ISERROR((100000/E753)^(252/N753)-1),Curva!$B$2,((100000/E753)^(252/N753)-1)),"")</f>
        <v>#REF!</v>
      </c>
      <c r="P753" s="219" t="e">
        <f>IF(OR(G753=1,G753=2),dadosexternosBMF_1!B756,"")</f>
        <v>#REF!</v>
      </c>
      <c r="Q753" s="219" t="e">
        <f>IF(OR(G753=1,G753=2),dadosexternosBMF_1!D756,"")</f>
        <v>#REF!</v>
      </c>
    </row>
    <row r="754" spans="1:17" x14ac:dyDescent="0.2">
      <c r="A754" s="222" t="e">
        <f t="shared" si="84"/>
        <v>#REF!</v>
      </c>
      <c r="B754" s="222" t="str">
        <f>IF(dadosexternosBMF_1!A757="DI1 - DI de 1 dia","DI1 - DI de 1 dia","")</f>
        <v/>
      </c>
      <c r="C754" s="222" t="e">
        <f>IF(dadosexternosBMF_1!A757="DOL - Dólar comercial","",IF(C753&lt;&gt;"",dadosexternosBMF_1!B757,IF(dadosexternosBMF_1!A757="DI1 - DI de 1 dia",dadosexternosBMF_1!B757,"")))</f>
        <v>#REF!</v>
      </c>
      <c r="D754" s="222" t="e">
        <f>IF(C754&lt;&gt;"",dadosexternosBMF_1!C757,"")</f>
        <v>#REF!</v>
      </c>
      <c r="E754" s="222" t="e">
        <f>IF(C754&lt;&gt;"",dadosexternosBMF_1!D757,"")</f>
        <v>#REF!</v>
      </c>
      <c r="G754" s="219" t="e">
        <f t="shared" si="85"/>
        <v>#REF!</v>
      </c>
      <c r="H754" s="219" t="e">
        <f t="shared" si="86"/>
        <v>#REF!</v>
      </c>
      <c r="I754" s="219" t="e">
        <f t="shared" si="87"/>
        <v>#REF!</v>
      </c>
      <c r="J754" s="219" t="e">
        <f>IF(I754="","",VLOOKUP(LEFT(C754,1),dadosexternosBMF_1!$L$2:$M$13,2,FALSE))</f>
        <v>#REF!</v>
      </c>
      <c r="K754" s="219" t="e">
        <f t="shared" si="88"/>
        <v>#REF!</v>
      </c>
      <c r="L754" s="422" t="e">
        <f t="shared" si="89"/>
        <v>#REF!</v>
      </c>
      <c r="M754" s="422" t="e">
        <f>IF(I754="","",WORKDAY(L754-1,1,FERIADOS!$A$2:$A$831))</f>
        <v>#REF!</v>
      </c>
      <c r="N754" s="219" t="e">
        <f>IF(I754="","",NETWORKDAYS(Curva!$M$2,M754,FERIADOS!$A$2:$A$831)-1)</f>
        <v>#REF!</v>
      </c>
      <c r="O754" s="423" t="e">
        <f>IF(C754&lt;&gt;"",IF(ISERROR((100000/E754)^(252/N754)-1),Curva!$B$2,((100000/E754)^(252/N754)-1)),"")</f>
        <v>#REF!</v>
      </c>
      <c r="P754" s="219" t="e">
        <f>IF(OR(G754=1,G754=2),dadosexternosBMF_1!B757,"")</f>
        <v>#REF!</v>
      </c>
      <c r="Q754" s="219" t="e">
        <f>IF(OR(G754=1,G754=2),dadosexternosBMF_1!D757,"")</f>
        <v>#REF!</v>
      </c>
    </row>
    <row r="755" spans="1:17" x14ac:dyDescent="0.2">
      <c r="A755" s="222" t="e">
        <f t="shared" si="84"/>
        <v>#REF!</v>
      </c>
      <c r="B755" s="222" t="str">
        <f>IF(dadosexternosBMF_1!A758="DI1 - DI de 1 dia","DI1 - DI de 1 dia","")</f>
        <v/>
      </c>
      <c r="C755" s="222" t="e">
        <f>IF(dadosexternosBMF_1!A758="DOL - Dólar comercial","",IF(C754&lt;&gt;"",dadosexternosBMF_1!B758,IF(dadosexternosBMF_1!A758="DI1 - DI de 1 dia",dadosexternosBMF_1!B758,"")))</f>
        <v>#REF!</v>
      </c>
      <c r="D755" s="222" t="e">
        <f>IF(C755&lt;&gt;"",dadosexternosBMF_1!C758,"")</f>
        <v>#REF!</v>
      </c>
      <c r="E755" s="222" t="e">
        <f>IF(C755&lt;&gt;"",dadosexternosBMF_1!D758,"")</f>
        <v>#REF!</v>
      </c>
      <c r="G755" s="219" t="e">
        <f t="shared" si="85"/>
        <v>#REF!</v>
      </c>
      <c r="H755" s="219" t="e">
        <f t="shared" si="86"/>
        <v>#REF!</v>
      </c>
      <c r="I755" s="219" t="e">
        <f t="shared" si="87"/>
        <v>#REF!</v>
      </c>
      <c r="J755" s="219" t="e">
        <f>IF(I755="","",VLOOKUP(LEFT(C755,1),dadosexternosBMF_1!$L$2:$M$13,2,FALSE))</f>
        <v>#REF!</v>
      </c>
      <c r="K755" s="219" t="e">
        <f t="shared" si="88"/>
        <v>#REF!</v>
      </c>
      <c r="L755" s="422" t="e">
        <f t="shared" si="89"/>
        <v>#REF!</v>
      </c>
      <c r="M755" s="422" t="e">
        <f>IF(I755="","",WORKDAY(L755-1,1,FERIADOS!$A$2:$A$831))</f>
        <v>#REF!</v>
      </c>
      <c r="N755" s="219" t="e">
        <f>IF(I755="","",NETWORKDAYS(Curva!$M$2,M755,FERIADOS!$A$2:$A$831)-1)</f>
        <v>#REF!</v>
      </c>
      <c r="O755" s="423" t="e">
        <f>IF(C755&lt;&gt;"",IF(ISERROR((100000/E755)^(252/N755)-1),Curva!$B$2,((100000/E755)^(252/N755)-1)),"")</f>
        <v>#REF!</v>
      </c>
      <c r="P755" s="219" t="e">
        <f>IF(OR(G755=1,G755=2),dadosexternosBMF_1!B758,"")</f>
        <v>#REF!</v>
      </c>
      <c r="Q755" s="219" t="e">
        <f>IF(OR(G755=1,G755=2),dadosexternosBMF_1!D758,"")</f>
        <v>#REF!</v>
      </c>
    </row>
    <row r="756" spans="1:17" x14ac:dyDescent="0.2">
      <c r="A756" s="222" t="e">
        <f t="shared" si="84"/>
        <v>#REF!</v>
      </c>
      <c r="B756" s="222" t="str">
        <f>IF(dadosexternosBMF_1!A759="DI1 - DI de 1 dia","DI1 - DI de 1 dia","")</f>
        <v/>
      </c>
      <c r="C756" s="222" t="e">
        <f>IF(dadosexternosBMF_1!A759="DOL - Dólar comercial","",IF(C755&lt;&gt;"",dadosexternosBMF_1!B759,IF(dadosexternosBMF_1!A759="DI1 - DI de 1 dia",dadosexternosBMF_1!B759,"")))</f>
        <v>#REF!</v>
      </c>
      <c r="D756" s="222" t="e">
        <f>IF(C756&lt;&gt;"",dadosexternosBMF_1!C759,"")</f>
        <v>#REF!</v>
      </c>
      <c r="E756" s="222" t="e">
        <f>IF(C756&lt;&gt;"",dadosexternosBMF_1!D759,"")</f>
        <v>#REF!</v>
      </c>
      <c r="G756" s="219" t="e">
        <f t="shared" si="85"/>
        <v>#REF!</v>
      </c>
      <c r="H756" s="219" t="e">
        <f t="shared" si="86"/>
        <v>#REF!</v>
      </c>
      <c r="I756" s="219" t="e">
        <f t="shared" si="87"/>
        <v>#REF!</v>
      </c>
      <c r="J756" s="219" t="e">
        <f>IF(I756="","",VLOOKUP(LEFT(C756,1),dadosexternosBMF_1!$L$2:$M$13,2,FALSE))</f>
        <v>#REF!</v>
      </c>
      <c r="K756" s="219" t="e">
        <f t="shared" si="88"/>
        <v>#REF!</v>
      </c>
      <c r="L756" s="422" t="e">
        <f t="shared" si="89"/>
        <v>#REF!</v>
      </c>
      <c r="M756" s="422" t="e">
        <f>IF(I756="","",WORKDAY(L756-1,1,FERIADOS!$A$2:$A$831))</f>
        <v>#REF!</v>
      </c>
      <c r="N756" s="219" t="e">
        <f>IF(I756="","",NETWORKDAYS(Curva!$M$2,M756,FERIADOS!$A$2:$A$831)-1)</f>
        <v>#REF!</v>
      </c>
      <c r="O756" s="423" t="e">
        <f>IF(C756&lt;&gt;"",IF(ISERROR((100000/E756)^(252/N756)-1),Curva!$B$2,((100000/E756)^(252/N756)-1)),"")</f>
        <v>#REF!</v>
      </c>
      <c r="P756" s="219" t="e">
        <f>IF(OR(G756=1,G756=2),dadosexternosBMF_1!B759,"")</f>
        <v>#REF!</v>
      </c>
      <c r="Q756" s="219" t="e">
        <f>IF(OR(G756=1,G756=2),dadosexternosBMF_1!D759,"")</f>
        <v>#REF!</v>
      </c>
    </row>
    <row r="757" spans="1:17" x14ac:dyDescent="0.2">
      <c r="A757" s="222" t="e">
        <f t="shared" si="84"/>
        <v>#REF!</v>
      </c>
      <c r="B757" s="222" t="str">
        <f>IF(dadosexternosBMF_1!A760="DI1 - DI de 1 dia","DI1 - DI de 1 dia","")</f>
        <v/>
      </c>
      <c r="C757" s="222" t="e">
        <f>IF(dadosexternosBMF_1!A760="DOL - Dólar comercial","",IF(C756&lt;&gt;"",dadosexternosBMF_1!B760,IF(dadosexternosBMF_1!A760="DI1 - DI de 1 dia",dadosexternosBMF_1!B760,"")))</f>
        <v>#REF!</v>
      </c>
      <c r="D757" s="222" t="e">
        <f>IF(C757&lt;&gt;"",dadosexternosBMF_1!C760,"")</f>
        <v>#REF!</v>
      </c>
      <c r="E757" s="222" t="e">
        <f>IF(C757&lt;&gt;"",dadosexternosBMF_1!D760,"")</f>
        <v>#REF!</v>
      </c>
      <c r="G757" s="219" t="e">
        <f t="shared" si="85"/>
        <v>#REF!</v>
      </c>
      <c r="H757" s="219" t="e">
        <f t="shared" si="86"/>
        <v>#REF!</v>
      </c>
      <c r="I757" s="219" t="e">
        <f t="shared" si="87"/>
        <v>#REF!</v>
      </c>
      <c r="J757" s="219" t="e">
        <f>IF(I757="","",VLOOKUP(LEFT(C757,1),dadosexternosBMF_1!$L$2:$M$13,2,FALSE))</f>
        <v>#REF!</v>
      </c>
      <c r="K757" s="219" t="e">
        <f t="shared" si="88"/>
        <v>#REF!</v>
      </c>
      <c r="L757" s="422" t="e">
        <f t="shared" si="89"/>
        <v>#REF!</v>
      </c>
      <c r="M757" s="422" t="e">
        <f>IF(I757="","",WORKDAY(L757-1,1,FERIADOS!$A$2:$A$831))</f>
        <v>#REF!</v>
      </c>
      <c r="N757" s="219" t="e">
        <f>IF(I757="","",NETWORKDAYS(Curva!$M$2,M757,FERIADOS!$A$2:$A$831)-1)</f>
        <v>#REF!</v>
      </c>
      <c r="O757" s="423" t="e">
        <f>IF(C757&lt;&gt;"",IF(ISERROR((100000/E757)^(252/N757)-1),Curva!$B$2,((100000/E757)^(252/N757)-1)),"")</f>
        <v>#REF!</v>
      </c>
      <c r="P757" s="219" t="e">
        <f>IF(OR(G757=1,G757=2),dadosexternosBMF_1!B760,"")</f>
        <v>#REF!</v>
      </c>
      <c r="Q757" s="219" t="e">
        <f>IF(OR(G757=1,G757=2),dadosexternosBMF_1!D760,"")</f>
        <v>#REF!</v>
      </c>
    </row>
    <row r="758" spans="1:17" x14ac:dyDescent="0.2">
      <c r="A758" s="222" t="e">
        <f t="shared" si="84"/>
        <v>#REF!</v>
      </c>
      <c r="B758" s="222" t="str">
        <f>IF(dadosexternosBMF_1!A761="DI1 - DI de 1 dia","DI1 - DI de 1 dia","")</f>
        <v/>
      </c>
      <c r="C758" s="222" t="e">
        <f>IF(dadosexternosBMF_1!A761="DOL - Dólar comercial","",IF(C757&lt;&gt;"",dadosexternosBMF_1!B761,IF(dadosexternosBMF_1!A761="DI1 - DI de 1 dia",dadosexternosBMF_1!B761,"")))</f>
        <v>#REF!</v>
      </c>
      <c r="D758" s="222" t="e">
        <f>IF(C758&lt;&gt;"",dadosexternosBMF_1!C761,"")</f>
        <v>#REF!</v>
      </c>
      <c r="E758" s="222" t="e">
        <f>IF(C758&lt;&gt;"",dadosexternosBMF_1!D761,"")</f>
        <v>#REF!</v>
      </c>
      <c r="G758" s="219" t="e">
        <f t="shared" si="85"/>
        <v>#REF!</v>
      </c>
      <c r="H758" s="219" t="e">
        <f t="shared" si="86"/>
        <v>#REF!</v>
      </c>
      <c r="I758" s="219" t="e">
        <f t="shared" si="87"/>
        <v>#REF!</v>
      </c>
      <c r="J758" s="219" t="e">
        <f>IF(I758="","",VLOOKUP(LEFT(C758,1),dadosexternosBMF_1!$L$2:$M$13,2,FALSE))</f>
        <v>#REF!</v>
      </c>
      <c r="K758" s="219" t="e">
        <f t="shared" si="88"/>
        <v>#REF!</v>
      </c>
      <c r="L758" s="422" t="e">
        <f t="shared" si="89"/>
        <v>#REF!</v>
      </c>
      <c r="M758" s="422" t="e">
        <f>IF(I758="","",WORKDAY(L758-1,1,FERIADOS!$A$2:$A$831))</f>
        <v>#REF!</v>
      </c>
      <c r="N758" s="219" t="e">
        <f>IF(I758="","",NETWORKDAYS(Curva!$M$2,M758,FERIADOS!$A$2:$A$831)-1)</f>
        <v>#REF!</v>
      </c>
      <c r="O758" s="423" t="e">
        <f>IF(C758&lt;&gt;"",IF(ISERROR((100000/E758)^(252/N758)-1),Curva!$B$2,((100000/E758)^(252/N758)-1)),"")</f>
        <v>#REF!</v>
      </c>
      <c r="P758" s="219" t="e">
        <f>IF(OR(G758=1,G758=2),dadosexternosBMF_1!B761,"")</f>
        <v>#REF!</v>
      </c>
      <c r="Q758" s="219" t="e">
        <f>IF(OR(G758=1,G758=2),dadosexternosBMF_1!D761,"")</f>
        <v>#REF!</v>
      </c>
    </row>
    <row r="759" spans="1:17" x14ac:dyDescent="0.2">
      <c r="A759" s="222" t="e">
        <f t="shared" si="84"/>
        <v>#REF!</v>
      </c>
      <c r="B759" s="222" t="str">
        <f>IF(dadosexternosBMF_1!A762="DI1 - DI de 1 dia","DI1 - DI de 1 dia","")</f>
        <v/>
      </c>
      <c r="C759" s="222" t="e">
        <f>IF(dadosexternosBMF_1!A762="DOL - Dólar comercial","",IF(C758&lt;&gt;"",dadosexternosBMF_1!B762,IF(dadosexternosBMF_1!A762="DI1 - DI de 1 dia",dadosexternosBMF_1!B762,"")))</f>
        <v>#REF!</v>
      </c>
      <c r="D759" s="222" t="e">
        <f>IF(C759&lt;&gt;"",dadosexternosBMF_1!C762,"")</f>
        <v>#REF!</v>
      </c>
      <c r="E759" s="222" t="e">
        <f>IF(C759&lt;&gt;"",dadosexternosBMF_1!D762,"")</f>
        <v>#REF!</v>
      </c>
      <c r="G759" s="219" t="e">
        <f t="shared" si="85"/>
        <v>#REF!</v>
      </c>
      <c r="H759" s="219" t="e">
        <f t="shared" si="86"/>
        <v>#REF!</v>
      </c>
      <c r="I759" s="219" t="e">
        <f t="shared" si="87"/>
        <v>#REF!</v>
      </c>
      <c r="J759" s="219" t="e">
        <f>IF(I759="","",VLOOKUP(LEFT(C759,1),dadosexternosBMF_1!$L$2:$M$13,2,FALSE))</f>
        <v>#REF!</v>
      </c>
      <c r="K759" s="219" t="e">
        <f t="shared" si="88"/>
        <v>#REF!</v>
      </c>
      <c r="L759" s="422" t="e">
        <f t="shared" si="89"/>
        <v>#REF!</v>
      </c>
      <c r="M759" s="422" t="e">
        <f>IF(I759="","",WORKDAY(L759-1,1,FERIADOS!$A$2:$A$831))</f>
        <v>#REF!</v>
      </c>
      <c r="N759" s="219" t="e">
        <f>IF(I759="","",NETWORKDAYS(Curva!$M$2,M759,FERIADOS!$A$2:$A$831)-1)</f>
        <v>#REF!</v>
      </c>
      <c r="O759" s="423" t="e">
        <f>IF(C759&lt;&gt;"",IF(ISERROR((100000/E759)^(252/N759)-1),Curva!$B$2,((100000/E759)^(252/N759)-1)),"")</f>
        <v>#REF!</v>
      </c>
      <c r="P759" s="219" t="e">
        <f>IF(OR(G759=1,G759=2),dadosexternosBMF_1!B762,"")</f>
        <v>#REF!</v>
      </c>
      <c r="Q759" s="219" t="e">
        <f>IF(OR(G759=1,G759=2),dadosexternosBMF_1!D762,"")</f>
        <v>#REF!</v>
      </c>
    </row>
    <row r="760" spans="1:17" x14ac:dyDescent="0.2">
      <c r="A760" s="222" t="e">
        <f t="shared" si="84"/>
        <v>#REF!</v>
      </c>
      <c r="B760" s="222" t="str">
        <f>IF(dadosexternosBMF_1!A763="DI1 - DI de 1 dia","DI1 - DI de 1 dia","")</f>
        <v/>
      </c>
      <c r="C760" s="222" t="e">
        <f>IF(dadosexternosBMF_1!A763="DOL - Dólar comercial","",IF(C759&lt;&gt;"",dadosexternosBMF_1!B763,IF(dadosexternosBMF_1!A763="DI1 - DI de 1 dia",dadosexternosBMF_1!B763,"")))</f>
        <v>#REF!</v>
      </c>
      <c r="D760" s="222" t="e">
        <f>IF(C760&lt;&gt;"",dadosexternosBMF_1!C763,"")</f>
        <v>#REF!</v>
      </c>
      <c r="E760" s="222" t="e">
        <f>IF(C760&lt;&gt;"",dadosexternosBMF_1!D763,"")</f>
        <v>#REF!</v>
      </c>
      <c r="G760" s="219" t="e">
        <f t="shared" si="85"/>
        <v>#REF!</v>
      </c>
      <c r="H760" s="219" t="e">
        <f t="shared" si="86"/>
        <v>#REF!</v>
      </c>
      <c r="I760" s="219" t="e">
        <f t="shared" si="87"/>
        <v>#REF!</v>
      </c>
      <c r="J760" s="219" t="e">
        <f>IF(I760="","",VLOOKUP(LEFT(C760,1),dadosexternosBMF_1!$L$2:$M$13,2,FALSE))</f>
        <v>#REF!</v>
      </c>
      <c r="K760" s="219" t="e">
        <f t="shared" si="88"/>
        <v>#REF!</v>
      </c>
      <c r="L760" s="422" t="e">
        <f t="shared" si="89"/>
        <v>#REF!</v>
      </c>
      <c r="M760" s="422" t="e">
        <f>IF(I760="","",WORKDAY(L760-1,1,FERIADOS!$A$2:$A$831))</f>
        <v>#REF!</v>
      </c>
      <c r="N760" s="219" t="e">
        <f>IF(I760="","",NETWORKDAYS(Curva!$M$2,M760,FERIADOS!$A$2:$A$831)-1)</f>
        <v>#REF!</v>
      </c>
      <c r="O760" s="423" t="e">
        <f>IF(C760&lt;&gt;"",IF(ISERROR((100000/E760)^(252/N760)-1),Curva!$B$2,((100000/E760)^(252/N760)-1)),"")</f>
        <v>#REF!</v>
      </c>
      <c r="P760" s="219" t="e">
        <f>IF(OR(G760=1,G760=2),dadosexternosBMF_1!B763,"")</f>
        <v>#REF!</v>
      </c>
      <c r="Q760" s="219" t="e">
        <f>IF(OR(G760=1,G760=2),dadosexternosBMF_1!D763,"")</f>
        <v>#REF!</v>
      </c>
    </row>
    <row r="761" spans="1:17" x14ac:dyDescent="0.2">
      <c r="A761" s="222" t="e">
        <f t="shared" si="84"/>
        <v>#REF!</v>
      </c>
      <c r="B761" s="222" t="str">
        <f>IF(dadosexternosBMF_1!A764="DI1 - DI de 1 dia","DI1 - DI de 1 dia","")</f>
        <v/>
      </c>
      <c r="C761" s="222" t="e">
        <f>IF(dadosexternosBMF_1!A764="DOL - Dólar comercial","",IF(C760&lt;&gt;"",dadosexternosBMF_1!B764,IF(dadosexternosBMF_1!A764="DI1 - DI de 1 dia",dadosexternosBMF_1!B764,"")))</f>
        <v>#REF!</v>
      </c>
      <c r="D761" s="222" t="e">
        <f>IF(C761&lt;&gt;"",dadosexternosBMF_1!C764,"")</f>
        <v>#REF!</v>
      </c>
      <c r="E761" s="222" t="e">
        <f>IF(C761&lt;&gt;"",dadosexternosBMF_1!D764,"")</f>
        <v>#REF!</v>
      </c>
      <c r="G761" s="219" t="e">
        <f t="shared" si="85"/>
        <v>#REF!</v>
      </c>
      <c r="H761" s="219" t="e">
        <f t="shared" si="86"/>
        <v>#REF!</v>
      </c>
      <c r="I761" s="219" t="e">
        <f t="shared" si="87"/>
        <v>#REF!</v>
      </c>
      <c r="J761" s="219" t="e">
        <f>IF(I761="","",VLOOKUP(LEFT(C761,1),dadosexternosBMF_1!$L$2:$M$13,2,FALSE))</f>
        <v>#REF!</v>
      </c>
      <c r="K761" s="219" t="e">
        <f t="shared" si="88"/>
        <v>#REF!</v>
      </c>
      <c r="L761" s="422" t="e">
        <f t="shared" si="89"/>
        <v>#REF!</v>
      </c>
      <c r="M761" s="422" t="e">
        <f>IF(I761="","",WORKDAY(L761-1,1,FERIADOS!$A$2:$A$831))</f>
        <v>#REF!</v>
      </c>
      <c r="N761" s="219" t="e">
        <f>IF(I761="","",NETWORKDAYS(Curva!$M$2,M761,FERIADOS!$A$2:$A$831)-1)</f>
        <v>#REF!</v>
      </c>
      <c r="O761" s="423" t="e">
        <f>IF(C761&lt;&gt;"",IF(ISERROR((100000/E761)^(252/N761)-1),Curva!$B$2,((100000/E761)^(252/N761)-1)),"")</f>
        <v>#REF!</v>
      </c>
      <c r="P761" s="219" t="e">
        <f>IF(OR(G761=1,G761=2),dadosexternosBMF_1!B764,"")</f>
        <v>#REF!</v>
      </c>
      <c r="Q761" s="219" t="e">
        <f>IF(OR(G761=1,G761=2),dadosexternosBMF_1!D764,"")</f>
        <v>#REF!</v>
      </c>
    </row>
    <row r="762" spans="1:17" x14ac:dyDescent="0.2">
      <c r="A762" s="222" t="e">
        <f t="shared" si="84"/>
        <v>#REF!</v>
      </c>
      <c r="B762" s="222" t="str">
        <f>IF(dadosexternosBMF_1!A765="DI1 - DI de 1 dia","DI1 - DI de 1 dia","")</f>
        <v/>
      </c>
      <c r="C762" s="222" t="e">
        <f>IF(dadosexternosBMF_1!A765="DOL - Dólar comercial","",IF(C761&lt;&gt;"",dadosexternosBMF_1!B765,IF(dadosexternosBMF_1!A765="DI1 - DI de 1 dia",dadosexternosBMF_1!B765,"")))</f>
        <v>#REF!</v>
      </c>
      <c r="D762" s="222" t="e">
        <f>IF(C762&lt;&gt;"",dadosexternosBMF_1!C765,"")</f>
        <v>#REF!</v>
      </c>
      <c r="E762" s="222" t="e">
        <f>IF(C762&lt;&gt;"",dadosexternosBMF_1!D765,"")</f>
        <v>#REF!</v>
      </c>
      <c r="G762" s="219" t="e">
        <f t="shared" si="85"/>
        <v>#REF!</v>
      </c>
      <c r="H762" s="219" t="e">
        <f t="shared" si="86"/>
        <v>#REF!</v>
      </c>
      <c r="I762" s="219" t="e">
        <f t="shared" si="87"/>
        <v>#REF!</v>
      </c>
      <c r="J762" s="219" t="e">
        <f>IF(I762="","",VLOOKUP(LEFT(C762,1),dadosexternosBMF_1!$L$2:$M$13,2,FALSE))</f>
        <v>#REF!</v>
      </c>
      <c r="K762" s="219" t="e">
        <f t="shared" si="88"/>
        <v>#REF!</v>
      </c>
      <c r="L762" s="422" t="e">
        <f t="shared" si="89"/>
        <v>#REF!</v>
      </c>
      <c r="M762" s="422" t="e">
        <f>IF(I762="","",WORKDAY(L762-1,1,FERIADOS!$A$2:$A$831))</f>
        <v>#REF!</v>
      </c>
      <c r="N762" s="219" t="e">
        <f>IF(I762="","",NETWORKDAYS(Curva!$M$2,M762,FERIADOS!$A$2:$A$831)-1)</f>
        <v>#REF!</v>
      </c>
      <c r="O762" s="423" t="e">
        <f>IF(C762&lt;&gt;"",IF(ISERROR((100000/E762)^(252/N762)-1),Curva!$B$2,((100000/E762)^(252/N762)-1)),"")</f>
        <v>#REF!</v>
      </c>
      <c r="P762" s="219" t="e">
        <f>IF(OR(G762=1,G762=2),dadosexternosBMF_1!B765,"")</f>
        <v>#REF!</v>
      </c>
      <c r="Q762" s="219" t="e">
        <f>IF(OR(G762=1,G762=2),dadosexternosBMF_1!D765,"")</f>
        <v>#REF!</v>
      </c>
    </row>
    <row r="763" spans="1:17" x14ac:dyDescent="0.2">
      <c r="A763" s="222" t="e">
        <f t="shared" si="84"/>
        <v>#REF!</v>
      </c>
      <c r="B763" s="222" t="str">
        <f>IF(dadosexternosBMF_1!A766="DI1 - DI de 1 dia","DI1 - DI de 1 dia","")</f>
        <v/>
      </c>
      <c r="C763" s="222" t="e">
        <f>IF(dadosexternosBMF_1!A766="DOL - Dólar comercial","",IF(C762&lt;&gt;"",dadosexternosBMF_1!B766,IF(dadosexternosBMF_1!A766="DI1 - DI de 1 dia",dadosexternosBMF_1!B766,"")))</f>
        <v>#REF!</v>
      </c>
      <c r="D763" s="222" t="e">
        <f>IF(C763&lt;&gt;"",dadosexternosBMF_1!C766,"")</f>
        <v>#REF!</v>
      </c>
      <c r="E763" s="222" t="e">
        <f>IF(C763&lt;&gt;"",dadosexternosBMF_1!D766,"")</f>
        <v>#REF!</v>
      </c>
      <c r="G763" s="219" t="e">
        <f t="shared" si="85"/>
        <v>#REF!</v>
      </c>
      <c r="H763" s="219" t="e">
        <f t="shared" si="86"/>
        <v>#REF!</v>
      </c>
      <c r="I763" s="219" t="e">
        <f t="shared" si="87"/>
        <v>#REF!</v>
      </c>
      <c r="J763" s="219" t="e">
        <f>IF(I763="","",VLOOKUP(LEFT(C763,1),dadosexternosBMF_1!$L$2:$M$13,2,FALSE))</f>
        <v>#REF!</v>
      </c>
      <c r="K763" s="219" t="e">
        <f t="shared" si="88"/>
        <v>#REF!</v>
      </c>
      <c r="L763" s="422" t="e">
        <f t="shared" si="89"/>
        <v>#REF!</v>
      </c>
      <c r="M763" s="422" t="e">
        <f>IF(I763="","",WORKDAY(L763-1,1,FERIADOS!$A$2:$A$831))</f>
        <v>#REF!</v>
      </c>
      <c r="N763" s="219" t="e">
        <f>IF(I763="","",NETWORKDAYS(Curva!$M$2,M763,FERIADOS!$A$2:$A$831)-1)</f>
        <v>#REF!</v>
      </c>
      <c r="O763" s="423" t="e">
        <f>IF(C763&lt;&gt;"",IF(ISERROR((100000/E763)^(252/N763)-1),Curva!$B$2,((100000/E763)^(252/N763)-1)),"")</f>
        <v>#REF!</v>
      </c>
      <c r="P763" s="219" t="e">
        <f>IF(OR(G763=1,G763=2),dadosexternosBMF_1!B766,"")</f>
        <v>#REF!</v>
      </c>
      <c r="Q763" s="219" t="e">
        <f>IF(OR(G763=1,G763=2),dadosexternosBMF_1!D766,"")</f>
        <v>#REF!</v>
      </c>
    </row>
    <row r="764" spans="1:17" x14ac:dyDescent="0.2">
      <c r="A764" s="222" t="e">
        <f t="shared" si="84"/>
        <v>#REF!</v>
      </c>
      <c r="B764" s="222" t="str">
        <f>IF(dadosexternosBMF_1!A767="DI1 - DI de 1 dia","DI1 - DI de 1 dia","")</f>
        <v/>
      </c>
      <c r="C764" s="222" t="e">
        <f>IF(dadosexternosBMF_1!A767="DOL - Dólar comercial","",IF(C763&lt;&gt;"",dadosexternosBMF_1!B767,IF(dadosexternosBMF_1!A767="DI1 - DI de 1 dia",dadosexternosBMF_1!B767,"")))</f>
        <v>#REF!</v>
      </c>
      <c r="D764" s="222" t="e">
        <f>IF(C764&lt;&gt;"",dadosexternosBMF_1!C767,"")</f>
        <v>#REF!</v>
      </c>
      <c r="E764" s="222" t="e">
        <f>IF(C764&lt;&gt;"",dadosexternosBMF_1!D767,"")</f>
        <v>#REF!</v>
      </c>
      <c r="G764" s="219" t="e">
        <f t="shared" si="85"/>
        <v>#REF!</v>
      </c>
      <c r="H764" s="219" t="e">
        <f t="shared" si="86"/>
        <v>#REF!</v>
      </c>
      <c r="I764" s="219" t="e">
        <f t="shared" si="87"/>
        <v>#REF!</v>
      </c>
      <c r="J764" s="219" t="e">
        <f>IF(I764="","",VLOOKUP(LEFT(C764,1),dadosexternosBMF_1!$L$2:$M$13,2,FALSE))</f>
        <v>#REF!</v>
      </c>
      <c r="K764" s="219" t="e">
        <f t="shared" si="88"/>
        <v>#REF!</v>
      </c>
      <c r="L764" s="422" t="e">
        <f t="shared" si="89"/>
        <v>#REF!</v>
      </c>
      <c r="M764" s="422" t="e">
        <f>IF(I764="","",WORKDAY(L764-1,1,FERIADOS!$A$2:$A$831))</f>
        <v>#REF!</v>
      </c>
      <c r="N764" s="219" t="e">
        <f>IF(I764="","",NETWORKDAYS(Curva!$M$2,M764,FERIADOS!$A$2:$A$831)-1)</f>
        <v>#REF!</v>
      </c>
      <c r="O764" s="423" t="e">
        <f>IF(C764&lt;&gt;"",IF(ISERROR((100000/E764)^(252/N764)-1),Curva!$B$2,((100000/E764)^(252/N764)-1)),"")</f>
        <v>#REF!</v>
      </c>
      <c r="P764" s="219" t="e">
        <f>IF(OR(G764=1,G764=2),dadosexternosBMF_1!B767,"")</f>
        <v>#REF!</v>
      </c>
      <c r="Q764" s="219" t="e">
        <f>IF(OR(G764=1,G764=2),dadosexternosBMF_1!D767,"")</f>
        <v>#REF!</v>
      </c>
    </row>
    <row r="765" spans="1:17" x14ac:dyDescent="0.2">
      <c r="A765" s="222" t="e">
        <f t="shared" si="84"/>
        <v>#REF!</v>
      </c>
      <c r="B765" s="222" t="str">
        <f>IF(dadosexternosBMF_1!A768="DI1 - DI de 1 dia","DI1 - DI de 1 dia","")</f>
        <v/>
      </c>
      <c r="C765" s="222" t="e">
        <f>IF(dadosexternosBMF_1!A768="DOL - Dólar comercial","",IF(C764&lt;&gt;"",dadosexternosBMF_1!B768,IF(dadosexternosBMF_1!A768="DI1 - DI de 1 dia",dadosexternosBMF_1!B768,"")))</f>
        <v>#REF!</v>
      </c>
      <c r="D765" s="222" t="e">
        <f>IF(C765&lt;&gt;"",dadosexternosBMF_1!C768,"")</f>
        <v>#REF!</v>
      </c>
      <c r="E765" s="222" t="e">
        <f>IF(C765&lt;&gt;"",dadosexternosBMF_1!D768,"")</f>
        <v>#REF!</v>
      </c>
      <c r="G765" s="219" t="e">
        <f t="shared" si="85"/>
        <v>#REF!</v>
      </c>
      <c r="H765" s="219" t="e">
        <f t="shared" si="86"/>
        <v>#REF!</v>
      </c>
      <c r="I765" s="219" t="e">
        <f t="shared" si="87"/>
        <v>#REF!</v>
      </c>
      <c r="J765" s="219" t="e">
        <f>IF(I765="","",VLOOKUP(LEFT(C765,1),dadosexternosBMF_1!$L$2:$M$13,2,FALSE))</f>
        <v>#REF!</v>
      </c>
      <c r="K765" s="219" t="e">
        <f t="shared" si="88"/>
        <v>#REF!</v>
      </c>
      <c r="L765" s="422" t="e">
        <f t="shared" si="89"/>
        <v>#REF!</v>
      </c>
      <c r="M765" s="422" t="e">
        <f>IF(I765="","",WORKDAY(L765-1,1,FERIADOS!$A$2:$A$831))</f>
        <v>#REF!</v>
      </c>
      <c r="N765" s="219" t="e">
        <f>IF(I765="","",NETWORKDAYS(Curva!$M$2,M765,FERIADOS!$A$2:$A$831)-1)</f>
        <v>#REF!</v>
      </c>
      <c r="O765" s="423" t="e">
        <f>IF(C765&lt;&gt;"",IF(ISERROR((100000/E765)^(252/N765)-1),Curva!$B$2,((100000/E765)^(252/N765)-1)),"")</f>
        <v>#REF!</v>
      </c>
      <c r="P765" s="219" t="e">
        <f>IF(OR(G765=1,G765=2),dadosexternosBMF_1!B768,"")</f>
        <v>#REF!</v>
      </c>
      <c r="Q765" s="219" t="e">
        <f>IF(OR(G765=1,G765=2),dadosexternosBMF_1!D768,"")</f>
        <v>#REF!</v>
      </c>
    </row>
    <row r="766" spans="1:17" x14ac:dyDescent="0.2">
      <c r="A766" s="222" t="e">
        <f t="shared" si="84"/>
        <v>#REF!</v>
      </c>
      <c r="B766" s="222" t="str">
        <f>IF(dadosexternosBMF_1!A769="DI1 - DI de 1 dia","DI1 - DI de 1 dia","")</f>
        <v/>
      </c>
      <c r="C766" s="222" t="e">
        <f>IF(dadosexternosBMF_1!A769="DOL - Dólar comercial","",IF(C765&lt;&gt;"",dadosexternosBMF_1!B769,IF(dadosexternosBMF_1!A769="DI1 - DI de 1 dia",dadosexternosBMF_1!B769,"")))</f>
        <v>#REF!</v>
      </c>
      <c r="D766" s="222" t="e">
        <f>IF(C766&lt;&gt;"",dadosexternosBMF_1!C769,"")</f>
        <v>#REF!</v>
      </c>
      <c r="E766" s="222" t="e">
        <f>IF(C766&lt;&gt;"",dadosexternosBMF_1!D769,"")</f>
        <v>#REF!</v>
      </c>
      <c r="G766" s="219" t="e">
        <f t="shared" si="85"/>
        <v>#REF!</v>
      </c>
      <c r="H766" s="219" t="e">
        <f t="shared" si="86"/>
        <v>#REF!</v>
      </c>
      <c r="I766" s="219" t="e">
        <f t="shared" si="87"/>
        <v>#REF!</v>
      </c>
      <c r="J766" s="219" t="e">
        <f>IF(I766="","",VLOOKUP(LEFT(C766,1),dadosexternosBMF_1!$L$2:$M$13,2,FALSE))</f>
        <v>#REF!</v>
      </c>
      <c r="K766" s="219" t="e">
        <f t="shared" si="88"/>
        <v>#REF!</v>
      </c>
      <c r="L766" s="422" t="e">
        <f t="shared" si="89"/>
        <v>#REF!</v>
      </c>
      <c r="M766" s="422" t="e">
        <f>IF(I766="","",WORKDAY(L766-1,1,FERIADOS!$A$2:$A$831))</f>
        <v>#REF!</v>
      </c>
      <c r="N766" s="219" t="e">
        <f>IF(I766="","",NETWORKDAYS(Curva!$M$2,M766,FERIADOS!$A$2:$A$831)-1)</f>
        <v>#REF!</v>
      </c>
      <c r="O766" s="423" t="e">
        <f>IF(C766&lt;&gt;"",IF(ISERROR((100000/E766)^(252/N766)-1),Curva!$B$2,((100000/E766)^(252/N766)-1)),"")</f>
        <v>#REF!</v>
      </c>
      <c r="P766" s="219" t="e">
        <f>IF(OR(G766=1,G766=2),dadosexternosBMF_1!B769,"")</f>
        <v>#REF!</v>
      </c>
      <c r="Q766" s="219" t="e">
        <f>IF(OR(G766=1,G766=2),dadosexternosBMF_1!D769,"")</f>
        <v>#REF!</v>
      </c>
    </row>
    <row r="767" spans="1:17" x14ac:dyDescent="0.2">
      <c r="A767" s="222" t="e">
        <f t="shared" si="84"/>
        <v>#REF!</v>
      </c>
      <c r="B767" s="222" t="str">
        <f>IF(dadosexternosBMF_1!A770="DI1 - DI de 1 dia","DI1 - DI de 1 dia","")</f>
        <v/>
      </c>
      <c r="C767" s="222" t="e">
        <f>IF(dadosexternosBMF_1!A770="DOL - Dólar comercial","",IF(C766&lt;&gt;"",dadosexternosBMF_1!B770,IF(dadosexternosBMF_1!A770="DI1 - DI de 1 dia",dadosexternosBMF_1!B770,"")))</f>
        <v>#REF!</v>
      </c>
      <c r="D767" s="222" t="e">
        <f>IF(C767&lt;&gt;"",dadosexternosBMF_1!C770,"")</f>
        <v>#REF!</v>
      </c>
      <c r="E767" s="222" t="e">
        <f>IF(C767&lt;&gt;"",dadosexternosBMF_1!D770,"")</f>
        <v>#REF!</v>
      </c>
      <c r="G767" s="219" t="e">
        <f t="shared" si="85"/>
        <v>#REF!</v>
      </c>
      <c r="H767" s="219" t="e">
        <f t="shared" si="86"/>
        <v>#REF!</v>
      </c>
      <c r="I767" s="219" t="e">
        <f t="shared" si="87"/>
        <v>#REF!</v>
      </c>
      <c r="J767" s="219" t="e">
        <f>IF(I767="","",VLOOKUP(LEFT(C767,1),dadosexternosBMF_1!$L$2:$M$13,2,FALSE))</f>
        <v>#REF!</v>
      </c>
      <c r="K767" s="219" t="e">
        <f t="shared" si="88"/>
        <v>#REF!</v>
      </c>
      <c r="L767" s="422" t="e">
        <f t="shared" si="89"/>
        <v>#REF!</v>
      </c>
      <c r="M767" s="422" t="e">
        <f>IF(I767="","",WORKDAY(L767-1,1,FERIADOS!$A$2:$A$831))</f>
        <v>#REF!</v>
      </c>
      <c r="N767" s="219" t="e">
        <f>IF(I767="","",NETWORKDAYS(Curva!$M$2,M767,FERIADOS!$A$2:$A$831)-1)</f>
        <v>#REF!</v>
      </c>
      <c r="O767" s="423" t="e">
        <f>IF(C767&lt;&gt;"",IF(ISERROR((100000/E767)^(252/N767)-1),Curva!$B$2,((100000/E767)^(252/N767)-1)),"")</f>
        <v>#REF!</v>
      </c>
      <c r="P767" s="219" t="e">
        <f>IF(OR(G767=1,G767=2),dadosexternosBMF_1!B770,"")</f>
        <v>#REF!</v>
      </c>
      <c r="Q767" s="219" t="e">
        <f>IF(OR(G767=1,G767=2),dadosexternosBMF_1!D770,"")</f>
        <v>#REF!</v>
      </c>
    </row>
    <row r="768" spans="1:17" x14ac:dyDescent="0.2">
      <c r="A768" s="222" t="e">
        <f t="shared" si="84"/>
        <v>#REF!</v>
      </c>
      <c r="B768" s="222" t="str">
        <f>IF(dadosexternosBMF_1!A771="DI1 - DI de 1 dia","DI1 - DI de 1 dia","")</f>
        <v/>
      </c>
      <c r="C768" s="222" t="e">
        <f>IF(dadosexternosBMF_1!A771="DOL - Dólar comercial","",IF(C767&lt;&gt;"",dadosexternosBMF_1!B771,IF(dadosexternosBMF_1!A771="DI1 - DI de 1 dia",dadosexternosBMF_1!B771,"")))</f>
        <v>#REF!</v>
      </c>
      <c r="D768" s="222" t="e">
        <f>IF(C768&lt;&gt;"",dadosexternosBMF_1!C771,"")</f>
        <v>#REF!</v>
      </c>
      <c r="E768" s="222" t="e">
        <f>IF(C768&lt;&gt;"",dadosexternosBMF_1!D771,"")</f>
        <v>#REF!</v>
      </c>
      <c r="G768" s="219" t="e">
        <f t="shared" si="85"/>
        <v>#REF!</v>
      </c>
      <c r="H768" s="219" t="e">
        <f t="shared" si="86"/>
        <v>#REF!</v>
      </c>
      <c r="I768" s="219" t="e">
        <f t="shared" si="87"/>
        <v>#REF!</v>
      </c>
      <c r="J768" s="219" t="e">
        <f>IF(I768="","",VLOOKUP(LEFT(C768,1),dadosexternosBMF_1!$L$2:$M$13,2,FALSE))</f>
        <v>#REF!</v>
      </c>
      <c r="K768" s="219" t="e">
        <f t="shared" si="88"/>
        <v>#REF!</v>
      </c>
      <c r="L768" s="422" t="e">
        <f t="shared" si="89"/>
        <v>#REF!</v>
      </c>
      <c r="M768" s="422" t="e">
        <f>IF(I768="","",WORKDAY(L768-1,1,FERIADOS!$A$2:$A$831))</f>
        <v>#REF!</v>
      </c>
      <c r="N768" s="219" t="e">
        <f>IF(I768="","",NETWORKDAYS(Curva!$M$2,M768,FERIADOS!$A$2:$A$831)-1)</f>
        <v>#REF!</v>
      </c>
      <c r="O768" s="423" t="e">
        <f>IF(C768&lt;&gt;"",IF(ISERROR((100000/E768)^(252/N768)-1),Curva!$B$2,((100000/E768)^(252/N768)-1)),"")</f>
        <v>#REF!</v>
      </c>
      <c r="P768" s="219" t="e">
        <f>IF(OR(G768=1,G768=2),dadosexternosBMF_1!B771,"")</f>
        <v>#REF!</v>
      </c>
      <c r="Q768" s="219" t="e">
        <f>IF(OR(G768=1,G768=2),dadosexternosBMF_1!D771,"")</f>
        <v>#REF!</v>
      </c>
    </row>
    <row r="769" spans="1:17" x14ac:dyDescent="0.2">
      <c r="A769" s="222" t="e">
        <f t="shared" si="84"/>
        <v>#REF!</v>
      </c>
      <c r="B769" s="222" t="str">
        <f>IF(dadosexternosBMF_1!A772="DI1 - DI de 1 dia","DI1 - DI de 1 dia","")</f>
        <v/>
      </c>
      <c r="C769" s="222" t="e">
        <f>IF(dadosexternosBMF_1!A772="DOL - Dólar comercial","",IF(C768&lt;&gt;"",dadosexternosBMF_1!B772,IF(dadosexternosBMF_1!A772="DI1 - DI de 1 dia",dadosexternosBMF_1!B772,"")))</f>
        <v>#REF!</v>
      </c>
      <c r="D769" s="222" t="e">
        <f>IF(C769&lt;&gt;"",dadosexternosBMF_1!C772,"")</f>
        <v>#REF!</v>
      </c>
      <c r="E769" s="222" t="e">
        <f>IF(C769&lt;&gt;"",dadosexternosBMF_1!D772,"")</f>
        <v>#REF!</v>
      </c>
      <c r="G769" s="219" t="e">
        <f t="shared" si="85"/>
        <v>#REF!</v>
      </c>
      <c r="H769" s="219" t="e">
        <f t="shared" si="86"/>
        <v>#REF!</v>
      </c>
      <c r="I769" s="219" t="e">
        <f t="shared" si="87"/>
        <v>#REF!</v>
      </c>
      <c r="J769" s="219" t="e">
        <f>IF(I769="","",VLOOKUP(LEFT(C769,1),dadosexternosBMF_1!$L$2:$M$13,2,FALSE))</f>
        <v>#REF!</v>
      </c>
      <c r="K769" s="219" t="e">
        <f t="shared" si="88"/>
        <v>#REF!</v>
      </c>
      <c r="L769" s="422" t="e">
        <f t="shared" si="89"/>
        <v>#REF!</v>
      </c>
      <c r="M769" s="422" t="e">
        <f>IF(I769="","",WORKDAY(L769-1,1,FERIADOS!$A$2:$A$831))</f>
        <v>#REF!</v>
      </c>
      <c r="N769" s="219" t="e">
        <f>IF(I769="","",NETWORKDAYS(Curva!$M$2,M769,FERIADOS!$A$2:$A$831)-1)</f>
        <v>#REF!</v>
      </c>
      <c r="O769" s="423" t="e">
        <f>IF(C769&lt;&gt;"",IF(ISERROR((100000/E769)^(252/N769)-1),Curva!$B$2,((100000/E769)^(252/N769)-1)),"")</f>
        <v>#REF!</v>
      </c>
      <c r="P769" s="219" t="e">
        <f>IF(OR(G769=1,G769=2),dadosexternosBMF_1!B772,"")</f>
        <v>#REF!</v>
      </c>
      <c r="Q769" s="219" t="e">
        <f>IF(OR(G769=1,G769=2),dadosexternosBMF_1!D772,"")</f>
        <v>#REF!</v>
      </c>
    </row>
    <row r="770" spans="1:17" x14ac:dyDescent="0.2">
      <c r="A770" s="222" t="e">
        <f t="shared" si="84"/>
        <v>#REF!</v>
      </c>
      <c r="B770" s="222" t="str">
        <f>IF(dadosexternosBMF_1!A773="DI1 - DI de 1 dia","DI1 - DI de 1 dia","")</f>
        <v/>
      </c>
      <c r="C770" s="222" t="e">
        <f>IF(dadosexternosBMF_1!A773="DOL - Dólar comercial","",IF(C769&lt;&gt;"",dadosexternosBMF_1!B773,IF(dadosexternosBMF_1!A773="DI1 - DI de 1 dia",dadosexternosBMF_1!B773,"")))</f>
        <v>#REF!</v>
      </c>
      <c r="D770" s="222" t="e">
        <f>IF(C770&lt;&gt;"",dadosexternosBMF_1!C773,"")</f>
        <v>#REF!</v>
      </c>
      <c r="E770" s="222" t="e">
        <f>IF(C770&lt;&gt;"",dadosexternosBMF_1!D773,"")</f>
        <v>#REF!</v>
      </c>
      <c r="G770" s="219" t="e">
        <f t="shared" si="85"/>
        <v>#REF!</v>
      </c>
      <c r="H770" s="219" t="e">
        <f t="shared" si="86"/>
        <v>#REF!</v>
      </c>
      <c r="I770" s="219" t="e">
        <f t="shared" si="87"/>
        <v>#REF!</v>
      </c>
      <c r="J770" s="219" t="e">
        <f>IF(I770="","",VLOOKUP(LEFT(C770,1),dadosexternosBMF_1!$L$2:$M$13,2,FALSE))</f>
        <v>#REF!</v>
      </c>
      <c r="K770" s="219" t="e">
        <f t="shared" si="88"/>
        <v>#REF!</v>
      </c>
      <c r="L770" s="422" t="e">
        <f t="shared" si="89"/>
        <v>#REF!</v>
      </c>
      <c r="M770" s="422" t="e">
        <f>IF(I770="","",WORKDAY(L770-1,1,FERIADOS!$A$2:$A$831))</f>
        <v>#REF!</v>
      </c>
      <c r="N770" s="219" t="e">
        <f>IF(I770="","",NETWORKDAYS(Curva!$M$2,M770,FERIADOS!$A$2:$A$831)-1)</f>
        <v>#REF!</v>
      </c>
      <c r="O770" s="423" t="e">
        <f>IF(C770&lt;&gt;"",IF(ISERROR((100000/E770)^(252/N770)-1),Curva!$B$2,((100000/E770)^(252/N770)-1)),"")</f>
        <v>#REF!</v>
      </c>
      <c r="P770" s="219" t="e">
        <f>IF(OR(G770=1,G770=2),dadosexternosBMF_1!B773,"")</f>
        <v>#REF!</v>
      </c>
      <c r="Q770" s="219" t="e">
        <f>IF(OR(G770=1,G770=2),dadosexternosBMF_1!D773,"")</f>
        <v>#REF!</v>
      </c>
    </row>
    <row r="771" spans="1:17" x14ac:dyDescent="0.2">
      <c r="A771" s="222" t="e">
        <f t="shared" si="84"/>
        <v>#REF!</v>
      </c>
      <c r="B771" s="222" t="str">
        <f>IF(dadosexternosBMF_1!A774="DI1 - DI de 1 dia","DI1 - DI de 1 dia","")</f>
        <v/>
      </c>
      <c r="C771" s="222" t="e">
        <f>IF(dadosexternosBMF_1!A774="DOL - Dólar comercial","",IF(C770&lt;&gt;"",dadosexternosBMF_1!B774,IF(dadosexternosBMF_1!A774="DI1 - DI de 1 dia",dadosexternosBMF_1!B774,"")))</f>
        <v>#REF!</v>
      </c>
      <c r="D771" s="222" t="e">
        <f>IF(C771&lt;&gt;"",dadosexternosBMF_1!C774,"")</f>
        <v>#REF!</v>
      </c>
      <c r="E771" s="222" t="e">
        <f>IF(C771&lt;&gt;"",dadosexternosBMF_1!D774,"")</f>
        <v>#REF!</v>
      </c>
      <c r="G771" s="219" t="e">
        <f t="shared" si="85"/>
        <v>#REF!</v>
      </c>
      <c r="H771" s="219" t="e">
        <f t="shared" si="86"/>
        <v>#REF!</v>
      </c>
      <c r="I771" s="219" t="e">
        <f t="shared" si="87"/>
        <v>#REF!</v>
      </c>
      <c r="J771" s="219" t="e">
        <f>IF(I771="","",VLOOKUP(LEFT(C771,1),dadosexternosBMF_1!$L$2:$M$13,2,FALSE))</f>
        <v>#REF!</v>
      </c>
      <c r="K771" s="219" t="e">
        <f t="shared" si="88"/>
        <v>#REF!</v>
      </c>
      <c r="L771" s="422" t="e">
        <f t="shared" si="89"/>
        <v>#REF!</v>
      </c>
      <c r="M771" s="422" t="e">
        <f>IF(I771="","",WORKDAY(L771-1,1,FERIADOS!$A$2:$A$831))</f>
        <v>#REF!</v>
      </c>
      <c r="N771" s="219" t="e">
        <f>IF(I771="","",NETWORKDAYS(Curva!$M$2,M771,FERIADOS!$A$2:$A$831)-1)</f>
        <v>#REF!</v>
      </c>
      <c r="O771" s="423" t="e">
        <f>IF(C771&lt;&gt;"",IF(ISERROR((100000/E771)^(252/N771)-1),Curva!$B$2,((100000/E771)^(252/N771)-1)),"")</f>
        <v>#REF!</v>
      </c>
      <c r="P771" s="219" t="e">
        <f>IF(OR(G771=1,G771=2),dadosexternosBMF_1!B774,"")</f>
        <v>#REF!</v>
      </c>
      <c r="Q771" s="219" t="e">
        <f>IF(OR(G771=1,G771=2),dadosexternosBMF_1!D774,"")</f>
        <v>#REF!</v>
      </c>
    </row>
    <row r="772" spans="1:17" x14ac:dyDescent="0.2">
      <c r="A772" s="222" t="e">
        <f t="shared" si="84"/>
        <v>#REF!</v>
      </c>
      <c r="B772" s="222" t="str">
        <f>IF(dadosexternosBMF_1!A775="DI1 - DI de 1 dia","DI1 - DI de 1 dia","")</f>
        <v/>
      </c>
      <c r="C772" s="222" t="e">
        <f>IF(dadosexternosBMF_1!A775="DOL - Dólar comercial","",IF(C771&lt;&gt;"",dadosexternosBMF_1!B775,IF(dadosexternosBMF_1!A775="DI1 - DI de 1 dia",dadosexternosBMF_1!B775,"")))</f>
        <v>#REF!</v>
      </c>
      <c r="D772" s="222" t="e">
        <f>IF(C772&lt;&gt;"",dadosexternosBMF_1!C775,"")</f>
        <v>#REF!</v>
      </c>
      <c r="E772" s="222" t="e">
        <f>IF(C772&lt;&gt;"",dadosexternosBMF_1!D775,"")</f>
        <v>#REF!</v>
      </c>
      <c r="G772" s="219" t="e">
        <f t="shared" si="85"/>
        <v>#REF!</v>
      </c>
      <c r="H772" s="219" t="e">
        <f t="shared" si="86"/>
        <v>#REF!</v>
      </c>
      <c r="I772" s="219" t="e">
        <f t="shared" si="87"/>
        <v>#REF!</v>
      </c>
      <c r="J772" s="219" t="e">
        <f>IF(I772="","",VLOOKUP(LEFT(C772,1),dadosexternosBMF_1!$L$2:$M$13,2,FALSE))</f>
        <v>#REF!</v>
      </c>
      <c r="K772" s="219" t="e">
        <f t="shared" si="88"/>
        <v>#REF!</v>
      </c>
      <c r="L772" s="422" t="e">
        <f t="shared" si="89"/>
        <v>#REF!</v>
      </c>
      <c r="M772" s="422" t="e">
        <f>IF(I772="","",WORKDAY(L772-1,1,FERIADOS!$A$2:$A$831))</f>
        <v>#REF!</v>
      </c>
      <c r="N772" s="219" t="e">
        <f>IF(I772="","",NETWORKDAYS(Curva!$M$2,M772,FERIADOS!$A$2:$A$831)-1)</f>
        <v>#REF!</v>
      </c>
      <c r="O772" s="423" t="e">
        <f>IF(C772&lt;&gt;"",IF(ISERROR((100000/E772)^(252/N772)-1),Curva!$B$2,((100000/E772)^(252/N772)-1)),"")</f>
        <v>#REF!</v>
      </c>
      <c r="P772" s="219" t="e">
        <f>IF(OR(G772=1,G772=2),dadosexternosBMF_1!B775,"")</f>
        <v>#REF!</v>
      </c>
      <c r="Q772" s="219" t="e">
        <f>IF(OR(G772=1,G772=2),dadosexternosBMF_1!D775,"")</f>
        <v>#REF!</v>
      </c>
    </row>
    <row r="773" spans="1:17" x14ac:dyDescent="0.2">
      <c r="A773" s="222" t="e">
        <f t="shared" si="84"/>
        <v>#REF!</v>
      </c>
      <c r="B773" s="222" t="str">
        <f>IF(dadosexternosBMF_1!A776="DI1 - DI de 1 dia","DI1 - DI de 1 dia","")</f>
        <v/>
      </c>
      <c r="C773" s="222" t="e">
        <f>IF(dadosexternosBMF_1!A776="DOL - Dólar comercial","",IF(C772&lt;&gt;"",dadosexternosBMF_1!B776,IF(dadosexternosBMF_1!A776="DI1 - DI de 1 dia",dadosexternosBMF_1!B776,"")))</f>
        <v>#REF!</v>
      </c>
      <c r="D773" s="222" t="e">
        <f>IF(C773&lt;&gt;"",dadosexternosBMF_1!C776,"")</f>
        <v>#REF!</v>
      </c>
      <c r="E773" s="222" t="e">
        <f>IF(C773&lt;&gt;"",dadosexternosBMF_1!D776,"")</f>
        <v>#REF!</v>
      </c>
      <c r="G773" s="219" t="e">
        <f t="shared" si="85"/>
        <v>#REF!</v>
      </c>
      <c r="H773" s="219" t="e">
        <f t="shared" si="86"/>
        <v>#REF!</v>
      </c>
      <c r="I773" s="219" t="e">
        <f t="shared" si="87"/>
        <v>#REF!</v>
      </c>
      <c r="J773" s="219" t="e">
        <f>IF(I773="","",VLOOKUP(LEFT(C773,1),dadosexternosBMF_1!$L$2:$M$13,2,FALSE))</f>
        <v>#REF!</v>
      </c>
      <c r="K773" s="219" t="e">
        <f t="shared" si="88"/>
        <v>#REF!</v>
      </c>
      <c r="L773" s="422" t="e">
        <f t="shared" si="89"/>
        <v>#REF!</v>
      </c>
      <c r="M773" s="422" t="e">
        <f>IF(I773="","",WORKDAY(L773-1,1,FERIADOS!$A$2:$A$831))</f>
        <v>#REF!</v>
      </c>
      <c r="N773" s="219" t="e">
        <f>IF(I773="","",NETWORKDAYS(Curva!$M$2,M773,FERIADOS!$A$2:$A$831)-1)</f>
        <v>#REF!</v>
      </c>
      <c r="O773" s="423" t="e">
        <f>IF(C773&lt;&gt;"",IF(ISERROR((100000/E773)^(252/N773)-1),Curva!$B$2,((100000/E773)^(252/N773)-1)),"")</f>
        <v>#REF!</v>
      </c>
      <c r="P773" s="219" t="e">
        <f>IF(OR(G773=1,G773=2),dadosexternosBMF_1!B776,"")</f>
        <v>#REF!</v>
      </c>
      <c r="Q773" s="219" t="e">
        <f>IF(OR(G773=1,G773=2),dadosexternosBMF_1!D776,"")</f>
        <v>#REF!</v>
      </c>
    </row>
    <row r="774" spans="1:17" x14ac:dyDescent="0.2">
      <c r="A774" s="222" t="e">
        <f t="shared" si="84"/>
        <v>#REF!</v>
      </c>
      <c r="B774" s="222" t="str">
        <f>IF(dadosexternosBMF_1!A777="DI1 - DI de 1 dia","DI1 - DI de 1 dia","")</f>
        <v/>
      </c>
      <c r="C774" s="222" t="e">
        <f>IF(dadosexternosBMF_1!A777="DOL - Dólar comercial","",IF(C773&lt;&gt;"",dadosexternosBMF_1!B777,IF(dadosexternosBMF_1!A777="DI1 - DI de 1 dia",dadosexternosBMF_1!B777,"")))</f>
        <v>#REF!</v>
      </c>
      <c r="D774" s="222" t="e">
        <f>IF(C774&lt;&gt;"",dadosexternosBMF_1!C777,"")</f>
        <v>#REF!</v>
      </c>
      <c r="E774" s="222" t="e">
        <f>IF(C774&lt;&gt;"",dadosexternosBMF_1!D777,"")</f>
        <v>#REF!</v>
      </c>
      <c r="G774" s="219" t="e">
        <f t="shared" si="85"/>
        <v>#REF!</v>
      </c>
      <c r="H774" s="219" t="e">
        <f t="shared" si="86"/>
        <v>#REF!</v>
      </c>
      <c r="I774" s="219" t="e">
        <f t="shared" si="87"/>
        <v>#REF!</v>
      </c>
      <c r="J774" s="219" t="e">
        <f>IF(I774="","",VLOOKUP(LEFT(C774,1),dadosexternosBMF_1!$L$2:$M$13,2,FALSE))</f>
        <v>#REF!</v>
      </c>
      <c r="K774" s="219" t="e">
        <f t="shared" si="88"/>
        <v>#REF!</v>
      </c>
      <c r="L774" s="422" t="e">
        <f t="shared" si="89"/>
        <v>#REF!</v>
      </c>
      <c r="M774" s="422" t="e">
        <f>IF(I774="","",WORKDAY(L774-1,1,FERIADOS!$A$2:$A$831))</f>
        <v>#REF!</v>
      </c>
      <c r="N774" s="219" t="e">
        <f>IF(I774="","",NETWORKDAYS(Curva!$M$2,M774,FERIADOS!$A$2:$A$831)-1)</f>
        <v>#REF!</v>
      </c>
      <c r="O774" s="423" t="e">
        <f>IF(C774&lt;&gt;"",IF(ISERROR((100000/E774)^(252/N774)-1),Curva!$B$2,((100000/E774)^(252/N774)-1)),"")</f>
        <v>#REF!</v>
      </c>
      <c r="P774" s="219" t="e">
        <f>IF(OR(G774=1,G774=2),dadosexternosBMF_1!B777,"")</f>
        <v>#REF!</v>
      </c>
      <c r="Q774" s="219" t="e">
        <f>IF(OR(G774=1,G774=2),dadosexternosBMF_1!D777,"")</f>
        <v>#REF!</v>
      </c>
    </row>
    <row r="775" spans="1:17" x14ac:dyDescent="0.2">
      <c r="A775" s="222" t="e">
        <f t="shared" si="84"/>
        <v>#REF!</v>
      </c>
      <c r="B775" s="222" t="str">
        <f>IF(dadosexternosBMF_1!A778="DI1 - DI de 1 dia","DI1 - DI de 1 dia","")</f>
        <v/>
      </c>
      <c r="C775" s="222" t="e">
        <f>IF(dadosexternosBMF_1!A778="DOL - Dólar comercial","",IF(C774&lt;&gt;"",dadosexternosBMF_1!B778,IF(dadosexternosBMF_1!A778="DI1 - DI de 1 dia",dadosexternosBMF_1!B778,"")))</f>
        <v>#REF!</v>
      </c>
      <c r="D775" s="222" t="e">
        <f>IF(C775&lt;&gt;"",dadosexternosBMF_1!C778,"")</f>
        <v>#REF!</v>
      </c>
      <c r="E775" s="222" t="e">
        <f>IF(C775&lt;&gt;"",dadosexternosBMF_1!D778,"")</f>
        <v>#REF!</v>
      </c>
      <c r="G775" s="219" t="e">
        <f t="shared" si="85"/>
        <v>#REF!</v>
      </c>
      <c r="H775" s="219" t="e">
        <f t="shared" si="86"/>
        <v>#REF!</v>
      </c>
      <c r="I775" s="219" t="e">
        <f t="shared" si="87"/>
        <v>#REF!</v>
      </c>
      <c r="J775" s="219" t="e">
        <f>IF(I775="","",VLOOKUP(LEFT(C775,1),dadosexternosBMF_1!$L$2:$M$13,2,FALSE))</f>
        <v>#REF!</v>
      </c>
      <c r="K775" s="219" t="e">
        <f t="shared" si="88"/>
        <v>#REF!</v>
      </c>
      <c r="L775" s="422" t="e">
        <f t="shared" si="89"/>
        <v>#REF!</v>
      </c>
      <c r="M775" s="422" t="e">
        <f>IF(I775="","",WORKDAY(L775-1,1,FERIADOS!$A$2:$A$831))</f>
        <v>#REF!</v>
      </c>
      <c r="N775" s="219" t="e">
        <f>IF(I775="","",NETWORKDAYS(Curva!$M$2,M775,FERIADOS!$A$2:$A$831)-1)</f>
        <v>#REF!</v>
      </c>
      <c r="O775" s="423" t="e">
        <f>IF(C775&lt;&gt;"",IF(ISERROR((100000/E775)^(252/N775)-1),Curva!$B$2,((100000/E775)^(252/N775)-1)),"")</f>
        <v>#REF!</v>
      </c>
      <c r="P775" s="219" t="e">
        <f>IF(OR(G775=1,G775=2),dadosexternosBMF_1!B778,"")</f>
        <v>#REF!</v>
      </c>
      <c r="Q775" s="219" t="e">
        <f>IF(OR(G775=1,G775=2),dadosexternosBMF_1!D778,"")</f>
        <v>#REF!</v>
      </c>
    </row>
    <row r="776" spans="1:17" x14ac:dyDescent="0.2">
      <c r="A776" s="222" t="e">
        <f t="shared" si="84"/>
        <v>#REF!</v>
      </c>
      <c r="B776" s="222" t="str">
        <f>IF(dadosexternosBMF_1!A779="DI1 - DI de 1 dia","DI1 - DI de 1 dia","")</f>
        <v/>
      </c>
      <c r="C776" s="222" t="e">
        <f>IF(dadosexternosBMF_1!A779="DOL - Dólar comercial","",IF(C775&lt;&gt;"",dadosexternosBMF_1!B779,IF(dadosexternosBMF_1!A779="DI1 - DI de 1 dia",dadosexternosBMF_1!B779,"")))</f>
        <v>#REF!</v>
      </c>
      <c r="D776" s="222" t="e">
        <f>IF(C776&lt;&gt;"",dadosexternosBMF_1!C779,"")</f>
        <v>#REF!</v>
      </c>
      <c r="E776" s="222" t="e">
        <f>IF(C776&lt;&gt;"",dadosexternosBMF_1!D779,"")</f>
        <v>#REF!</v>
      </c>
      <c r="G776" s="219" t="e">
        <f t="shared" si="85"/>
        <v>#REF!</v>
      </c>
      <c r="H776" s="219" t="e">
        <f t="shared" si="86"/>
        <v>#REF!</v>
      </c>
      <c r="I776" s="219" t="e">
        <f t="shared" si="87"/>
        <v>#REF!</v>
      </c>
      <c r="J776" s="219" t="e">
        <f>IF(I776="","",VLOOKUP(LEFT(C776,1),dadosexternosBMF_1!$L$2:$M$13,2,FALSE))</f>
        <v>#REF!</v>
      </c>
      <c r="K776" s="219" t="e">
        <f t="shared" si="88"/>
        <v>#REF!</v>
      </c>
      <c r="L776" s="422" t="e">
        <f t="shared" si="89"/>
        <v>#REF!</v>
      </c>
      <c r="M776" s="422" t="e">
        <f>IF(I776="","",WORKDAY(L776-1,1,FERIADOS!$A$2:$A$831))</f>
        <v>#REF!</v>
      </c>
      <c r="N776" s="219" t="e">
        <f>IF(I776="","",NETWORKDAYS(Curva!$M$2,M776,FERIADOS!$A$2:$A$831)-1)</f>
        <v>#REF!</v>
      </c>
      <c r="O776" s="423" t="e">
        <f>IF(C776&lt;&gt;"",IF(ISERROR((100000/E776)^(252/N776)-1),Curva!$B$2,((100000/E776)^(252/N776)-1)),"")</f>
        <v>#REF!</v>
      </c>
      <c r="P776" s="219" t="e">
        <f>IF(OR(G776=1,G776=2),dadosexternosBMF_1!B779,"")</f>
        <v>#REF!</v>
      </c>
      <c r="Q776" s="219" t="e">
        <f>IF(OR(G776=1,G776=2),dadosexternosBMF_1!D779,"")</f>
        <v>#REF!</v>
      </c>
    </row>
    <row r="777" spans="1:17" x14ac:dyDescent="0.2">
      <c r="A777" s="222" t="e">
        <f t="shared" si="84"/>
        <v>#REF!</v>
      </c>
      <c r="B777" s="222" t="str">
        <f>IF(dadosexternosBMF_1!A780="DI1 - DI de 1 dia","DI1 - DI de 1 dia","")</f>
        <v/>
      </c>
      <c r="C777" s="222" t="e">
        <f>IF(dadosexternosBMF_1!A780="DOL - Dólar comercial","",IF(C776&lt;&gt;"",dadosexternosBMF_1!B780,IF(dadosexternosBMF_1!A780="DI1 - DI de 1 dia",dadosexternosBMF_1!B780,"")))</f>
        <v>#REF!</v>
      </c>
      <c r="D777" s="222" t="e">
        <f>IF(C777&lt;&gt;"",dadosexternosBMF_1!C780,"")</f>
        <v>#REF!</v>
      </c>
      <c r="E777" s="222" t="e">
        <f>IF(C777&lt;&gt;"",dadosexternosBMF_1!D780,"")</f>
        <v>#REF!</v>
      </c>
      <c r="G777" s="219" t="e">
        <f t="shared" si="85"/>
        <v>#REF!</v>
      </c>
      <c r="H777" s="219" t="e">
        <f t="shared" si="86"/>
        <v>#REF!</v>
      </c>
      <c r="I777" s="219" t="e">
        <f t="shared" si="87"/>
        <v>#REF!</v>
      </c>
      <c r="J777" s="219" t="e">
        <f>IF(I777="","",VLOOKUP(LEFT(C777,1),dadosexternosBMF_1!$L$2:$M$13,2,FALSE))</f>
        <v>#REF!</v>
      </c>
      <c r="K777" s="219" t="e">
        <f t="shared" si="88"/>
        <v>#REF!</v>
      </c>
      <c r="L777" s="422" t="e">
        <f t="shared" si="89"/>
        <v>#REF!</v>
      </c>
      <c r="M777" s="422" t="e">
        <f>IF(I777="","",WORKDAY(L777-1,1,FERIADOS!$A$2:$A$831))</f>
        <v>#REF!</v>
      </c>
      <c r="N777" s="219" t="e">
        <f>IF(I777="","",NETWORKDAYS(Curva!$M$2,M777,FERIADOS!$A$2:$A$831)-1)</f>
        <v>#REF!</v>
      </c>
      <c r="O777" s="423" t="e">
        <f>IF(C777&lt;&gt;"",IF(ISERROR((100000/E777)^(252/N777)-1),Curva!$B$2,((100000/E777)^(252/N777)-1)),"")</f>
        <v>#REF!</v>
      </c>
      <c r="P777" s="219" t="e">
        <f>IF(OR(G777=1,G777=2),dadosexternosBMF_1!B780,"")</f>
        <v>#REF!</v>
      </c>
      <c r="Q777" s="219" t="e">
        <f>IF(OR(G777=1,G777=2),dadosexternosBMF_1!D780,"")</f>
        <v>#REF!</v>
      </c>
    </row>
    <row r="778" spans="1:17" x14ac:dyDescent="0.2">
      <c r="A778" s="222" t="e">
        <f t="shared" si="84"/>
        <v>#REF!</v>
      </c>
      <c r="B778" s="222" t="str">
        <f>IF(dadosexternosBMF_1!A781="DI1 - DI de 1 dia","DI1 - DI de 1 dia","")</f>
        <v/>
      </c>
      <c r="C778" s="222" t="e">
        <f>IF(dadosexternosBMF_1!A781="DOL - Dólar comercial","",IF(C777&lt;&gt;"",dadosexternosBMF_1!B781,IF(dadosexternosBMF_1!A781="DI1 - DI de 1 dia",dadosexternosBMF_1!B781,"")))</f>
        <v>#REF!</v>
      </c>
      <c r="D778" s="222" t="e">
        <f>IF(C778&lt;&gt;"",dadosexternosBMF_1!C781,"")</f>
        <v>#REF!</v>
      </c>
      <c r="E778" s="222" t="e">
        <f>IF(C778&lt;&gt;"",dadosexternosBMF_1!D781,"")</f>
        <v>#REF!</v>
      </c>
      <c r="G778" s="219" t="e">
        <f t="shared" si="85"/>
        <v>#REF!</v>
      </c>
      <c r="H778" s="219" t="e">
        <f t="shared" si="86"/>
        <v>#REF!</v>
      </c>
      <c r="I778" s="219" t="e">
        <f t="shared" si="87"/>
        <v>#REF!</v>
      </c>
      <c r="J778" s="219" t="e">
        <f>IF(I778="","",VLOOKUP(LEFT(C778,1),dadosexternosBMF_1!$L$2:$M$13,2,FALSE))</f>
        <v>#REF!</v>
      </c>
      <c r="K778" s="219" t="e">
        <f t="shared" si="88"/>
        <v>#REF!</v>
      </c>
      <c r="L778" s="422" t="e">
        <f t="shared" si="89"/>
        <v>#REF!</v>
      </c>
      <c r="M778" s="422" t="e">
        <f>IF(I778="","",WORKDAY(L778-1,1,FERIADOS!$A$2:$A$831))</f>
        <v>#REF!</v>
      </c>
      <c r="N778" s="219" t="e">
        <f>IF(I778="","",NETWORKDAYS(Curva!$M$2,M778,FERIADOS!$A$2:$A$831)-1)</f>
        <v>#REF!</v>
      </c>
      <c r="O778" s="423" t="e">
        <f>IF(C778&lt;&gt;"",IF(ISERROR((100000/E778)^(252/N778)-1),Curva!$B$2,((100000/E778)^(252/N778)-1)),"")</f>
        <v>#REF!</v>
      </c>
      <c r="P778" s="219" t="e">
        <f>IF(OR(G778=1,G778=2),dadosexternosBMF_1!B781,"")</f>
        <v>#REF!</v>
      </c>
      <c r="Q778" s="219" t="e">
        <f>IF(OR(G778=1,G778=2),dadosexternosBMF_1!D781,"")</f>
        <v>#REF!</v>
      </c>
    </row>
    <row r="779" spans="1:17" x14ac:dyDescent="0.2">
      <c r="A779" s="222" t="e">
        <f t="shared" si="84"/>
        <v>#REF!</v>
      </c>
      <c r="B779" s="222" t="str">
        <f>IF(dadosexternosBMF_1!A782="DI1 - DI de 1 dia","DI1 - DI de 1 dia","")</f>
        <v/>
      </c>
      <c r="C779" s="222" t="e">
        <f>IF(dadosexternosBMF_1!A782="DOL - Dólar comercial","",IF(C778&lt;&gt;"",dadosexternosBMF_1!B782,IF(dadosexternosBMF_1!A782="DI1 - DI de 1 dia",dadosexternosBMF_1!B782,"")))</f>
        <v>#REF!</v>
      </c>
      <c r="D779" s="222" t="e">
        <f>IF(C779&lt;&gt;"",dadosexternosBMF_1!C782,"")</f>
        <v>#REF!</v>
      </c>
      <c r="E779" s="222" t="e">
        <f>IF(C779&lt;&gt;"",dadosexternosBMF_1!D782,"")</f>
        <v>#REF!</v>
      </c>
      <c r="G779" s="219" t="e">
        <f t="shared" si="85"/>
        <v>#REF!</v>
      </c>
      <c r="H779" s="219" t="e">
        <f t="shared" si="86"/>
        <v>#REF!</v>
      </c>
      <c r="I779" s="219" t="e">
        <f t="shared" si="87"/>
        <v>#REF!</v>
      </c>
      <c r="J779" s="219" t="e">
        <f>IF(I779="","",VLOOKUP(LEFT(C779,1),dadosexternosBMF_1!$L$2:$M$13,2,FALSE))</f>
        <v>#REF!</v>
      </c>
      <c r="K779" s="219" t="e">
        <f t="shared" si="88"/>
        <v>#REF!</v>
      </c>
      <c r="L779" s="422" t="e">
        <f t="shared" si="89"/>
        <v>#REF!</v>
      </c>
      <c r="M779" s="422" t="e">
        <f>IF(I779="","",WORKDAY(L779-1,1,FERIADOS!$A$2:$A$831))</f>
        <v>#REF!</v>
      </c>
      <c r="N779" s="219" t="e">
        <f>IF(I779="","",NETWORKDAYS(Curva!$M$2,M779,FERIADOS!$A$2:$A$831)-1)</f>
        <v>#REF!</v>
      </c>
      <c r="O779" s="423" t="e">
        <f>IF(C779&lt;&gt;"",IF(ISERROR((100000/E779)^(252/N779)-1),Curva!$B$2,((100000/E779)^(252/N779)-1)),"")</f>
        <v>#REF!</v>
      </c>
      <c r="P779" s="219" t="e">
        <f>IF(OR(G779=1,G779=2),dadosexternosBMF_1!B782,"")</f>
        <v>#REF!</v>
      </c>
      <c r="Q779" s="219" t="e">
        <f>IF(OR(G779=1,G779=2),dadosexternosBMF_1!D782,"")</f>
        <v>#REF!</v>
      </c>
    </row>
    <row r="780" spans="1:17" x14ac:dyDescent="0.2">
      <c r="A780" s="222" t="e">
        <f t="shared" si="84"/>
        <v>#REF!</v>
      </c>
      <c r="B780" s="222" t="str">
        <f>IF(dadosexternosBMF_1!A783="DI1 - DI de 1 dia","DI1 - DI de 1 dia","")</f>
        <v/>
      </c>
      <c r="C780" s="222" t="e">
        <f>IF(dadosexternosBMF_1!A783="DOL - Dólar comercial","",IF(C779&lt;&gt;"",dadosexternosBMF_1!B783,IF(dadosexternosBMF_1!A783="DI1 - DI de 1 dia",dadosexternosBMF_1!B783,"")))</f>
        <v>#REF!</v>
      </c>
      <c r="D780" s="222" t="e">
        <f>IF(C780&lt;&gt;"",dadosexternosBMF_1!C783,"")</f>
        <v>#REF!</v>
      </c>
      <c r="E780" s="222" t="e">
        <f>IF(C780&lt;&gt;"",dadosexternosBMF_1!D783,"")</f>
        <v>#REF!</v>
      </c>
      <c r="G780" s="219" t="e">
        <f t="shared" si="85"/>
        <v>#REF!</v>
      </c>
      <c r="H780" s="219" t="e">
        <f t="shared" si="86"/>
        <v>#REF!</v>
      </c>
      <c r="I780" s="219" t="e">
        <f t="shared" si="87"/>
        <v>#REF!</v>
      </c>
      <c r="J780" s="219" t="e">
        <f>IF(I780="","",VLOOKUP(LEFT(C780,1),dadosexternosBMF_1!$L$2:$M$13,2,FALSE))</f>
        <v>#REF!</v>
      </c>
      <c r="K780" s="219" t="e">
        <f t="shared" si="88"/>
        <v>#REF!</v>
      </c>
      <c r="L780" s="422" t="e">
        <f t="shared" si="89"/>
        <v>#REF!</v>
      </c>
      <c r="M780" s="422" t="e">
        <f>IF(I780="","",WORKDAY(L780-1,1,FERIADOS!$A$2:$A$831))</f>
        <v>#REF!</v>
      </c>
      <c r="N780" s="219" t="e">
        <f>IF(I780="","",NETWORKDAYS(Curva!$M$2,M780,FERIADOS!$A$2:$A$831)-1)</f>
        <v>#REF!</v>
      </c>
      <c r="O780" s="423" t="e">
        <f>IF(C780&lt;&gt;"",IF(ISERROR((100000/E780)^(252/N780)-1),Curva!$B$2,((100000/E780)^(252/N780)-1)),"")</f>
        <v>#REF!</v>
      </c>
      <c r="P780" s="219" t="e">
        <f>IF(OR(G780=1,G780=2),dadosexternosBMF_1!B783,"")</f>
        <v>#REF!</v>
      </c>
      <c r="Q780" s="219" t="e">
        <f>IF(OR(G780=1,G780=2),dadosexternosBMF_1!D783,"")</f>
        <v>#REF!</v>
      </c>
    </row>
    <row r="781" spans="1:17" x14ac:dyDescent="0.2">
      <c r="A781" s="222" t="e">
        <f t="shared" si="84"/>
        <v>#REF!</v>
      </c>
      <c r="B781" s="222" t="str">
        <f>IF(dadosexternosBMF_1!A784="DI1 - DI de 1 dia","DI1 - DI de 1 dia","")</f>
        <v/>
      </c>
      <c r="C781" s="222" t="e">
        <f>IF(dadosexternosBMF_1!A784="DOL - Dólar comercial","",IF(C780&lt;&gt;"",dadosexternosBMF_1!B784,IF(dadosexternosBMF_1!A784="DI1 - DI de 1 dia",dadosexternosBMF_1!B784,"")))</f>
        <v>#REF!</v>
      </c>
      <c r="D781" s="222" t="e">
        <f>IF(C781&lt;&gt;"",dadosexternosBMF_1!C784,"")</f>
        <v>#REF!</v>
      </c>
      <c r="E781" s="222" t="e">
        <f>IF(C781&lt;&gt;"",dadosexternosBMF_1!D784,"")</f>
        <v>#REF!</v>
      </c>
      <c r="G781" s="219" t="e">
        <f t="shared" si="85"/>
        <v>#REF!</v>
      </c>
      <c r="H781" s="219" t="e">
        <f t="shared" si="86"/>
        <v>#REF!</v>
      </c>
      <c r="I781" s="219" t="e">
        <f t="shared" si="87"/>
        <v>#REF!</v>
      </c>
      <c r="J781" s="219" t="e">
        <f>IF(I781="","",VLOOKUP(LEFT(C781,1),dadosexternosBMF_1!$L$2:$M$13,2,FALSE))</f>
        <v>#REF!</v>
      </c>
      <c r="K781" s="219" t="e">
        <f t="shared" si="88"/>
        <v>#REF!</v>
      </c>
      <c r="L781" s="422" t="e">
        <f t="shared" si="89"/>
        <v>#REF!</v>
      </c>
      <c r="M781" s="422" t="e">
        <f>IF(I781="","",WORKDAY(L781-1,1,FERIADOS!$A$2:$A$831))</f>
        <v>#REF!</v>
      </c>
      <c r="N781" s="219" t="e">
        <f>IF(I781="","",NETWORKDAYS(Curva!$M$2,M781,FERIADOS!$A$2:$A$831)-1)</f>
        <v>#REF!</v>
      </c>
      <c r="O781" s="423" t="e">
        <f>IF(C781&lt;&gt;"",IF(ISERROR((100000/E781)^(252/N781)-1),Curva!$B$2,((100000/E781)^(252/N781)-1)),"")</f>
        <v>#REF!</v>
      </c>
      <c r="P781" s="219" t="e">
        <f>IF(OR(G781=1,G781=2),dadosexternosBMF_1!B784,"")</f>
        <v>#REF!</v>
      </c>
      <c r="Q781" s="219" t="e">
        <f>IF(OR(G781=1,G781=2),dadosexternosBMF_1!D784,"")</f>
        <v>#REF!</v>
      </c>
    </row>
    <row r="782" spans="1:17" x14ac:dyDescent="0.2">
      <c r="A782" s="222" t="e">
        <f t="shared" si="84"/>
        <v>#REF!</v>
      </c>
      <c r="B782" s="222" t="str">
        <f>IF(dadosexternosBMF_1!A785="DI1 - DI de 1 dia","DI1 - DI de 1 dia","")</f>
        <v/>
      </c>
      <c r="C782" s="222" t="e">
        <f>IF(dadosexternosBMF_1!A785="DOL - Dólar comercial","",IF(C781&lt;&gt;"",dadosexternosBMF_1!B785,IF(dadosexternosBMF_1!A785="DI1 - DI de 1 dia",dadosexternosBMF_1!B785,"")))</f>
        <v>#REF!</v>
      </c>
      <c r="D782" s="222" t="e">
        <f>IF(C782&lt;&gt;"",dadosexternosBMF_1!C785,"")</f>
        <v>#REF!</v>
      </c>
      <c r="E782" s="222" t="e">
        <f>IF(C782&lt;&gt;"",dadosexternosBMF_1!D785,"")</f>
        <v>#REF!</v>
      </c>
      <c r="G782" s="219" t="e">
        <f t="shared" si="85"/>
        <v>#REF!</v>
      </c>
      <c r="H782" s="219" t="e">
        <f t="shared" si="86"/>
        <v>#REF!</v>
      </c>
      <c r="I782" s="219" t="e">
        <f t="shared" si="87"/>
        <v>#REF!</v>
      </c>
      <c r="J782" s="219" t="e">
        <f>IF(I782="","",VLOOKUP(LEFT(C782,1),dadosexternosBMF_1!$L$2:$M$13,2,FALSE))</f>
        <v>#REF!</v>
      </c>
      <c r="K782" s="219" t="e">
        <f t="shared" si="88"/>
        <v>#REF!</v>
      </c>
      <c r="L782" s="422" t="e">
        <f t="shared" si="89"/>
        <v>#REF!</v>
      </c>
      <c r="M782" s="422" t="e">
        <f>IF(I782="","",WORKDAY(L782-1,1,FERIADOS!$A$2:$A$831))</f>
        <v>#REF!</v>
      </c>
      <c r="N782" s="219" t="e">
        <f>IF(I782="","",NETWORKDAYS(Curva!$M$2,M782,FERIADOS!$A$2:$A$831)-1)</f>
        <v>#REF!</v>
      </c>
      <c r="O782" s="423" t="e">
        <f>IF(C782&lt;&gt;"",IF(ISERROR((100000/E782)^(252/N782)-1),Curva!$B$2,((100000/E782)^(252/N782)-1)),"")</f>
        <v>#REF!</v>
      </c>
      <c r="P782" s="219" t="e">
        <f>IF(OR(G782=1,G782=2),dadosexternosBMF_1!B785,"")</f>
        <v>#REF!</v>
      </c>
      <c r="Q782" s="219" t="e">
        <f>IF(OR(G782=1,G782=2),dadosexternosBMF_1!D785,"")</f>
        <v>#REF!</v>
      </c>
    </row>
    <row r="783" spans="1:17" x14ac:dyDescent="0.2">
      <c r="A783" s="222" t="e">
        <f t="shared" si="84"/>
        <v>#REF!</v>
      </c>
      <c r="B783" s="222" t="str">
        <f>IF(dadosexternosBMF_1!A786="DI1 - DI de 1 dia","DI1 - DI de 1 dia","")</f>
        <v/>
      </c>
      <c r="C783" s="222" t="e">
        <f>IF(dadosexternosBMF_1!A786="DOL - Dólar comercial","",IF(C782&lt;&gt;"",dadosexternosBMF_1!B786,IF(dadosexternosBMF_1!A786="DI1 - DI de 1 dia",dadosexternosBMF_1!B786,"")))</f>
        <v>#REF!</v>
      </c>
      <c r="D783" s="222" t="e">
        <f>IF(C783&lt;&gt;"",dadosexternosBMF_1!C786,"")</f>
        <v>#REF!</v>
      </c>
      <c r="E783" s="222" t="e">
        <f>IF(C783&lt;&gt;"",dadosexternosBMF_1!D786,"")</f>
        <v>#REF!</v>
      </c>
      <c r="G783" s="219" t="e">
        <f t="shared" si="85"/>
        <v>#REF!</v>
      </c>
      <c r="H783" s="219" t="e">
        <f t="shared" si="86"/>
        <v>#REF!</v>
      </c>
      <c r="I783" s="219" t="e">
        <f t="shared" si="87"/>
        <v>#REF!</v>
      </c>
      <c r="J783" s="219" t="e">
        <f>IF(I783="","",VLOOKUP(LEFT(C783,1),dadosexternosBMF_1!$L$2:$M$13,2,FALSE))</f>
        <v>#REF!</v>
      </c>
      <c r="K783" s="219" t="e">
        <f t="shared" si="88"/>
        <v>#REF!</v>
      </c>
      <c r="L783" s="422" t="e">
        <f t="shared" si="89"/>
        <v>#REF!</v>
      </c>
      <c r="M783" s="422" t="e">
        <f>IF(I783="","",WORKDAY(L783-1,1,FERIADOS!$A$2:$A$831))</f>
        <v>#REF!</v>
      </c>
      <c r="N783" s="219" t="e">
        <f>IF(I783="","",NETWORKDAYS(Curva!$M$2,M783,FERIADOS!$A$2:$A$831)-1)</f>
        <v>#REF!</v>
      </c>
      <c r="O783" s="423" t="e">
        <f>IF(C783&lt;&gt;"",IF(ISERROR((100000/E783)^(252/N783)-1),Curva!$B$2,((100000/E783)^(252/N783)-1)),"")</f>
        <v>#REF!</v>
      </c>
      <c r="P783" s="219" t="e">
        <f>IF(OR(G783=1,G783=2),dadosexternosBMF_1!B786,"")</f>
        <v>#REF!</v>
      </c>
      <c r="Q783" s="219" t="e">
        <f>IF(OR(G783=1,G783=2),dadosexternosBMF_1!D786,"")</f>
        <v>#REF!</v>
      </c>
    </row>
    <row r="784" spans="1:17" x14ac:dyDescent="0.2">
      <c r="A784" s="222" t="e">
        <f t="shared" si="84"/>
        <v>#REF!</v>
      </c>
      <c r="B784" s="222" t="str">
        <f>IF(dadosexternosBMF_1!A787="DI1 - DI de 1 dia","DI1 - DI de 1 dia","")</f>
        <v/>
      </c>
      <c r="C784" s="222" t="e">
        <f>IF(dadosexternosBMF_1!A787="DOL - Dólar comercial","",IF(C783&lt;&gt;"",dadosexternosBMF_1!B787,IF(dadosexternosBMF_1!A787="DI1 - DI de 1 dia",dadosexternosBMF_1!B787,"")))</f>
        <v>#REF!</v>
      </c>
      <c r="D784" s="222" t="e">
        <f>IF(C784&lt;&gt;"",dadosexternosBMF_1!C787,"")</f>
        <v>#REF!</v>
      </c>
      <c r="E784" s="222" t="e">
        <f>IF(C784&lt;&gt;"",dadosexternosBMF_1!D787,"")</f>
        <v>#REF!</v>
      </c>
      <c r="G784" s="219" t="e">
        <f t="shared" si="85"/>
        <v>#REF!</v>
      </c>
      <c r="H784" s="219" t="e">
        <f t="shared" si="86"/>
        <v>#REF!</v>
      </c>
      <c r="I784" s="219" t="e">
        <f t="shared" si="87"/>
        <v>#REF!</v>
      </c>
      <c r="J784" s="219" t="e">
        <f>IF(I784="","",VLOOKUP(LEFT(C784,1),dadosexternosBMF_1!$L$2:$M$13,2,FALSE))</f>
        <v>#REF!</v>
      </c>
      <c r="K784" s="219" t="e">
        <f t="shared" si="88"/>
        <v>#REF!</v>
      </c>
      <c r="L784" s="422" t="e">
        <f t="shared" si="89"/>
        <v>#REF!</v>
      </c>
      <c r="M784" s="422" t="e">
        <f>IF(I784="","",WORKDAY(L784-1,1,FERIADOS!$A$2:$A$831))</f>
        <v>#REF!</v>
      </c>
      <c r="N784" s="219" t="e">
        <f>IF(I784="","",NETWORKDAYS(Curva!$M$2,M784,FERIADOS!$A$2:$A$831)-1)</f>
        <v>#REF!</v>
      </c>
      <c r="O784" s="423" t="e">
        <f>IF(C784&lt;&gt;"",IF(ISERROR((100000/E784)^(252/N784)-1),Curva!$B$2,((100000/E784)^(252/N784)-1)),"")</f>
        <v>#REF!</v>
      </c>
      <c r="P784" s="219" t="e">
        <f>IF(OR(G784=1,G784=2),dadosexternosBMF_1!B787,"")</f>
        <v>#REF!</v>
      </c>
      <c r="Q784" s="219" t="e">
        <f>IF(OR(G784=1,G784=2),dadosexternosBMF_1!D787,"")</f>
        <v>#REF!</v>
      </c>
    </row>
    <row r="785" spans="1:17" x14ac:dyDescent="0.2">
      <c r="A785" s="222" t="e">
        <f t="shared" si="84"/>
        <v>#REF!</v>
      </c>
      <c r="B785" s="222" t="str">
        <f>IF(dadosexternosBMF_1!A788="DI1 - DI de 1 dia","DI1 - DI de 1 dia","")</f>
        <v/>
      </c>
      <c r="C785" s="222" t="e">
        <f>IF(dadosexternosBMF_1!A788="DOL - Dólar comercial","",IF(C784&lt;&gt;"",dadosexternosBMF_1!B788,IF(dadosexternosBMF_1!A788="DI1 - DI de 1 dia",dadosexternosBMF_1!B788,"")))</f>
        <v>#REF!</v>
      </c>
      <c r="D785" s="222" t="e">
        <f>IF(C785&lt;&gt;"",dadosexternosBMF_1!C788,"")</f>
        <v>#REF!</v>
      </c>
      <c r="E785" s="222" t="e">
        <f>IF(C785&lt;&gt;"",dadosexternosBMF_1!D788,"")</f>
        <v>#REF!</v>
      </c>
      <c r="G785" s="219" t="e">
        <f t="shared" si="85"/>
        <v>#REF!</v>
      </c>
      <c r="H785" s="219" t="e">
        <f t="shared" si="86"/>
        <v>#REF!</v>
      </c>
      <c r="I785" s="219" t="e">
        <f t="shared" si="87"/>
        <v>#REF!</v>
      </c>
      <c r="J785" s="219" t="e">
        <f>IF(I785="","",VLOOKUP(LEFT(C785,1),dadosexternosBMF_1!$L$2:$M$13,2,FALSE))</f>
        <v>#REF!</v>
      </c>
      <c r="K785" s="219" t="e">
        <f t="shared" si="88"/>
        <v>#REF!</v>
      </c>
      <c r="L785" s="422" t="e">
        <f t="shared" si="89"/>
        <v>#REF!</v>
      </c>
      <c r="M785" s="422" t="e">
        <f>IF(I785="","",WORKDAY(L785-1,1,FERIADOS!$A$2:$A$831))</f>
        <v>#REF!</v>
      </c>
      <c r="N785" s="219" t="e">
        <f>IF(I785="","",NETWORKDAYS(Curva!$M$2,M785,FERIADOS!$A$2:$A$831)-1)</f>
        <v>#REF!</v>
      </c>
      <c r="O785" s="423" t="e">
        <f>IF(C785&lt;&gt;"",IF(ISERROR((100000/E785)^(252/N785)-1),Curva!$B$2,((100000/E785)^(252/N785)-1)),"")</f>
        <v>#REF!</v>
      </c>
      <c r="P785" s="219" t="e">
        <f>IF(OR(G785=1,G785=2),dadosexternosBMF_1!B788,"")</f>
        <v>#REF!</v>
      </c>
      <c r="Q785" s="219" t="e">
        <f>IF(OR(G785=1,G785=2),dadosexternosBMF_1!D788,"")</f>
        <v>#REF!</v>
      </c>
    </row>
    <row r="786" spans="1:17" x14ac:dyDescent="0.2">
      <c r="A786" s="222" t="e">
        <f t="shared" si="84"/>
        <v>#REF!</v>
      </c>
      <c r="B786" s="222" t="str">
        <f>IF(dadosexternosBMF_1!A789="DI1 - DI de 1 dia","DI1 - DI de 1 dia","")</f>
        <v/>
      </c>
      <c r="C786" s="222" t="e">
        <f>IF(dadosexternosBMF_1!A789="DOL - Dólar comercial","",IF(C785&lt;&gt;"",dadosexternosBMF_1!B789,IF(dadosexternosBMF_1!A789="DI1 - DI de 1 dia",dadosexternosBMF_1!B789,"")))</f>
        <v>#REF!</v>
      </c>
      <c r="D786" s="222" t="e">
        <f>IF(C786&lt;&gt;"",dadosexternosBMF_1!C789,"")</f>
        <v>#REF!</v>
      </c>
      <c r="E786" s="222" t="e">
        <f>IF(C786&lt;&gt;"",dadosexternosBMF_1!D789,"")</f>
        <v>#REF!</v>
      </c>
      <c r="G786" s="219" t="e">
        <f t="shared" si="85"/>
        <v>#REF!</v>
      </c>
      <c r="H786" s="219" t="e">
        <f t="shared" si="86"/>
        <v>#REF!</v>
      </c>
      <c r="I786" s="219" t="e">
        <f t="shared" si="87"/>
        <v>#REF!</v>
      </c>
      <c r="J786" s="219" t="e">
        <f>IF(I786="","",VLOOKUP(LEFT(C786,1),dadosexternosBMF_1!$L$2:$M$13,2,FALSE))</f>
        <v>#REF!</v>
      </c>
      <c r="K786" s="219" t="e">
        <f t="shared" si="88"/>
        <v>#REF!</v>
      </c>
      <c r="L786" s="422" t="e">
        <f t="shared" si="89"/>
        <v>#REF!</v>
      </c>
      <c r="M786" s="422" t="e">
        <f>IF(I786="","",WORKDAY(L786-1,1,FERIADOS!$A$2:$A$831))</f>
        <v>#REF!</v>
      </c>
      <c r="N786" s="219" t="e">
        <f>IF(I786="","",NETWORKDAYS(Curva!$M$2,M786,FERIADOS!$A$2:$A$831)-1)</f>
        <v>#REF!</v>
      </c>
      <c r="O786" s="423" t="e">
        <f>IF(C786&lt;&gt;"",IF(ISERROR((100000/E786)^(252/N786)-1),Curva!$B$2,((100000/E786)^(252/N786)-1)),"")</f>
        <v>#REF!</v>
      </c>
      <c r="P786" s="219" t="e">
        <f>IF(OR(G786=1,G786=2),dadosexternosBMF_1!B789,"")</f>
        <v>#REF!</v>
      </c>
      <c r="Q786" s="219" t="e">
        <f>IF(OR(G786=1,G786=2),dadosexternosBMF_1!D789,"")</f>
        <v>#REF!</v>
      </c>
    </row>
    <row r="787" spans="1:17" x14ac:dyDescent="0.2">
      <c r="A787" s="222" t="e">
        <f t="shared" si="84"/>
        <v>#REF!</v>
      </c>
      <c r="B787" s="222" t="str">
        <f>IF(dadosexternosBMF_1!A790="DI1 - DI de 1 dia","DI1 - DI de 1 dia","")</f>
        <v/>
      </c>
      <c r="C787" s="222" t="e">
        <f>IF(dadosexternosBMF_1!A790="DOL - Dólar comercial","",IF(C786&lt;&gt;"",dadosexternosBMF_1!B790,IF(dadosexternosBMF_1!A790="DI1 - DI de 1 dia",dadosexternosBMF_1!B790,"")))</f>
        <v>#REF!</v>
      </c>
      <c r="D787" s="222" t="e">
        <f>IF(C787&lt;&gt;"",dadosexternosBMF_1!C790,"")</f>
        <v>#REF!</v>
      </c>
      <c r="E787" s="222" t="e">
        <f>IF(C787&lt;&gt;"",dadosexternosBMF_1!D790,"")</f>
        <v>#REF!</v>
      </c>
      <c r="G787" s="219" t="e">
        <f t="shared" si="85"/>
        <v>#REF!</v>
      </c>
      <c r="H787" s="219" t="e">
        <f t="shared" si="86"/>
        <v>#REF!</v>
      </c>
      <c r="I787" s="219" t="e">
        <f t="shared" si="87"/>
        <v>#REF!</v>
      </c>
      <c r="J787" s="219" t="e">
        <f>IF(I787="","",VLOOKUP(LEFT(C787,1),dadosexternosBMF_1!$L$2:$M$13,2,FALSE))</f>
        <v>#REF!</v>
      </c>
      <c r="K787" s="219" t="e">
        <f t="shared" si="88"/>
        <v>#REF!</v>
      </c>
      <c r="L787" s="422" t="e">
        <f t="shared" si="89"/>
        <v>#REF!</v>
      </c>
      <c r="M787" s="422" t="e">
        <f>IF(I787="","",WORKDAY(L787-1,1,FERIADOS!$A$2:$A$831))</f>
        <v>#REF!</v>
      </c>
      <c r="N787" s="219" t="e">
        <f>IF(I787="","",NETWORKDAYS(Curva!$M$2,M787,FERIADOS!$A$2:$A$831)-1)</f>
        <v>#REF!</v>
      </c>
      <c r="O787" s="423" t="e">
        <f>IF(C787&lt;&gt;"",IF(ISERROR((100000/E787)^(252/N787)-1),Curva!$B$2,((100000/E787)^(252/N787)-1)),"")</f>
        <v>#REF!</v>
      </c>
      <c r="P787" s="219" t="e">
        <f>IF(OR(G787=1,G787=2),dadosexternosBMF_1!B790,"")</f>
        <v>#REF!</v>
      </c>
      <c r="Q787" s="219" t="e">
        <f>IF(OR(G787=1,G787=2),dadosexternosBMF_1!D790,"")</f>
        <v>#REF!</v>
      </c>
    </row>
    <row r="788" spans="1:17" x14ac:dyDescent="0.2">
      <c r="A788" s="222" t="e">
        <f t="shared" si="84"/>
        <v>#REF!</v>
      </c>
      <c r="B788" s="222" t="str">
        <f>IF(dadosexternosBMF_1!A791="DI1 - DI de 1 dia","DI1 - DI de 1 dia","")</f>
        <v/>
      </c>
      <c r="C788" s="222" t="e">
        <f>IF(dadosexternosBMF_1!A791="DOL - Dólar comercial","",IF(C787&lt;&gt;"",dadosexternosBMF_1!B791,IF(dadosexternosBMF_1!A791="DI1 - DI de 1 dia",dadosexternosBMF_1!B791,"")))</f>
        <v>#REF!</v>
      </c>
      <c r="D788" s="222" t="e">
        <f>IF(C788&lt;&gt;"",dadosexternosBMF_1!C791,"")</f>
        <v>#REF!</v>
      </c>
      <c r="E788" s="222" t="e">
        <f>IF(C788&lt;&gt;"",dadosexternosBMF_1!D791,"")</f>
        <v>#REF!</v>
      </c>
      <c r="G788" s="219" t="e">
        <f t="shared" si="85"/>
        <v>#REF!</v>
      </c>
      <c r="H788" s="219" t="e">
        <f t="shared" si="86"/>
        <v>#REF!</v>
      </c>
      <c r="I788" s="219" t="e">
        <f t="shared" si="87"/>
        <v>#REF!</v>
      </c>
      <c r="J788" s="219" t="e">
        <f>IF(I788="","",VLOOKUP(LEFT(C788,1),dadosexternosBMF_1!$L$2:$M$13,2,FALSE))</f>
        <v>#REF!</v>
      </c>
      <c r="K788" s="219" t="e">
        <f t="shared" si="88"/>
        <v>#REF!</v>
      </c>
      <c r="L788" s="422" t="e">
        <f t="shared" si="89"/>
        <v>#REF!</v>
      </c>
      <c r="M788" s="422" t="e">
        <f>IF(I788="","",WORKDAY(L788-1,1,FERIADOS!$A$2:$A$831))</f>
        <v>#REF!</v>
      </c>
      <c r="N788" s="219" t="e">
        <f>IF(I788="","",NETWORKDAYS(Curva!$M$2,M788,FERIADOS!$A$2:$A$831)-1)</f>
        <v>#REF!</v>
      </c>
      <c r="O788" s="423" t="e">
        <f>IF(C788&lt;&gt;"",IF(ISERROR((100000/E788)^(252/N788)-1),Curva!$B$2,((100000/E788)^(252/N788)-1)),"")</f>
        <v>#REF!</v>
      </c>
      <c r="P788" s="219" t="e">
        <f>IF(OR(G788=1,G788=2),dadosexternosBMF_1!B791,"")</f>
        <v>#REF!</v>
      </c>
      <c r="Q788" s="219" t="e">
        <f>IF(OR(G788=1,G788=2),dadosexternosBMF_1!D791,"")</f>
        <v>#REF!</v>
      </c>
    </row>
    <row r="789" spans="1:17" x14ac:dyDescent="0.2">
      <c r="A789" s="222" t="e">
        <f t="shared" si="84"/>
        <v>#REF!</v>
      </c>
      <c r="B789" s="222" t="str">
        <f>IF(dadosexternosBMF_1!A792="DI1 - DI de 1 dia","DI1 - DI de 1 dia","")</f>
        <v/>
      </c>
      <c r="C789" s="222" t="e">
        <f>IF(dadosexternosBMF_1!A792="DOL - Dólar comercial","",IF(C788&lt;&gt;"",dadosexternosBMF_1!B792,IF(dadosexternosBMF_1!A792="DI1 - DI de 1 dia",dadosexternosBMF_1!B792,"")))</f>
        <v>#REF!</v>
      </c>
      <c r="D789" s="222" t="e">
        <f>IF(C789&lt;&gt;"",dadosexternosBMF_1!C792,"")</f>
        <v>#REF!</v>
      </c>
      <c r="E789" s="222" t="e">
        <f>IF(C789&lt;&gt;"",dadosexternosBMF_1!D792,"")</f>
        <v>#REF!</v>
      </c>
      <c r="G789" s="219" t="e">
        <f t="shared" si="85"/>
        <v>#REF!</v>
      </c>
      <c r="H789" s="219" t="e">
        <f t="shared" si="86"/>
        <v>#REF!</v>
      </c>
      <c r="I789" s="219" t="e">
        <f t="shared" si="87"/>
        <v>#REF!</v>
      </c>
      <c r="J789" s="219" t="e">
        <f>IF(I789="","",VLOOKUP(LEFT(C789,1),dadosexternosBMF_1!$L$2:$M$13,2,FALSE))</f>
        <v>#REF!</v>
      </c>
      <c r="K789" s="219" t="e">
        <f t="shared" si="88"/>
        <v>#REF!</v>
      </c>
      <c r="L789" s="422" t="e">
        <f t="shared" si="89"/>
        <v>#REF!</v>
      </c>
      <c r="M789" s="422" t="e">
        <f>IF(I789="","",WORKDAY(L789-1,1,FERIADOS!$A$2:$A$831))</f>
        <v>#REF!</v>
      </c>
      <c r="N789" s="219" t="e">
        <f>IF(I789="","",NETWORKDAYS(Curva!$M$2,M789,FERIADOS!$A$2:$A$831)-1)</f>
        <v>#REF!</v>
      </c>
      <c r="O789" s="423" t="e">
        <f>IF(C789&lt;&gt;"",IF(ISERROR((100000/E789)^(252/N789)-1),Curva!$B$2,((100000/E789)^(252/N789)-1)),"")</f>
        <v>#REF!</v>
      </c>
      <c r="P789" s="219" t="e">
        <f>IF(OR(G789=1,G789=2),dadosexternosBMF_1!B792,"")</f>
        <v>#REF!</v>
      </c>
      <c r="Q789" s="219" t="e">
        <f>IF(OR(G789=1,G789=2),dadosexternosBMF_1!D792,"")</f>
        <v>#REF!</v>
      </c>
    </row>
    <row r="790" spans="1:17" x14ac:dyDescent="0.2">
      <c r="A790" s="222" t="e">
        <f t="shared" si="84"/>
        <v>#REF!</v>
      </c>
      <c r="B790" s="222" t="str">
        <f>IF(dadosexternosBMF_1!A793="DI1 - DI de 1 dia","DI1 - DI de 1 dia","")</f>
        <v/>
      </c>
      <c r="C790" s="222" t="e">
        <f>IF(dadosexternosBMF_1!A793="DOL - Dólar comercial","",IF(C789&lt;&gt;"",dadosexternosBMF_1!B793,IF(dadosexternosBMF_1!A793="DI1 - DI de 1 dia",dadosexternosBMF_1!B793,"")))</f>
        <v>#REF!</v>
      </c>
      <c r="D790" s="222" t="e">
        <f>IF(C790&lt;&gt;"",dadosexternosBMF_1!C793,"")</f>
        <v>#REF!</v>
      </c>
      <c r="E790" s="222" t="e">
        <f>IF(C790&lt;&gt;"",dadosexternosBMF_1!D793,"")</f>
        <v>#REF!</v>
      </c>
      <c r="G790" s="219" t="e">
        <f t="shared" si="85"/>
        <v>#REF!</v>
      </c>
      <c r="H790" s="219" t="e">
        <f t="shared" si="86"/>
        <v>#REF!</v>
      </c>
      <c r="I790" s="219" t="e">
        <f t="shared" si="87"/>
        <v>#REF!</v>
      </c>
      <c r="J790" s="219" t="e">
        <f>IF(I790="","",VLOOKUP(LEFT(C790,1),dadosexternosBMF_1!$L$2:$M$13,2,FALSE))</f>
        <v>#REF!</v>
      </c>
      <c r="K790" s="219" t="e">
        <f t="shared" si="88"/>
        <v>#REF!</v>
      </c>
      <c r="L790" s="422" t="e">
        <f t="shared" si="89"/>
        <v>#REF!</v>
      </c>
      <c r="M790" s="422" t="e">
        <f>IF(I790="","",WORKDAY(L790-1,1,FERIADOS!$A$2:$A$831))</f>
        <v>#REF!</v>
      </c>
      <c r="N790" s="219" t="e">
        <f>IF(I790="","",NETWORKDAYS(Curva!$M$2,M790,FERIADOS!$A$2:$A$831)-1)</f>
        <v>#REF!</v>
      </c>
      <c r="O790" s="423" t="e">
        <f>IF(C790&lt;&gt;"",IF(ISERROR((100000/E790)^(252/N790)-1),Curva!$B$2,((100000/E790)^(252/N790)-1)),"")</f>
        <v>#REF!</v>
      </c>
      <c r="P790" s="219" t="e">
        <f>IF(OR(G790=1,G790=2),dadosexternosBMF_1!B793,"")</f>
        <v>#REF!</v>
      </c>
      <c r="Q790" s="219" t="e">
        <f>IF(OR(G790=1,G790=2),dadosexternosBMF_1!D793,"")</f>
        <v>#REF!</v>
      </c>
    </row>
    <row r="791" spans="1:17" x14ac:dyDescent="0.2">
      <c r="A791" s="222" t="e">
        <f t="shared" si="84"/>
        <v>#REF!</v>
      </c>
      <c r="B791" s="222" t="str">
        <f>IF(dadosexternosBMF_1!A794="DI1 - DI de 1 dia","DI1 - DI de 1 dia","")</f>
        <v/>
      </c>
      <c r="C791" s="222" t="e">
        <f>IF(dadosexternosBMF_1!A794="DOL - Dólar comercial","",IF(C790&lt;&gt;"",dadosexternosBMF_1!B794,IF(dadosexternosBMF_1!A794="DI1 - DI de 1 dia",dadosexternosBMF_1!B794,"")))</f>
        <v>#REF!</v>
      </c>
      <c r="D791" s="222" t="e">
        <f>IF(C791&lt;&gt;"",dadosexternosBMF_1!C794,"")</f>
        <v>#REF!</v>
      </c>
      <c r="E791" s="222" t="e">
        <f>IF(C791&lt;&gt;"",dadosexternosBMF_1!D794,"")</f>
        <v>#REF!</v>
      </c>
      <c r="G791" s="219" t="e">
        <f t="shared" si="85"/>
        <v>#REF!</v>
      </c>
      <c r="H791" s="219" t="e">
        <f t="shared" si="86"/>
        <v>#REF!</v>
      </c>
      <c r="I791" s="219" t="e">
        <f t="shared" si="87"/>
        <v>#REF!</v>
      </c>
      <c r="J791" s="219" t="e">
        <f>IF(I791="","",VLOOKUP(LEFT(C791,1),dadosexternosBMF_1!$L$2:$M$13,2,FALSE))</f>
        <v>#REF!</v>
      </c>
      <c r="K791" s="219" t="e">
        <f t="shared" si="88"/>
        <v>#REF!</v>
      </c>
      <c r="L791" s="422" t="e">
        <f t="shared" si="89"/>
        <v>#REF!</v>
      </c>
      <c r="M791" s="422" t="e">
        <f>IF(I791="","",WORKDAY(L791-1,1,FERIADOS!$A$2:$A$831))</f>
        <v>#REF!</v>
      </c>
      <c r="N791" s="219" t="e">
        <f>IF(I791="","",NETWORKDAYS(Curva!$M$2,M791,FERIADOS!$A$2:$A$831)-1)</f>
        <v>#REF!</v>
      </c>
      <c r="O791" s="423" t="e">
        <f>IF(C791&lt;&gt;"",IF(ISERROR((100000/E791)^(252/N791)-1),Curva!$B$2,((100000/E791)^(252/N791)-1)),"")</f>
        <v>#REF!</v>
      </c>
      <c r="P791" s="219" t="e">
        <f>IF(OR(G791=1,G791=2),dadosexternosBMF_1!B794,"")</f>
        <v>#REF!</v>
      </c>
      <c r="Q791" s="219" t="e">
        <f>IF(OR(G791=1,G791=2),dadosexternosBMF_1!D794,"")</f>
        <v>#REF!</v>
      </c>
    </row>
    <row r="792" spans="1:17" x14ac:dyDescent="0.2">
      <c r="A792" s="222" t="e">
        <f t="shared" si="84"/>
        <v>#REF!</v>
      </c>
      <c r="B792" s="222" t="str">
        <f>IF(dadosexternosBMF_1!A795="DI1 - DI de 1 dia","DI1 - DI de 1 dia","")</f>
        <v/>
      </c>
      <c r="C792" s="222" t="e">
        <f>IF(dadosexternosBMF_1!A795="DOL - Dólar comercial","",IF(C791&lt;&gt;"",dadosexternosBMF_1!B795,IF(dadosexternosBMF_1!A795="DI1 - DI de 1 dia",dadosexternosBMF_1!B795,"")))</f>
        <v>#REF!</v>
      </c>
      <c r="D792" s="222" t="e">
        <f>IF(C792&lt;&gt;"",dadosexternosBMF_1!C795,"")</f>
        <v>#REF!</v>
      </c>
      <c r="E792" s="222" t="e">
        <f>IF(C792&lt;&gt;"",dadosexternosBMF_1!D795,"")</f>
        <v>#REF!</v>
      </c>
      <c r="G792" s="219" t="e">
        <f t="shared" si="85"/>
        <v>#REF!</v>
      </c>
      <c r="H792" s="219" t="e">
        <f t="shared" si="86"/>
        <v>#REF!</v>
      </c>
      <c r="I792" s="219" t="e">
        <f t="shared" si="87"/>
        <v>#REF!</v>
      </c>
      <c r="J792" s="219" t="e">
        <f>IF(I792="","",VLOOKUP(LEFT(C792,1),dadosexternosBMF_1!$L$2:$M$13,2,FALSE))</f>
        <v>#REF!</v>
      </c>
      <c r="K792" s="219" t="e">
        <f t="shared" si="88"/>
        <v>#REF!</v>
      </c>
      <c r="L792" s="422" t="e">
        <f t="shared" si="89"/>
        <v>#REF!</v>
      </c>
      <c r="M792" s="422" t="e">
        <f>IF(I792="","",WORKDAY(L792-1,1,FERIADOS!$A$2:$A$831))</f>
        <v>#REF!</v>
      </c>
      <c r="N792" s="219" t="e">
        <f>IF(I792="","",NETWORKDAYS(Curva!$M$2,M792,FERIADOS!$A$2:$A$831)-1)</f>
        <v>#REF!</v>
      </c>
      <c r="O792" s="423" t="e">
        <f>IF(C792&lt;&gt;"",IF(ISERROR((100000/E792)^(252/N792)-1),Curva!$B$2,((100000/E792)^(252/N792)-1)),"")</f>
        <v>#REF!</v>
      </c>
      <c r="P792" s="219" t="e">
        <f>IF(OR(G792=1,G792=2),dadosexternosBMF_1!B795,"")</f>
        <v>#REF!</v>
      </c>
      <c r="Q792" s="219" t="e">
        <f>IF(OR(G792=1,G792=2),dadosexternosBMF_1!D795,"")</f>
        <v>#REF!</v>
      </c>
    </row>
    <row r="793" spans="1:17" x14ac:dyDescent="0.2">
      <c r="A793" s="222" t="e">
        <f t="shared" si="84"/>
        <v>#REF!</v>
      </c>
      <c r="B793" s="222" t="str">
        <f>IF(dadosexternosBMF_1!A796="DI1 - DI de 1 dia","DI1 - DI de 1 dia","")</f>
        <v/>
      </c>
      <c r="C793" s="222" t="e">
        <f>IF(dadosexternosBMF_1!A796="DOL - Dólar comercial","",IF(C792&lt;&gt;"",dadosexternosBMF_1!B796,IF(dadosexternosBMF_1!A796="DI1 - DI de 1 dia",dadosexternosBMF_1!B796,"")))</f>
        <v>#REF!</v>
      </c>
      <c r="D793" s="222" t="e">
        <f>IF(C793&lt;&gt;"",dadosexternosBMF_1!C796,"")</f>
        <v>#REF!</v>
      </c>
      <c r="E793" s="222" t="e">
        <f>IF(C793&lt;&gt;"",dadosexternosBMF_1!D796,"")</f>
        <v>#REF!</v>
      </c>
      <c r="G793" s="219" t="e">
        <f t="shared" si="85"/>
        <v>#REF!</v>
      </c>
      <c r="H793" s="219" t="e">
        <f t="shared" si="86"/>
        <v>#REF!</v>
      </c>
      <c r="I793" s="219" t="e">
        <f t="shared" si="87"/>
        <v>#REF!</v>
      </c>
      <c r="J793" s="219" t="e">
        <f>IF(I793="","",VLOOKUP(LEFT(C793,1),dadosexternosBMF_1!$L$2:$M$13,2,FALSE))</f>
        <v>#REF!</v>
      </c>
      <c r="K793" s="219" t="e">
        <f t="shared" si="88"/>
        <v>#REF!</v>
      </c>
      <c r="L793" s="422" t="e">
        <f t="shared" si="89"/>
        <v>#REF!</v>
      </c>
      <c r="M793" s="422" t="e">
        <f>IF(I793="","",WORKDAY(L793-1,1,FERIADOS!$A$2:$A$831))</f>
        <v>#REF!</v>
      </c>
      <c r="N793" s="219" t="e">
        <f>IF(I793="","",NETWORKDAYS(Curva!$M$2,M793,FERIADOS!$A$2:$A$831)-1)</f>
        <v>#REF!</v>
      </c>
      <c r="O793" s="423" t="e">
        <f>IF(C793&lt;&gt;"",IF(ISERROR((100000/E793)^(252/N793)-1),Curva!$B$2,((100000/E793)^(252/N793)-1)),"")</f>
        <v>#REF!</v>
      </c>
      <c r="P793" s="219" t="e">
        <f>IF(OR(G793=1,G793=2),dadosexternosBMF_1!B796,"")</f>
        <v>#REF!</v>
      </c>
      <c r="Q793" s="219" t="e">
        <f>IF(OR(G793=1,G793=2),dadosexternosBMF_1!D796,"")</f>
        <v>#REF!</v>
      </c>
    </row>
    <row r="794" spans="1:17" x14ac:dyDescent="0.2">
      <c r="A794" s="222" t="e">
        <f t="shared" si="84"/>
        <v>#REF!</v>
      </c>
      <c r="B794" s="222" t="str">
        <f>IF(dadosexternosBMF_1!A797="DI1 - DI de 1 dia","DI1 - DI de 1 dia","")</f>
        <v/>
      </c>
      <c r="C794" s="222" t="e">
        <f>IF(dadosexternosBMF_1!A797="DOL - Dólar comercial","",IF(C793&lt;&gt;"",dadosexternosBMF_1!B797,IF(dadosexternosBMF_1!A797="DI1 - DI de 1 dia",dadosexternosBMF_1!B797,"")))</f>
        <v>#REF!</v>
      </c>
      <c r="D794" s="222" t="e">
        <f>IF(C794&lt;&gt;"",dadosexternosBMF_1!C797,"")</f>
        <v>#REF!</v>
      </c>
      <c r="E794" s="222" t="e">
        <f>IF(C794&lt;&gt;"",dadosexternosBMF_1!D797,"")</f>
        <v>#REF!</v>
      </c>
      <c r="G794" s="219" t="e">
        <f t="shared" si="85"/>
        <v>#REF!</v>
      </c>
      <c r="H794" s="219" t="e">
        <f t="shared" si="86"/>
        <v>#REF!</v>
      </c>
      <c r="I794" s="219" t="e">
        <f t="shared" si="87"/>
        <v>#REF!</v>
      </c>
      <c r="J794" s="219" t="e">
        <f>IF(I794="","",VLOOKUP(LEFT(C794,1),dadosexternosBMF_1!$L$2:$M$13,2,FALSE))</f>
        <v>#REF!</v>
      </c>
      <c r="K794" s="219" t="e">
        <f t="shared" si="88"/>
        <v>#REF!</v>
      </c>
      <c r="L794" s="422" t="e">
        <f t="shared" si="89"/>
        <v>#REF!</v>
      </c>
      <c r="M794" s="422" t="e">
        <f>IF(I794="","",WORKDAY(L794-1,1,FERIADOS!$A$2:$A$831))</f>
        <v>#REF!</v>
      </c>
      <c r="N794" s="219" t="e">
        <f>IF(I794="","",NETWORKDAYS(Curva!$M$2,M794,FERIADOS!$A$2:$A$831)-1)</f>
        <v>#REF!</v>
      </c>
      <c r="O794" s="423" t="e">
        <f>IF(C794&lt;&gt;"",IF(ISERROR((100000/E794)^(252/N794)-1),Curva!$B$2,((100000/E794)^(252/N794)-1)),"")</f>
        <v>#REF!</v>
      </c>
      <c r="P794" s="219" t="e">
        <f>IF(OR(G794=1,G794=2),dadosexternosBMF_1!B797,"")</f>
        <v>#REF!</v>
      </c>
      <c r="Q794" s="219" t="e">
        <f>IF(OR(G794=1,G794=2),dadosexternosBMF_1!D797,"")</f>
        <v>#REF!</v>
      </c>
    </row>
    <row r="795" spans="1:17" x14ac:dyDescent="0.2">
      <c r="A795" s="222" t="e">
        <f t="shared" ref="A795:A858" si="90">IF(AND(A794&lt;&gt;"",C795&lt;&gt;""),A794+1,IF(B795="DI1 - DI de 1 dia",1,""))</f>
        <v>#REF!</v>
      </c>
      <c r="B795" s="222" t="str">
        <f>IF(dadosexternosBMF_1!A798="DI1 - DI de 1 dia","DI1 - DI de 1 dia","")</f>
        <v/>
      </c>
      <c r="C795" s="222" t="e">
        <f>IF(dadosexternosBMF_1!A798="DOL - Dólar comercial","",IF(C794&lt;&gt;"",dadosexternosBMF_1!B798,IF(dadosexternosBMF_1!A798="DI1 - DI de 1 dia",dadosexternosBMF_1!B798,"")))</f>
        <v>#REF!</v>
      </c>
      <c r="D795" s="222" t="e">
        <f>IF(C795&lt;&gt;"",dadosexternosBMF_1!C798,"")</f>
        <v>#REF!</v>
      </c>
      <c r="E795" s="222" t="e">
        <f>IF(C795&lt;&gt;"",dadosexternosBMF_1!D798,"")</f>
        <v>#REF!</v>
      </c>
      <c r="G795" s="219" t="e">
        <f t="shared" ref="G795:G858" si="91">IF(G794=1,2,IF(AND(H795="",H794&lt;&gt;""),1,""))</f>
        <v>#REF!</v>
      </c>
      <c r="H795" s="219" t="e">
        <f t="shared" ref="H795:H858" si="92">IF(A795&lt;&gt;"",A795,"")</f>
        <v>#REF!</v>
      </c>
      <c r="I795" s="219" t="e">
        <f t="shared" ref="I795:I858" si="93">IF(A795&lt;&gt;"",(CONCATENATE("DI1",C795)),"")</f>
        <v>#REF!</v>
      </c>
      <c r="J795" s="219" t="e">
        <f>IF(I795="","",VLOOKUP(LEFT(C795,1),dadosexternosBMF_1!$L$2:$M$13,2,FALSE))</f>
        <v>#REF!</v>
      </c>
      <c r="K795" s="219" t="e">
        <f t="shared" ref="K795:K858" si="94">IF(I795="","",1+CONCATENATE(20,RIGHT(C795,2))-1)</f>
        <v>#REF!</v>
      </c>
      <c r="L795" s="422" t="e">
        <f t="shared" ref="L795:L858" si="95">IF(I795="","",CONCATENATE(1,"/",J795,"/",K795)+1-1)</f>
        <v>#REF!</v>
      </c>
      <c r="M795" s="422" t="e">
        <f>IF(I795="","",WORKDAY(L795-1,1,FERIADOS!$A$2:$A$831))</f>
        <v>#REF!</v>
      </c>
      <c r="N795" s="219" t="e">
        <f>IF(I795="","",NETWORKDAYS(Curva!$M$2,M795,FERIADOS!$A$2:$A$831)-1)</f>
        <v>#REF!</v>
      </c>
      <c r="O795" s="423" t="e">
        <f>IF(C795&lt;&gt;"",IF(ISERROR((100000/E795)^(252/N795)-1),Curva!$B$2,((100000/E795)^(252/N795)-1)),"")</f>
        <v>#REF!</v>
      </c>
      <c r="P795" s="219" t="e">
        <f>IF(OR(G795=1,G795=2),dadosexternosBMF_1!B798,"")</f>
        <v>#REF!</v>
      </c>
      <c r="Q795" s="219" t="e">
        <f>IF(OR(G795=1,G795=2),dadosexternosBMF_1!D798,"")</f>
        <v>#REF!</v>
      </c>
    </row>
    <row r="796" spans="1:17" x14ac:dyDescent="0.2">
      <c r="A796" s="222" t="e">
        <f t="shared" si="90"/>
        <v>#REF!</v>
      </c>
      <c r="B796" s="222" t="str">
        <f>IF(dadosexternosBMF_1!A799="DI1 - DI de 1 dia","DI1 - DI de 1 dia","")</f>
        <v/>
      </c>
      <c r="C796" s="222" t="e">
        <f>IF(dadosexternosBMF_1!A799="DOL - Dólar comercial","",IF(C795&lt;&gt;"",dadosexternosBMF_1!B799,IF(dadosexternosBMF_1!A799="DI1 - DI de 1 dia",dadosexternosBMF_1!B799,"")))</f>
        <v>#REF!</v>
      </c>
      <c r="D796" s="222" t="e">
        <f>IF(C796&lt;&gt;"",dadosexternosBMF_1!C799,"")</f>
        <v>#REF!</v>
      </c>
      <c r="E796" s="222" t="e">
        <f>IF(C796&lt;&gt;"",dadosexternosBMF_1!D799,"")</f>
        <v>#REF!</v>
      </c>
      <c r="G796" s="219" t="e">
        <f t="shared" si="91"/>
        <v>#REF!</v>
      </c>
      <c r="H796" s="219" t="e">
        <f t="shared" si="92"/>
        <v>#REF!</v>
      </c>
      <c r="I796" s="219" t="e">
        <f t="shared" si="93"/>
        <v>#REF!</v>
      </c>
      <c r="J796" s="219" t="e">
        <f>IF(I796="","",VLOOKUP(LEFT(C796,1),dadosexternosBMF_1!$L$2:$M$13,2,FALSE))</f>
        <v>#REF!</v>
      </c>
      <c r="K796" s="219" t="e">
        <f t="shared" si="94"/>
        <v>#REF!</v>
      </c>
      <c r="L796" s="422" t="e">
        <f t="shared" si="95"/>
        <v>#REF!</v>
      </c>
      <c r="M796" s="422" t="e">
        <f>IF(I796="","",WORKDAY(L796-1,1,FERIADOS!$A$2:$A$831))</f>
        <v>#REF!</v>
      </c>
      <c r="N796" s="219" t="e">
        <f>IF(I796="","",NETWORKDAYS(Curva!$M$2,M796,FERIADOS!$A$2:$A$831)-1)</f>
        <v>#REF!</v>
      </c>
      <c r="O796" s="423" t="e">
        <f>IF(C796&lt;&gt;"",IF(ISERROR((100000/E796)^(252/N796)-1),Curva!$B$2,((100000/E796)^(252/N796)-1)),"")</f>
        <v>#REF!</v>
      </c>
      <c r="P796" s="219" t="e">
        <f>IF(OR(G796=1,G796=2),dadosexternosBMF_1!B799,"")</f>
        <v>#REF!</v>
      </c>
      <c r="Q796" s="219" t="e">
        <f>IF(OR(G796=1,G796=2),dadosexternosBMF_1!D799,"")</f>
        <v>#REF!</v>
      </c>
    </row>
    <row r="797" spans="1:17" x14ac:dyDescent="0.2">
      <c r="A797" s="222" t="e">
        <f t="shared" si="90"/>
        <v>#REF!</v>
      </c>
      <c r="B797" s="222" t="str">
        <f>IF(dadosexternosBMF_1!A800="DI1 - DI de 1 dia","DI1 - DI de 1 dia","")</f>
        <v/>
      </c>
      <c r="C797" s="222" t="e">
        <f>IF(dadosexternosBMF_1!A800="DOL - Dólar comercial","",IF(C796&lt;&gt;"",dadosexternosBMF_1!B800,IF(dadosexternosBMF_1!A800="DI1 - DI de 1 dia",dadosexternosBMF_1!B800,"")))</f>
        <v>#REF!</v>
      </c>
      <c r="D797" s="222" t="e">
        <f>IF(C797&lt;&gt;"",dadosexternosBMF_1!C800,"")</f>
        <v>#REF!</v>
      </c>
      <c r="E797" s="222" t="e">
        <f>IF(C797&lt;&gt;"",dadosexternosBMF_1!D800,"")</f>
        <v>#REF!</v>
      </c>
      <c r="G797" s="219" t="e">
        <f t="shared" si="91"/>
        <v>#REF!</v>
      </c>
      <c r="H797" s="219" t="e">
        <f t="shared" si="92"/>
        <v>#REF!</v>
      </c>
      <c r="I797" s="219" t="e">
        <f t="shared" si="93"/>
        <v>#REF!</v>
      </c>
      <c r="J797" s="219" t="e">
        <f>IF(I797="","",VLOOKUP(LEFT(C797,1),dadosexternosBMF_1!$L$2:$M$13,2,FALSE))</f>
        <v>#REF!</v>
      </c>
      <c r="K797" s="219" t="e">
        <f t="shared" si="94"/>
        <v>#REF!</v>
      </c>
      <c r="L797" s="422" t="e">
        <f t="shared" si="95"/>
        <v>#REF!</v>
      </c>
      <c r="M797" s="422" t="e">
        <f>IF(I797="","",WORKDAY(L797-1,1,FERIADOS!$A$2:$A$831))</f>
        <v>#REF!</v>
      </c>
      <c r="N797" s="219" t="e">
        <f>IF(I797="","",NETWORKDAYS(Curva!$M$2,M797,FERIADOS!$A$2:$A$831)-1)</f>
        <v>#REF!</v>
      </c>
      <c r="O797" s="423" t="e">
        <f>IF(C797&lt;&gt;"",IF(ISERROR((100000/E797)^(252/N797)-1),Curva!$B$2,((100000/E797)^(252/N797)-1)),"")</f>
        <v>#REF!</v>
      </c>
      <c r="P797" s="219" t="e">
        <f>IF(OR(G797=1,G797=2),dadosexternosBMF_1!B800,"")</f>
        <v>#REF!</v>
      </c>
      <c r="Q797" s="219" t="e">
        <f>IF(OR(G797=1,G797=2),dadosexternosBMF_1!D800,"")</f>
        <v>#REF!</v>
      </c>
    </row>
    <row r="798" spans="1:17" x14ac:dyDescent="0.2">
      <c r="A798" s="222" t="e">
        <f t="shared" si="90"/>
        <v>#REF!</v>
      </c>
      <c r="B798" s="222" t="str">
        <f>IF(dadosexternosBMF_1!A801="DI1 - DI de 1 dia","DI1 - DI de 1 dia","")</f>
        <v/>
      </c>
      <c r="C798" s="222" t="e">
        <f>IF(dadosexternosBMF_1!A801="DOL - Dólar comercial","",IF(C797&lt;&gt;"",dadosexternosBMF_1!B801,IF(dadosexternosBMF_1!A801="DI1 - DI de 1 dia",dadosexternosBMF_1!B801,"")))</f>
        <v>#REF!</v>
      </c>
      <c r="D798" s="222" t="e">
        <f>IF(C798&lt;&gt;"",dadosexternosBMF_1!C801,"")</f>
        <v>#REF!</v>
      </c>
      <c r="E798" s="222" t="e">
        <f>IF(C798&lt;&gt;"",dadosexternosBMF_1!D801,"")</f>
        <v>#REF!</v>
      </c>
      <c r="G798" s="219" t="e">
        <f t="shared" si="91"/>
        <v>#REF!</v>
      </c>
      <c r="H798" s="219" t="e">
        <f t="shared" si="92"/>
        <v>#REF!</v>
      </c>
      <c r="I798" s="219" t="e">
        <f t="shared" si="93"/>
        <v>#REF!</v>
      </c>
      <c r="J798" s="219" t="e">
        <f>IF(I798="","",VLOOKUP(LEFT(C798,1),dadosexternosBMF_1!$L$2:$M$13,2,FALSE))</f>
        <v>#REF!</v>
      </c>
      <c r="K798" s="219" t="e">
        <f t="shared" si="94"/>
        <v>#REF!</v>
      </c>
      <c r="L798" s="422" t="e">
        <f t="shared" si="95"/>
        <v>#REF!</v>
      </c>
      <c r="M798" s="422" t="e">
        <f>IF(I798="","",WORKDAY(L798-1,1,FERIADOS!$A$2:$A$831))</f>
        <v>#REF!</v>
      </c>
      <c r="N798" s="219" t="e">
        <f>IF(I798="","",NETWORKDAYS(Curva!$M$2,M798,FERIADOS!$A$2:$A$831)-1)</f>
        <v>#REF!</v>
      </c>
      <c r="O798" s="423" t="e">
        <f>IF(C798&lt;&gt;"",IF(ISERROR((100000/E798)^(252/N798)-1),Curva!$B$2,((100000/E798)^(252/N798)-1)),"")</f>
        <v>#REF!</v>
      </c>
      <c r="P798" s="219" t="e">
        <f>IF(OR(G798=1,G798=2),dadosexternosBMF_1!B801,"")</f>
        <v>#REF!</v>
      </c>
      <c r="Q798" s="219" t="e">
        <f>IF(OR(G798=1,G798=2),dadosexternosBMF_1!D801,"")</f>
        <v>#REF!</v>
      </c>
    </row>
    <row r="799" spans="1:17" x14ac:dyDescent="0.2">
      <c r="A799" s="222" t="e">
        <f t="shared" si="90"/>
        <v>#REF!</v>
      </c>
      <c r="B799" s="222" t="str">
        <f>IF(dadosexternosBMF_1!A802="DI1 - DI de 1 dia","DI1 - DI de 1 dia","")</f>
        <v/>
      </c>
      <c r="C799" s="222" t="e">
        <f>IF(dadosexternosBMF_1!A802="DOL - Dólar comercial","",IF(C798&lt;&gt;"",dadosexternosBMF_1!B802,IF(dadosexternosBMF_1!A802="DI1 - DI de 1 dia",dadosexternosBMF_1!B802,"")))</f>
        <v>#REF!</v>
      </c>
      <c r="D799" s="222" t="e">
        <f>IF(C799&lt;&gt;"",dadosexternosBMF_1!C802,"")</f>
        <v>#REF!</v>
      </c>
      <c r="E799" s="222" t="e">
        <f>IF(C799&lt;&gt;"",dadosexternosBMF_1!D802,"")</f>
        <v>#REF!</v>
      </c>
      <c r="G799" s="219" t="e">
        <f t="shared" si="91"/>
        <v>#REF!</v>
      </c>
      <c r="H799" s="219" t="e">
        <f t="shared" si="92"/>
        <v>#REF!</v>
      </c>
      <c r="I799" s="219" t="e">
        <f t="shared" si="93"/>
        <v>#REF!</v>
      </c>
      <c r="J799" s="219" t="e">
        <f>IF(I799="","",VLOOKUP(LEFT(C799,1),dadosexternosBMF_1!$L$2:$M$13,2,FALSE))</f>
        <v>#REF!</v>
      </c>
      <c r="K799" s="219" t="e">
        <f t="shared" si="94"/>
        <v>#REF!</v>
      </c>
      <c r="L799" s="422" t="e">
        <f t="shared" si="95"/>
        <v>#REF!</v>
      </c>
      <c r="M799" s="422" t="e">
        <f>IF(I799="","",WORKDAY(L799-1,1,FERIADOS!$A$2:$A$831))</f>
        <v>#REF!</v>
      </c>
      <c r="N799" s="219" t="e">
        <f>IF(I799="","",NETWORKDAYS(Curva!$M$2,M799,FERIADOS!$A$2:$A$831)-1)</f>
        <v>#REF!</v>
      </c>
      <c r="O799" s="423" t="e">
        <f>IF(C799&lt;&gt;"",IF(ISERROR((100000/E799)^(252/N799)-1),Curva!$B$2,((100000/E799)^(252/N799)-1)),"")</f>
        <v>#REF!</v>
      </c>
      <c r="P799" s="219" t="e">
        <f>IF(OR(G799=1,G799=2),dadosexternosBMF_1!B802,"")</f>
        <v>#REF!</v>
      </c>
      <c r="Q799" s="219" t="e">
        <f>IF(OR(G799=1,G799=2),dadosexternosBMF_1!D802,"")</f>
        <v>#REF!</v>
      </c>
    </row>
    <row r="800" spans="1:17" x14ac:dyDescent="0.2">
      <c r="A800" s="222" t="e">
        <f t="shared" si="90"/>
        <v>#REF!</v>
      </c>
      <c r="B800" s="222" t="str">
        <f>IF(dadosexternosBMF_1!A803="DI1 - DI de 1 dia","DI1 - DI de 1 dia","")</f>
        <v/>
      </c>
      <c r="C800" s="222" t="e">
        <f>IF(dadosexternosBMF_1!A803="DOL - Dólar comercial","",IF(C799&lt;&gt;"",dadosexternosBMF_1!B803,IF(dadosexternosBMF_1!A803="DI1 - DI de 1 dia",dadosexternosBMF_1!B803,"")))</f>
        <v>#REF!</v>
      </c>
      <c r="D800" s="222" t="e">
        <f>IF(C800&lt;&gt;"",dadosexternosBMF_1!C803,"")</f>
        <v>#REF!</v>
      </c>
      <c r="E800" s="222" t="e">
        <f>IF(C800&lt;&gt;"",dadosexternosBMF_1!D803,"")</f>
        <v>#REF!</v>
      </c>
      <c r="G800" s="219" t="e">
        <f t="shared" si="91"/>
        <v>#REF!</v>
      </c>
      <c r="H800" s="219" t="e">
        <f t="shared" si="92"/>
        <v>#REF!</v>
      </c>
      <c r="I800" s="219" t="e">
        <f t="shared" si="93"/>
        <v>#REF!</v>
      </c>
      <c r="J800" s="219" t="e">
        <f>IF(I800="","",VLOOKUP(LEFT(C800,1),dadosexternosBMF_1!$L$2:$M$13,2,FALSE))</f>
        <v>#REF!</v>
      </c>
      <c r="K800" s="219" t="e">
        <f t="shared" si="94"/>
        <v>#REF!</v>
      </c>
      <c r="L800" s="422" t="e">
        <f t="shared" si="95"/>
        <v>#REF!</v>
      </c>
      <c r="M800" s="422" t="e">
        <f>IF(I800="","",WORKDAY(L800-1,1,FERIADOS!$A$2:$A$831))</f>
        <v>#REF!</v>
      </c>
      <c r="N800" s="219" t="e">
        <f>IF(I800="","",NETWORKDAYS(Curva!$M$2,M800,FERIADOS!$A$2:$A$831)-1)</f>
        <v>#REF!</v>
      </c>
      <c r="O800" s="423" t="e">
        <f>IF(C800&lt;&gt;"",IF(ISERROR((100000/E800)^(252/N800)-1),Curva!$B$2,((100000/E800)^(252/N800)-1)),"")</f>
        <v>#REF!</v>
      </c>
      <c r="P800" s="219" t="e">
        <f>IF(OR(G800=1,G800=2),dadosexternosBMF_1!B803,"")</f>
        <v>#REF!</v>
      </c>
      <c r="Q800" s="219" t="e">
        <f>IF(OR(G800=1,G800=2),dadosexternosBMF_1!D803,"")</f>
        <v>#REF!</v>
      </c>
    </row>
    <row r="801" spans="1:17" x14ac:dyDescent="0.2">
      <c r="A801" s="222" t="e">
        <f t="shared" si="90"/>
        <v>#REF!</v>
      </c>
      <c r="B801" s="222" t="str">
        <f>IF(dadosexternosBMF_1!A804="DI1 - DI de 1 dia","DI1 - DI de 1 dia","")</f>
        <v/>
      </c>
      <c r="C801" s="222" t="e">
        <f>IF(dadosexternosBMF_1!A804="DOL - Dólar comercial","",IF(C800&lt;&gt;"",dadosexternosBMF_1!B804,IF(dadosexternosBMF_1!A804="DI1 - DI de 1 dia",dadosexternosBMF_1!B804,"")))</f>
        <v>#REF!</v>
      </c>
      <c r="D801" s="222" t="e">
        <f>IF(C801&lt;&gt;"",dadosexternosBMF_1!C804,"")</f>
        <v>#REF!</v>
      </c>
      <c r="E801" s="222" t="e">
        <f>IF(C801&lt;&gt;"",dadosexternosBMF_1!D804,"")</f>
        <v>#REF!</v>
      </c>
      <c r="G801" s="219" t="e">
        <f t="shared" si="91"/>
        <v>#REF!</v>
      </c>
      <c r="H801" s="219" t="e">
        <f t="shared" si="92"/>
        <v>#REF!</v>
      </c>
      <c r="I801" s="219" t="e">
        <f t="shared" si="93"/>
        <v>#REF!</v>
      </c>
      <c r="J801" s="219" t="e">
        <f>IF(I801="","",VLOOKUP(LEFT(C801,1),dadosexternosBMF_1!$L$2:$M$13,2,FALSE))</f>
        <v>#REF!</v>
      </c>
      <c r="K801" s="219" t="e">
        <f t="shared" si="94"/>
        <v>#REF!</v>
      </c>
      <c r="L801" s="422" t="e">
        <f t="shared" si="95"/>
        <v>#REF!</v>
      </c>
      <c r="M801" s="422" t="e">
        <f>IF(I801="","",WORKDAY(L801-1,1,FERIADOS!$A$2:$A$831))</f>
        <v>#REF!</v>
      </c>
      <c r="N801" s="219" t="e">
        <f>IF(I801="","",NETWORKDAYS(Curva!$M$2,M801,FERIADOS!$A$2:$A$831)-1)</f>
        <v>#REF!</v>
      </c>
      <c r="O801" s="423" t="e">
        <f>IF(C801&lt;&gt;"",IF(ISERROR((100000/E801)^(252/N801)-1),Curva!$B$2,((100000/E801)^(252/N801)-1)),"")</f>
        <v>#REF!</v>
      </c>
      <c r="P801" s="219" t="e">
        <f>IF(OR(G801=1,G801=2),dadosexternosBMF_1!B804,"")</f>
        <v>#REF!</v>
      </c>
      <c r="Q801" s="219" t="e">
        <f>IF(OR(G801=1,G801=2),dadosexternosBMF_1!D804,"")</f>
        <v>#REF!</v>
      </c>
    </row>
    <row r="802" spans="1:17" x14ac:dyDescent="0.2">
      <c r="A802" s="222" t="e">
        <f t="shared" si="90"/>
        <v>#REF!</v>
      </c>
      <c r="B802" s="222" t="str">
        <f>IF(dadosexternosBMF_1!A805="DI1 - DI de 1 dia","DI1 - DI de 1 dia","")</f>
        <v/>
      </c>
      <c r="C802" s="222" t="e">
        <f>IF(dadosexternosBMF_1!A805="DOL - Dólar comercial","",IF(C801&lt;&gt;"",dadosexternosBMF_1!B805,IF(dadosexternosBMF_1!A805="DI1 - DI de 1 dia",dadosexternosBMF_1!B805,"")))</f>
        <v>#REF!</v>
      </c>
      <c r="D802" s="222" t="e">
        <f>IF(C802&lt;&gt;"",dadosexternosBMF_1!C805,"")</f>
        <v>#REF!</v>
      </c>
      <c r="E802" s="222" t="e">
        <f>IF(C802&lt;&gt;"",dadosexternosBMF_1!D805,"")</f>
        <v>#REF!</v>
      </c>
      <c r="G802" s="219" t="e">
        <f t="shared" si="91"/>
        <v>#REF!</v>
      </c>
      <c r="H802" s="219" t="e">
        <f t="shared" si="92"/>
        <v>#REF!</v>
      </c>
      <c r="I802" s="219" t="e">
        <f t="shared" si="93"/>
        <v>#REF!</v>
      </c>
      <c r="J802" s="219" t="e">
        <f>IF(I802="","",VLOOKUP(LEFT(C802,1),dadosexternosBMF_1!$L$2:$M$13,2,FALSE))</f>
        <v>#REF!</v>
      </c>
      <c r="K802" s="219" t="e">
        <f t="shared" si="94"/>
        <v>#REF!</v>
      </c>
      <c r="L802" s="422" t="e">
        <f t="shared" si="95"/>
        <v>#REF!</v>
      </c>
      <c r="M802" s="422" t="e">
        <f>IF(I802="","",WORKDAY(L802-1,1,FERIADOS!$A$2:$A$831))</f>
        <v>#REF!</v>
      </c>
      <c r="N802" s="219" t="e">
        <f>IF(I802="","",NETWORKDAYS(Curva!$M$2,M802,FERIADOS!$A$2:$A$831)-1)</f>
        <v>#REF!</v>
      </c>
      <c r="O802" s="423" t="e">
        <f>IF(C802&lt;&gt;"",IF(ISERROR((100000/E802)^(252/N802)-1),Curva!$B$2,((100000/E802)^(252/N802)-1)),"")</f>
        <v>#REF!</v>
      </c>
      <c r="P802" s="219" t="e">
        <f>IF(OR(G802=1,G802=2),dadosexternosBMF_1!B805,"")</f>
        <v>#REF!</v>
      </c>
      <c r="Q802" s="219" t="e">
        <f>IF(OR(G802=1,G802=2),dadosexternosBMF_1!D805,"")</f>
        <v>#REF!</v>
      </c>
    </row>
    <row r="803" spans="1:17" x14ac:dyDescent="0.2">
      <c r="A803" s="222" t="e">
        <f t="shared" si="90"/>
        <v>#REF!</v>
      </c>
      <c r="B803" s="222" t="str">
        <f>IF(dadosexternosBMF_1!A806="DI1 - DI de 1 dia","DI1 - DI de 1 dia","")</f>
        <v/>
      </c>
      <c r="C803" s="222" t="e">
        <f>IF(dadosexternosBMF_1!A806="DOL - Dólar comercial","",IF(C802&lt;&gt;"",dadosexternosBMF_1!B806,IF(dadosexternosBMF_1!A806="DI1 - DI de 1 dia",dadosexternosBMF_1!B806,"")))</f>
        <v>#REF!</v>
      </c>
      <c r="D803" s="222" t="e">
        <f>IF(C803&lt;&gt;"",dadosexternosBMF_1!C806,"")</f>
        <v>#REF!</v>
      </c>
      <c r="E803" s="222" t="e">
        <f>IF(C803&lt;&gt;"",dadosexternosBMF_1!D806,"")</f>
        <v>#REF!</v>
      </c>
      <c r="G803" s="219" t="e">
        <f t="shared" si="91"/>
        <v>#REF!</v>
      </c>
      <c r="H803" s="219" t="e">
        <f t="shared" si="92"/>
        <v>#REF!</v>
      </c>
      <c r="I803" s="219" t="e">
        <f t="shared" si="93"/>
        <v>#REF!</v>
      </c>
      <c r="J803" s="219" t="e">
        <f>IF(I803="","",VLOOKUP(LEFT(C803,1),dadosexternosBMF_1!$L$2:$M$13,2,FALSE))</f>
        <v>#REF!</v>
      </c>
      <c r="K803" s="219" t="e">
        <f t="shared" si="94"/>
        <v>#REF!</v>
      </c>
      <c r="L803" s="422" t="e">
        <f t="shared" si="95"/>
        <v>#REF!</v>
      </c>
      <c r="M803" s="422" t="e">
        <f>IF(I803="","",WORKDAY(L803-1,1,FERIADOS!$A$2:$A$831))</f>
        <v>#REF!</v>
      </c>
      <c r="N803" s="219" t="e">
        <f>IF(I803="","",NETWORKDAYS(Curva!$M$2,M803,FERIADOS!$A$2:$A$831)-1)</f>
        <v>#REF!</v>
      </c>
      <c r="O803" s="423" t="e">
        <f>IF(C803&lt;&gt;"",IF(ISERROR((100000/E803)^(252/N803)-1),Curva!$B$2,((100000/E803)^(252/N803)-1)),"")</f>
        <v>#REF!</v>
      </c>
      <c r="P803" s="219" t="e">
        <f>IF(OR(G803=1,G803=2),dadosexternosBMF_1!B806,"")</f>
        <v>#REF!</v>
      </c>
      <c r="Q803" s="219" t="e">
        <f>IF(OR(G803=1,G803=2),dadosexternosBMF_1!D806,"")</f>
        <v>#REF!</v>
      </c>
    </row>
    <row r="804" spans="1:17" x14ac:dyDescent="0.2">
      <c r="A804" s="222" t="e">
        <f t="shared" si="90"/>
        <v>#REF!</v>
      </c>
      <c r="B804" s="222" t="str">
        <f>IF(dadosexternosBMF_1!A807="DI1 - DI de 1 dia","DI1 - DI de 1 dia","")</f>
        <v/>
      </c>
      <c r="C804" s="222" t="e">
        <f>IF(dadosexternosBMF_1!A807="DOL - Dólar comercial","",IF(C803&lt;&gt;"",dadosexternosBMF_1!B807,IF(dadosexternosBMF_1!A807="DI1 - DI de 1 dia",dadosexternosBMF_1!B807,"")))</f>
        <v>#REF!</v>
      </c>
      <c r="D804" s="222" t="e">
        <f>IF(C804&lt;&gt;"",dadosexternosBMF_1!C807,"")</f>
        <v>#REF!</v>
      </c>
      <c r="E804" s="222" t="e">
        <f>IF(C804&lt;&gt;"",dadosexternosBMF_1!D807,"")</f>
        <v>#REF!</v>
      </c>
      <c r="G804" s="219" t="e">
        <f t="shared" si="91"/>
        <v>#REF!</v>
      </c>
      <c r="H804" s="219" t="e">
        <f t="shared" si="92"/>
        <v>#REF!</v>
      </c>
      <c r="I804" s="219" t="e">
        <f t="shared" si="93"/>
        <v>#REF!</v>
      </c>
      <c r="J804" s="219" t="e">
        <f>IF(I804="","",VLOOKUP(LEFT(C804,1),dadosexternosBMF_1!$L$2:$M$13,2,FALSE))</f>
        <v>#REF!</v>
      </c>
      <c r="K804" s="219" t="e">
        <f t="shared" si="94"/>
        <v>#REF!</v>
      </c>
      <c r="L804" s="422" t="e">
        <f t="shared" si="95"/>
        <v>#REF!</v>
      </c>
      <c r="M804" s="422" t="e">
        <f>IF(I804="","",WORKDAY(L804-1,1,FERIADOS!$A$2:$A$831))</f>
        <v>#REF!</v>
      </c>
      <c r="N804" s="219" t="e">
        <f>IF(I804="","",NETWORKDAYS(Curva!$M$2,M804,FERIADOS!$A$2:$A$831)-1)</f>
        <v>#REF!</v>
      </c>
      <c r="O804" s="423" t="e">
        <f>IF(C804&lt;&gt;"",IF(ISERROR((100000/E804)^(252/N804)-1),Curva!$B$2,((100000/E804)^(252/N804)-1)),"")</f>
        <v>#REF!</v>
      </c>
      <c r="P804" s="219" t="e">
        <f>IF(OR(G804=1,G804=2),dadosexternosBMF_1!B807,"")</f>
        <v>#REF!</v>
      </c>
      <c r="Q804" s="219" t="e">
        <f>IF(OR(G804=1,G804=2),dadosexternosBMF_1!D807,"")</f>
        <v>#REF!</v>
      </c>
    </row>
    <row r="805" spans="1:17" x14ac:dyDescent="0.2">
      <c r="A805" s="222" t="e">
        <f t="shared" si="90"/>
        <v>#REF!</v>
      </c>
      <c r="B805" s="222" t="str">
        <f>IF(dadosexternosBMF_1!A808="DI1 - DI de 1 dia","DI1 - DI de 1 dia","")</f>
        <v/>
      </c>
      <c r="C805" s="222" t="e">
        <f>IF(dadosexternosBMF_1!A808="DOL - Dólar comercial","",IF(C804&lt;&gt;"",dadosexternosBMF_1!B808,IF(dadosexternosBMF_1!A808="DI1 - DI de 1 dia",dadosexternosBMF_1!B808,"")))</f>
        <v>#REF!</v>
      </c>
      <c r="D805" s="222" t="e">
        <f>IF(C805&lt;&gt;"",dadosexternosBMF_1!C808,"")</f>
        <v>#REF!</v>
      </c>
      <c r="E805" s="222" t="e">
        <f>IF(C805&lt;&gt;"",dadosexternosBMF_1!D808,"")</f>
        <v>#REF!</v>
      </c>
      <c r="G805" s="219" t="e">
        <f t="shared" si="91"/>
        <v>#REF!</v>
      </c>
      <c r="H805" s="219" t="e">
        <f t="shared" si="92"/>
        <v>#REF!</v>
      </c>
      <c r="I805" s="219" t="e">
        <f t="shared" si="93"/>
        <v>#REF!</v>
      </c>
      <c r="J805" s="219" t="e">
        <f>IF(I805="","",VLOOKUP(LEFT(C805,1),dadosexternosBMF_1!$L$2:$M$13,2,FALSE))</f>
        <v>#REF!</v>
      </c>
      <c r="K805" s="219" t="e">
        <f t="shared" si="94"/>
        <v>#REF!</v>
      </c>
      <c r="L805" s="422" t="e">
        <f t="shared" si="95"/>
        <v>#REF!</v>
      </c>
      <c r="M805" s="422" t="e">
        <f>IF(I805="","",WORKDAY(L805-1,1,FERIADOS!$A$2:$A$831))</f>
        <v>#REF!</v>
      </c>
      <c r="N805" s="219" t="e">
        <f>IF(I805="","",NETWORKDAYS(Curva!$M$2,M805,FERIADOS!$A$2:$A$831)-1)</f>
        <v>#REF!</v>
      </c>
      <c r="O805" s="423" t="e">
        <f>IF(C805&lt;&gt;"",IF(ISERROR((100000/E805)^(252/N805)-1),Curva!$B$2,((100000/E805)^(252/N805)-1)),"")</f>
        <v>#REF!</v>
      </c>
      <c r="P805" s="219" t="e">
        <f>IF(OR(G805=1,G805=2),dadosexternosBMF_1!B808,"")</f>
        <v>#REF!</v>
      </c>
      <c r="Q805" s="219" t="e">
        <f>IF(OR(G805=1,G805=2),dadosexternosBMF_1!D808,"")</f>
        <v>#REF!</v>
      </c>
    </row>
    <row r="806" spans="1:17" x14ac:dyDescent="0.2">
      <c r="A806" s="222" t="e">
        <f t="shared" si="90"/>
        <v>#REF!</v>
      </c>
      <c r="B806" s="222" t="str">
        <f>IF(dadosexternosBMF_1!A809="DI1 - DI de 1 dia","DI1 - DI de 1 dia","")</f>
        <v/>
      </c>
      <c r="C806" s="222" t="e">
        <f>IF(dadosexternosBMF_1!A809="DOL - Dólar comercial","",IF(C805&lt;&gt;"",dadosexternosBMF_1!B809,IF(dadosexternosBMF_1!A809="DI1 - DI de 1 dia",dadosexternosBMF_1!B809,"")))</f>
        <v>#REF!</v>
      </c>
      <c r="D806" s="222" t="e">
        <f>IF(C806&lt;&gt;"",dadosexternosBMF_1!C809,"")</f>
        <v>#REF!</v>
      </c>
      <c r="E806" s="222" t="e">
        <f>IF(C806&lt;&gt;"",dadosexternosBMF_1!D809,"")</f>
        <v>#REF!</v>
      </c>
      <c r="G806" s="219" t="e">
        <f t="shared" si="91"/>
        <v>#REF!</v>
      </c>
      <c r="H806" s="219" t="e">
        <f t="shared" si="92"/>
        <v>#REF!</v>
      </c>
      <c r="I806" s="219" t="e">
        <f t="shared" si="93"/>
        <v>#REF!</v>
      </c>
      <c r="J806" s="219" t="e">
        <f>IF(I806="","",VLOOKUP(LEFT(C806,1),dadosexternosBMF_1!$L$2:$M$13,2,FALSE))</f>
        <v>#REF!</v>
      </c>
      <c r="K806" s="219" t="e">
        <f t="shared" si="94"/>
        <v>#REF!</v>
      </c>
      <c r="L806" s="422" t="e">
        <f t="shared" si="95"/>
        <v>#REF!</v>
      </c>
      <c r="M806" s="422" t="e">
        <f>IF(I806="","",WORKDAY(L806-1,1,FERIADOS!$A$2:$A$831))</f>
        <v>#REF!</v>
      </c>
      <c r="N806" s="219" t="e">
        <f>IF(I806="","",NETWORKDAYS(Curva!$M$2,M806,FERIADOS!$A$2:$A$831)-1)</f>
        <v>#REF!</v>
      </c>
      <c r="O806" s="423" t="e">
        <f>IF(C806&lt;&gt;"",IF(ISERROR((100000/E806)^(252/N806)-1),Curva!$B$2,((100000/E806)^(252/N806)-1)),"")</f>
        <v>#REF!</v>
      </c>
      <c r="P806" s="219" t="e">
        <f>IF(OR(G806=1,G806=2),dadosexternosBMF_1!B809,"")</f>
        <v>#REF!</v>
      </c>
      <c r="Q806" s="219" t="e">
        <f>IF(OR(G806=1,G806=2),dadosexternosBMF_1!D809,"")</f>
        <v>#REF!</v>
      </c>
    </row>
    <row r="807" spans="1:17" x14ac:dyDescent="0.2">
      <c r="A807" s="222" t="e">
        <f t="shared" si="90"/>
        <v>#REF!</v>
      </c>
      <c r="B807" s="222" t="str">
        <f>IF(dadosexternosBMF_1!A810="DI1 - DI de 1 dia","DI1 - DI de 1 dia","")</f>
        <v/>
      </c>
      <c r="C807" s="222" t="e">
        <f>IF(dadosexternosBMF_1!A810="DOL - Dólar comercial","",IF(C806&lt;&gt;"",dadosexternosBMF_1!B810,IF(dadosexternosBMF_1!A810="DI1 - DI de 1 dia",dadosexternosBMF_1!B810,"")))</f>
        <v>#REF!</v>
      </c>
      <c r="D807" s="222" t="e">
        <f>IF(C807&lt;&gt;"",dadosexternosBMF_1!C810,"")</f>
        <v>#REF!</v>
      </c>
      <c r="E807" s="222" t="e">
        <f>IF(C807&lt;&gt;"",dadosexternosBMF_1!D810,"")</f>
        <v>#REF!</v>
      </c>
      <c r="G807" s="219" t="e">
        <f t="shared" si="91"/>
        <v>#REF!</v>
      </c>
      <c r="H807" s="219" t="e">
        <f t="shared" si="92"/>
        <v>#REF!</v>
      </c>
      <c r="I807" s="219" t="e">
        <f t="shared" si="93"/>
        <v>#REF!</v>
      </c>
      <c r="J807" s="219" t="e">
        <f>IF(I807="","",VLOOKUP(LEFT(C807,1),dadosexternosBMF_1!$L$2:$M$13,2,FALSE))</f>
        <v>#REF!</v>
      </c>
      <c r="K807" s="219" t="e">
        <f t="shared" si="94"/>
        <v>#REF!</v>
      </c>
      <c r="L807" s="422" t="e">
        <f t="shared" si="95"/>
        <v>#REF!</v>
      </c>
      <c r="M807" s="422" t="e">
        <f>IF(I807="","",WORKDAY(L807-1,1,FERIADOS!$A$2:$A$831))</f>
        <v>#REF!</v>
      </c>
      <c r="N807" s="219" t="e">
        <f>IF(I807="","",NETWORKDAYS(Curva!$M$2,M807,FERIADOS!$A$2:$A$831)-1)</f>
        <v>#REF!</v>
      </c>
      <c r="O807" s="423" t="e">
        <f>IF(C807&lt;&gt;"",IF(ISERROR((100000/E807)^(252/N807)-1),Curva!$B$2,((100000/E807)^(252/N807)-1)),"")</f>
        <v>#REF!</v>
      </c>
      <c r="P807" s="219" t="e">
        <f>IF(OR(G807=1,G807=2),dadosexternosBMF_1!B810,"")</f>
        <v>#REF!</v>
      </c>
      <c r="Q807" s="219" t="e">
        <f>IF(OR(G807=1,G807=2),dadosexternosBMF_1!D810,"")</f>
        <v>#REF!</v>
      </c>
    </row>
    <row r="808" spans="1:17" x14ac:dyDescent="0.2">
      <c r="A808" s="222" t="e">
        <f t="shared" si="90"/>
        <v>#REF!</v>
      </c>
      <c r="B808" s="222" t="str">
        <f>IF(dadosexternosBMF_1!A811="DI1 - DI de 1 dia","DI1 - DI de 1 dia","")</f>
        <v/>
      </c>
      <c r="C808" s="222" t="e">
        <f>IF(dadosexternosBMF_1!A811="DOL - Dólar comercial","",IF(C807&lt;&gt;"",dadosexternosBMF_1!B811,IF(dadosexternosBMF_1!A811="DI1 - DI de 1 dia",dadosexternosBMF_1!B811,"")))</f>
        <v>#REF!</v>
      </c>
      <c r="D808" s="222" t="e">
        <f>IF(C808&lt;&gt;"",dadosexternosBMF_1!C811,"")</f>
        <v>#REF!</v>
      </c>
      <c r="E808" s="222" t="e">
        <f>IF(C808&lt;&gt;"",dadosexternosBMF_1!D811,"")</f>
        <v>#REF!</v>
      </c>
      <c r="G808" s="219" t="e">
        <f t="shared" si="91"/>
        <v>#REF!</v>
      </c>
      <c r="H808" s="219" t="e">
        <f t="shared" si="92"/>
        <v>#REF!</v>
      </c>
      <c r="I808" s="219" t="e">
        <f t="shared" si="93"/>
        <v>#REF!</v>
      </c>
      <c r="J808" s="219" t="e">
        <f>IF(I808="","",VLOOKUP(LEFT(C808,1),dadosexternosBMF_1!$L$2:$M$13,2,FALSE))</f>
        <v>#REF!</v>
      </c>
      <c r="K808" s="219" t="e">
        <f t="shared" si="94"/>
        <v>#REF!</v>
      </c>
      <c r="L808" s="422" t="e">
        <f t="shared" si="95"/>
        <v>#REF!</v>
      </c>
      <c r="M808" s="422" t="e">
        <f>IF(I808="","",WORKDAY(L808-1,1,FERIADOS!$A$2:$A$831))</f>
        <v>#REF!</v>
      </c>
      <c r="N808" s="219" t="e">
        <f>IF(I808="","",NETWORKDAYS(Curva!$M$2,M808,FERIADOS!$A$2:$A$831)-1)</f>
        <v>#REF!</v>
      </c>
      <c r="O808" s="423" t="e">
        <f>IF(C808&lt;&gt;"",IF(ISERROR((100000/E808)^(252/N808)-1),Curva!$B$2,((100000/E808)^(252/N808)-1)),"")</f>
        <v>#REF!</v>
      </c>
      <c r="P808" s="219" t="e">
        <f>IF(OR(G808=1,G808=2),dadosexternosBMF_1!B811,"")</f>
        <v>#REF!</v>
      </c>
      <c r="Q808" s="219" t="e">
        <f>IF(OR(G808=1,G808=2),dadosexternosBMF_1!D811,"")</f>
        <v>#REF!</v>
      </c>
    </row>
    <row r="809" spans="1:17" x14ac:dyDescent="0.2">
      <c r="A809" s="222" t="e">
        <f t="shared" si="90"/>
        <v>#REF!</v>
      </c>
      <c r="B809" s="222" t="str">
        <f>IF(dadosexternosBMF_1!A812="DI1 - DI de 1 dia","DI1 - DI de 1 dia","")</f>
        <v/>
      </c>
      <c r="C809" s="222" t="e">
        <f>IF(dadosexternosBMF_1!A812="DOL - Dólar comercial","",IF(C808&lt;&gt;"",dadosexternosBMF_1!B812,IF(dadosexternosBMF_1!A812="DI1 - DI de 1 dia",dadosexternosBMF_1!B812,"")))</f>
        <v>#REF!</v>
      </c>
      <c r="D809" s="222" t="e">
        <f>IF(C809&lt;&gt;"",dadosexternosBMF_1!C812,"")</f>
        <v>#REF!</v>
      </c>
      <c r="E809" s="222" t="e">
        <f>IF(C809&lt;&gt;"",dadosexternosBMF_1!D812,"")</f>
        <v>#REF!</v>
      </c>
      <c r="G809" s="219" t="e">
        <f t="shared" si="91"/>
        <v>#REF!</v>
      </c>
      <c r="H809" s="219" t="e">
        <f t="shared" si="92"/>
        <v>#REF!</v>
      </c>
      <c r="I809" s="219" t="e">
        <f t="shared" si="93"/>
        <v>#REF!</v>
      </c>
      <c r="J809" s="219" t="e">
        <f>IF(I809="","",VLOOKUP(LEFT(C809,1),dadosexternosBMF_1!$L$2:$M$13,2,FALSE))</f>
        <v>#REF!</v>
      </c>
      <c r="K809" s="219" t="e">
        <f t="shared" si="94"/>
        <v>#REF!</v>
      </c>
      <c r="L809" s="422" t="e">
        <f t="shared" si="95"/>
        <v>#REF!</v>
      </c>
      <c r="M809" s="422" t="e">
        <f>IF(I809="","",WORKDAY(L809-1,1,FERIADOS!$A$2:$A$831))</f>
        <v>#REF!</v>
      </c>
      <c r="N809" s="219" t="e">
        <f>IF(I809="","",NETWORKDAYS(Curva!$M$2,M809,FERIADOS!$A$2:$A$831)-1)</f>
        <v>#REF!</v>
      </c>
      <c r="O809" s="423" t="e">
        <f>IF(C809&lt;&gt;"",IF(ISERROR((100000/E809)^(252/N809)-1),Curva!$B$2,((100000/E809)^(252/N809)-1)),"")</f>
        <v>#REF!</v>
      </c>
      <c r="P809" s="219" t="e">
        <f>IF(OR(G809=1,G809=2),dadosexternosBMF_1!B812,"")</f>
        <v>#REF!</v>
      </c>
      <c r="Q809" s="219" t="e">
        <f>IF(OR(G809=1,G809=2),dadosexternosBMF_1!D812,"")</f>
        <v>#REF!</v>
      </c>
    </row>
    <row r="810" spans="1:17" x14ac:dyDescent="0.2">
      <c r="A810" s="222" t="e">
        <f t="shared" si="90"/>
        <v>#REF!</v>
      </c>
      <c r="B810" s="222" t="str">
        <f>IF(dadosexternosBMF_1!A813="DI1 - DI de 1 dia","DI1 - DI de 1 dia","")</f>
        <v/>
      </c>
      <c r="C810" s="222" t="e">
        <f>IF(dadosexternosBMF_1!A813="DOL - Dólar comercial","",IF(C809&lt;&gt;"",dadosexternosBMF_1!B813,IF(dadosexternosBMF_1!A813="DI1 - DI de 1 dia",dadosexternosBMF_1!B813,"")))</f>
        <v>#REF!</v>
      </c>
      <c r="D810" s="222" t="e">
        <f>IF(C810&lt;&gt;"",dadosexternosBMF_1!C813,"")</f>
        <v>#REF!</v>
      </c>
      <c r="E810" s="222" t="e">
        <f>IF(C810&lt;&gt;"",dadosexternosBMF_1!D813,"")</f>
        <v>#REF!</v>
      </c>
      <c r="G810" s="219" t="e">
        <f t="shared" si="91"/>
        <v>#REF!</v>
      </c>
      <c r="H810" s="219" t="e">
        <f t="shared" si="92"/>
        <v>#REF!</v>
      </c>
      <c r="I810" s="219" t="e">
        <f t="shared" si="93"/>
        <v>#REF!</v>
      </c>
      <c r="J810" s="219" t="e">
        <f>IF(I810="","",VLOOKUP(LEFT(C810,1),dadosexternosBMF_1!$L$2:$M$13,2,FALSE))</f>
        <v>#REF!</v>
      </c>
      <c r="K810" s="219" t="e">
        <f t="shared" si="94"/>
        <v>#REF!</v>
      </c>
      <c r="L810" s="422" t="e">
        <f t="shared" si="95"/>
        <v>#REF!</v>
      </c>
      <c r="M810" s="422" t="e">
        <f>IF(I810="","",WORKDAY(L810-1,1,FERIADOS!$A$2:$A$831))</f>
        <v>#REF!</v>
      </c>
      <c r="N810" s="219" t="e">
        <f>IF(I810="","",NETWORKDAYS(Curva!$M$2,M810,FERIADOS!$A$2:$A$831)-1)</f>
        <v>#REF!</v>
      </c>
      <c r="O810" s="423" t="e">
        <f>IF(C810&lt;&gt;"",IF(ISERROR((100000/E810)^(252/N810)-1),Curva!$B$2,((100000/E810)^(252/N810)-1)),"")</f>
        <v>#REF!</v>
      </c>
      <c r="P810" s="219" t="e">
        <f>IF(OR(G810=1,G810=2),dadosexternosBMF_1!B813,"")</f>
        <v>#REF!</v>
      </c>
      <c r="Q810" s="219" t="e">
        <f>IF(OR(G810=1,G810=2),dadosexternosBMF_1!D813,"")</f>
        <v>#REF!</v>
      </c>
    </row>
    <row r="811" spans="1:17" x14ac:dyDescent="0.2">
      <c r="A811" s="222" t="e">
        <f t="shared" si="90"/>
        <v>#REF!</v>
      </c>
      <c r="B811" s="222" t="str">
        <f>IF(dadosexternosBMF_1!A814="DI1 - DI de 1 dia","DI1 - DI de 1 dia","")</f>
        <v/>
      </c>
      <c r="C811" s="222" t="e">
        <f>IF(dadosexternosBMF_1!A814="DOL - Dólar comercial","",IF(C810&lt;&gt;"",dadosexternosBMF_1!B814,IF(dadosexternosBMF_1!A814="DI1 - DI de 1 dia",dadosexternosBMF_1!B814,"")))</f>
        <v>#REF!</v>
      </c>
      <c r="D811" s="222" t="e">
        <f>IF(C811&lt;&gt;"",dadosexternosBMF_1!C814,"")</f>
        <v>#REF!</v>
      </c>
      <c r="E811" s="222" t="e">
        <f>IF(C811&lt;&gt;"",dadosexternosBMF_1!D814,"")</f>
        <v>#REF!</v>
      </c>
      <c r="G811" s="219" t="e">
        <f t="shared" si="91"/>
        <v>#REF!</v>
      </c>
      <c r="H811" s="219" t="e">
        <f t="shared" si="92"/>
        <v>#REF!</v>
      </c>
      <c r="I811" s="219" t="e">
        <f t="shared" si="93"/>
        <v>#REF!</v>
      </c>
      <c r="J811" s="219" t="e">
        <f>IF(I811="","",VLOOKUP(LEFT(C811,1),dadosexternosBMF_1!$L$2:$M$13,2,FALSE))</f>
        <v>#REF!</v>
      </c>
      <c r="K811" s="219" t="e">
        <f t="shared" si="94"/>
        <v>#REF!</v>
      </c>
      <c r="L811" s="422" t="e">
        <f t="shared" si="95"/>
        <v>#REF!</v>
      </c>
      <c r="M811" s="422" t="e">
        <f>IF(I811="","",WORKDAY(L811-1,1,FERIADOS!$A$2:$A$831))</f>
        <v>#REF!</v>
      </c>
      <c r="N811" s="219" t="e">
        <f>IF(I811="","",NETWORKDAYS(Curva!$M$2,M811,FERIADOS!$A$2:$A$831)-1)</f>
        <v>#REF!</v>
      </c>
      <c r="O811" s="423" t="e">
        <f>IF(C811&lt;&gt;"",IF(ISERROR((100000/E811)^(252/N811)-1),Curva!$B$2,((100000/E811)^(252/N811)-1)),"")</f>
        <v>#REF!</v>
      </c>
      <c r="P811" s="219" t="e">
        <f>IF(OR(G811=1,G811=2),dadosexternosBMF_1!B814,"")</f>
        <v>#REF!</v>
      </c>
      <c r="Q811" s="219" t="e">
        <f>IF(OR(G811=1,G811=2),dadosexternosBMF_1!D814,"")</f>
        <v>#REF!</v>
      </c>
    </row>
    <row r="812" spans="1:17" x14ac:dyDescent="0.2">
      <c r="A812" s="222" t="e">
        <f t="shared" si="90"/>
        <v>#REF!</v>
      </c>
      <c r="B812" s="222" t="str">
        <f>IF(dadosexternosBMF_1!A815="DI1 - DI de 1 dia","DI1 - DI de 1 dia","")</f>
        <v/>
      </c>
      <c r="C812" s="222" t="e">
        <f>IF(dadosexternosBMF_1!A815="DOL - Dólar comercial","",IF(C811&lt;&gt;"",dadosexternosBMF_1!B815,IF(dadosexternosBMF_1!A815="DI1 - DI de 1 dia",dadosexternosBMF_1!B815,"")))</f>
        <v>#REF!</v>
      </c>
      <c r="D812" s="222" t="e">
        <f>IF(C812&lt;&gt;"",dadosexternosBMF_1!C815,"")</f>
        <v>#REF!</v>
      </c>
      <c r="E812" s="222" t="e">
        <f>IF(C812&lt;&gt;"",dadosexternosBMF_1!D815,"")</f>
        <v>#REF!</v>
      </c>
      <c r="G812" s="219" t="e">
        <f t="shared" si="91"/>
        <v>#REF!</v>
      </c>
      <c r="H812" s="219" t="e">
        <f t="shared" si="92"/>
        <v>#REF!</v>
      </c>
      <c r="I812" s="219" t="e">
        <f t="shared" si="93"/>
        <v>#REF!</v>
      </c>
      <c r="J812" s="219" t="e">
        <f>IF(I812="","",VLOOKUP(LEFT(C812,1),dadosexternosBMF_1!$L$2:$M$13,2,FALSE))</f>
        <v>#REF!</v>
      </c>
      <c r="K812" s="219" t="e">
        <f t="shared" si="94"/>
        <v>#REF!</v>
      </c>
      <c r="L812" s="422" t="e">
        <f t="shared" si="95"/>
        <v>#REF!</v>
      </c>
      <c r="M812" s="422" t="e">
        <f>IF(I812="","",WORKDAY(L812-1,1,FERIADOS!$A$2:$A$831))</f>
        <v>#REF!</v>
      </c>
      <c r="N812" s="219" t="e">
        <f>IF(I812="","",NETWORKDAYS(Curva!$M$2,M812,FERIADOS!$A$2:$A$831)-1)</f>
        <v>#REF!</v>
      </c>
      <c r="O812" s="423" t="e">
        <f>IF(C812&lt;&gt;"",IF(ISERROR((100000/E812)^(252/N812)-1),Curva!$B$2,((100000/E812)^(252/N812)-1)),"")</f>
        <v>#REF!</v>
      </c>
      <c r="P812" s="219" t="e">
        <f>IF(OR(G812=1,G812=2),dadosexternosBMF_1!B815,"")</f>
        <v>#REF!</v>
      </c>
      <c r="Q812" s="219" t="e">
        <f>IF(OR(G812=1,G812=2),dadosexternosBMF_1!D815,"")</f>
        <v>#REF!</v>
      </c>
    </row>
    <row r="813" spans="1:17" x14ac:dyDescent="0.2">
      <c r="A813" s="222" t="e">
        <f t="shared" si="90"/>
        <v>#REF!</v>
      </c>
      <c r="B813" s="222" t="str">
        <f>IF(dadosexternosBMF_1!A816="DI1 - DI de 1 dia","DI1 - DI de 1 dia","")</f>
        <v/>
      </c>
      <c r="C813" s="222" t="e">
        <f>IF(dadosexternosBMF_1!A816="DOL - Dólar comercial","",IF(C812&lt;&gt;"",dadosexternosBMF_1!B816,IF(dadosexternosBMF_1!A816="DI1 - DI de 1 dia",dadosexternosBMF_1!B816,"")))</f>
        <v>#REF!</v>
      </c>
      <c r="D813" s="222" t="e">
        <f>IF(C813&lt;&gt;"",dadosexternosBMF_1!C816,"")</f>
        <v>#REF!</v>
      </c>
      <c r="E813" s="222" t="e">
        <f>IF(C813&lt;&gt;"",dadosexternosBMF_1!D816,"")</f>
        <v>#REF!</v>
      </c>
      <c r="G813" s="219" t="e">
        <f t="shared" si="91"/>
        <v>#REF!</v>
      </c>
      <c r="H813" s="219" t="e">
        <f t="shared" si="92"/>
        <v>#REF!</v>
      </c>
      <c r="I813" s="219" t="e">
        <f t="shared" si="93"/>
        <v>#REF!</v>
      </c>
      <c r="J813" s="219" t="e">
        <f>IF(I813="","",VLOOKUP(LEFT(C813,1),dadosexternosBMF_1!$L$2:$M$13,2,FALSE))</f>
        <v>#REF!</v>
      </c>
      <c r="K813" s="219" t="e">
        <f t="shared" si="94"/>
        <v>#REF!</v>
      </c>
      <c r="L813" s="422" t="e">
        <f t="shared" si="95"/>
        <v>#REF!</v>
      </c>
      <c r="M813" s="422" t="e">
        <f>IF(I813="","",WORKDAY(L813-1,1,FERIADOS!$A$2:$A$831))</f>
        <v>#REF!</v>
      </c>
      <c r="N813" s="219" t="e">
        <f>IF(I813="","",NETWORKDAYS(Curva!$M$2,M813,FERIADOS!$A$2:$A$831)-1)</f>
        <v>#REF!</v>
      </c>
      <c r="O813" s="423" t="e">
        <f>IF(C813&lt;&gt;"",IF(ISERROR((100000/E813)^(252/N813)-1),Curva!$B$2,((100000/E813)^(252/N813)-1)),"")</f>
        <v>#REF!</v>
      </c>
      <c r="P813" s="219" t="e">
        <f>IF(OR(G813=1,G813=2),dadosexternosBMF_1!B816,"")</f>
        <v>#REF!</v>
      </c>
      <c r="Q813" s="219" t="e">
        <f>IF(OR(G813=1,G813=2),dadosexternosBMF_1!D816,"")</f>
        <v>#REF!</v>
      </c>
    </row>
    <row r="814" spans="1:17" x14ac:dyDescent="0.2">
      <c r="A814" s="222" t="e">
        <f t="shared" si="90"/>
        <v>#REF!</v>
      </c>
      <c r="B814" s="222" t="str">
        <f>IF(dadosexternosBMF_1!A817="DI1 - DI de 1 dia","DI1 - DI de 1 dia","")</f>
        <v/>
      </c>
      <c r="C814" s="222" t="e">
        <f>IF(dadosexternosBMF_1!A817="DOL - Dólar comercial","",IF(C813&lt;&gt;"",dadosexternosBMF_1!B817,IF(dadosexternosBMF_1!A817="DI1 - DI de 1 dia",dadosexternosBMF_1!B817,"")))</f>
        <v>#REF!</v>
      </c>
      <c r="D814" s="222" t="e">
        <f>IF(C814&lt;&gt;"",dadosexternosBMF_1!C817,"")</f>
        <v>#REF!</v>
      </c>
      <c r="E814" s="222" t="e">
        <f>IF(C814&lt;&gt;"",dadosexternosBMF_1!D817,"")</f>
        <v>#REF!</v>
      </c>
      <c r="G814" s="219" t="e">
        <f t="shared" si="91"/>
        <v>#REF!</v>
      </c>
      <c r="H814" s="219" t="e">
        <f t="shared" si="92"/>
        <v>#REF!</v>
      </c>
      <c r="I814" s="219" t="e">
        <f t="shared" si="93"/>
        <v>#REF!</v>
      </c>
      <c r="J814" s="219" t="e">
        <f>IF(I814="","",VLOOKUP(LEFT(C814,1),dadosexternosBMF_1!$L$2:$M$13,2,FALSE))</f>
        <v>#REF!</v>
      </c>
      <c r="K814" s="219" t="e">
        <f t="shared" si="94"/>
        <v>#REF!</v>
      </c>
      <c r="L814" s="422" t="e">
        <f t="shared" si="95"/>
        <v>#REF!</v>
      </c>
      <c r="M814" s="422" t="e">
        <f>IF(I814="","",WORKDAY(L814-1,1,FERIADOS!$A$2:$A$831))</f>
        <v>#REF!</v>
      </c>
      <c r="N814" s="219" t="e">
        <f>IF(I814="","",NETWORKDAYS(Curva!$M$2,M814,FERIADOS!$A$2:$A$831)-1)</f>
        <v>#REF!</v>
      </c>
      <c r="O814" s="423" t="e">
        <f>IF(C814&lt;&gt;"",IF(ISERROR((100000/E814)^(252/N814)-1),Curva!$B$2,((100000/E814)^(252/N814)-1)),"")</f>
        <v>#REF!</v>
      </c>
      <c r="P814" s="219" t="e">
        <f>IF(OR(G814=1,G814=2),dadosexternosBMF_1!B817,"")</f>
        <v>#REF!</v>
      </c>
      <c r="Q814" s="219" t="e">
        <f>IF(OR(G814=1,G814=2),dadosexternosBMF_1!D817,"")</f>
        <v>#REF!</v>
      </c>
    </row>
    <row r="815" spans="1:17" x14ac:dyDescent="0.2">
      <c r="A815" s="222" t="e">
        <f t="shared" si="90"/>
        <v>#REF!</v>
      </c>
      <c r="B815" s="222" t="str">
        <f>IF(dadosexternosBMF_1!A818="DI1 - DI de 1 dia","DI1 - DI de 1 dia","")</f>
        <v/>
      </c>
      <c r="C815" s="222" t="e">
        <f>IF(dadosexternosBMF_1!A818="DOL - Dólar comercial","",IF(C814&lt;&gt;"",dadosexternosBMF_1!B818,IF(dadosexternosBMF_1!A818="DI1 - DI de 1 dia",dadosexternosBMF_1!B818,"")))</f>
        <v>#REF!</v>
      </c>
      <c r="D815" s="222" t="e">
        <f>IF(C815&lt;&gt;"",dadosexternosBMF_1!C818,"")</f>
        <v>#REF!</v>
      </c>
      <c r="E815" s="222" t="e">
        <f>IF(C815&lt;&gt;"",dadosexternosBMF_1!D818,"")</f>
        <v>#REF!</v>
      </c>
      <c r="G815" s="219" t="e">
        <f t="shared" si="91"/>
        <v>#REF!</v>
      </c>
      <c r="H815" s="219" t="e">
        <f t="shared" si="92"/>
        <v>#REF!</v>
      </c>
      <c r="I815" s="219" t="e">
        <f t="shared" si="93"/>
        <v>#REF!</v>
      </c>
      <c r="J815" s="219" t="e">
        <f>IF(I815="","",VLOOKUP(LEFT(C815,1),dadosexternosBMF_1!$L$2:$M$13,2,FALSE))</f>
        <v>#REF!</v>
      </c>
      <c r="K815" s="219" t="e">
        <f t="shared" si="94"/>
        <v>#REF!</v>
      </c>
      <c r="L815" s="422" t="e">
        <f t="shared" si="95"/>
        <v>#REF!</v>
      </c>
      <c r="M815" s="422" t="e">
        <f>IF(I815="","",WORKDAY(L815-1,1,FERIADOS!$A$2:$A$831))</f>
        <v>#REF!</v>
      </c>
      <c r="N815" s="219" t="e">
        <f>IF(I815="","",NETWORKDAYS(Curva!$M$2,M815,FERIADOS!$A$2:$A$831)-1)</f>
        <v>#REF!</v>
      </c>
      <c r="O815" s="423" t="e">
        <f>IF(C815&lt;&gt;"",IF(ISERROR((100000/E815)^(252/N815)-1),Curva!$B$2,((100000/E815)^(252/N815)-1)),"")</f>
        <v>#REF!</v>
      </c>
      <c r="P815" s="219" t="e">
        <f>IF(OR(G815=1,G815=2),dadosexternosBMF_1!B818,"")</f>
        <v>#REF!</v>
      </c>
      <c r="Q815" s="219" t="e">
        <f>IF(OR(G815=1,G815=2),dadosexternosBMF_1!D818,"")</f>
        <v>#REF!</v>
      </c>
    </row>
    <row r="816" spans="1:17" x14ac:dyDescent="0.2">
      <c r="A816" s="222" t="e">
        <f t="shared" si="90"/>
        <v>#REF!</v>
      </c>
      <c r="B816" s="222" t="str">
        <f>IF(dadosexternosBMF_1!A819="DI1 - DI de 1 dia","DI1 - DI de 1 dia","")</f>
        <v/>
      </c>
      <c r="C816" s="222" t="e">
        <f>IF(dadosexternosBMF_1!A819="DOL - Dólar comercial","",IF(C815&lt;&gt;"",dadosexternosBMF_1!B819,IF(dadosexternosBMF_1!A819="DI1 - DI de 1 dia",dadosexternosBMF_1!B819,"")))</f>
        <v>#REF!</v>
      </c>
      <c r="D816" s="222" t="e">
        <f>IF(C816&lt;&gt;"",dadosexternosBMF_1!C819,"")</f>
        <v>#REF!</v>
      </c>
      <c r="E816" s="222" t="e">
        <f>IF(C816&lt;&gt;"",dadosexternosBMF_1!D819,"")</f>
        <v>#REF!</v>
      </c>
      <c r="G816" s="219" t="e">
        <f t="shared" si="91"/>
        <v>#REF!</v>
      </c>
      <c r="H816" s="219" t="e">
        <f t="shared" si="92"/>
        <v>#REF!</v>
      </c>
      <c r="I816" s="219" t="e">
        <f t="shared" si="93"/>
        <v>#REF!</v>
      </c>
      <c r="J816" s="219" t="e">
        <f>IF(I816="","",VLOOKUP(LEFT(C816,1),dadosexternosBMF_1!$L$2:$M$13,2,FALSE))</f>
        <v>#REF!</v>
      </c>
      <c r="K816" s="219" t="e">
        <f t="shared" si="94"/>
        <v>#REF!</v>
      </c>
      <c r="L816" s="422" t="e">
        <f t="shared" si="95"/>
        <v>#REF!</v>
      </c>
      <c r="M816" s="422" t="e">
        <f>IF(I816="","",WORKDAY(L816-1,1,FERIADOS!$A$2:$A$831))</f>
        <v>#REF!</v>
      </c>
      <c r="N816" s="219" t="e">
        <f>IF(I816="","",NETWORKDAYS(Curva!$M$2,M816,FERIADOS!$A$2:$A$831)-1)</f>
        <v>#REF!</v>
      </c>
      <c r="O816" s="423" t="e">
        <f>IF(C816&lt;&gt;"",IF(ISERROR((100000/E816)^(252/N816)-1),Curva!$B$2,((100000/E816)^(252/N816)-1)),"")</f>
        <v>#REF!</v>
      </c>
      <c r="P816" s="219" t="e">
        <f>IF(OR(G816=1,G816=2),dadosexternosBMF_1!B819,"")</f>
        <v>#REF!</v>
      </c>
      <c r="Q816" s="219" t="e">
        <f>IF(OR(G816=1,G816=2),dadosexternosBMF_1!D819,"")</f>
        <v>#REF!</v>
      </c>
    </row>
    <row r="817" spans="1:17" x14ac:dyDescent="0.2">
      <c r="A817" s="222" t="e">
        <f t="shared" si="90"/>
        <v>#REF!</v>
      </c>
      <c r="B817" s="222" t="str">
        <f>IF(dadosexternosBMF_1!A820="DI1 - DI de 1 dia","DI1 - DI de 1 dia","")</f>
        <v/>
      </c>
      <c r="C817" s="222" t="e">
        <f>IF(dadosexternosBMF_1!A820="DOL - Dólar comercial","",IF(C816&lt;&gt;"",dadosexternosBMF_1!B820,IF(dadosexternosBMF_1!A820="DI1 - DI de 1 dia",dadosexternosBMF_1!B820,"")))</f>
        <v>#REF!</v>
      </c>
      <c r="D817" s="222" t="e">
        <f>IF(C817&lt;&gt;"",dadosexternosBMF_1!C820,"")</f>
        <v>#REF!</v>
      </c>
      <c r="E817" s="222" t="e">
        <f>IF(C817&lt;&gt;"",dadosexternosBMF_1!D820,"")</f>
        <v>#REF!</v>
      </c>
      <c r="G817" s="219" t="e">
        <f t="shared" si="91"/>
        <v>#REF!</v>
      </c>
      <c r="H817" s="219" t="e">
        <f t="shared" si="92"/>
        <v>#REF!</v>
      </c>
      <c r="I817" s="219" t="e">
        <f t="shared" si="93"/>
        <v>#REF!</v>
      </c>
      <c r="J817" s="219" t="e">
        <f>IF(I817="","",VLOOKUP(LEFT(C817,1),dadosexternosBMF_1!$L$2:$M$13,2,FALSE))</f>
        <v>#REF!</v>
      </c>
      <c r="K817" s="219" t="e">
        <f t="shared" si="94"/>
        <v>#REF!</v>
      </c>
      <c r="L817" s="422" t="e">
        <f t="shared" si="95"/>
        <v>#REF!</v>
      </c>
      <c r="M817" s="422" t="e">
        <f>IF(I817="","",WORKDAY(L817-1,1,FERIADOS!$A$2:$A$831))</f>
        <v>#REF!</v>
      </c>
      <c r="N817" s="219" t="e">
        <f>IF(I817="","",NETWORKDAYS(Curva!$M$2,M817,FERIADOS!$A$2:$A$831)-1)</f>
        <v>#REF!</v>
      </c>
      <c r="O817" s="423" t="e">
        <f>IF(C817&lt;&gt;"",IF(ISERROR((100000/E817)^(252/N817)-1),Curva!$B$2,((100000/E817)^(252/N817)-1)),"")</f>
        <v>#REF!</v>
      </c>
      <c r="P817" s="219" t="e">
        <f>IF(OR(G817=1,G817=2),dadosexternosBMF_1!B820,"")</f>
        <v>#REF!</v>
      </c>
      <c r="Q817" s="219" t="e">
        <f>IF(OR(G817=1,G817=2),dadosexternosBMF_1!D820,"")</f>
        <v>#REF!</v>
      </c>
    </row>
    <row r="818" spans="1:17" x14ac:dyDescent="0.2">
      <c r="A818" s="222" t="e">
        <f t="shared" si="90"/>
        <v>#REF!</v>
      </c>
      <c r="B818" s="222" t="str">
        <f>IF(dadosexternosBMF_1!A821="DI1 - DI de 1 dia","DI1 - DI de 1 dia","")</f>
        <v/>
      </c>
      <c r="C818" s="222" t="e">
        <f>IF(dadosexternosBMF_1!A821="DOL - Dólar comercial","",IF(C817&lt;&gt;"",dadosexternosBMF_1!B821,IF(dadosexternosBMF_1!A821="DI1 - DI de 1 dia",dadosexternosBMF_1!B821,"")))</f>
        <v>#REF!</v>
      </c>
      <c r="D818" s="222" t="e">
        <f>IF(C818&lt;&gt;"",dadosexternosBMF_1!C821,"")</f>
        <v>#REF!</v>
      </c>
      <c r="E818" s="222" t="e">
        <f>IF(C818&lt;&gt;"",dadosexternosBMF_1!D821,"")</f>
        <v>#REF!</v>
      </c>
      <c r="G818" s="219" t="e">
        <f t="shared" si="91"/>
        <v>#REF!</v>
      </c>
      <c r="H818" s="219" t="e">
        <f t="shared" si="92"/>
        <v>#REF!</v>
      </c>
      <c r="I818" s="219" t="e">
        <f t="shared" si="93"/>
        <v>#REF!</v>
      </c>
      <c r="J818" s="219" t="e">
        <f>IF(I818="","",VLOOKUP(LEFT(C818,1),dadosexternosBMF_1!$L$2:$M$13,2,FALSE))</f>
        <v>#REF!</v>
      </c>
      <c r="K818" s="219" t="e">
        <f t="shared" si="94"/>
        <v>#REF!</v>
      </c>
      <c r="L818" s="422" t="e">
        <f t="shared" si="95"/>
        <v>#REF!</v>
      </c>
      <c r="M818" s="422" t="e">
        <f>IF(I818="","",WORKDAY(L818-1,1,FERIADOS!$A$2:$A$831))</f>
        <v>#REF!</v>
      </c>
      <c r="N818" s="219" t="e">
        <f>IF(I818="","",NETWORKDAYS(Curva!$M$2,M818,FERIADOS!$A$2:$A$831)-1)</f>
        <v>#REF!</v>
      </c>
      <c r="O818" s="423" t="e">
        <f>IF(C818&lt;&gt;"",IF(ISERROR((100000/E818)^(252/N818)-1),Curva!$B$2,((100000/E818)^(252/N818)-1)),"")</f>
        <v>#REF!</v>
      </c>
      <c r="P818" s="219" t="e">
        <f>IF(OR(G818=1,G818=2),dadosexternosBMF_1!B821,"")</f>
        <v>#REF!</v>
      </c>
      <c r="Q818" s="219" t="e">
        <f>IF(OR(G818=1,G818=2),dadosexternosBMF_1!D821,"")</f>
        <v>#REF!</v>
      </c>
    </row>
    <row r="819" spans="1:17" x14ac:dyDescent="0.2">
      <c r="A819" s="222" t="e">
        <f t="shared" si="90"/>
        <v>#REF!</v>
      </c>
      <c r="B819" s="222" t="str">
        <f>IF(dadosexternosBMF_1!A822="DI1 - DI de 1 dia","DI1 - DI de 1 dia","")</f>
        <v/>
      </c>
      <c r="C819" s="222" t="e">
        <f>IF(dadosexternosBMF_1!A822="DOL - Dólar comercial","",IF(C818&lt;&gt;"",dadosexternosBMF_1!B822,IF(dadosexternosBMF_1!A822="DI1 - DI de 1 dia",dadosexternosBMF_1!B822,"")))</f>
        <v>#REF!</v>
      </c>
      <c r="D819" s="222" t="e">
        <f>IF(C819&lt;&gt;"",dadosexternosBMF_1!C822,"")</f>
        <v>#REF!</v>
      </c>
      <c r="E819" s="222" t="e">
        <f>IF(C819&lt;&gt;"",dadosexternosBMF_1!D822,"")</f>
        <v>#REF!</v>
      </c>
      <c r="G819" s="219" t="e">
        <f t="shared" si="91"/>
        <v>#REF!</v>
      </c>
      <c r="H819" s="219" t="e">
        <f t="shared" si="92"/>
        <v>#REF!</v>
      </c>
      <c r="I819" s="219" t="e">
        <f t="shared" si="93"/>
        <v>#REF!</v>
      </c>
      <c r="J819" s="219" t="e">
        <f>IF(I819="","",VLOOKUP(LEFT(C819,1),dadosexternosBMF_1!$L$2:$M$13,2,FALSE))</f>
        <v>#REF!</v>
      </c>
      <c r="K819" s="219" t="e">
        <f t="shared" si="94"/>
        <v>#REF!</v>
      </c>
      <c r="L819" s="422" t="e">
        <f t="shared" si="95"/>
        <v>#REF!</v>
      </c>
      <c r="M819" s="422" t="e">
        <f>IF(I819="","",WORKDAY(L819-1,1,FERIADOS!$A$2:$A$831))</f>
        <v>#REF!</v>
      </c>
      <c r="N819" s="219" t="e">
        <f>IF(I819="","",NETWORKDAYS(Curva!$M$2,M819,FERIADOS!$A$2:$A$831)-1)</f>
        <v>#REF!</v>
      </c>
      <c r="O819" s="423" t="e">
        <f>IF(C819&lt;&gt;"",IF(ISERROR((100000/E819)^(252/N819)-1),Curva!$B$2,((100000/E819)^(252/N819)-1)),"")</f>
        <v>#REF!</v>
      </c>
      <c r="P819" s="219" t="e">
        <f>IF(OR(G819=1,G819=2),dadosexternosBMF_1!B822,"")</f>
        <v>#REF!</v>
      </c>
      <c r="Q819" s="219" t="e">
        <f>IF(OR(G819=1,G819=2),dadosexternosBMF_1!D822,"")</f>
        <v>#REF!</v>
      </c>
    </row>
    <row r="820" spans="1:17" x14ac:dyDescent="0.2">
      <c r="A820" s="222" t="e">
        <f t="shared" si="90"/>
        <v>#REF!</v>
      </c>
      <c r="B820" s="222" t="str">
        <f>IF(dadosexternosBMF_1!A823="DI1 - DI de 1 dia","DI1 - DI de 1 dia","")</f>
        <v/>
      </c>
      <c r="C820" s="222" t="e">
        <f>IF(dadosexternosBMF_1!A823="DOL - Dólar comercial","",IF(C819&lt;&gt;"",dadosexternosBMF_1!B823,IF(dadosexternosBMF_1!A823="DI1 - DI de 1 dia",dadosexternosBMF_1!B823,"")))</f>
        <v>#REF!</v>
      </c>
      <c r="D820" s="222" t="e">
        <f>IF(C820&lt;&gt;"",dadosexternosBMF_1!C823,"")</f>
        <v>#REF!</v>
      </c>
      <c r="E820" s="222" t="e">
        <f>IF(C820&lt;&gt;"",dadosexternosBMF_1!D823,"")</f>
        <v>#REF!</v>
      </c>
      <c r="G820" s="219" t="e">
        <f t="shared" si="91"/>
        <v>#REF!</v>
      </c>
      <c r="H820" s="219" t="e">
        <f t="shared" si="92"/>
        <v>#REF!</v>
      </c>
      <c r="I820" s="219" t="e">
        <f t="shared" si="93"/>
        <v>#REF!</v>
      </c>
      <c r="J820" s="219" t="e">
        <f>IF(I820="","",VLOOKUP(LEFT(C820,1),dadosexternosBMF_1!$L$2:$M$13,2,FALSE))</f>
        <v>#REF!</v>
      </c>
      <c r="K820" s="219" t="e">
        <f t="shared" si="94"/>
        <v>#REF!</v>
      </c>
      <c r="L820" s="422" t="e">
        <f t="shared" si="95"/>
        <v>#REF!</v>
      </c>
      <c r="M820" s="422" t="e">
        <f>IF(I820="","",WORKDAY(L820-1,1,FERIADOS!$A$2:$A$831))</f>
        <v>#REF!</v>
      </c>
      <c r="N820" s="219" t="e">
        <f>IF(I820="","",NETWORKDAYS(Curva!$M$2,M820,FERIADOS!$A$2:$A$831)-1)</f>
        <v>#REF!</v>
      </c>
      <c r="O820" s="423" t="e">
        <f>IF(C820&lt;&gt;"",IF(ISERROR((100000/E820)^(252/N820)-1),Curva!$B$2,((100000/E820)^(252/N820)-1)),"")</f>
        <v>#REF!</v>
      </c>
      <c r="P820" s="219" t="e">
        <f>IF(OR(G820=1,G820=2),dadosexternosBMF_1!B823,"")</f>
        <v>#REF!</v>
      </c>
      <c r="Q820" s="219" t="e">
        <f>IF(OR(G820=1,G820=2),dadosexternosBMF_1!D823,"")</f>
        <v>#REF!</v>
      </c>
    </row>
    <row r="821" spans="1:17" x14ac:dyDescent="0.2">
      <c r="A821" s="222" t="e">
        <f t="shared" si="90"/>
        <v>#REF!</v>
      </c>
      <c r="B821" s="222" t="str">
        <f>IF(dadosexternosBMF_1!A824="DI1 - DI de 1 dia","DI1 - DI de 1 dia","")</f>
        <v/>
      </c>
      <c r="C821" s="222" t="e">
        <f>IF(dadosexternosBMF_1!A824="DOL - Dólar comercial","",IF(C820&lt;&gt;"",dadosexternosBMF_1!B824,IF(dadosexternosBMF_1!A824="DI1 - DI de 1 dia",dadosexternosBMF_1!B824,"")))</f>
        <v>#REF!</v>
      </c>
      <c r="D821" s="222" t="e">
        <f>IF(C821&lt;&gt;"",dadosexternosBMF_1!C824,"")</f>
        <v>#REF!</v>
      </c>
      <c r="E821" s="222" t="e">
        <f>IF(C821&lt;&gt;"",dadosexternosBMF_1!D824,"")</f>
        <v>#REF!</v>
      </c>
      <c r="G821" s="219" t="e">
        <f t="shared" si="91"/>
        <v>#REF!</v>
      </c>
      <c r="H821" s="219" t="e">
        <f t="shared" si="92"/>
        <v>#REF!</v>
      </c>
      <c r="I821" s="219" t="e">
        <f t="shared" si="93"/>
        <v>#REF!</v>
      </c>
      <c r="J821" s="219" t="e">
        <f>IF(I821="","",VLOOKUP(LEFT(C821,1),dadosexternosBMF_1!$L$2:$M$13,2,FALSE))</f>
        <v>#REF!</v>
      </c>
      <c r="K821" s="219" t="e">
        <f t="shared" si="94"/>
        <v>#REF!</v>
      </c>
      <c r="L821" s="422" t="e">
        <f t="shared" si="95"/>
        <v>#REF!</v>
      </c>
      <c r="M821" s="422" t="e">
        <f>IF(I821="","",WORKDAY(L821-1,1,FERIADOS!$A$2:$A$831))</f>
        <v>#REF!</v>
      </c>
      <c r="N821" s="219" t="e">
        <f>IF(I821="","",NETWORKDAYS(Curva!$M$2,M821,FERIADOS!$A$2:$A$831)-1)</f>
        <v>#REF!</v>
      </c>
      <c r="O821" s="423" t="e">
        <f>IF(C821&lt;&gt;"",IF(ISERROR((100000/E821)^(252/N821)-1),Curva!$B$2,((100000/E821)^(252/N821)-1)),"")</f>
        <v>#REF!</v>
      </c>
      <c r="P821" s="219" t="e">
        <f>IF(OR(G821=1,G821=2),dadosexternosBMF_1!B824,"")</f>
        <v>#REF!</v>
      </c>
      <c r="Q821" s="219" t="e">
        <f>IF(OR(G821=1,G821=2),dadosexternosBMF_1!D824,"")</f>
        <v>#REF!</v>
      </c>
    </row>
    <row r="822" spans="1:17" x14ac:dyDescent="0.2">
      <c r="A822" s="222" t="e">
        <f t="shared" si="90"/>
        <v>#REF!</v>
      </c>
      <c r="B822" s="222" t="str">
        <f>IF(dadosexternosBMF_1!A825="DI1 - DI de 1 dia","DI1 - DI de 1 dia","")</f>
        <v/>
      </c>
      <c r="C822" s="222" t="e">
        <f>IF(dadosexternosBMF_1!A825="DOL - Dólar comercial","",IF(C821&lt;&gt;"",dadosexternosBMF_1!B825,IF(dadosexternosBMF_1!A825="DI1 - DI de 1 dia",dadosexternosBMF_1!B825,"")))</f>
        <v>#REF!</v>
      </c>
      <c r="D822" s="222" t="e">
        <f>IF(C822&lt;&gt;"",dadosexternosBMF_1!C825,"")</f>
        <v>#REF!</v>
      </c>
      <c r="E822" s="222" t="e">
        <f>IF(C822&lt;&gt;"",dadosexternosBMF_1!D825,"")</f>
        <v>#REF!</v>
      </c>
      <c r="G822" s="219" t="e">
        <f t="shared" si="91"/>
        <v>#REF!</v>
      </c>
      <c r="H822" s="219" t="e">
        <f t="shared" si="92"/>
        <v>#REF!</v>
      </c>
      <c r="I822" s="219" t="e">
        <f t="shared" si="93"/>
        <v>#REF!</v>
      </c>
      <c r="J822" s="219" t="e">
        <f>IF(I822="","",VLOOKUP(LEFT(C822,1),dadosexternosBMF_1!$L$2:$M$13,2,FALSE))</f>
        <v>#REF!</v>
      </c>
      <c r="K822" s="219" t="e">
        <f t="shared" si="94"/>
        <v>#REF!</v>
      </c>
      <c r="L822" s="422" t="e">
        <f t="shared" si="95"/>
        <v>#REF!</v>
      </c>
      <c r="M822" s="422" t="e">
        <f>IF(I822="","",WORKDAY(L822-1,1,FERIADOS!$A$2:$A$831))</f>
        <v>#REF!</v>
      </c>
      <c r="N822" s="219" t="e">
        <f>IF(I822="","",NETWORKDAYS(Curva!$M$2,M822,FERIADOS!$A$2:$A$831)-1)</f>
        <v>#REF!</v>
      </c>
      <c r="O822" s="423" t="e">
        <f>IF(C822&lt;&gt;"",IF(ISERROR((100000/E822)^(252/N822)-1),Curva!$B$2,((100000/E822)^(252/N822)-1)),"")</f>
        <v>#REF!</v>
      </c>
      <c r="P822" s="219" t="e">
        <f>IF(OR(G822=1,G822=2),dadosexternosBMF_1!B825,"")</f>
        <v>#REF!</v>
      </c>
      <c r="Q822" s="219" t="e">
        <f>IF(OR(G822=1,G822=2),dadosexternosBMF_1!D825,"")</f>
        <v>#REF!</v>
      </c>
    </row>
    <row r="823" spans="1:17" x14ac:dyDescent="0.2">
      <c r="A823" s="222" t="e">
        <f t="shared" si="90"/>
        <v>#REF!</v>
      </c>
      <c r="B823" s="222" t="str">
        <f>IF(dadosexternosBMF_1!A826="DI1 - DI de 1 dia","DI1 - DI de 1 dia","")</f>
        <v/>
      </c>
      <c r="C823" s="222" t="e">
        <f>IF(dadosexternosBMF_1!A826="DOL - Dólar comercial","",IF(C822&lt;&gt;"",dadosexternosBMF_1!B826,IF(dadosexternosBMF_1!A826="DI1 - DI de 1 dia",dadosexternosBMF_1!B826,"")))</f>
        <v>#REF!</v>
      </c>
      <c r="D823" s="222" t="e">
        <f>IF(C823&lt;&gt;"",dadosexternosBMF_1!C826,"")</f>
        <v>#REF!</v>
      </c>
      <c r="E823" s="222" t="e">
        <f>IF(C823&lt;&gt;"",dadosexternosBMF_1!D826,"")</f>
        <v>#REF!</v>
      </c>
      <c r="G823" s="219" t="e">
        <f t="shared" si="91"/>
        <v>#REF!</v>
      </c>
      <c r="H823" s="219" t="e">
        <f t="shared" si="92"/>
        <v>#REF!</v>
      </c>
      <c r="I823" s="219" t="e">
        <f t="shared" si="93"/>
        <v>#REF!</v>
      </c>
      <c r="J823" s="219" t="e">
        <f>IF(I823="","",VLOOKUP(LEFT(C823,1),dadosexternosBMF_1!$L$2:$M$13,2,FALSE))</f>
        <v>#REF!</v>
      </c>
      <c r="K823" s="219" t="e">
        <f t="shared" si="94"/>
        <v>#REF!</v>
      </c>
      <c r="L823" s="422" t="e">
        <f t="shared" si="95"/>
        <v>#REF!</v>
      </c>
      <c r="M823" s="422" t="e">
        <f>IF(I823="","",WORKDAY(L823-1,1,FERIADOS!$A$2:$A$831))</f>
        <v>#REF!</v>
      </c>
      <c r="N823" s="219" t="e">
        <f>IF(I823="","",NETWORKDAYS(Curva!$M$2,M823,FERIADOS!$A$2:$A$831)-1)</f>
        <v>#REF!</v>
      </c>
      <c r="O823" s="423" t="e">
        <f>IF(C823&lt;&gt;"",IF(ISERROR((100000/E823)^(252/N823)-1),Curva!$B$2,((100000/E823)^(252/N823)-1)),"")</f>
        <v>#REF!</v>
      </c>
      <c r="P823" s="219" t="e">
        <f>IF(OR(G823=1,G823=2),dadosexternosBMF_1!B826,"")</f>
        <v>#REF!</v>
      </c>
      <c r="Q823" s="219" t="e">
        <f>IF(OR(G823=1,G823=2),dadosexternosBMF_1!D826,"")</f>
        <v>#REF!</v>
      </c>
    </row>
    <row r="824" spans="1:17" x14ac:dyDescent="0.2">
      <c r="A824" s="222" t="e">
        <f t="shared" si="90"/>
        <v>#REF!</v>
      </c>
      <c r="B824" s="222" t="str">
        <f>IF(dadosexternosBMF_1!A827="DI1 - DI de 1 dia","DI1 - DI de 1 dia","")</f>
        <v/>
      </c>
      <c r="C824" s="222" t="e">
        <f>IF(dadosexternosBMF_1!A827="DOL - Dólar comercial","",IF(C823&lt;&gt;"",dadosexternosBMF_1!B827,IF(dadosexternosBMF_1!A827="DI1 - DI de 1 dia",dadosexternosBMF_1!B827,"")))</f>
        <v>#REF!</v>
      </c>
      <c r="D824" s="222" t="e">
        <f>IF(C824&lt;&gt;"",dadosexternosBMF_1!C827,"")</f>
        <v>#REF!</v>
      </c>
      <c r="E824" s="222" t="e">
        <f>IF(C824&lt;&gt;"",dadosexternosBMF_1!D827,"")</f>
        <v>#REF!</v>
      </c>
      <c r="G824" s="219" t="e">
        <f t="shared" si="91"/>
        <v>#REF!</v>
      </c>
      <c r="H824" s="219" t="e">
        <f t="shared" si="92"/>
        <v>#REF!</v>
      </c>
      <c r="I824" s="219" t="e">
        <f t="shared" si="93"/>
        <v>#REF!</v>
      </c>
      <c r="J824" s="219" t="e">
        <f>IF(I824="","",VLOOKUP(LEFT(C824,1),dadosexternosBMF_1!$L$2:$M$13,2,FALSE))</f>
        <v>#REF!</v>
      </c>
      <c r="K824" s="219" t="e">
        <f t="shared" si="94"/>
        <v>#REF!</v>
      </c>
      <c r="L824" s="422" t="e">
        <f t="shared" si="95"/>
        <v>#REF!</v>
      </c>
      <c r="M824" s="422" t="e">
        <f>IF(I824="","",WORKDAY(L824-1,1,FERIADOS!$A$2:$A$831))</f>
        <v>#REF!</v>
      </c>
      <c r="N824" s="219" t="e">
        <f>IF(I824="","",NETWORKDAYS(Curva!$M$2,M824,FERIADOS!$A$2:$A$831)-1)</f>
        <v>#REF!</v>
      </c>
      <c r="O824" s="423" t="e">
        <f>IF(C824&lt;&gt;"",IF(ISERROR((100000/E824)^(252/N824)-1),Curva!$B$2,((100000/E824)^(252/N824)-1)),"")</f>
        <v>#REF!</v>
      </c>
      <c r="P824" s="219" t="e">
        <f>IF(OR(G824=1,G824=2),dadosexternosBMF_1!B827,"")</f>
        <v>#REF!</v>
      </c>
      <c r="Q824" s="219" t="e">
        <f>IF(OR(G824=1,G824=2),dadosexternosBMF_1!D827,"")</f>
        <v>#REF!</v>
      </c>
    </row>
    <row r="825" spans="1:17" x14ac:dyDescent="0.2">
      <c r="A825" s="222" t="e">
        <f t="shared" si="90"/>
        <v>#REF!</v>
      </c>
      <c r="B825" s="222" t="str">
        <f>IF(dadosexternosBMF_1!A828="DI1 - DI de 1 dia","DI1 - DI de 1 dia","")</f>
        <v/>
      </c>
      <c r="C825" s="222" t="e">
        <f>IF(dadosexternosBMF_1!A828="DOL - Dólar comercial","",IF(C824&lt;&gt;"",dadosexternosBMF_1!B828,IF(dadosexternosBMF_1!A828="DI1 - DI de 1 dia",dadosexternosBMF_1!B828,"")))</f>
        <v>#REF!</v>
      </c>
      <c r="D825" s="222" t="e">
        <f>IF(C825&lt;&gt;"",dadosexternosBMF_1!C828,"")</f>
        <v>#REF!</v>
      </c>
      <c r="E825" s="222" t="e">
        <f>IF(C825&lt;&gt;"",dadosexternosBMF_1!D828,"")</f>
        <v>#REF!</v>
      </c>
      <c r="G825" s="219" t="e">
        <f t="shared" si="91"/>
        <v>#REF!</v>
      </c>
      <c r="H825" s="219" t="e">
        <f t="shared" si="92"/>
        <v>#REF!</v>
      </c>
      <c r="I825" s="219" t="e">
        <f t="shared" si="93"/>
        <v>#REF!</v>
      </c>
      <c r="J825" s="219" t="e">
        <f>IF(I825="","",VLOOKUP(LEFT(C825,1),dadosexternosBMF_1!$L$2:$M$13,2,FALSE))</f>
        <v>#REF!</v>
      </c>
      <c r="K825" s="219" t="e">
        <f t="shared" si="94"/>
        <v>#REF!</v>
      </c>
      <c r="L825" s="422" t="e">
        <f t="shared" si="95"/>
        <v>#REF!</v>
      </c>
      <c r="M825" s="422" t="e">
        <f>IF(I825="","",WORKDAY(L825-1,1,FERIADOS!$A$2:$A$831))</f>
        <v>#REF!</v>
      </c>
      <c r="N825" s="219" t="e">
        <f>IF(I825="","",NETWORKDAYS(Curva!$M$2,M825,FERIADOS!$A$2:$A$831)-1)</f>
        <v>#REF!</v>
      </c>
      <c r="O825" s="423" t="e">
        <f>IF(C825&lt;&gt;"",IF(ISERROR((100000/E825)^(252/N825)-1),Curva!$B$2,((100000/E825)^(252/N825)-1)),"")</f>
        <v>#REF!</v>
      </c>
      <c r="P825" s="219" t="e">
        <f>IF(OR(G825=1,G825=2),dadosexternosBMF_1!B828,"")</f>
        <v>#REF!</v>
      </c>
      <c r="Q825" s="219" t="e">
        <f>IF(OR(G825=1,G825=2),dadosexternosBMF_1!D828,"")</f>
        <v>#REF!</v>
      </c>
    </row>
    <row r="826" spans="1:17" x14ac:dyDescent="0.2">
      <c r="A826" s="222" t="e">
        <f t="shared" si="90"/>
        <v>#REF!</v>
      </c>
      <c r="B826" s="222" t="str">
        <f>IF(dadosexternosBMF_1!A829="DI1 - DI de 1 dia","DI1 - DI de 1 dia","")</f>
        <v/>
      </c>
      <c r="C826" s="222" t="e">
        <f>IF(dadosexternosBMF_1!A829="DOL - Dólar comercial","",IF(C825&lt;&gt;"",dadosexternosBMF_1!B829,IF(dadosexternosBMF_1!A829="DI1 - DI de 1 dia",dadosexternosBMF_1!B829,"")))</f>
        <v>#REF!</v>
      </c>
      <c r="D826" s="222" t="e">
        <f>IF(C826&lt;&gt;"",dadosexternosBMF_1!C829,"")</f>
        <v>#REF!</v>
      </c>
      <c r="E826" s="222" t="e">
        <f>IF(C826&lt;&gt;"",dadosexternosBMF_1!D829,"")</f>
        <v>#REF!</v>
      </c>
      <c r="G826" s="219" t="e">
        <f t="shared" si="91"/>
        <v>#REF!</v>
      </c>
      <c r="H826" s="219" t="e">
        <f t="shared" si="92"/>
        <v>#REF!</v>
      </c>
      <c r="I826" s="219" t="e">
        <f t="shared" si="93"/>
        <v>#REF!</v>
      </c>
      <c r="J826" s="219" t="e">
        <f>IF(I826="","",VLOOKUP(LEFT(C826,1),dadosexternosBMF_1!$L$2:$M$13,2,FALSE))</f>
        <v>#REF!</v>
      </c>
      <c r="K826" s="219" t="e">
        <f t="shared" si="94"/>
        <v>#REF!</v>
      </c>
      <c r="L826" s="422" t="e">
        <f t="shared" si="95"/>
        <v>#REF!</v>
      </c>
      <c r="M826" s="422" t="e">
        <f>IF(I826="","",WORKDAY(L826-1,1,FERIADOS!$A$2:$A$831))</f>
        <v>#REF!</v>
      </c>
      <c r="N826" s="219" t="e">
        <f>IF(I826="","",NETWORKDAYS(Curva!$M$2,M826,FERIADOS!$A$2:$A$831)-1)</f>
        <v>#REF!</v>
      </c>
      <c r="O826" s="423" t="e">
        <f>IF(C826&lt;&gt;"",IF(ISERROR((100000/E826)^(252/N826)-1),Curva!$B$2,((100000/E826)^(252/N826)-1)),"")</f>
        <v>#REF!</v>
      </c>
      <c r="P826" s="219" t="e">
        <f>IF(OR(G826=1,G826=2),dadosexternosBMF_1!B829,"")</f>
        <v>#REF!</v>
      </c>
      <c r="Q826" s="219" t="e">
        <f>IF(OR(G826=1,G826=2),dadosexternosBMF_1!D829,"")</f>
        <v>#REF!</v>
      </c>
    </row>
    <row r="827" spans="1:17" x14ac:dyDescent="0.2">
      <c r="A827" s="222" t="e">
        <f t="shared" si="90"/>
        <v>#REF!</v>
      </c>
      <c r="B827" s="222" t="str">
        <f>IF(dadosexternosBMF_1!A830="DI1 - DI de 1 dia","DI1 - DI de 1 dia","")</f>
        <v/>
      </c>
      <c r="C827" s="222" t="e">
        <f>IF(dadosexternosBMF_1!A830="DOL - Dólar comercial","",IF(C826&lt;&gt;"",dadosexternosBMF_1!B830,IF(dadosexternosBMF_1!A830="DI1 - DI de 1 dia",dadosexternosBMF_1!B830,"")))</f>
        <v>#REF!</v>
      </c>
      <c r="D827" s="222" t="e">
        <f>IF(C827&lt;&gt;"",dadosexternosBMF_1!C830,"")</f>
        <v>#REF!</v>
      </c>
      <c r="E827" s="222" t="e">
        <f>IF(C827&lt;&gt;"",dadosexternosBMF_1!D830,"")</f>
        <v>#REF!</v>
      </c>
      <c r="G827" s="219" t="e">
        <f t="shared" si="91"/>
        <v>#REF!</v>
      </c>
      <c r="H827" s="219" t="e">
        <f t="shared" si="92"/>
        <v>#REF!</v>
      </c>
      <c r="I827" s="219" t="e">
        <f t="shared" si="93"/>
        <v>#REF!</v>
      </c>
      <c r="J827" s="219" t="e">
        <f>IF(I827="","",VLOOKUP(LEFT(C827,1),dadosexternosBMF_1!$L$2:$M$13,2,FALSE))</f>
        <v>#REF!</v>
      </c>
      <c r="K827" s="219" t="e">
        <f t="shared" si="94"/>
        <v>#REF!</v>
      </c>
      <c r="L827" s="422" t="e">
        <f t="shared" si="95"/>
        <v>#REF!</v>
      </c>
      <c r="M827" s="422" t="e">
        <f>IF(I827="","",WORKDAY(L827-1,1,FERIADOS!$A$2:$A$831))</f>
        <v>#REF!</v>
      </c>
      <c r="N827" s="219" t="e">
        <f>IF(I827="","",NETWORKDAYS(Curva!$M$2,M827,FERIADOS!$A$2:$A$831)-1)</f>
        <v>#REF!</v>
      </c>
      <c r="O827" s="423" t="e">
        <f>IF(C827&lt;&gt;"",IF(ISERROR((100000/E827)^(252/N827)-1),Curva!$B$2,((100000/E827)^(252/N827)-1)),"")</f>
        <v>#REF!</v>
      </c>
      <c r="P827" s="219" t="e">
        <f>IF(OR(G827=1,G827=2),dadosexternosBMF_1!B830,"")</f>
        <v>#REF!</v>
      </c>
      <c r="Q827" s="219" t="e">
        <f>IF(OR(G827=1,G827=2),dadosexternosBMF_1!D830,"")</f>
        <v>#REF!</v>
      </c>
    </row>
    <row r="828" spans="1:17" x14ac:dyDescent="0.2">
      <c r="A828" s="222" t="e">
        <f t="shared" si="90"/>
        <v>#REF!</v>
      </c>
      <c r="B828" s="222" t="str">
        <f>IF(dadosexternosBMF_1!A831="DI1 - DI de 1 dia","DI1 - DI de 1 dia","")</f>
        <v/>
      </c>
      <c r="C828" s="222" t="e">
        <f>IF(dadosexternosBMF_1!A831="DOL - Dólar comercial","",IF(C827&lt;&gt;"",dadosexternosBMF_1!B831,IF(dadosexternosBMF_1!A831="DI1 - DI de 1 dia",dadosexternosBMF_1!B831,"")))</f>
        <v>#REF!</v>
      </c>
      <c r="D828" s="222" t="e">
        <f>IF(C828&lt;&gt;"",dadosexternosBMF_1!C831,"")</f>
        <v>#REF!</v>
      </c>
      <c r="E828" s="222" t="e">
        <f>IF(C828&lt;&gt;"",dadosexternosBMF_1!D831,"")</f>
        <v>#REF!</v>
      </c>
      <c r="G828" s="219" t="e">
        <f t="shared" si="91"/>
        <v>#REF!</v>
      </c>
      <c r="H828" s="219" t="e">
        <f t="shared" si="92"/>
        <v>#REF!</v>
      </c>
      <c r="I828" s="219" t="e">
        <f t="shared" si="93"/>
        <v>#REF!</v>
      </c>
      <c r="J828" s="219" t="e">
        <f>IF(I828="","",VLOOKUP(LEFT(C828,1),dadosexternosBMF_1!$L$2:$M$13,2,FALSE))</f>
        <v>#REF!</v>
      </c>
      <c r="K828" s="219" t="e">
        <f t="shared" si="94"/>
        <v>#REF!</v>
      </c>
      <c r="L828" s="422" t="e">
        <f t="shared" si="95"/>
        <v>#REF!</v>
      </c>
      <c r="M828" s="422" t="e">
        <f>IF(I828="","",WORKDAY(L828-1,1,FERIADOS!$A$2:$A$831))</f>
        <v>#REF!</v>
      </c>
      <c r="N828" s="219" t="e">
        <f>IF(I828="","",NETWORKDAYS(Curva!$M$2,M828,FERIADOS!$A$2:$A$831)-1)</f>
        <v>#REF!</v>
      </c>
      <c r="O828" s="423" t="e">
        <f>IF(C828&lt;&gt;"",IF(ISERROR((100000/E828)^(252/N828)-1),Curva!$B$2,((100000/E828)^(252/N828)-1)),"")</f>
        <v>#REF!</v>
      </c>
      <c r="P828" s="219" t="e">
        <f>IF(OR(G828=1,G828=2),dadosexternosBMF_1!B831,"")</f>
        <v>#REF!</v>
      </c>
      <c r="Q828" s="219" t="e">
        <f>IF(OR(G828=1,G828=2),dadosexternosBMF_1!D831,"")</f>
        <v>#REF!</v>
      </c>
    </row>
    <row r="829" spans="1:17" x14ac:dyDescent="0.2">
      <c r="A829" s="222" t="e">
        <f t="shared" si="90"/>
        <v>#REF!</v>
      </c>
      <c r="B829" s="222" t="str">
        <f>IF(dadosexternosBMF_1!A832="DI1 - DI de 1 dia","DI1 - DI de 1 dia","")</f>
        <v/>
      </c>
      <c r="C829" s="222" t="e">
        <f>IF(dadosexternosBMF_1!A832="DOL - Dólar comercial","",IF(C828&lt;&gt;"",dadosexternosBMF_1!B832,IF(dadosexternosBMF_1!A832="DI1 - DI de 1 dia",dadosexternosBMF_1!B832,"")))</f>
        <v>#REF!</v>
      </c>
      <c r="D829" s="222" t="e">
        <f>IF(C829&lt;&gt;"",dadosexternosBMF_1!C832,"")</f>
        <v>#REF!</v>
      </c>
      <c r="E829" s="222" t="e">
        <f>IF(C829&lt;&gt;"",dadosexternosBMF_1!D832,"")</f>
        <v>#REF!</v>
      </c>
      <c r="G829" s="219" t="e">
        <f t="shared" si="91"/>
        <v>#REF!</v>
      </c>
      <c r="H829" s="219" t="e">
        <f t="shared" si="92"/>
        <v>#REF!</v>
      </c>
      <c r="I829" s="219" t="e">
        <f t="shared" si="93"/>
        <v>#REF!</v>
      </c>
      <c r="J829" s="219" t="e">
        <f>IF(I829="","",VLOOKUP(LEFT(C829,1),dadosexternosBMF_1!$L$2:$M$13,2,FALSE))</f>
        <v>#REF!</v>
      </c>
      <c r="K829" s="219" t="e">
        <f t="shared" si="94"/>
        <v>#REF!</v>
      </c>
      <c r="L829" s="422" t="e">
        <f t="shared" si="95"/>
        <v>#REF!</v>
      </c>
      <c r="M829" s="422" t="e">
        <f>IF(I829="","",WORKDAY(L829-1,1,FERIADOS!$A$2:$A$831))</f>
        <v>#REF!</v>
      </c>
      <c r="N829" s="219" t="e">
        <f>IF(I829="","",NETWORKDAYS(Curva!$M$2,M829,FERIADOS!$A$2:$A$831)-1)</f>
        <v>#REF!</v>
      </c>
      <c r="O829" s="423" t="e">
        <f>IF(C829&lt;&gt;"",IF(ISERROR((100000/E829)^(252/N829)-1),Curva!$B$2,((100000/E829)^(252/N829)-1)),"")</f>
        <v>#REF!</v>
      </c>
      <c r="P829" s="219" t="e">
        <f>IF(OR(G829=1,G829=2),dadosexternosBMF_1!B832,"")</f>
        <v>#REF!</v>
      </c>
      <c r="Q829" s="219" t="e">
        <f>IF(OR(G829=1,G829=2),dadosexternosBMF_1!D832,"")</f>
        <v>#REF!</v>
      </c>
    </row>
    <row r="830" spans="1:17" x14ac:dyDescent="0.2">
      <c r="A830" s="222" t="e">
        <f t="shared" si="90"/>
        <v>#REF!</v>
      </c>
      <c r="B830" s="222" t="str">
        <f>IF(dadosexternosBMF_1!A833="DI1 - DI de 1 dia","DI1 - DI de 1 dia","")</f>
        <v/>
      </c>
      <c r="C830" s="222" t="e">
        <f>IF(dadosexternosBMF_1!A833="DOL - Dólar comercial","",IF(C829&lt;&gt;"",dadosexternosBMF_1!B833,IF(dadosexternosBMF_1!A833="DI1 - DI de 1 dia",dadosexternosBMF_1!B833,"")))</f>
        <v>#REF!</v>
      </c>
      <c r="D830" s="222" t="e">
        <f>IF(C830&lt;&gt;"",dadosexternosBMF_1!C833,"")</f>
        <v>#REF!</v>
      </c>
      <c r="E830" s="222" t="e">
        <f>IF(C830&lt;&gt;"",dadosexternosBMF_1!D833,"")</f>
        <v>#REF!</v>
      </c>
      <c r="G830" s="219" t="e">
        <f t="shared" si="91"/>
        <v>#REF!</v>
      </c>
      <c r="H830" s="219" t="e">
        <f t="shared" si="92"/>
        <v>#REF!</v>
      </c>
      <c r="I830" s="219" t="e">
        <f t="shared" si="93"/>
        <v>#REF!</v>
      </c>
      <c r="J830" s="219" t="e">
        <f>IF(I830="","",VLOOKUP(LEFT(C830,1),dadosexternosBMF_1!$L$2:$M$13,2,FALSE))</f>
        <v>#REF!</v>
      </c>
      <c r="K830" s="219" t="e">
        <f t="shared" si="94"/>
        <v>#REF!</v>
      </c>
      <c r="L830" s="422" t="e">
        <f t="shared" si="95"/>
        <v>#REF!</v>
      </c>
      <c r="M830" s="422" t="e">
        <f>IF(I830="","",WORKDAY(L830-1,1,FERIADOS!$A$2:$A$831))</f>
        <v>#REF!</v>
      </c>
      <c r="N830" s="219" t="e">
        <f>IF(I830="","",NETWORKDAYS(Curva!$M$2,M830,FERIADOS!$A$2:$A$831)-1)</f>
        <v>#REF!</v>
      </c>
      <c r="O830" s="423" t="e">
        <f>IF(C830&lt;&gt;"",IF(ISERROR((100000/E830)^(252/N830)-1),Curva!$B$2,((100000/E830)^(252/N830)-1)),"")</f>
        <v>#REF!</v>
      </c>
      <c r="P830" s="219" t="e">
        <f>IF(OR(G830=1,G830=2),dadosexternosBMF_1!B833,"")</f>
        <v>#REF!</v>
      </c>
      <c r="Q830" s="219" t="e">
        <f>IF(OR(G830=1,G830=2),dadosexternosBMF_1!D833,"")</f>
        <v>#REF!</v>
      </c>
    </row>
    <row r="831" spans="1:17" x14ac:dyDescent="0.2">
      <c r="A831" s="222" t="e">
        <f t="shared" si="90"/>
        <v>#REF!</v>
      </c>
      <c r="B831" s="222" t="str">
        <f>IF(dadosexternosBMF_1!A834="DI1 - DI de 1 dia","DI1 - DI de 1 dia","")</f>
        <v/>
      </c>
      <c r="C831" s="222" t="e">
        <f>IF(dadosexternosBMF_1!A834="DOL - Dólar comercial","",IF(C830&lt;&gt;"",dadosexternosBMF_1!B834,IF(dadosexternosBMF_1!A834="DI1 - DI de 1 dia",dadosexternosBMF_1!B834,"")))</f>
        <v>#REF!</v>
      </c>
      <c r="D831" s="222" t="e">
        <f>IF(C831&lt;&gt;"",dadosexternosBMF_1!C834,"")</f>
        <v>#REF!</v>
      </c>
      <c r="E831" s="222" t="e">
        <f>IF(C831&lt;&gt;"",dadosexternosBMF_1!D834,"")</f>
        <v>#REF!</v>
      </c>
      <c r="G831" s="219" t="e">
        <f t="shared" si="91"/>
        <v>#REF!</v>
      </c>
      <c r="H831" s="219" t="e">
        <f t="shared" si="92"/>
        <v>#REF!</v>
      </c>
      <c r="I831" s="219" t="e">
        <f t="shared" si="93"/>
        <v>#REF!</v>
      </c>
      <c r="J831" s="219" t="e">
        <f>IF(I831="","",VLOOKUP(LEFT(C831,1),dadosexternosBMF_1!$L$2:$M$13,2,FALSE))</f>
        <v>#REF!</v>
      </c>
      <c r="K831" s="219" t="e">
        <f t="shared" si="94"/>
        <v>#REF!</v>
      </c>
      <c r="L831" s="422" t="e">
        <f t="shared" si="95"/>
        <v>#REF!</v>
      </c>
      <c r="M831" s="422" t="e">
        <f>IF(I831="","",WORKDAY(L831-1,1,FERIADOS!$A$2:$A$831))</f>
        <v>#REF!</v>
      </c>
      <c r="N831" s="219" t="e">
        <f>IF(I831="","",NETWORKDAYS(Curva!$M$2,M831,FERIADOS!$A$2:$A$831)-1)</f>
        <v>#REF!</v>
      </c>
      <c r="O831" s="423" t="e">
        <f>IF(C831&lt;&gt;"",IF(ISERROR((100000/E831)^(252/N831)-1),Curva!$B$2,((100000/E831)^(252/N831)-1)),"")</f>
        <v>#REF!</v>
      </c>
      <c r="P831" s="219" t="e">
        <f>IF(OR(G831=1,G831=2),dadosexternosBMF_1!B834,"")</f>
        <v>#REF!</v>
      </c>
      <c r="Q831" s="219" t="e">
        <f>IF(OR(G831=1,G831=2),dadosexternosBMF_1!D834,"")</f>
        <v>#REF!</v>
      </c>
    </row>
    <row r="832" spans="1:17" x14ac:dyDescent="0.2">
      <c r="A832" s="222" t="e">
        <f t="shared" si="90"/>
        <v>#REF!</v>
      </c>
      <c r="B832" s="222" t="str">
        <f>IF(dadosexternosBMF_1!A835="DI1 - DI de 1 dia","DI1 - DI de 1 dia","")</f>
        <v/>
      </c>
      <c r="C832" s="222" t="e">
        <f>IF(dadosexternosBMF_1!A835="DOL - Dólar comercial","",IF(C831&lt;&gt;"",dadosexternosBMF_1!B835,IF(dadosexternosBMF_1!A835="DI1 - DI de 1 dia",dadosexternosBMF_1!B835,"")))</f>
        <v>#REF!</v>
      </c>
      <c r="D832" s="222" t="e">
        <f>IF(C832&lt;&gt;"",dadosexternosBMF_1!C835,"")</f>
        <v>#REF!</v>
      </c>
      <c r="E832" s="222" t="e">
        <f>IF(C832&lt;&gt;"",dadosexternosBMF_1!D835,"")</f>
        <v>#REF!</v>
      </c>
      <c r="G832" s="219" t="e">
        <f t="shared" si="91"/>
        <v>#REF!</v>
      </c>
      <c r="H832" s="219" t="e">
        <f t="shared" si="92"/>
        <v>#REF!</v>
      </c>
      <c r="I832" s="219" t="e">
        <f t="shared" si="93"/>
        <v>#REF!</v>
      </c>
      <c r="J832" s="219" t="e">
        <f>IF(I832="","",VLOOKUP(LEFT(C832,1),dadosexternosBMF_1!$L$2:$M$13,2,FALSE))</f>
        <v>#REF!</v>
      </c>
      <c r="K832" s="219" t="e">
        <f t="shared" si="94"/>
        <v>#REF!</v>
      </c>
      <c r="L832" s="422" t="e">
        <f t="shared" si="95"/>
        <v>#REF!</v>
      </c>
      <c r="M832" s="422" t="e">
        <f>IF(I832="","",WORKDAY(L832-1,1,FERIADOS!$A$2:$A$831))</f>
        <v>#REF!</v>
      </c>
      <c r="N832" s="219" t="e">
        <f>IF(I832="","",NETWORKDAYS(Curva!$M$2,M832,FERIADOS!$A$2:$A$831)-1)</f>
        <v>#REF!</v>
      </c>
      <c r="O832" s="423" t="e">
        <f>IF(C832&lt;&gt;"",IF(ISERROR((100000/E832)^(252/N832)-1),Curva!$B$2,((100000/E832)^(252/N832)-1)),"")</f>
        <v>#REF!</v>
      </c>
      <c r="P832" s="219" t="e">
        <f>IF(OR(G832=1,G832=2),dadosexternosBMF_1!B835,"")</f>
        <v>#REF!</v>
      </c>
      <c r="Q832" s="219" t="e">
        <f>IF(OR(G832=1,G832=2),dadosexternosBMF_1!D835,"")</f>
        <v>#REF!</v>
      </c>
    </row>
    <row r="833" spans="1:17" x14ac:dyDescent="0.2">
      <c r="A833" s="222" t="e">
        <f t="shared" si="90"/>
        <v>#REF!</v>
      </c>
      <c r="B833" s="222" t="str">
        <f>IF(dadosexternosBMF_1!A836="DI1 - DI de 1 dia","DI1 - DI de 1 dia","")</f>
        <v/>
      </c>
      <c r="C833" s="222" t="e">
        <f>IF(dadosexternosBMF_1!A836="DOL - Dólar comercial","",IF(C832&lt;&gt;"",dadosexternosBMF_1!B836,IF(dadosexternosBMF_1!A836="DI1 - DI de 1 dia",dadosexternosBMF_1!B836,"")))</f>
        <v>#REF!</v>
      </c>
      <c r="D833" s="222" t="e">
        <f>IF(C833&lt;&gt;"",dadosexternosBMF_1!C836,"")</f>
        <v>#REF!</v>
      </c>
      <c r="E833" s="222" t="e">
        <f>IF(C833&lt;&gt;"",dadosexternosBMF_1!D836,"")</f>
        <v>#REF!</v>
      </c>
      <c r="G833" s="219" t="e">
        <f t="shared" si="91"/>
        <v>#REF!</v>
      </c>
      <c r="H833" s="219" t="e">
        <f t="shared" si="92"/>
        <v>#REF!</v>
      </c>
      <c r="I833" s="219" t="e">
        <f t="shared" si="93"/>
        <v>#REF!</v>
      </c>
      <c r="J833" s="219" t="e">
        <f>IF(I833="","",VLOOKUP(LEFT(C833,1),dadosexternosBMF_1!$L$2:$M$13,2,FALSE))</f>
        <v>#REF!</v>
      </c>
      <c r="K833" s="219" t="e">
        <f t="shared" si="94"/>
        <v>#REF!</v>
      </c>
      <c r="L833" s="422" t="e">
        <f t="shared" si="95"/>
        <v>#REF!</v>
      </c>
      <c r="M833" s="422" t="e">
        <f>IF(I833="","",WORKDAY(L833-1,1,FERIADOS!$A$2:$A$831))</f>
        <v>#REF!</v>
      </c>
      <c r="N833" s="219" t="e">
        <f>IF(I833="","",NETWORKDAYS(Curva!$M$2,M833,FERIADOS!$A$2:$A$831)-1)</f>
        <v>#REF!</v>
      </c>
      <c r="O833" s="423" t="e">
        <f>IF(C833&lt;&gt;"",IF(ISERROR((100000/E833)^(252/N833)-1),Curva!$B$2,((100000/E833)^(252/N833)-1)),"")</f>
        <v>#REF!</v>
      </c>
      <c r="P833" s="219" t="e">
        <f>IF(OR(G833=1,G833=2),dadosexternosBMF_1!B836,"")</f>
        <v>#REF!</v>
      </c>
      <c r="Q833" s="219" t="e">
        <f>IF(OR(G833=1,G833=2),dadosexternosBMF_1!D836,"")</f>
        <v>#REF!</v>
      </c>
    </row>
    <row r="834" spans="1:17" x14ac:dyDescent="0.2">
      <c r="A834" s="222" t="e">
        <f t="shared" si="90"/>
        <v>#REF!</v>
      </c>
      <c r="B834" s="222" t="str">
        <f>IF(dadosexternosBMF_1!A837="DI1 - DI de 1 dia","DI1 - DI de 1 dia","")</f>
        <v/>
      </c>
      <c r="C834" s="222" t="e">
        <f>IF(dadosexternosBMF_1!A837="DOL - Dólar comercial","",IF(C833&lt;&gt;"",dadosexternosBMF_1!B837,IF(dadosexternosBMF_1!A837="DI1 - DI de 1 dia",dadosexternosBMF_1!B837,"")))</f>
        <v>#REF!</v>
      </c>
      <c r="D834" s="222" t="e">
        <f>IF(C834&lt;&gt;"",dadosexternosBMF_1!C837,"")</f>
        <v>#REF!</v>
      </c>
      <c r="E834" s="222" t="e">
        <f>IF(C834&lt;&gt;"",dadosexternosBMF_1!D837,"")</f>
        <v>#REF!</v>
      </c>
      <c r="G834" s="219" t="e">
        <f t="shared" si="91"/>
        <v>#REF!</v>
      </c>
      <c r="H834" s="219" t="e">
        <f t="shared" si="92"/>
        <v>#REF!</v>
      </c>
      <c r="I834" s="219" t="e">
        <f t="shared" si="93"/>
        <v>#REF!</v>
      </c>
      <c r="J834" s="219" t="e">
        <f>IF(I834="","",VLOOKUP(LEFT(C834,1),dadosexternosBMF_1!$L$2:$M$13,2,FALSE))</f>
        <v>#REF!</v>
      </c>
      <c r="K834" s="219" t="e">
        <f t="shared" si="94"/>
        <v>#REF!</v>
      </c>
      <c r="L834" s="422" t="e">
        <f t="shared" si="95"/>
        <v>#REF!</v>
      </c>
      <c r="M834" s="422" t="e">
        <f>IF(I834="","",WORKDAY(L834-1,1,FERIADOS!$A$2:$A$831))</f>
        <v>#REF!</v>
      </c>
      <c r="N834" s="219" t="e">
        <f>IF(I834="","",NETWORKDAYS(Curva!$M$2,M834,FERIADOS!$A$2:$A$831)-1)</f>
        <v>#REF!</v>
      </c>
      <c r="O834" s="423" t="e">
        <f>IF(C834&lt;&gt;"",IF(ISERROR((100000/E834)^(252/N834)-1),Curva!$B$2,((100000/E834)^(252/N834)-1)),"")</f>
        <v>#REF!</v>
      </c>
      <c r="P834" s="219" t="e">
        <f>IF(OR(G834=1,G834=2),dadosexternosBMF_1!B837,"")</f>
        <v>#REF!</v>
      </c>
      <c r="Q834" s="219" t="e">
        <f>IF(OR(G834=1,G834=2),dadosexternosBMF_1!D837,"")</f>
        <v>#REF!</v>
      </c>
    </row>
    <row r="835" spans="1:17" x14ac:dyDescent="0.2">
      <c r="A835" s="222" t="e">
        <f t="shared" si="90"/>
        <v>#REF!</v>
      </c>
      <c r="B835" s="222" t="str">
        <f>IF(dadosexternosBMF_1!A838="DI1 - DI de 1 dia","DI1 - DI de 1 dia","")</f>
        <v/>
      </c>
      <c r="C835" s="222" t="e">
        <f>IF(dadosexternosBMF_1!A838="DOL - Dólar comercial","",IF(C834&lt;&gt;"",dadosexternosBMF_1!B838,IF(dadosexternosBMF_1!A838="DI1 - DI de 1 dia",dadosexternosBMF_1!B838,"")))</f>
        <v>#REF!</v>
      </c>
      <c r="D835" s="222" t="e">
        <f>IF(C835&lt;&gt;"",dadosexternosBMF_1!C838,"")</f>
        <v>#REF!</v>
      </c>
      <c r="E835" s="222" t="e">
        <f>IF(C835&lt;&gt;"",dadosexternosBMF_1!D838,"")</f>
        <v>#REF!</v>
      </c>
      <c r="G835" s="219" t="e">
        <f t="shared" si="91"/>
        <v>#REF!</v>
      </c>
      <c r="H835" s="219" t="e">
        <f t="shared" si="92"/>
        <v>#REF!</v>
      </c>
      <c r="I835" s="219" t="e">
        <f t="shared" si="93"/>
        <v>#REF!</v>
      </c>
      <c r="J835" s="219" t="e">
        <f>IF(I835="","",VLOOKUP(LEFT(C835,1),dadosexternosBMF_1!$L$2:$M$13,2,FALSE))</f>
        <v>#REF!</v>
      </c>
      <c r="K835" s="219" t="e">
        <f t="shared" si="94"/>
        <v>#REF!</v>
      </c>
      <c r="L835" s="422" t="e">
        <f t="shared" si="95"/>
        <v>#REF!</v>
      </c>
      <c r="M835" s="422" t="e">
        <f>IF(I835="","",WORKDAY(L835-1,1,FERIADOS!$A$2:$A$831))</f>
        <v>#REF!</v>
      </c>
      <c r="N835" s="219" t="e">
        <f>IF(I835="","",NETWORKDAYS(Curva!$M$2,M835,FERIADOS!$A$2:$A$831)-1)</f>
        <v>#REF!</v>
      </c>
      <c r="O835" s="423" t="e">
        <f>IF(C835&lt;&gt;"",IF(ISERROR((100000/E835)^(252/N835)-1),Curva!$B$2,((100000/E835)^(252/N835)-1)),"")</f>
        <v>#REF!</v>
      </c>
      <c r="P835" s="219" t="e">
        <f>IF(OR(G835=1,G835=2),dadosexternosBMF_1!B838,"")</f>
        <v>#REF!</v>
      </c>
      <c r="Q835" s="219" t="e">
        <f>IF(OR(G835=1,G835=2),dadosexternosBMF_1!D838,"")</f>
        <v>#REF!</v>
      </c>
    </row>
    <row r="836" spans="1:17" x14ac:dyDescent="0.2">
      <c r="A836" s="222" t="e">
        <f t="shared" si="90"/>
        <v>#REF!</v>
      </c>
      <c r="B836" s="222" t="str">
        <f>IF(dadosexternosBMF_1!A839="DI1 - DI de 1 dia","DI1 - DI de 1 dia","")</f>
        <v/>
      </c>
      <c r="C836" s="222" t="e">
        <f>IF(dadosexternosBMF_1!A839="DOL - Dólar comercial","",IF(C835&lt;&gt;"",dadosexternosBMF_1!B839,IF(dadosexternosBMF_1!A839="DI1 - DI de 1 dia",dadosexternosBMF_1!B839,"")))</f>
        <v>#REF!</v>
      </c>
      <c r="D836" s="222" t="e">
        <f>IF(C836&lt;&gt;"",dadosexternosBMF_1!C839,"")</f>
        <v>#REF!</v>
      </c>
      <c r="E836" s="222" t="e">
        <f>IF(C836&lt;&gt;"",dadosexternosBMF_1!D839,"")</f>
        <v>#REF!</v>
      </c>
      <c r="G836" s="219" t="e">
        <f t="shared" si="91"/>
        <v>#REF!</v>
      </c>
      <c r="H836" s="219" t="e">
        <f t="shared" si="92"/>
        <v>#REF!</v>
      </c>
      <c r="I836" s="219" t="e">
        <f t="shared" si="93"/>
        <v>#REF!</v>
      </c>
      <c r="J836" s="219" t="e">
        <f>IF(I836="","",VLOOKUP(LEFT(C836,1),dadosexternosBMF_1!$L$2:$M$13,2,FALSE))</f>
        <v>#REF!</v>
      </c>
      <c r="K836" s="219" t="e">
        <f t="shared" si="94"/>
        <v>#REF!</v>
      </c>
      <c r="L836" s="422" t="e">
        <f t="shared" si="95"/>
        <v>#REF!</v>
      </c>
      <c r="M836" s="422" t="e">
        <f>IF(I836="","",WORKDAY(L836-1,1,FERIADOS!$A$2:$A$831))</f>
        <v>#REF!</v>
      </c>
      <c r="N836" s="219" t="e">
        <f>IF(I836="","",NETWORKDAYS(Curva!$M$2,M836,FERIADOS!$A$2:$A$831)-1)</f>
        <v>#REF!</v>
      </c>
      <c r="O836" s="423" t="e">
        <f>IF(C836&lt;&gt;"",IF(ISERROR((100000/E836)^(252/N836)-1),Curva!$B$2,((100000/E836)^(252/N836)-1)),"")</f>
        <v>#REF!</v>
      </c>
      <c r="P836" s="219" t="e">
        <f>IF(OR(G836=1,G836=2),dadosexternosBMF_1!B839,"")</f>
        <v>#REF!</v>
      </c>
      <c r="Q836" s="219" t="e">
        <f>IF(OR(G836=1,G836=2),dadosexternosBMF_1!D839,"")</f>
        <v>#REF!</v>
      </c>
    </row>
    <row r="837" spans="1:17" x14ac:dyDescent="0.2">
      <c r="A837" s="222" t="e">
        <f t="shared" si="90"/>
        <v>#REF!</v>
      </c>
      <c r="B837" s="222" t="str">
        <f>IF(dadosexternosBMF_1!A840="DI1 - DI de 1 dia","DI1 - DI de 1 dia","")</f>
        <v/>
      </c>
      <c r="C837" s="222" t="e">
        <f>IF(dadosexternosBMF_1!A840="DOL - Dólar comercial","",IF(C836&lt;&gt;"",dadosexternosBMF_1!B840,IF(dadosexternosBMF_1!A840="DI1 - DI de 1 dia",dadosexternosBMF_1!B840,"")))</f>
        <v>#REF!</v>
      </c>
      <c r="D837" s="222" t="e">
        <f>IF(C837&lt;&gt;"",dadosexternosBMF_1!C840,"")</f>
        <v>#REF!</v>
      </c>
      <c r="E837" s="222" t="e">
        <f>IF(C837&lt;&gt;"",dadosexternosBMF_1!D840,"")</f>
        <v>#REF!</v>
      </c>
      <c r="G837" s="219" t="e">
        <f t="shared" si="91"/>
        <v>#REF!</v>
      </c>
      <c r="H837" s="219" t="e">
        <f t="shared" si="92"/>
        <v>#REF!</v>
      </c>
      <c r="I837" s="219" t="e">
        <f t="shared" si="93"/>
        <v>#REF!</v>
      </c>
      <c r="J837" s="219" t="e">
        <f>IF(I837="","",VLOOKUP(LEFT(C837,1),dadosexternosBMF_1!$L$2:$M$13,2,FALSE))</f>
        <v>#REF!</v>
      </c>
      <c r="K837" s="219" t="e">
        <f t="shared" si="94"/>
        <v>#REF!</v>
      </c>
      <c r="L837" s="422" t="e">
        <f t="shared" si="95"/>
        <v>#REF!</v>
      </c>
      <c r="M837" s="422" t="e">
        <f>IF(I837="","",WORKDAY(L837-1,1,FERIADOS!$A$2:$A$831))</f>
        <v>#REF!</v>
      </c>
      <c r="N837" s="219" t="e">
        <f>IF(I837="","",NETWORKDAYS(Curva!$M$2,M837,FERIADOS!$A$2:$A$831)-1)</f>
        <v>#REF!</v>
      </c>
      <c r="O837" s="423" t="e">
        <f>IF(C837&lt;&gt;"",IF(ISERROR((100000/E837)^(252/N837)-1),Curva!$B$2,((100000/E837)^(252/N837)-1)),"")</f>
        <v>#REF!</v>
      </c>
      <c r="P837" s="219" t="e">
        <f>IF(OR(G837=1,G837=2),dadosexternosBMF_1!B840,"")</f>
        <v>#REF!</v>
      </c>
      <c r="Q837" s="219" t="e">
        <f>IF(OR(G837=1,G837=2),dadosexternosBMF_1!D840,"")</f>
        <v>#REF!</v>
      </c>
    </row>
    <row r="838" spans="1:17" x14ac:dyDescent="0.2">
      <c r="A838" s="222" t="e">
        <f t="shared" si="90"/>
        <v>#REF!</v>
      </c>
      <c r="B838" s="222" t="str">
        <f>IF(dadosexternosBMF_1!A841="DI1 - DI de 1 dia","DI1 - DI de 1 dia","")</f>
        <v/>
      </c>
      <c r="C838" s="222" t="e">
        <f>IF(dadosexternosBMF_1!A841="DOL - Dólar comercial","",IF(C837&lt;&gt;"",dadosexternosBMF_1!B841,IF(dadosexternosBMF_1!A841="DI1 - DI de 1 dia",dadosexternosBMF_1!B841,"")))</f>
        <v>#REF!</v>
      </c>
      <c r="D838" s="222" t="e">
        <f>IF(C838&lt;&gt;"",dadosexternosBMF_1!C841,"")</f>
        <v>#REF!</v>
      </c>
      <c r="E838" s="222" t="e">
        <f>IF(C838&lt;&gt;"",dadosexternosBMF_1!D841,"")</f>
        <v>#REF!</v>
      </c>
      <c r="G838" s="219" t="e">
        <f t="shared" si="91"/>
        <v>#REF!</v>
      </c>
      <c r="H838" s="219" t="e">
        <f t="shared" si="92"/>
        <v>#REF!</v>
      </c>
      <c r="I838" s="219" t="e">
        <f t="shared" si="93"/>
        <v>#REF!</v>
      </c>
      <c r="J838" s="219" t="e">
        <f>IF(I838="","",VLOOKUP(LEFT(C838,1),dadosexternosBMF_1!$L$2:$M$13,2,FALSE))</f>
        <v>#REF!</v>
      </c>
      <c r="K838" s="219" t="e">
        <f t="shared" si="94"/>
        <v>#REF!</v>
      </c>
      <c r="L838" s="422" t="e">
        <f t="shared" si="95"/>
        <v>#REF!</v>
      </c>
      <c r="M838" s="422" t="e">
        <f>IF(I838="","",WORKDAY(L838-1,1,FERIADOS!$A$2:$A$831))</f>
        <v>#REF!</v>
      </c>
      <c r="N838" s="219" t="e">
        <f>IF(I838="","",NETWORKDAYS(Curva!$M$2,M838,FERIADOS!$A$2:$A$831)-1)</f>
        <v>#REF!</v>
      </c>
      <c r="O838" s="423" t="e">
        <f>IF(C838&lt;&gt;"",IF(ISERROR((100000/E838)^(252/N838)-1),Curva!$B$2,((100000/E838)^(252/N838)-1)),"")</f>
        <v>#REF!</v>
      </c>
      <c r="P838" s="219" t="e">
        <f>IF(OR(G838=1,G838=2),dadosexternosBMF_1!B841,"")</f>
        <v>#REF!</v>
      </c>
      <c r="Q838" s="219" t="e">
        <f>IF(OR(G838=1,G838=2),dadosexternosBMF_1!D841,"")</f>
        <v>#REF!</v>
      </c>
    </row>
    <row r="839" spans="1:17" x14ac:dyDescent="0.2">
      <c r="A839" s="222" t="e">
        <f t="shared" si="90"/>
        <v>#REF!</v>
      </c>
      <c r="B839" s="222" t="str">
        <f>IF(dadosexternosBMF_1!A842="DI1 - DI de 1 dia","DI1 - DI de 1 dia","")</f>
        <v/>
      </c>
      <c r="C839" s="222" t="e">
        <f>IF(dadosexternosBMF_1!A842="DOL - Dólar comercial","",IF(C838&lt;&gt;"",dadosexternosBMF_1!B842,IF(dadosexternosBMF_1!A842="DI1 - DI de 1 dia",dadosexternosBMF_1!B842,"")))</f>
        <v>#REF!</v>
      </c>
      <c r="D839" s="222" t="e">
        <f>IF(C839&lt;&gt;"",dadosexternosBMF_1!C842,"")</f>
        <v>#REF!</v>
      </c>
      <c r="E839" s="222" t="e">
        <f>IF(C839&lt;&gt;"",dadosexternosBMF_1!D842,"")</f>
        <v>#REF!</v>
      </c>
      <c r="G839" s="219" t="e">
        <f t="shared" si="91"/>
        <v>#REF!</v>
      </c>
      <c r="H839" s="219" t="e">
        <f t="shared" si="92"/>
        <v>#REF!</v>
      </c>
      <c r="I839" s="219" t="e">
        <f t="shared" si="93"/>
        <v>#REF!</v>
      </c>
      <c r="J839" s="219" t="e">
        <f>IF(I839="","",VLOOKUP(LEFT(C839,1),dadosexternosBMF_1!$L$2:$M$13,2,FALSE))</f>
        <v>#REF!</v>
      </c>
      <c r="K839" s="219" t="e">
        <f t="shared" si="94"/>
        <v>#REF!</v>
      </c>
      <c r="L839" s="422" t="e">
        <f t="shared" si="95"/>
        <v>#REF!</v>
      </c>
      <c r="M839" s="422" t="e">
        <f>IF(I839="","",WORKDAY(L839-1,1,FERIADOS!$A$2:$A$831))</f>
        <v>#REF!</v>
      </c>
      <c r="N839" s="219" t="e">
        <f>IF(I839="","",NETWORKDAYS(Curva!$M$2,M839,FERIADOS!$A$2:$A$831)-1)</f>
        <v>#REF!</v>
      </c>
      <c r="O839" s="423" t="e">
        <f>IF(C839&lt;&gt;"",IF(ISERROR((100000/E839)^(252/N839)-1),Curva!$B$2,((100000/E839)^(252/N839)-1)),"")</f>
        <v>#REF!</v>
      </c>
      <c r="P839" s="219" t="e">
        <f>IF(OR(G839=1,G839=2),dadosexternosBMF_1!B842,"")</f>
        <v>#REF!</v>
      </c>
      <c r="Q839" s="219" t="e">
        <f>IF(OR(G839=1,G839=2),dadosexternosBMF_1!D842,"")</f>
        <v>#REF!</v>
      </c>
    </row>
    <row r="840" spans="1:17" x14ac:dyDescent="0.2">
      <c r="A840" s="222" t="e">
        <f t="shared" si="90"/>
        <v>#REF!</v>
      </c>
      <c r="B840" s="222" t="str">
        <f>IF(dadosexternosBMF_1!A843="DI1 - DI de 1 dia","DI1 - DI de 1 dia","")</f>
        <v/>
      </c>
      <c r="C840" s="222" t="e">
        <f>IF(dadosexternosBMF_1!A843="DOL - Dólar comercial","",IF(C839&lt;&gt;"",dadosexternosBMF_1!B843,IF(dadosexternosBMF_1!A843="DI1 - DI de 1 dia",dadosexternosBMF_1!B843,"")))</f>
        <v>#REF!</v>
      </c>
      <c r="D840" s="222" t="e">
        <f>IF(C840&lt;&gt;"",dadosexternosBMF_1!C843,"")</f>
        <v>#REF!</v>
      </c>
      <c r="E840" s="222" t="e">
        <f>IF(C840&lt;&gt;"",dadosexternosBMF_1!D843,"")</f>
        <v>#REF!</v>
      </c>
      <c r="G840" s="219" t="e">
        <f t="shared" si="91"/>
        <v>#REF!</v>
      </c>
      <c r="H840" s="219" t="e">
        <f t="shared" si="92"/>
        <v>#REF!</v>
      </c>
      <c r="I840" s="219" t="e">
        <f t="shared" si="93"/>
        <v>#REF!</v>
      </c>
      <c r="J840" s="219" t="e">
        <f>IF(I840="","",VLOOKUP(LEFT(C840,1),dadosexternosBMF_1!$L$2:$M$13,2,FALSE))</f>
        <v>#REF!</v>
      </c>
      <c r="K840" s="219" t="e">
        <f t="shared" si="94"/>
        <v>#REF!</v>
      </c>
      <c r="L840" s="422" t="e">
        <f t="shared" si="95"/>
        <v>#REF!</v>
      </c>
      <c r="M840" s="422" t="e">
        <f>IF(I840="","",WORKDAY(L840-1,1,FERIADOS!$A$2:$A$831))</f>
        <v>#REF!</v>
      </c>
      <c r="N840" s="219" t="e">
        <f>IF(I840="","",NETWORKDAYS(Curva!$M$2,M840,FERIADOS!$A$2:$A$831)-1)</f>
        <v>#REF!</v>
      </c>
      <c r="O840" s="423" t="e">
        <f>IF(C840&lt;&gt;"",IF(ISERROR((100000/E840)^(252/N840)-1),Curva!$B$2,((100000/E840)^(252/N840)-1)),"")</f>
        <v>#REF!</v>
      </c>
      <c r="P840" s="219" t="e">
        <f>IF(OR(G840=1,G840=2),dadosexternosBMF_1!B843,"")</f>
        <v>#REF!</v>
      </c>
      <c r="Q840" s="219" t="e">
        <f>IF(OR(G840=1,G840=2),dadosexternosBMF_1!D843,"")</f>
        <v>#REF!</v>
      </c>
    </row>
    <row r="841" spans="1:17" x14ac:dyDescent="0.2">
      <c r="A841" s="222" t="e">
        <f t="shared" si="90"/>
        <v>#REF!</v>
      </c>
      <c r="B841" s="222" t="str">
        <f>IF(dadosexternosBMF_1!A844="DI1 - DI de 1 dia","DI1 - DI de 1 dia","")</f>
        <v/>
      </c>
      <c r="C841" s="222" t="e">
        <f>IF(dadosexternosBMF_1!A844="DOL - Dólar comercial","",IF(C840&lt;&gt;"",dadosexternosBMF_1!B844,IF(dadosexternosBMF_1!A844="DI1 - DI de 1 dia",dadosexternosBMF_1!B844,"")))</f>
        <v>#REF!</v>
      </c>
      <c r="D841" s="222" t="e">
        <f>IF(C841&lt;&gt;"",dadosexternosBMF_1!C844,"")</f>
        <v>#REF!</v>
      </c>
      <c r="E841" s="222" t="e">
        <f>IF(C841&lt;&gt;"",dadosexternosBMF_1!D844,"")</f>
        <v>#REF!</v>
      </c>
      <c r="G841" s="219" t="e">
        <f t="shared" si="91"/>
        <v>#REF!</v>
      </c>
      <c r="H841" s="219" t="e">
        <f t="shared" si="92"/>
        <v>#REF!</v>
      </c>
      <c r="I841" s="219" t="e">
        <f t="shared" si="93"/>
        <v>#REF!</v>
      </c>
      <c r="J841" s="219" t="e">
        <f>IF(I841="","",VLOOKUP(LEFT(C841,1),dadosexternosBMF_1!$L$2:$M$13,2,FALSE))</f>
        <v>#REF!</v>
      </c>
      <c r="K841" s="219" t="e">
        <f t="shared" si="94"/>
        <v>#REF!</v>
      </c>
      <c r="L841" s="422" t="e">
        <f t="shared" si="95"/>
        <v>#REF!</v>
      </c>
      <c r="M841" s="422" t="e">
        <f>IF(I841="","",WORKDAY(L841-1,1,FERIADOS!$A$2:$A$831))</f>
        <v>#REF!</v>
      </c>
      <c r="N841" s="219" t="e">
        <f>IF(I841="","",NETWORKDAYS(Curva!$M$2,M841,FERIADOS!$A$2:$A$831)-1)</f>
        <v>#REF!</v>
      </c>
      <c r="O841" s="423" t="e">
        <f>IF(C841&lt;&gt;"",IF(ISERROR((100000/E841)^(252/N841)-1),Curva!$B$2,((100000/E841)^(252/N841)-1)),"")</f>
        <v>#REF!</v>
      </c>
      <c r="P841" s="219" t="e">
        <f>IF(OR(G841=1,G841=2),dadosexternosBMF_1!B844,"")</f>
        <v>#REF!</v>
      </c>
      <c r="Q841" s="219" t="e">
        <f>IF(OR(G841=1,G841=2),dadosexternosBMF_1!D844,"")</f>
        <v>#REF!</v>
      </c>
    </row>
    <row r="842" spans="1:17" x14ac:dyDescent="0.2">
      <c r="A842" s="222" t="e">
        <f t="shared" si="90"/>
        <v>#REF!</v>
      </c>
      <c r="B842" s="222" t="str">
        <f>IF(dadosexternosBMF_1!A845="DI1 - DI de 1 dia","DI1 - DI de 1 dia","")</f>
        <v/>
      </c>
      <c r="C842" s="222" t="e">
        <f>IF(dadosexternosBMF_1!A845="DOL - Dólar comercial","",IF(C841&lt;&gt;"",dadosexternosBMF_1!B845,IF(dadosexternosBMF_1!A845="DI1 - DI de 1 dia",dadosexternosBMF_1!B845,"")))</f>
        <v>#REF!</v>
      </c>
      <c r="D842" s="222" t="e">
        <f>IF(C842&lt;&gt;"",dadosexternosBMF_1!C845,"")</f>
        <v>#REF!</v>
      </c>
      <c r="E842" s="222" t="e">
        <f>IF(C842&lt;&gt;"",dadosexternosBMF_1!D845,"")</f>
        <v>#REF!</v>
      </c>
      <c r="G842" s="219" t="e">
        <f t="shared" si="91"/>
        <v>#REF!</v>
      </c>
      <c r="H842" s="219" t="e">
        <f t="shared" si="92"/>
        <v>#REF!</v>
      </c>
      <c r="I842" s="219" t="e">
        <f t="shared" si="93"/>
        <v>#REF!</v>
      </c>
      <c r="J842" s="219" t="e">
        <f>IF(I842="","",VLOOKUP(LEFT(C842,1),dadosexternosBMF_1!$L$2:$M$13,2,FALSE))</f>
        <v>#REF!</v>
      </c>
      <c r="K842" s="219" t="e">
        <f t="shared" si="94"/>
        <v>#REF!</v>
      </c>
      <c r="L842" s="422" t="e">
        <f t="shared" si="95"/>
        <v>#REF!</v>
      </c>
      <c r="M842" s="422" t="e">
        <f>IF(I842="","",WORKDAY(L842-1,1,FERIADOS!$A$2:$A$831))</f>
        <v>#REF!</v>
      </c>
      <c r="N842" s="219" t="e">
        <f>IF(I842="","",NETWORKDAYS(Curva!$M$2,M842,FERIADOS!$A$2:$A$831)-1)</f>
        <v>#REF!</v>
      </c>
      <c r="O842" s="423" t="e">
        <f>IF(C842&lt;&gt;"",IF(ISERROR((100000/E842)^(252/N842)-1),Curva!$B$2,((100000/E842)^(252/N842)-1)),"")</f>
        <v>#REF!</v>
      </c>
      <c r="P842" s="219" t="e">
        <f>IF(OR(G842=1,G842=2),dadosexternosBMF_1!B845,"")</f>
        <v>#REF!</v>
      </c>
      <c r="Q842" s="219" t="e">
        <f>IF(OR(G842=1,G842=2),dadosexternosBMF_1!D845,"")</f>
        <v>#REF!</v>
      </c>
    </row>
    <row r="843" spans="1:17" x14ac:dyDescent="0.2">
      <c r="A843" s="222" t="e">
        <f t="shared" si="90"/>
        <v>#REF!</v>
      </c>
      <c r="B843" s="222" t="str">
        <f>IF(dadosexternosBMF_1!A846="DI1 - DI de 1 dia","DI1 - DI de 1 dia","")</f>
        <v/>
      </c>
      <c r="C843" s="222" t="e">
        <f>IF(dadosexternosBMF_1!A846="DOL - Dólar comercial","",IF(C842&lt;&gt;"",dadosexternosBMF_1!B846,IF(dadosexternosBMF_1!A846="DI1 - DI de 1 dia",dadosexternosBMF_1!B846,"")))</f>
        <v>#REF!</v>
      </c>
      <c r="D843" s="222" t="e">
        <f>IF(C843&lt;&gt;"",dadosexternosBMF_1!C846,"")</f>
        <v>#REF!</v>
      </c>
      <c r="E843" s="222" t="e">
        <f>IF(C843&lt;&gt;"",dadosexternosBMF_1!D846,"")</f>
        <v>#REF!</v>
      </c>
      <c r="G843" s="219" t="e">
        <f t="shared" si="91"/>
        <v>#REF!</v>
      </c>
      <c r="H843" s="219" t="e">
        <f t="shared" si="92"/>
        <v>#REF!</v>
      </c>
      <c r="I843" s="219" t="e">
        <f t="shared" si="93"/>
        <v>#REF!</v>
      </c>
      <c r="J843" s="219" t="e">
        <f>IF(I843="","",VLOOKUP(LEFT(C843,1),dadosexternosBMF_1!$L$2:$M$13,2,FALSE))</f>
        <v>#REF!</v>
      </c>
      <c r="K843" s="219" t="e">
        <f t="shared" si="94"/>
        <v>#REF!</v>
      </c>
      <c r="L843" s="422" t="e">
        <f t="shared" si="95"/>
        <v>#REF!</v>
      </c>
      <c r="M843" s="422" t="e">
        <f>IF(I843="","",WORKDAY(L843-1,1,FERIADOS!$A$2:$A$831))</f>
        <v>#REF!</v>
      </c>
      <c r="N843" s="219" t="e">
        <f>IF(I843="","",NETWORKDAYS(Curva!$M$2,M843,FERIADOS!$A$2:$A$831)-1)</f>
        <v>#REF!</v>
      </c>
      <c r="O843" s="423" t="e">
        <f>IF(C843&lt;&gt;"",IF(ISERROR((100000/E843)^(252/N843)-1),Curva!$B$2,((100000/E843)^(252/N843)-1)),"")</f>
        <v>#REF!</v>
      </c>
      <c r="P843" s="219" t="e">
        <f>IF(OR(G843=1,G843=2),dadosexternosBMF_1!B846,"")</f>
        <v>#REF!</v>
      </c>
      <c r="Q843" s="219" t="e">
        <f>IF(OR(G843=1,G843=2),dadosexternosBMF_1!D846,"")</f>
        <v>#REF!</v>
      </c>
    </row>
    <row r="844" spans="1:17" x14ac:dyDescent="0.2">
      <c r="A844" s="222" t="e">
        <f t="shared" si="90"/>
        <v>#REF!</v>
      </c>
      <c r="B844" s="222" t="str">
        <f>IF(dadosexternosBMF_1!A847="DI1 - DI de 1 dia","DI1 - DI de 1 dia","")</f>
        <v/>
      </c>
      <c r="C844" s="222" t="e">
        <f>IF(dadosexternosBMF_1!A847="DOL - Dólar comercial","",IF(C843&lt;&gt;"",dadosexternosBMF_1!B847,IF(dadosexternosBMF_1!A847="DI1 - DI de 1 dia",dadosexternosBMF_1!B847,"")))</f>
        <v>#REF!</v>
      </c>
      <c r="D844" s="222" t="e">
        <f>IF(C844&lt;&gt;"",dadosexternosBMF_1!C847,"")</f>
        <v>#REF!</v>
      </c>
      <c r="E844" s="222" t="e">
        <f>IF(C844&lt;&gt;"",dadosexternosBMF_1!D847,"")</f>
        <v>#REF!</v>
      </c>
      <c r="G844" s="219" t="e">
        <f t="shared" si="91"/>
        <v>#REF!</v>
      </c>
      <c r="H844" s="219" t="e">
        <f t="shared" si="92"/>
        <v>#REF!</v>
      </c>
      <c r="I844" s="219" t="e">
        <f t="shared" si="93"/>
        <v>#REF!</v>
      </c>
      <c r="J844" s="219" t="e">
        <f>IF(I844="","",VLOOKUP(LEFT(C844,1),dadosexternosBMF_1!$L$2:$M$13,2,FALSE))</f>
        <v>#REF!</v>
      </c>
      <c r="K844" s="219" t="e">
        <f t="shared" si="94"/>
        <v>#REF!</v>
      </c>
      <c r="L844" s="422" t="e">
        <f t="shared" si="95"/>
        <v>#REF!</v>
      </c>
      <c r="M844" s="422" t="e">
        <f>IF(I844="","",WORKDAY(L844-1,1,FERIADOS!$A$2:$A$831))</f>
        <v>#REF!</v>
      </c>
      <c r="N844" s="219" t="e">
        <f>IF(I844="","",NETWORKDAYS(Curva!$M$2,M844,FERIADOS!$A$2:$A$831)-1)</f>
        <v>#REF!</v>
      </c>
      <c r="O844" s="423" t="e">
        <f>IF(C844&lt;&gt;"",IF(ISERROR((100000/E844)^(252/N844)-1),Curva!$B$2,((100000/E844)^(252/N844)-1)),"")</f>
        <v>#REF!</v>
      </c>
      <c r="P844" s="219" t="e">
        <f>IF(OR(G844=1,G844=2),dadosexternosBMF_1!B847,"")</f>
        <v>#REF!</v>
      </c>
      <c r="Q844" s="219" t="e">
        <f>IF(OR(G844=1,G844=2),dadosexternosBMF_1!D847,"")</f>
        <v>#REF!</v>
      </c>
    </row>
    <row r="845" spans="1:17" x14ac:dyDescent="0.2">
      <c r="A845" s="222" t="e">
        <f t="shared" si="90"/>
        <v>#REF!</v>
      </c>
      <c r="B845" s="222" t="str">
        <f>IF(dadosexternosBMF_1!A848="DI1 - DI de 1 dia","DI1 - DI de 1 dia","")</f>
        <v/>
      </c>
      <c r="C845" s="222" t="e">
        <f>IF(dadosexternosBMF_1!A848="DOL - Dólar comercial","",IF(C844&lt;&gt;"",dadosexternosBMF_1!B848,IF(dadosexternosBMF_1!A848="DI1 - DI de 1 dia",dadosexternosBMF_1!B848,"")))</f>
        <v>#REF!</v>
      </c>
      <c r="D845" s="222" t="e">
        <f>IF(C845&lt;&gt;"",dadosexternosBMF_1!C848,"")</f>
        <v>#REF!</v>
      </c>
      <c r="E845" s="222" t="e">
        <f>IF(C845&lt;&gt;"",dadosexternosBMF_1!D848,"")</f>
        <v>#REF!</v>
      </c>
      <c r="G845" s="219" t="e">
        <f t="shared" si="91"/>
        <v>#REF!</v>
      </c>
      <c r="H845" s="219" t="e">
        <f t="shared" si="92"/>
        <v>#REF!</v>
      </c>
      <c r="I845" s="219" t="e">
        <f t="shared" si="93"/>
        <v>#REF!</v>
      </c>
      <c r="J845" s="219" t="e">
        <f>IF(I845="","",VLOOKUP(LEFT(C845,1),dadosexternosBMF_1!$L$2:$M$13,2,FALSE))</f>
        <v>#REF!</v>
      </c>
      <c r="K845" s="219" t="e">
        <f t="shared" si="94"/>
        <v>#REF!</v>
      </c>
      <c r="L845" s="422" t="e">
        <f t="shared" si="95"/>
        <v>#REF!</v>
      </c>
      <c r="M845" s="422" t="e">
        <f>IF(I845="","",WORKDAY(L845-1,1,FERIADOS!$A$2:$A$831))</f>
        <v>#REF!</v>
      </c>
      <c r="N845" s="219" t="e">
        <f>IF(I845="","",NETWORKDAYS(Curva!$M$2,M845,FERIADOS!$A$2:$A$831)-1)</f>
        <v>#REF!</v>
      </c>
      <c r="O845" s="423" t="e">
        <f>IF(C845&lt;&gt;"",IF(ISERROR((100000/E845)^(252/N845)-1),Curva!$B$2,((100000/E845)^(252/N845)-1)),"")</f>
        <v>#REF!</v>
      </c>
      <c r="P845" s="219" t="e">
        <f>IF(OR(G845=1,G845=2),dadosexternosBMF_1!B848,"")</f>
        <v>#REF!</v>
      </c>
      <c r="Q845" s="219" t="e">
        <f>IF(OR(G845=1,G845=2),dadosexternosBMF_1!D848,"")</f>
        <v>#REF!</v>
      </c>
    </row>
    <row r="846" spans="1:17" x14ac:dyDescent="0.2">
      <c r="A846" s="222" t="e">
        <f t="shared" si="90"/>
        <v>#REF!</v>
      </c>
      <c r="B846" s="222" t="str">
        <f>IF(dadosexternosBMF_1!A849="DI1 - DI de 1 dia","DI1 - DI de 1 dia","")</f>
        <v/>
      </c>
      <c r="C846" s="222" t="e">
        <f>IF(dadosexternosBMF_1!A849="DOL - Dólar comercial","",IF(C845&lt;&gt;"",dadosexternosBMF_1!B849,IF(dadosexternosBMF_1!A849="DI1 - DI de 1 dia",dadosexternosBMF_1!B849,"")))</f>
        <v>#REF!</v>
      </c>
      <c r="D846" s="222" t="e">
        <f>IF(C846&lt;&gt;"",dadosexternosBMF_1!C849,"")</f>
        <v>#REF!</v>
      </c>
      <c r="E846" s="222" t="e">
        <f>IF(C846&lt;&gt;"",dadosexternosBMF_1!D849,"")</f>
        <v>#REF!</v>
      </c>
      <c r="G846" s="219" t="e">
        <f t="shared" si="91"/>
        <v>#REF!</v>
      </c>
      <c r="H846" s="219" t="e">
        <f t="shared" si="92"/>
        <v>#REF!</v>
      </c>
      <c r="I846" s="219" t="e">
        <f t="shared" si="93"/>
        <v>#REF!</v>
      </c>
      <c r="J846" s="219" t="e">
        <f>IF(I846="","",VLOOKUP(LEFT(C846,1),dadosexternosBMF_1!$L$2:$M$13,2,FALSE))</f>
        <v>#REF!</v>
      </c>
      <c r="K846" s="219" t="e">
        <f t="shared" si="94"/>
        <v>#REF!</v>
      </c>
      <c r="L846" s="422" t="e">
        <f t="shared" si="95"/>
        <v>#REF!</v>
      </c>
      <c r="M846" s="422" t="e">
        <f>IF(I846="","",WORKDAY(L846-1,1,FERIADOS!$A$2:$A$831))</f>
        <v>#REF!</v>
      </c>
      <c r="N846" s="219" t="e">
        <f>IF(I846="","",NETWORKDAYS(Curva!$M$2,M846,FERIADOS!$A$2:$A$831)-1)</f>
        <v>#REF!</v>
      </c>
      <c r="O846" s="423" t="e">
        <f>IF(C846&lt;&gt;"",IF(ISERROR((100000/E846)^(252/N846)-1),Curva!$B$2,((100000/E846)^(252/N846)-1)),"")</f>
        <v>#REF!</v>
      </c>
      <c r="P846" s="219" t="e">
        <f>IF(OR(G846=1,G846=2),dadosexternosBMF_1!B849,"")</f>
        <v>#REF!</v>
      </c>
      <c r="Q846" s="219" t="e">
        <f>IF(OR(G846=1,G846=2),dadosexternosBMF_1!D849,"")</f>
        <v>#REF!</v>
      </c>
    </row>
    <row r="847" spans="1:17" x14ac:dyDescent="0.2">
      <c r="A847" s="222" t="e">
        <f t="shared" si="90"/>
        <v>#REF!</v>
      </c>
      <c r="B847" s="222" t="str">
        <f>IF(dadosexternosBMF_1!A850="DI1 - DI de 1 dia","DI1 - DI de 1 dia","")</f>
        <v/>
      </c>
      <c r="C847" s="222" t="e">
        <f>IF(dadosexternosBMF_1!A850="DOL - Dólar comercial","",IF(C846&lt;&gt;"",dadosexternosBMF_1!B850,IF(dadosexternosBMF_1!A850="DI1 - DI de 1 dia",dadosexternosBMF_1!B850,"")))</f>
        <v>#REF!</v>
      </c>
      <c r="D847" s="222" t="e">
        <f>IF(C847&lt;&gt;"",dadosexternosBMF_1!C850,"")</f>
        <v>#REF!</v>
      </c>
      <c r="E847" s="222" t="e">
        <f>IF(C847&lt;&gt;"",dadosexternosBMF_1!D850,"")</f>
        <v>#REF!</v>
      </c>
      <c r="G847" s="219" t="e">
        <f t="shared" si="91"/>
        <v>#REF!</v>
      </c>
      <c r="H847" s="219" t="e">
        <f t="shared" si="92"/>
        <v>#REF!</v>
      </c>
      <c r="I847" s="219" t="e">
        <f t="shared" si="93"/>
        <v>#REF!</v>
      </c>
      <c r="J847" s="219" t="e">
        <f>IF(I847="","",VLOOKUP(LEFT(C847,1),dadosexternosBMF_1!$L$2:$M$13,2,FALSE))</f>
        <v>#REF!</v>
      </c>
      <c r="K847" s="219" t="e">
        <f t="shared" si="94"/>
        <v>#REF!</v>
      </c>
      <c r="L847" s="422" t="e">
        <f t="shared" si="95"/>
        <v>#REF!</v>
      </c>
      <c r="M847" s="422" t="e">
        <f>IF(I847="","",WORKDAY(L847-1,1,FERIADOS!$A$2:$A$831))</f>
        <v>#REF!</v>
      </c>
      <c r="N847" s="219" t="e">
        <f>IF(I847="","",NETWORKDAYS(Curva!$M$2,M847,FERIADOS!$A$2:$A$831)-1)</f>
        <v>#REF!</v>
      </c>
      <c r="O847" s="423" t="e">
        <f>IF(C847&lt;&gt;"",IF(ISERROR((100000/E847)^(252/N847)-1),Curva!$B$2,((100000/E847)^(252/N847)-1)),"")</f>
        <v>#REF!</v>
      </c>
      <c r="P847" s="219" t="e">
        <f>IF(OR(G847=1,G847=2),dadosexternosBMF_1!B850,"")</f>
        <v>#REF!</v>
      </c>
      <c r="Q847" s="219" t="e">
        <f>IF(OR(G847=1,G847=2),dadosexternosBMF_1!D850,"")</f>
        <v>#REF!</v>
      </c>
    </row>
    <row r="848" spans="1:17" x14ac:dyDescent="0.2">
      <c r="A848" s="222" t="e">
        <f t="shared" si="90"/>
        <v>#REF!</v>
      </c>
      <c r="B848" s="222" t="str">
        <f>IF(dadosexternosBMF_1!A851="DI1 - DI de 1 dia","DI1 - DI de 1 dia","")</f>
        <v/>
      </c>
      <c r="C848" s="222" t="e">
        <f>IF(dadosexternosBMF_1!A851="DOL - Dólar comercial","",IF(C847&lt;&gt;"",dadosexternosBMF_1!B851,IF(dadosexternosBMF_1!A851="DI1 - DI de 1 dia",dadosexternosBMF_1!B851,"")))</f>
        <v>#REF!</v>
      </c>
      <c r="D848" s="222" t="e">
        <f>IF(C848&lt;&gt;"",dadosexternosBMF_1!C851,"")</f>
        <v>#REF!</v>
      </c>
      <c r="E848" s="222" t="e">
        <f>IF(C848&lt;&gt;"",dadosexternosBMF_1!D851,"")</f>
        <v>#REF!</v>
      </c>
      <c r="G848" s="219" t="e">
        <f t="shared" si="91"/>
        <v>#REF!</v>
      </c>
      <c r="H848" s="219" t="e">
        <f t="shared" si="92"/>
        <v>#REF!</v>
      </c>
      <c r="I848" s="219" t="e">
        <f t="shared" si="93"/>
        <v>#REF!</v>
      </c>
      <c r="J848" s="219" t="e">
        <f>IF(I848="","",VLOOKUP(LEFT(C848,1),dadosexternosBMF_1!$L$2:$M$13,2,FALSE))</f>
        <v>#REF!</v>
      </c>
      <c r="K848" s="219" t="e">
        <f t="shared" si="94"/>
        <v>#REF!</v>
      </c>
      <c r="L848" s="422" t="e">
        <f t="shared" si="95"/>
        <v>#REF!</v>
      </c>
      <c r="M848" s="422" t="e">
        <f>IF(I848="","",WORKDAY(L848-1,1,FERIADOS!$A$2:$A$831))</f>
        <v>#REF!</v>
      </c>
      <c r="N848" s="219" t="e">
        <f>IF(I848="","",NETWORKDAYS(Curva!$M$2,M848,FERIADOS!$A$2:$A$831)-1)</f>
        <v>#REF!</v>
      </c>
      <c r="O848" s="423" t="e">
        <f>IF(C848&lt;&gt;"",IF(ISERROR((100000/E848)^(252/N848)-1),Curva!$B$2,((100000/E848)^(252/N848)-1)),"")</f>
        <v>#REF!</v>
      </c>
      <c r="P848" s="219" t="e">
        <f>IF(OR(G848=1,G848=2),dadosexternosBMF_1!B851,"")</f>
        <v>#REF!</v>
      </c>
      <c r="Q848" s="219" t="e">
        <f>IF(OR(G848=1,G848=2),dadosexternosBMF_1!D851,"")</f>
        <v>#REF!</v>
      </c>
    </row>
    <row r="849" spans="1:17" x14ac:dyDescent="0.2">
      <c r="A849" s="222" t="e">
        <f t="shared" si="90"/>
        <v>#REF!</v>
      </c>
      <c r="B849" s="222" t="str">
        <f>IF(dadosexternosBMF_1!A852="DI1 - DI de 1 dia","DI1 - DI de 1 dia","")</f>
        <v/>
      </c>
      <c r="C849" s="222" t="e">
        <f>IF(dadosexternosBMF_1!A852="DOL - Dólar comercial","",IF(C848&lt;&gt;"",dadosexternosBMF_1!B852,IF(dadosexternosBMF_1!A852="DI1 - DI de 1 dia",dadosexternosBMF_1!B852,"")))</f>
        <v>#REF!</v>
      </c>
      <c r="D849" s="222" t="e">
        <f>IF(C849&lt;&gt;"",dadosexternosBMF_1!C852,"")</f>
        <v>#REF!</v>
      </c>
      <c r="E849" s="222" t="e">
        <f>IF(C849&lt;&gt;"",dadosexternosBMF_1!D852,"")</f>
        <v>#REF!</v>
      </c>
      <c r="G849" s="219" t="e">
        <f t="shared" si="91"/>
        <v>#REF!</v>
      </c>
      <c r="H849" s="219" t="e">
        <f t="shared" si="92"/>
        <v>#REF!</v>
      </c>
      <c r="I849" s="219" t="e">
        <f t="shared" si="93"/>
        <v>#REF!</v>
      </c>
      <c r="J849" s="219" t="e">
        <f>IF(I849="","",VLOOKUP(LEFT(C849,1),dadosexternosBMF_1!$L$2:$M$13,2,FALSE))</f>
        <v>#REF!</v>
      </c>
      <c r="K849" s="219" t="e">
        <f t="shared" si="94"/>
        <v>#REF!</v>
      </c>
      <c r="L849" s="422" t="e">
        <f t="shared" si="95"/>
        <v>#REF!</v>
      </c>
      <c r="M849" s="422" t="e">
        <f>IF(I849="","",WORKDAY(L849-1,1,FERIADOS!$A$2:$A$831))</f>
        <v>#REF!</v>
      </c>
      <c r="N849" s="219" t="e">
        <f>IF(I849="","",NETWORKDAYS(Curva!$M$2,M849,FERIADOS!$A$2:$A$831)-1)</f>
        <v>#REF!</v>
      </c>
      <c r="O849" s="423" t="e">
        <f>IF(C849&lt;&gt;"",IF(ISERROR((100000/E849)^(252/N849)-1),Curva!$B$2,((100000/E849)^(252/N849)-1)),"")</f>
        <v>#REF!</v>
      </c>
      <c r="P849" s="219" t="e">
        <f>IF(OR(G849=1,G849=2),dadosexternosBMF_1!B852,"")</f>
        <v>#REF!</v>
      </c>
      <c r="Q849" s="219" t="e">
        <f>IF(OR(G849=1,G849=2),dadosexternosBMF_1!D852,"")</f>
        <v>#REF!</v>
      </c>
    </row>
    <row r="850" spans="1:17" x14ac:dyDescent="0.2">
      <c r="A850" s="222" t="e">
        <f t="shared" si="90"/>
        <v>#REF!</v>
      </c>
      <c r="B850" s="222" t="str">
        <f>IF(dadosexternosBMF_1!A853="DI1 - DI de 1 dia","DI1 - DI de 1 dia","")</f>
        <v/>
      </c>
      <c r="C850" s="222" t="e">
        <f>IF(dadosexternosBMF_1!A853="DOL - Dólar comercial","",IF(C849&lt;&gt;"",dadosexternosBMF_1!B853,IF(dadosexternosBMF_1!A853="DI1 - DI de 1 dia",dadosexternosBMF_1!B853,"")))</f>
        <v>#REF!</v>
      </c>
      <c r="D850" s="222" t="e">
        <f>IF(C850&lt;&gt;"",dadosexternosBMF_1!C853,"")</f>
        <v>#REF!</v>
      </c>
      <c r="E850" s="222" t="e">
        <f>IF(C850&lt;&gt;"",dadosexternosBMF_1!D853,"")</f>
        <v>#REF!</v>
      </c>
      <c r="G850" s="219" t="e">
        <f t="shared" si="91"/>
        <v>#REF!</v>
      </c>
      <c r="H850" s="219" t="e">
        <f t="shared" si="92"/>
        <v>#REF!</v>
      </c>
      <c r="I850" s="219" t="e">
        <f t="shared" si="93"/>
        <v>#REF!</v>
      </c>
      <c r="J850" s="219" t="e">
        <f>IF(I850="","",VLOOKUP(LEFT(C850,1),dadosexternosBMF_1!$L$2:$M$13,2,FALSE))</f>
        <v>#REF!</v>
      </c>
      <c r="K850" s="219" t="e">
        <f t="shared" si="94"/>
        <v>#REF!</v>
      </c>
      <c r="L850" s="422" t="e">
        <f t="shared" si="95"/>
        <v>#REF!</v>
      </c>
      <c r="M850" s="422" t="e">
        <f>IF(I850="","",WORKDAY(L850-1,1,FERIADOS!$A$2:$A$831))</f>
        <v>#REF!</v>
      </c>
      <c r="N850" s="219" t="e">
        <f>IF(I850="","",NETWORKDAYS(Curva!$M$2,M850,FERIADOS!$A$2:$A$831)-1)</f>
        <v>#REF!</v>
      </c>
      <c r="O850" s="423" t="e">
        <f>IF(C850&lt;&gt;"",IF(ISERROR((100000/E850)^(252/N850)-1),Curva!$B$2,((100000/E850)^(252/N850)-1)),"")</f>
        <v>#REF!</v>
      </c>
      <c r="P850" s="219" t="e">
        <f>IF(OR(G850=1,G850=2),dadosexternosBMF_1!B853,"")</f>
        <v>#REF!</v>
      </c>
      <c r="Q850" s="219" t="e">
        <f>IF(OR(G850=1,G850=2),dadosexternosBMF_1!D853,"")</f>
        <v>#REF!</v>
      </c>
    </row>
    <row r="851" spans="1:17" x14ac:dyDescent="0.2">
      <c r="A851" s="222" t="e">
        <f t="shared" si="90"/>
        <v>#REF!</v>
      </c>
      <c r="B851" s="222" t="str">
        <f>IF(dadosexternosBMF_1!A854="DI1 - DI de 1 dia","DI1 - DI de 1 dia","")</f>
        <v/>
      </c>
      <c r="C851" s="222" t="e">
        <f>IF(dadosexternosBMF_1!A854="DOL - Dólar comercial","",IF(C850&lt;&gt;"",dadosexternosBMF_1!B854,IF(dadosexternosBMF_1!A854="DI1 - DI de 1 dia",dadosexternosBMF_1!B854,"")))</f>
        <v>#REF!</v>
      </c>
      <c r="D851" s="222" t="e">
        <f>IF(C851&lt;&gt;"",dadosexternosBMF_1!C854,"")</f>
        <v>#REF!</v>
      </c>
      <c r="E851" s="222" t="e">
        <f>IF(C851&lt;&gt;"",dadosexternosBMF_1!D854,"")</f>
        <v>#REF!</v>
      </c>
      <c r="G851" s="219" t="e">
        <f t="shared" si="91"/>
        <v>#REF!</v>
      </c>
      <c r="H851" s="219" t="e">
        <f t="shared" si="92"/>
        <v>#REF!</v>
      </c>
      <c r="I851" s="219" t="e">
        <f t="shared" si="93"/>
        <v>#REF!</v>
      </c>
      <c r="J851" s="219" t="e">
        <f>IF(I851="","",VLOOKUP(LEFT(C851,1),dadosexternosBMF_1!$L$2:$M$13,2,FALSE))</f>
        <v>#REF!</v>
      </c>
      <c r="K851" s="219" t="e">
        <f t="shared" si="94"/>
        <v>#REF!</v>
      </c>
      <c r="L851" s="422" t="e">
        <f t="shared" si="95"/>
        <v>#REF!</v>
      </c>
      <c r="M851" s="422" t="e">
        <f>IF(I851="","",WORKDAY(L851-1,1,FERIADOS!$A$2:$A$831))</f>
        <v>#REF!</v>
      </c>
      <c r="N851" s="219" t="e">
        <f>IF(I851="","",NETWORKDAYS(Curva!$M$2,M851,FERIADOS!$A$2:$A$831)-1)</f>
        <v>#REF!</v>
      </c>
      <c r="O851" s="423" t="e">
        <f>IF(C851&lt;&gt;"",IF(ISERROR((100000/E851)^(252/N851)-1),Curva!$B$2,((100000/E851)^(252/N851)-1)),"")</f>
        <v>#REF!</v>
      </c>
      <c r="P851" s="219" t="e">
        <f>IF(OR(G851=1,G851=2),dadosexternosBMF_1!B854,"")</f>
        <v>#REF!</v>
      </c>
      <c r="Q851" s="219" t="e">
        <f>IF(OR(G851=1,G851=2),dadosexternosBMF_1!D854,"")</f>
        <v>#REF!</v>
      </c>
    </row>
    <row r="852" spans="1:17" x14ac:dyDescent="0.2">
      <c r="A852" s="222" t="e">
        <f t="shared" si="90"/>
        <v>#REF!</v>
      </c>
      <c r="B852" s="222" t="str">
        <f>IF(dadosexternosBMF_1!A855="DI1 - DI de 1 dia","DI1 - DI de 1 dia","")</f>
        <v/>
      </c>
      <c r="C852" s="222" t="e">
        <f>IF(dadosexternosBMF_1!A855="DOL - Dólar comercial","",IF(C851&lt;&gt;"",dadosexternosBMF_1!B855,IF(dadosexternosBMF_1!A855="DI1 - DI de 1 dia",dadosexternosBMF_1!B855,"")))</f>
        <v>#REF!</v>
      </c>
      <c r="D852" s="222" t="e">
        <f>IF(C852&lt;&gt;"",dadosexternosBMF_1!C855,"")</f>
        <v>#REF!</v>
      </c>
      <c r="E852" s="222" t="e">
        <f>IF(C852&lt;&gt;"",dadosexternosBMF_1!D855,"")</f>
        <v>#REF!</v>
      </c>
      <c r="G852" s="219" t="e">
        <f t="shared" si="91"/>
        <v>#REF!</v>
      </c>
      <c r="H852" s="219" t="e">
        <f t="shared" si="92"/>
        <v>#REF!</v>
      </c>
      <c r="I852" s="219" t="e">
        <f t="shared" si="93"/>
        <v>#REF!</v>
      </c>
      <c r="J852" s="219" t="e">
        <f>IF(I852="","",VLOOKUP(LEFT(C852,1),dadosexternosBMF_1!$L$2:$M$13,2,FALSE))</f>
        <v>#REF!</v>
      </c>
      <c r="K852" s="219" t="e">
        <f t="shared" si="94"/>
        <v>#REF!</v>
      </c>
      <c r="L852" s="422" t="e">
        <f t="shared" si="95"/>
        <v>#REF!</v>
      </c>
      <c r="M852" s="422" t="e">
        <f>IF(I852="","",WORKDAY(L852-1,1,FERIADOS!$A$2:$A$831))</f>
        <v>#REF!</v>
      </c>
      <c r="N852" s="219" t="e">
        <f>IF(I852="","",NETWORKDAYS(Curva!$M$2,M852,FERIADOS!$A$2:$A$831)-1)</f>
        <v>#REF!</v>
      </c>
      <c r="O852" s="423" t="e">
        <f>IF(C852&lt;&gt;"",IF(ISERROR((100000/E852)^(252/N852)-1),Curva!$B$2,((100000/E852)^(252/N852)-1)),"")</f>
        <v>#REF!</v>
      </c>
      <c r="P852" s="219" t="e">
        <f>IF(OR(G852=1,G852=2),dadosexternosBMF_1!B855,"")</f>
        <v>#REF!</v>
      </c>
      <c r="Q852" s="219" t="e">
        <f>IF(OR(G852=1,G852=2),dadosexternosBMF_1!D855,"")</f>
        <v>#REF!</v>
      </c>
    </row>
    <row r="853" spans="1:17" x14ac:dyDescent="0.2">
      <c r="A853" s="222" t="e">
        <f t="shared" si="90"/>
        <v>#REF!</v>
      </c>
      <c r="B853" s="222" t="str">
        <f>IF(dadosexternosBMF_1!A856="DI1 - DI de 1 dia","DI1 - DI de 1 dia","")</f>
        <v/>
      </c>
      <c r="C853" s="222" t="e">
        <f>IF(dadosexternosBMF_1!A856="DOL - Dólar comercial","",IF(C852&lt;&gt;"",dadosexternosBMF_1!B856,IF(dadosexternosBMF_1!A856="DI1 - DI de 1 dia",dadosexternosBMF_1!B856,"")))</f>
        <v>#REF!</v>
      </c>
      <c r="D853" s="222" t="e">
        <f>IF(C853&lt;&gt;"",dadosexternosBMF_1!C856,"")</f>
        <v>#REF!</v>
      </c>
      <c r="E853" s="222" t="e">
        <f>IF(C853&lt;&gt;"",dadosexternosBMF_1!D856,"")</f>
        <v>#REF!</v>
      </c>
      <c r="G853" s="219" t="e">
        <f t="shared" si="91"/>
        <v>#REF!</v>
      </c>
      <c r="H853" s="219" t="e">
        <f t="shared" si="92"/>
        <v>#REF!</v>
      </c>
      <c r="I853" s="219" t="e">
        <f t="shared" si="93"/>
        <v>#REF!</v>
      </c>
      <c r="J853" s="219" t="e">
        <f>IF(I853="","",VLOOKUP(LEFT(C853,1),dadosexternosBMF_1!$L$2:$M$13,2,FALSE))</f>
        <v>#REF!</v>
      </c>
      <c r="K853" s="219" t="e">
        <f t="shared" si="94"/>
        <v>#REF!</v>
      </c>
      <c r="L853" s="422" t="e">
        <f t="shared" si="95"/>
        <v>#REF!</v>
      </c>
      <c r="M853" s="422" t="e">
        <f>IF(I853="","",WORKDAY(L853-1,1,FERIADOS!$A$2:$A$831))</f>
        <v>#REF!</v>
      </c>
      <c r="N853" s="219" t="e">
        <f>IF(I853="","",NETWORKDAYS(Curva!$M$2,M853,FERIADOS!$A$2:$A$831)-1)</f>
        <v>#REF!</v>
      </c>
      <c r="O853" s="423" t="e">
        <f>IF(C853&lt;&gt;"",IF(ISERROR((100000/E853)^(252/N853)-1),Curva!$B$2,((100000/E853)^(252/N853)-1)),"")</f>
        <v>#REF!</v>
      </c>
      <c r="P853" s="219" t="e">
        <f>IF(OR(G853=1,G853=2),dadosexternosBMF_1!B856,"")</f>
        <v>#REF!</v>
      </c>
      <c r="Q853" s="219" t="e">
        <f>IF(OR(G853=1,G853=2),dadosexternosBMF_1!D856,"")</f>
        <v>#REF!</v>
      </c>
    </row>
    <row r="854" spans="1:17" x14ac:dyDescent="0.2">
      <c r="A854" s="222" t="e">
        <f t="shared" si="90"/>
        <v>#REF!</v>
      </c>
      <c r="B854" s="222" t="str">
        <f>IF(dadosexternosBMF_1!A857="DI1 - DI de 1 dia","DI1 - DI de 1 dia","")</f>
        <v/>
      </c>
      <c r="C854" s="222" t="e">
        <f>IF(dadosexternosBMF_1!A857="DOL - Dólar comercial","",IF(C853&lt;&gt;"",dadosexternosBMF_1!B857,IF(dadosexternosBMF_1!A857="DI1 - DI de 1 dia",dadosexternosBMF_1!B857,"")))</f>
        <v>#REF!</v>
      </c>
      <c r="D854" s="222" t="e">
        <f>IF(C854&lt;&gt;"",dadosexternosBMF_1!C857,"")</f>
        <v>#REF!</v>
      </c>
      <c r="E854" s="222" t="e">
        <f>IF(C854&lt;&gt;"",dadosexternosBMF_1!D857,"")</f>
        <v>#REF!</v>
      </c>
      <c r="G854" s="219" t="e">
        <f t="shared" si="91"/>
        <v>#REF!</v>
      </c>
      <c r="H854" s="219" t="e">
        <f t="shared" si="92"/>
        <v>#REF!</v>
      </c>
      <c r="I854" s="219" t="e">
        <f t="shared" si="93"/>
        <v>#REF!</v>
      </c>
      <c r="J854" s="219" t="e">
        <f>IF(I854="","",VLOOKUP(LEFT(C854,1),dadosexternosBMF_1!$L$2:$M$13,2,FALSE))</f>
        <v>#REF!</v>
      </c>
      <c r="K854" s="219" t="e">
        <f t="shared" si="94"/>
        <v>#REF!</v>
      </c>
      <c r="L854" s="422" t="e">
        <f t="shared" si="95"/>
        <v>#REF!</v>
      </c>
      <c r="M854" s="422" t="e">
        <f>IF(I854="","",WORKDAY(L854-1,1,FERIADOS!$A$2:$A$831))</f>
        <v>#REF!</v>
      </c>
      <c r="N854" s="219" t="e">
        <f>IF(I854="","",NETWORKDAYS(Curva!$M$2,M854,FERIADOS!$A$2:$A$831)-1)</f>
        <v>#REF!</v>
      </c>
      <c r="O854" s="423" t="e">
        <f>IF(C854&lt;&gt;"",IF(ISERROR((100000/E854)^(252/N854)-1),Curva!$B$2,((100000/E854)^(252/N854)-1)),"")</f>
        <v>#REF!</v>
      </c>
      <c r="P854" s="219" t="e">
        <f>IF(OR(G854=1,G854=2),dadosexternosBMF_1!B857,"")</f>
        <v>#REF!</v>
      </c>
      <c r="Q854" s="219" t="e">
        <f>IF(OR(G854=1,G854=2),dadosexternosBMF_1!D857,"")</f>
        <v>#REF!</v>
      </c>
    </row>
    <row r="855" spans="1:17" x14ac:dyDescent="0.2">
      <c r="A855" s="222" t="e">
        <f t="shared" si="90"/>
        <v>#REF!</v>
      </c>
      <c r="B855" s="222" t="str">
        <f>IF(dadosexternosBMF_1!A858="DI1 - DI de 1 dia","DI1 - DI de 1 dia","")</f>
        <v/>
      </c>
      <c r="C855" s="222" t="e">
        <f>IF(dadosexternosBMF_1!A858="DOL - Dólar comercial","",IF(C854&lt;&gt;"",dadosexternosBMF_1!B858,IF(dadosexternosBMF_1!A858="DI1 - DI de 1 dia",dadosexternosBMF_1!B858,"")))</f>
        <v>#REF!</v>
      </c>
      <c r="D855" s="222" t="e">
        <f>IF(C855&lt;&gt;"",dadosexternosBMF_1!C858,"")</f>
        <v>#REF!</v>
      </c>
      <c r="E855" s="222" t="e">
        <f>IF(C855&lt;&gt;"",dadosexternosBMF_1!D858,"")</f>
        <v>#REF!</v>
      </c>
      <c r="G855" s="219" t="e">
        <f t="shared" si="91"/>
        <v>#REF!</v>
      </c>
      <c r="H855" s="219" t="e">
        <f t="shared" si="92"/>
        <v>#REF!</v>
      </c>
      <c r="I855" s="219" t="e">
        <f t="shared" si="93"/>
        <v>#REF!</v>
      </c>
      <c r="J855" s="219" t="e">
        <f>IF(I855="","",VLOOKUP(LEFT(C855,1),dadosexternosBMF_1!$L$2:$M$13,2,FALSE))</f>
        <v>#REF!</v>
      </c>
      <c r="K855" s="219" t="e">
        <f t="shared" si="94"/>
        <v>#REF!</v>
      </c>
      <c r="L855" s="422" t="e">
        <f t="shared" si="95"/>
        <v>#REF!</v>
      </c>
      <c r="M855" s="422" t="e">
        <f>IF(I855="","",WORKDAY(L855-1,1,FERIADOS!$A$2:$A$831))</f>
        <v>#REF!</v>
      </c>
      <c r="N855" s="219" t="e">
        <f>IF(I855="","",NETWORKDAYS(Curva!$M$2,M855,FERIADOS!$A$2:$A$831)-1)</f>
        <v>#REF!</v>
      </c>
      <c r="O855" s="423" t="e">
        <f>IF(C855&lt;&gt;"",IF(ISERROR((100000/E855)^(252/N855)-1),Curva!$B$2,((100000/E855)^(252/N855)-1)),"")</f>
        <v>#REF!</v>
      </c>
      <c r="P855" s="219" t="e">
        <f>IF(OR(G855=1,G855=2),dadosexternosBMF_1!B858,"")</f>
        <v>#REF!</v>
      </c>
      <c r="Q855" s="219" t="e">
        <f>IF(OR(G855=1,G855=2),dadosexternosBMF_1!D858,"")</f>
        <v>#REF!</v>
      </c>
    </row>
    <row r="856" spans="1:17" x14ac:dyDescent="0.2">
      <c r="A856" s="222" t="e">
        <f t="shared" si="90"/>
        <v>#REF!</v>
      </c>
      <c r="B856" s="222" t="str">
        <f>IF(dadosexternosBMF_1!A859="DI1 - DI de 1 dia","DI1 - DI de 1 dia","")</f>
        <v/>
      </c>
      <c r="C856" s="222" t="e">
        <f>IF(dadosexternosBMF_1!A859="DOL - Dólar comercial","",IF(C855&lt;&gt;"",dadosexternosBMF_1!B859,IF(dadosexternosBMF_1!A859="DI1 - DI de 1 dia",dadosexternosBMF_1!B859,"")))</f>
        <v>#REF!</v>
      </c>
      <c r="D856" s="222" t="e">
        <f>IF(C856&lt;&gt;"",dadosexternosBMF_1!C859,"")</f>
        <v>#REF!</v>
      </c>
      <c r="E856" s="222" t="e">
        <f>IF(C856&lt;&gt;"",dadosexternosBMF_1!D859,"")</f>
        <v>#REF!</v>
      </c>
      <c r="G856" s="219" t="e">
        <f t="shared" si="91"/>
        <v>#REF!</v>
      </c>
      <c r="H856" s="219" t="e">
        <f t="shared" si="92"/>
        <v>#REF!</v>
      </c>
      <c r="I856" s="219" t="e">
        <f t="shared" si="93"/>
        <v>#REF!</v>
      </c>
      <c r="J856" s="219" t="e">
        <f>IF(I856="","",VLOOKUP(LEFT(C856,1),dadosexternosBMF_1!$L$2:$M$13,2,FALSE))</f>
        <v>#REF!</v>
      </c>
      <c r="K856" s="219" t="e">
        <f t="shared" si="94"/>
        <v>#REF!</v>
      </c>
      <c r="L856" s="422" t="e">
        <f t="shared" si="95"/>
        <v>#REF!</v>
      </c>
      <c r="M856" s="422" t="e">
        <f>IF(I856="","",WORKDAY(L856-1,1,FERIADOS!$A$2:$A$831))</f>
        <v>#REF!</v>
      </c>
      <c r="N856" s="219" t="e">
        <f>IF(I856="","",NETWORKDAYS(Curva!$M$2,M856,FERIADOS!$A$2:$A$831)-1)</f>
        <v>#REF!</v>
      </c>
      <c r="O856" s="423" t="e">
        <f>IF(C856&lt;&gt;"",IF(ISERROR((100000/E856)^(252/N856)-1),Curva!$B$2,((100000/E856)^(252/N856)-1)),"")</f>
        <v>#REF!</v>
      </c>
      <c r="P856" s="219" t="e">
        <f>IF(OR(G856=1,G856=2),dadosexternosBMF_1!B859,"")</f>
        <v>#REF!</v>
      </c>
      <c r="Q856" s="219" t="e">
        <f>IF(OR(G856=1,G856=2),dadosexternosBMF_1!D859,"")</f>
        <v>#REF!</v>
      </c>
    </row>
    <row r="857" spans="1:17" x14ac:dyDescent="0.2">
      <c r="A857" s="222" t="e">
        <f t="shared" si="90"/>
        <v>#REF!</v>
      </c>
      <c r="B857" s="222" t="str">
        <f>IF(dadosexternosBMF_1!A860="DI1 - DI de 1 dia","DI1 - DI de 1 dia","")</f>
        <v/>
      </c>
      <c r="C857" s="222" t="e">
        <f>IF(dadosexternosBMF_1!A860="DOL - Dólar comercial","",IF(C856&lt;&gt;"",dadosexternosBMF_1!B860,IF(dadosexternosBMF_1!A860="DI1 - DI de 1 dia",dadosexternosBMF_1!B860,"")))</f>
        <v>#REF!</v>
      </c>
      <c r="D857" s="222" t="e">
        <f>IF(C857&lt;&gt;"",dadosexternosBMF_1!C860,"")</f>
        <v>#REF!</v>
      </c>
      <c r="E857" s="222" t="e">
        <f>IF(C857&lt;&gt;"",dadosexternosBMF_1!D860,"")</f>
        <v>#REF!</v>
      </c>
      <c r="G857" s="219" t="e">
        <f t="shared" si="91"/>
        <v>#REF!</v>
      </c>
      <c r="H857" s="219" t="e">
        <f t="shared" si="92"/>
        <v>#REF!</v>
      </c>
      <c r="I857" s="219" t="e">
        <f t="shared" si="93"/>
        <v>#REF!</v>
      </c>
      <c r="J857" s="219" t="e">
        <f>IF(I857="","",VLOOKUP(LEFT(C857,1),dadosexternosBMF_1!$L$2:$M$13,2,FALSE))</f>
        <v>#REF!</v>
      </c>
      <c r="K857" s="219" t="e">
        <f t="shared" si="94"/>
        <v>#REF!</v>
      </c>
      <c r="L857" s="422" t="e">
        <f t="shared" si="95"/>
        <v>#REF!</v>
      </c>
      <c r="M857" s="422" t="e">
        <f>IF(I857="","",WORKDAY(L857-1,1,FERIADOS!$A$2:$A$831))</f>
        <v>#REF!</v>
      </c>
      <c r="N857" s="219" t="e">
        <f>IF(I857="","",NETWORKDAYS(Curva!$M$2,M857,FERIADOS!$A$2:$A$831)-1)</f>
        <v>#REF!</v>
      </c>
      <c r="O857" s="423" t="e">
        <f>IF(C857&lt;&gt;"",IF(ISERROR((100000/E857)^(252/N857)-1),Curva!$B$2,((100000/E857)^(252/N857)-1)),"")</f>
        <v>#REF!</v>
      </c>
      <c r="P857" s="219" t="e">
        <f>IF(OR(G857=1,G857=2),dadosexternosBMF_1!B860,"")</f>
        <v>#REF!</v>
      </c>
      <c r="Q857" s="219" t="e">
        <f>IF(OR(G857=1,G857=2),dadosexternosBMF_1!D860,"")</f>
        <v>#REF!</v>
      </c>
    </row>
    <row r="858" spans="1:17" x14ac:dyDescent="0.2">
      <c r="A858" s="222" t="e">
        <f t="shared" si="90"/>
        <v>#REF!</v>
      </c>
      <c r="B858" s="222" t="str">
        <f>IF(dadosexternosBMF_1!A861="DI1 - DI de 1 dia","DI1 - DI de 1 dia","")</f>
        <v/>
      </c>
      <c r="C858" s="222" t="e">
        <f>IF(dadosexternosBMF_1!A861="DOL - Dólar comercial","",IF(C857&lt;&gt;"",dadosexternosBMF_1!B861,IF(dadosexternosBMF_1!A861="DI1 - DI de 1 dia",dadosexternosBMF_1!B861,"")))</f>
        <v>#REF!</v>
      </c>
      <c r="D858" s="222" t="e">
        <f>IF(C858&lt;&gt;"",dadosexternosBMF_1!C861,"")</f>
        <v>#REF!</v>
      </c>
      <c r="E858" s="222" t="e">
        <f>IF(C858&lt;&gt;"",dadosexternosBMF_1!D861,"")</f>
        <v>#REF!</v>
      </c>
      <c r="G858" s="219" t="e">
        <f t="shared" si="91"/>
        <v>#REF!</v>
      </c>
      <c r="H858" s="219" t="e">
        <f t="shared" si="92"/>
        <v>#REF!</v>
      </c>
      <c r="I858" s="219" t="e">
        <f t="shared" si="93"/>
        <v>#REF!</v>
      </c>
      <c r="J858" s="219" t="e">
        <f>IF(I858="","",VLOOKUP(LEFT(C858,1),dadosexternosBMF_1!$L$2:$M$13,2,FALSE))</f>
        <v>#REF!</v>
      </c>
      <c r="K858" s="219" t="e">
        <f t="shared" si="94"/>
        <v>#REF!</v>
      </c>
      <c r="L858" s="422" t="e">
        <f t="shared" si="95"/>
        <v>#REF!</v>
      </c>
      <c r="M858" s="422" t="e">
        <f>IF(I858="","",WORKDAY(L858-1,1,FERIADOS!$A$2:$A$831))</f>
        <v>#REF!</v>
      </c>
      <c r="N858" s="219" t="e">
        <f>IF(I858="","",NETWORKDAYS(Curva!$M$2,M858,FERIADOS!$A$2:$A$831)-1)</f>
        <v>#REF!</v>
      </c>
      <c r="O858" s="423" t="e">
        <f>IF(C858&lt;&gt;"",IF(ISERROR((100000/E858)^(252/N858)-1),Curva!$B$2,((100000/E858)^(252/N858)-1)),"")</f>
        <v>#REF!</v>
      </c>
      <c r="P858" s="219" t="e">
        <f>IF(OR(G858=1,G858=2),dadosexternosBMF_1!B861,"")</f>
        <v>#REF!</v>
      </c>
      <c r="Q858" s="219" t="e">
        <f>IF(OR(G858=1,G858=2),dadosexternosBMF_1!D861,"")</f>
        <v>#REF!</v>
      </c>
    </row>
    <row r="859" spans="1:17" x14ac:dyDescent="0.2">
      <c r="A859" s="222" t="e">
        <f t="shared" ref="A859:A922" si="96">IF(AND(A858&lt;&gt;"",C859&lt;&gt;""),A858+1,IF(B859="DI1 - DI de 1 dia",1,""))</f>
        <v>#REF!</v>
      </c>
      <c r="B859" s="222" t="str">
        <f>IF(dadosexternosBMF_1!A862="DI1 - DI de 1 dia","DI1 - DI de 1 dia","")</f>
        <v/>
      </c>
      <c r="C859" s="222" t="e">
        <f>IF(dadosexternosBMF_1!A862="DOL - Dólar comercial","",IF(C858&lt;&gt;"",dadosexternosBMF_1!B862,IF(dadosexternosBMF_1!A862="DI1 - DI de 1 dia",dadosexternosBMF_1!B862,"")))</f>
        <v>#REF!</v>
      </c>
      <c r="D859" s="222" t="e">
        <f>IF(C859&lt;&gt;"",dadosexternosBMF_1!C862,"")</f>
        <v>#REF!</v>
      </c>
      <c r="E859" s="222" t="e">
        <f>IF(C859&lt;&gt;"",dadosexternosBMF_1!D862,"")</f>
        <v>#REF!</v>
      </c>
      <c r="G859" s="219" t="e">
        <f t="shared" ref="G859:G922" si="97">IF(G858=1,2,IF(AND(H859="",H858&lt;&gt;""),1,""))</f>
        <v>#REF!</v>
      </c>
      <c r="H859" s="219" t="e">
        <f t="shared" ref="H859:H922" si="98">IF(A859&lt;&gt;"",A859,"")</f>
        <v>#REF!</v>
      </c>
      <c r="I859" s="219" t="e">
        <f t="shared" ref="I859:I922" si="99">IF(A859&lt;&gt;"",(CONCATENATE("DI1",C859)),"")</f>
        <v>#REF!</v>
      </c>
      <c r="J859" s="219" t="e">
        <f>IF(I859="","",VLOOKUP(LEFT(C859,1),dadosexternosBMF_1!$L$2:$M$13,2,FALSE))</f>
        <v>#REF!</v>
      </c>
      <c r="K859" s="219" t="e">
        <f t="shared" ref="K859:K922" si="100">IF(I859="","",1+CONCATENATE(20,RIGHT(C859,2))-1)</f>
        <v>#REF!</v>
      </c>
      <c r="L859" s="422" t="e">
        <f t="shared" ref="L859:L922" si="101">IF(I859="","",CONCATENATE(1,"/",J859,"/",K859)+1-1)</f>
        <v>#REF!</v>
      </c>
      <c r="M859" s="422" t="e">
        <f>IF(I859="","",WORKDAY(L859-1,1,FERIADOS!$A$2:$A$831))</f>
        <v>#REF!</v>
      </c>
      <c r="N859" s="219" t="e">
        <f>IF(I859="","",NETWORKDAYS(Curva!$M$2,M859,FERIADOS!$A$2:$A$831)-1)</f>
        <v>#REF!</v>
      </c>
      <c r="O859" s="423" t="e">
        <f>IF(C859&lt;&gt;"",IF(ISERROR((100000/E859)^(252/N859)-1),Curva!$B$2,((100000/E859)^(252/N859)-1)),"")</f>
        <v>#REF!</v>
      </c>
      <c r="P859" s="219" t="e">
        <f>IF(OR(G859=1,G859=2),dadosexternosBMF_1!B862,"")</f>
        <v>#REF!</v>
      </c>
      <c r="Q859" s="219" t="e">
        <f>IF(OR(G859=1,G859=2),dadosexternosBMF_1!D862,"")</f>
        <v>#REF!</v>
      </c>
    </row>
    <row r="860" spans="1:17" x14ac:dyDescent="0.2">
      <c r="A860" s="222" t="e">
        <f t="shared" si="96"/>
        <v>#REF!</v>
      </c>
      <c r="B860" s="222" t="str">
        <f>IF(dadosexternosBMF_1!A863="DI1 - DI de 1 dia","DI1 - DI de 1 dia","")</f>
        <v/>
      </c>
      <c r="C860" s="222" t="e">
        <f>IF(dadosexternosBMF_1!A863="DOL - Dólar comercial","",IF(C859&lt;&gt;"",dadosexternosBMF_1!B863,IF(dadosexternosBMF_1!A863="DI1 - DI de 1 dia",dadosexternosBMF_1!B863,"")))</f>
        <v>#REF!</v>
      </c>
      <c r="D860" s="222" t="e">
        <f>IF(C860&lt;&gt;"",dadosexternosBMF_1!C863,"")</f>
        <v>#REF!</v>
      </c>
      <c r="E860" s="222" t="e">
        <f>IF(C860&lt;&gt;"",dadosexternosBMF_1!D863,"")</f>
        <v>#REF!</v>
      </c>
      <c r="G860" s="219" t="e">
        <f t="shared" si="97"/>
        <v>#REF!</v>
      </c>
      <c r="H860" s="219" t="e">
        <f t="shared" si="98"/>
        <v>#REF!</v>
      </c>
      <c r="I860" s="219" t="e">
        <f t="shared" si="99"/>
        <v>#REF!</v>
      </c>
      <c r="J860" s="219" t="e">
        <f>IF(I860="","",VLOOKUP(LEFT(C860,1),dadosexternosBMF_1!$L$2:$M$13,2,FALSE))</f>
        <v>#REF!</v>
      </c>
      <c r="K860" s="219" t="e">
        <f t="shared" si="100"/>
        <v>#REF!</v>
      </c>
      <c r="L860" s="422" t="e">
        <f t="shared" si="101"/>
        <v>#REF!</v>
      </c>
      <c r="M860" s="422" t="e">
        <f>IF(I860="","",WORKDAY(L860-1,1,FERIADOS!$A$2:$A$831))</f>
        <v>#REF!</v>
      </c>
      <c r="N860" s="219" t="e">
        <f>IF(I860="","",NETWORKDAYS(Curva!$M$2,M860,FERIADOS!$A$2:$A$831)-1)</f>
        <v>#REF!</v>
      </c>
      <c r="O860" s="423" t="e">
        <f>IF(C860&lt;&gt;"",IF(ISERROR((100000/E860)^(252/N860)-1),Curva!$B$2,((100000/E860)^(252/N860)-1)),"")</f>
        <v>#REF!</v>
      </c>
      <c r="P860" s="219" t="e">
        <f>IF(OR(G860=1,G860=2),dadosexternosBMF_1!B863,"")</f>
        <v>#REF!</v>
      </c>
      <c r="Q860" s="219" t="e">
        <f>IF(OR(G860=1,G860=2),dadosexternosBMF_1!D863,"")</f>
        <v>#REF!</v>
      </c>
    </row>
    <row r="861" spans="1:17" x14ac:dyDescent="0.2">
      <c r="A861" s="222" t="e">
        <f t="shared" si="96"/>
        <v>#REF!</v>
      </c>
      <c r="B861" s="222" t="str">
        <f>IF(dadosexternosBMF_1!A864="DI1 - DI de 1 dia","DI1 - DI de 1 dia","")</f>
        <v/>
      </c>
      <c r="C861" s="222" t="e">
        <f>IF(dadosexternosBMF_1!A864="DOL - Dólar comercial","",IF(C860&lt;&gt;"",dadosexternosBMF_1!B864,IF(dadosexternosBMF_1!A864="DI1 - DI de 1 dia",dadosexternosBMF_1!B864,"")))</f>
        <v>#REF!</v>
      </c>
      <c r="D861" s="222" t="e">
        <f>IF(C861&lt;&gt;"",dadosexternosBMF_1!C864,"")</f>
        <v>#REF!</v>
      </c>
      <c r="E861" s="222" t="e">
        <f>IF(C861&lt;&gt;"",dadosexternosBMF_1!D864,"")</f>
        <v>#REF!</v>
      </c>
      <c r="G861" s="219" t="e">
        <f t="shared" si="97"/>
        <v>#REF!</v>
      </c>
      <c r="H861" s="219" t="e">
        <f t="shared" si="98"/>
        <v>#REF!</v>
      </c>
      <c r="I861" s="219" t="e">
        <f t="shared" si="99"/>
        <v>#REF!</v>
      </c>
      <c r="J861" s="219" t="e">
        <f>IF(I861="","",VLOOKUP(LEFT(C861,1),dadosexternosBMF_1!$L$2:$M$13,2,FALSE))</f>
        <v>#REF!</v>
      </c>
      <c r="K861" s="219" t="e">
        <f t="shared" si="100"/>
        <v>#REF!</v>
      </c>
      <c r="L861" s="422" t="e">
        <f t="shared" si="101"/>
        <v>#REF!</v>
      </c>
      <c r="M861" s="422" t="e">
        <f>IF(I861="","",WORKDAY(L861-1,1,FERIADOS!$A$2:$A$831))</f>
        <v>#REF!</v>
      </c>
      <c r="N861" s="219" t="e">
        <f>IF(I861="","",NETWORKDAYS(Curva!$M$2,M861,FERIADOS!$A$2:$A$831)-1)</f>
        <v>#REF!</v>
      </c>
      <c r="O861" s="423" t="e">
        <f>IF(C861&lt;&gt;"",IF(ISERROR((100000/E861)^(252/N861)-1),Curva!$B$2,((100000/E861)^(252/N861)-1)),"")</f>
        <v>#REF!</v>
      </c>
      <c r="P861" s="219" t="e">
        <f>IF(OR(G861=1,G861=2),dadosexternosBMF_1!B864,"")</f>
        <v>#REF!</v>
      </c>
      <c r="Q861" s="219" t="e">
        <f>IF(OR(G861=1,G861=2),dadosexternosBMF_1!D864,"")</f>
        <v>#REF!</v>
      </c>
    </row>
    <row r="862" spans="1:17" x14ac:dyDescent="0.2">
      <c r="A862" s="222" t="e">
        <f t="shared" si="96"/>
        <v>#REF!</v>
      </c>
      <c r="B862" s="222" t="str">
        <f>IF(dadosexternosBMF_1!A865="DI1 - DI de 1 dia","DI1 - DI de 1 dia","")</f>
        <v/>
      </c>
      <c r="C862" s="222" t="e">
        <f>IF(dadosexternosBMF_1!A865="DOL - Dólar comercial","",IF(C861&lt;&gt;"",dadosexternosBMF_1!B865,IF(dadosexternosBMF_1!A865="DI1 - DI de 1 dia",dadosexternosBMF_1!B865,"")))</f>
        <v>#REF!</v>
      </c>
      <c r="D862" s="222" t="e">
        <f>IF(C862&lt;&gt;"",dadosexternosBMF_1!C865,"")</f>
        <v>#REF!</v>
      </c>
      <c r="E862" s="222" t="e">
        <f>IF(C862&lt;&gt;"",dadosexternosBMF_1!D865,"")</f>
        <v>#REF!</v>
      </c>
      <c r="G862" s="219" t="e">
        <f t="shared" si="97"/>
        <v>#REF!</v>
      </c>
      <c r="H862" s="219" t="e">
        <f t="shared" si="98"/>
        <v>#REF!</v>
      </c>
      <c r="I862" s="219" t="e">
        <f t="shared" si="99"/>
        <v>#REF!</v>
      </c>
      <c r="J862" s="219" t="e">
        <f>IF(I862="","",VLOOKUP(LEFT(C862,1),dadosexternosBMF_1!$L$2:$M$13,2,FALSE))</f>
        <v>#REF!</v>
      </c>
      <c r="K862" s="219" t="e">
        <f t="shared" si="100"/>
        <v>#REF!</v>
      </c>
      <c r="L862" s="422" t="e">
        <f t="shared" si="101"/>
        <v>#REF!</v>
      </c>
      <c r="M862" s="422" t="e">
        <f>IF(I862="","",WORKDAY(L862-1,1,FERIADOS!$A$2:$A$831))</f>
        <v>#REF!</v>
      </c>
      <c r="N862" s="219" t="e">
        <f>IF(I862="","",NETWORKDAYS(Curva!$M$2,M862,FERIADOS!$A$2:$A$831)-1)</f>
        <v>#REF!</v>
      </c>
      <c r="O862" s="423" t="e">
        <f>IF(C862&lt;&gt;"",IF(ISERROR((100000/E862)^(252/N862)-1),Curva!$B$2,((100000/E862)^(252/N862)-1)),"")</f>
        <v>#REF!</v>
      </c>
      <c r="P862" s="219" t="e">
        <f>IF(OR(G862=1,G862=2),dadosexternosBMF_1!B865,"")</f>
        <v>#REF!</v>
      </c>
      <c r="Q862" s="219" t="e">
        <f>IF(OR(G862=1,G862=2),dadosexternosBMF_1!D865,"")</f>
        <v>#REF!</v>
      </c>
    </row>
    <row r="863" spans="1:17" x14ac:dyDescent="0.2">
      <c r="A863" s="222" t="e">
        <f t="shared" si="96"/>
        <v>#REF!</v>
      </c>
      <c r="B863" s="222" t="str">
        <f>IF(dadosexternosBMF_1!A866="DI1 - DI de 1 dia","DI1 - DI de 1 dia","")</f>
        <v/>
      </c>
      <c r="C863" s="222" t="e">
        <f>IF(dadosexternosBMF_1!A866="DOL - Dólar comercial","",IF(C862&lt;&gt;"",dadosexternosBMF_1!B866,IF(dadosexternosBMF_1!A866="DI1 - DI de 1 dia",dadosexternosBMF_1!B866,"")))</f>
        <v>#REF!</v>
      </c>
      <c r="D863" s="222" t="e">
        <f>IF(C863&lt;&gt;"",dadosexternosBMF_1!C866,"")</f>
        <v>#REF!</v>
      </c>
      <c r="E863" s="222" t="e">
        <f>IF(C863&lt;&gt;"",dadosexternosBMF_1!D866,"")</f>
        <v>#REF!</v>
      </c>
      <c r="G863" s="219" t="e">
        <f t="shared" si="97"/>
        <v>#REF!</v>
      </c>
      <c r="H863" s="219" t="e">
        <f t="shared" si="98"/>
        <v>#REF!</v>
      </c>
      <c r="I863" s="219" t="e">
        <f t="shared" si="99"/>
        <v>#REF!</v>
      </c>
      <c r="J863" s="219" t="e">
        <f>IF(I863="","",VLOOKUP(LEFT(C863,1),dadosexternosBMF_1!$L$2:$M$13,2,FALSE))</f>
        <v>#REF!</v>
      </c>
      <c r="K863" s="219" t="e">
        <f t="shared" si="100"/>
        <v>#REF!</v>
      </c>
      <c r="L863" s="422" t="e">
        <f t="shared" si="101"/>
        <v>#REF!</v>
      </c>
      <c r="M863" s="422" t="e">
        <f>IF(I863="","",WORKDAY(L863-1,1,FERIADOS!$A$2:$A$831))</f>
        <v>#REF!</v>
      </c>
      <c r="N863" s="219" t="e">
        <f>IF(I863="","",NETWORKDAYS(Curva!$M$2,M863,FERIADOS!$A$2:$A$831)-1)</f>
        <v>#REF!</v>
      </c>
      <c r="O863" s="423" t="e">
        <f>IF(C863&lt;&gt;"",IF(ISERROR((100000/E863)^(252/N863)-1),Curva!$B$2,((100000/E863)^(252/N863)-1)),"")</f>
        <v>#REF!</v>
      </c>
      <c r="P863" s="219" t="e">
        <f>IF(OR(G863=1,G863=2),dadosexternosBMF_1!B866,"")</f>
        <v>#REF!</v>
      </c>
      <c r="Q863" s="219" t="e">
        <f>IF(OR(G863=1,G863=2),dadosexternosBMF_1!D866,"")</f>
        <v>#REF!</v>
      </c>
    </row>
    <row r="864" spans="1:17" x14ac:dyDescent="0.2">
      <c r="A864" s="222" t="e">
        <f t="shared" si="96"/>
        <v>#REF!</v>
      </c>
      <c r="B864" s="222" t="str">
        <f>IF(dadosexternosBMF_1!A867="DI1 - DI de 1 dia","DI1 - DI de 1 dia","")</f>
        <v/>
      </c>
      <c r="C864" s="222" t="e">
        <f>IF(dadosexternosBMF_1!A867="DOL - Dólar comercial","",IF(C863&lt;&gt;"",dadosexternosBMF_1!B867,IF(dadosexternosBMF_1!A867="DI1 - DI de 1 dia",dadosexternosBMF_1!B867,"")))</f>
        <v>#REF!</v>
      </c>
      <c r="D864" s="222" t="e">
        <f>IF(C864&lt;&gt;"",dadosexternosBMF_1!C867,"")</f>
        <v>#REF!</v>
      </c>
      <c r="E864" s="222" t="e">
        <f>IF(C864&lt;&gt;"",dadosexternosBMF_1!D867,"")</f>
        <v>#REF!</v>
      </c>
      <c r="G864" s="219" t="e">
        <f t="shared" si="97"/>
        <v>#REF!</v>
      </c>
      <c r="H864" s="219" t="e">
        <f t="shared" si="98"/>
        <v>#REF!</v>
      </c>
      <c r="I864" s="219" t="e">
        <f t="shared" si="99"/>
        <v>#REF!</v>
      </c>
      <c r="J864" s="219" t="e">
        <f>IF(I864="","",VLOOKUP(LEFT(C864,1),dadosexternosBMF_1!$L$2:$M$13,2,FALSE))</f>
        <v>#REF!</v>
      </c>
      <c r="K864" s="219" t="e">
        <f t="shared" si="100"/>
        <v>#REF!</v>
      </c>
      <c r="L864" s="422" t="e">
        <f t="shared" si="101"/>
        <v>#REF!</v>
      </c>
      <c r="M864" s="422" t="e">
        <f>IF(I864="","",WORKDAY(L864-1,1,FERIADOS!$A$2:$A$831))</f>
        <v>#REF!</v>
      </c>
      <c r="N864" s="219" t="e">
        <f>IF(I864="","",NETWORKDAYS(Curva!$M$2,M864,FERIADOS!$A$2:$A$831)-1)</f>
        <v>#REF!</v>
      </c>
      <c r="O864" s="423" t="e">
        <f>IF(C864&lt;&gt;"",IF(ISERROR((100000/E864)^(252/N864)-1),Curva!$B$2,((100000/E864)^(252/N864)-1)),"")</f>
        <v>#REF!</v>
      </c>
      <c r="P864" s="219" t="e">
        <f>IF(OR(G864=1,G864=2),dadosexternosBMF_1!B867,"")</f>
        <v>#REF!</v>
      </c>
      <c r="Q864" s="219" t="e">
        <f>IF(OR(G864=1,G864=2),dadosexternosBMF_1!D867,"")</f>
        <v>#REF!</v>
      </c>
    </row>
    <row r="865" spans="1:17" x14ac:dyDescent="0.2">
      <c r="A865" s="222" t="e">
        <f t="shared" si="96"/>
        <v>#REF!</v>
      </c>
      <c r="B865" s="222" t="str">
        <f>IF(dadosexternosBMF_1!A868="DI1 - DI de 1 dia","DI1 - DI de 1 dia","")</f>
        <v/>
      </c>
      <c r="C865" s="222" t="e">
        <f>IF(dadosexternosBMF_1!A868="DOL - Dólar comercial","",IF(C864&lt;&gt;"",dadosexternosBMF_1!B868,IF(dadosexternosBMF_1!A868="DI1 - DI de 1 dia",dadosexternosBMF_1!B868,"")))</f>
        <v>#REF!</v>
      </c>
      <c r="D865" s="222" t="e">
        <f>IF(C865&lt;&gt;"",dadosexternosBMF_1!C868,"")</f>
        <v>#REF!</v>
      </c>
      <c r="E865" s="222" t="e">
        <f>IF(C865&lt;&gt;"",dadosexternosBMF_1!D868,"")</f>
        <v>#REF!</v>
      </c>
      <c r="G865" s="219" t="e">
        <f t="shared" si="97"/>
        <v>#REF!</v>
      </c>
      <c r="H865" s="219" t="e">
        <f t="shared" si="98"/>
        <v>#REF!</v>
      </c>
      <c r="I865" s="219" t="e">
        <f t="shared" si="99"/>
        <v>#REF!</v>
      </c>
      <c r="J865" s="219" t="e">
        <f>IF(I865="","",VLOOKUP(LEFT(C865,1),dadosexternosBMF_1!$L$2:$M$13,2,FALSE))</f>
        <v>#REF!</v>
      </c>
      <c r="K865" s="219" t="e">
        <f t="shared" si="100"/>
        <v>#REF!</v>
      </c>
      <c r="L865" s="422" t="e">
        <f t="shared" si="101"/>
        <v>#REF!</v>
      </c>
      <c r="M865" s="422" t="e">
        <f>IF(I865="","",WORKDAY(L865-1,1,FERIADOS!$A$2:$A$831))</f>
        <v>#REF!</v>
      </c>
      <c r="N865" s="219" t="e">
        <f>IF(I865="","",NETWORKDAYS(Curva!$M$2,M865,FERIADOS!$A$2:$A$831)-1)</f>
        <v>#REF!</v>
      </c>
      <c r="O865" s="423" t="e">
        <f>IF(C865&lt;&gt;"",IF(ISERROR((100000/E865)^(252/N865)-1),Curva!$B$2,((100000/E865)^(252/N865)-1)),"")</f>
        <v>#REF!</v>
      </c>
      <c r="P865" s="219" t="e">
        <f>IF(OR(G865=1,G865=2),dadosexternosBMF_1!B868,"")</f>
        <v>#REF!</v>
      </c>
      <c r="Q865" s="219" t="e">
        <f>IF(OR(G865=1,G865=2),dadosexternosBMF_1!D868,"")</f>
        <v>#REF!</v>
      </c>
    </row>
    <row r="866" spans="1:17" x14ac:dyDescent="0.2">
      <c r="A866" s="222" t="e">
        <f t="shared" si="96"/>
        <v>#REF!</v>
      </c>
      <c r="B866" s="222" t="str">
        <f>IF(dadosexternosBMF_1!A869="DI1 - DI de 1 dia","DI1 - DI de 1 dia","")</f>
        <v/>
      </c>
      <c r="C866" s="222" t="e">
        <f>IF(dadosexternosBMF_1!A869="DOL - Dólar comercial","",IF(C865&lt;&gt;"",dadosexternosBMF_1!B869,IF(dadosexternosBMF_1!A869="DI1 - DI de 1 dia",dadosexternosBMF_1!B869,"")))</f>
        <v>#REF!</v>
      </c>
      <c r="D866" s="222" t="e">
        <f>IF(C866&lt;&gt;"",dadosexternosBMF_1!C869,"")</f>
        <v>#REF!</v>
      </c>
      <c r="E866" s="222" t="e">
        <f>IF(C866&lt;&gt;"",dadosexternosBMF_1!D869,"")</f>
        <v>#REF!</v>
      </c>
      <c r="G866" s="219" t="e">
        <f t="shared" si="97"/>
        <v>#REF!</v>
      </c>
      <c r="H866" s="219" t="e">
        <f t="shared" si="98"/>
        <v>#REF!</v>
      </c>
      <c r="I866" s="219" t="e">
        <f t="shared" si="99"/>
        <v>#REF!</v>
      </c>
      <c r="J866" s="219" t="e">
        <f>IF(I866="","",VLOOKUP(LEFT(C866,1),dadosexternosBMF_1!$L$2:$M$13,2,FALSE))</f>
        <v>#REF!</v>
      </c>
      <c r="K866" s="219" t="e">
        <f t="shared" si="100"/>
        <v>#REF!</v>
      </c>
      <c r="L866" s="422" t="e">
        <f t="shared" si="101"/>
        <v>#REF!</v>
      </c>
      <c r="M866" s="422" t="e">
        <f>IF(I866="","",WORKDAY(L866-1,1,FERIADOS!$A$2:$A$831))</f>
        <v>#REF!</v>
      </c>
      <c r="N866" s="219" t="e">
        <f>IF(I866="","",NETWORKDAYS(Curva!$M$2,M866,FERIADOS!$A$2:$A$831)-1)</f>
        <v>#REF!</v>
      </c>
      <c r="O866" s="423" t="e">
        <f>IF(C866&lt;&gt;"",IF(ISERROR((100000/E866)^(252/N866)-1),Curva!$B$2,((100000/E866)^(252/N866)-1)),"")</f>
        <v>#REF!</v>
      </c>
      <c r="P866" s="219" t="e">
        <f>IF(OR(G866=1,G866=2),dadosexternosBMF_1!B869,"")</f>
        <v>#REF!</v>
      </c>
      <c r="Q866" s="219" t="e">
        <f>IF(OR(G866=1,G866=2),dadosexternosBMF_1!D869,"")</f>
        <v>#REF!</v>
      </c>
    </row>
    <row r="867" spans="1:17" x14ac:dyDescent="0.2">
      <c r="A867" s="222" t="e">
        <f t="shared" si="96"/>
        <v>#REF!</v>
      </c>
      <c r="B867" s="222" t="str">
        <f>IF(dadosexternosBMF_1!A870="DI1 - DI de 1 dia","DI1 - DI de 1 dia","")</f>
        <v/>
      </c>
      <c r="C867" s="222" t="e">
        <f>IF(dadosexternosBMF_1!A870="DOL - Dólar comercial","",IF(C866&lt;&gt;"",dadosexternosBMF_1!B870,IF(dadosexternosBMF_1!A870="DI1 - DI de 1 dia",dadosexternosBMF_1!B870,"")))</f>
        <v>#REF!</v>
      </c>
      <c r="D867" s="222" t="e">
        <f>IF(C867&lt;&gt;"",dadosexternosBMF_1!C870,"")</f>
        <v>#REF!</v>
      </c>
      <c r="E867" s="222" t="e">
        <f>IF(C867&lt;&gt;"",dadosexternosBMF_1!D870,"")</f>
        <v>#REF!</v>
      </c>
      <c r="G867" s="219" t="e">
        <f t="shared" si="97"/>
        <v>#REF!</v>
      </c>
      <c r="H867" s="219" t="e">
        <f t="shared" si="98"/>
        <v>#REF!</v>
      </c>
      <c r="I867" s="219" t="e">
        <f t="shared" si="99"/>
        <v>#REF!</v>
      </c>
      <c r="J867" s="219" t="e">
        <f>IF(I867="","",VLOOKUP(LEFT(C867,1),dadosexternosBMF_1!$L$2:$M$13,2,FALSE))</f>
        <v>#REF!</v>
      </c>
      <c r="K867" s="219" t="e">
        <f t="shared" si="100"/>
        <v>#REF!</v>
      </c>
      <c r="L867" s="422" t="e">
        <f t="shared" si="101"/>
        <v>#REF!</v>
      </c>
      <c r="M867" s="422" t="e">
        <f>IF(I867="","",WORKDAY(L867-1,1,FERIADOS!$A$2:$A$831))</f>
        <v>#REF!</v>
      </c>
      <c r="N867" s="219" t="e">
        <f>IF(I867="","",NETWORKDAYS(Curva!$M$2,M867,FERIADOS!$A$2:$A$831)-1)</f>
        <v>#REF!</v>
      </c>
      <c r="O867" s="423" t="e">
        <f>IF(C867&lt;&gt;"",IF(ISERROR((100000/E867)^(252/N867)-1),Curva!$B$2,((100000/E867)^(252/N867)-1)),"")</f>
        <v>#REF!</v>
      </c>
      <c r="P867" s="219" t="e">
        <f>IF(OR(G867=1,G867=2),dadosexternosBMF_1!B870,"")</f>
        <v>#REF!</v>
      </c>
      <c r="Q867" s="219" t="e">
        <f>IF(OR(G867=1,G867=2),dadosexternosBMF_1!D870,"")</f>
        <v>#REF!</v>
      </c>
    </row>
    <row r="868" spans="1:17" x14ac:dyDescent="0.2">
      <c r="A868" s="222" t="e">
        <f t="shared" si="96"/>
        <v>#REF!</v>
      </c>
      <c r="B868" s="222" t="str">
        <f>IF(dadosexternosBMF_1!A871="DI1 - DI de 1 dia","DI1 - DI de 1 dia","")</f>
        <v/>
      </c>
      <c r="C868" s="222" t="e">
        <f>IF(dadosexternosBMF_1!A871="DOL - Dólar comercial","",IF(C867&lt;&gt;"",dadosexternosBMF_1!B871,IF(dadosexternosBMF_1!A871="DI1 - DI de 1 dia",dadosexternosBMF_1!B871,"")))</f>
        <v>#REF!</v>
      </c>
      <c r="D868" s="222" t="e">
        <f>IF(C868&lt;&gt;"",dadosexternosBMF_1!C871,"")</f>
        <v>#REF!</v>
      </c>
      <c r="E868" s="222" t="e">
        <f>IF(C868&lt;&gt;"",dadosexternosBMF_1!D871,"")</f>
        <v>#REF!</v>
      </c>
      <c r="G868" s="219" t="e">
        <f t="shared" si="97"/>
        <v>#REF!</v>
      </c>
      <c r="H868" s="219" t="e">
        <f t="shared" si="98"/>
        <v>#REF!</v>
      </c>
      <c r="I868" s="219" t="e">
        <f t="shared" si="99"/>
        <v>#REF!</v>
      </c>
      <c r="J868" s="219" t="e">
        <f>IF(I868="","",VLOOKUP(LEFT(C868,1),dadosexternosBMF_1!$L$2:$M$13,2,FALSE))</f>
        <v>#REF!</v>
      </c>
      <c r="K868" s="219" t="e">
        <f t="shared" si="100"/>
        <v>#REF!</v>
      </c>
      <c r="L868" s="422" t="e">
        <f t="shared" si="101"/>
        <v>#REF!</v>
      </c>
      <c r="M868" s="422" t="e">
        <f>IF(I868="","",WORKDAY(L868-1,1,FERIADOS!$A$2:$A$831))</f>
        <v>#REF!</v>
      </c>
      <c r="N868" s="219" t="e">
        <f>IF(I868="","",NETWORKDAYS(Curva!$M$2,M868,FERIADOS!$A$2:$A$831)-1)</f>
        <v>#REF!</v>
      </c>
      <c r="O868" s="423" t="e">
        <f>IF(C868&lt;&gt;"",IF(ISERROR((100000/E868)^(252/N868)-1),Curva!$B$2,((100000/E868)^(252/N868)-1)),"")</f>
        <v>#REF!</v>
      </c>
      <c r="P868" s="219" t="e">
        <f>IF(OR(G868=1,G868=2),dadosexternosBMF_1!B871,"")</f>
        <v>#REF!</v>
      </c>
      <c r="Q868" s="219" t="e">
        <f>IF(OR(G868=1,G868=2),dadosexternosBMF_1!D871,"")</f>
        <v>#REF!</v>
      </c>
    </row>
    <row r="869" spans="1:17" x14ac:dyDescent="0.2">
      <c r="A869" s="222" t="e">
        <f t="shared" si="96"/>
        <v>#REF!</v>
      </c>
      <c r="B869" s="222" t="str">
        <f>IF(dadosexternosBMF_1!A872="DI1 - DI de 1 dia","DI1 - DI de 1 dia","")</f>
        <v/>
      </c>
      <c r="C869" s="222" t="e">
        <f>IF(dadosexternosBMF_1!A872="DOL - Dólar comercial","",IF(C868&lt;&gt;"",dadosexternosBMF_1!B872,IF(dadosexternosBMF_1!A872="DI1 - DI de 1 dia",dadosexternosBMF_1!B872,"")))</f>
        <v>#REF!</v>
      </c>
      <c r="D869" s="222" t="e">
        <f>IF(C869&lt;&gt;"",dadosexternosBMF_1!C872,"")</f>
        <v>#REF!</v>
      </c>
      <c r="E869" s="222" t="e">
        <f>IF(C869&lt;&gt;"",dadosexternosBMF_1!D872,"")</f>
        <v>#REF!</v>
      </c>
      <c r="G869" s="219" t="e">
        <f t="shared" si="97"/>
        <v>#REF!</v>
      </c>
      <c r="H869" s="219" t="e">
        <f t="shared" si="98"/>
        <v>#REF!</v>
      </c>
      <c r="I869" s="219" t="e">
        <f t="shared" si="99"/>
        <v>#REF!</v>
      </c>
      <c r="J869" s="219" t="e">
        <f>IF(I869="","",VLOOKUP(LEFT(C869,1),dadosexternosBMF_1!$L$2:$M$13,2,FALSE))</f>
        <v>#REF!</v>
      </c>
      <c r="K869" s="219" t="e">
        <f t="shared" si="100"/>
        <v>#REF!</v>
      </c>
      <c r="L869" s="422" t="e">
        <f t="shared" si="101"/>
        <v>#REF!</v>
      </c>
      <c r="M869" s="422" t="e">
        <f>IF(I869="","",WORKDAY(L869-1,1,FERIADOS!$A$2:$A$831))</f>
        <v>#REF!</v>
      </c>
      <c r="N869" s="219" t="e">
        <f>IF(I869="","",NETWORKDAYS(Curva!$M$2,M869,FERIADOS!$A$2:$A$831)-1)</f>
        <v>#REF!</v>
      </c>
      <c r="O869" s="423" t="e">
        <f>IF(C869&lt;&gt;"",IF(ISERROR((100000/E869)^(252/N869)-1),Curva!$B$2,((100000/E869)^(252/N869)-1)),"")</f>
        <v>#REF!</v>
      </c>
      <c r="P869" s="219" t="e">
        <f>IF(OR(G869=1,G869=2),dadosexternosBMF_1!B872,"")</f>
        <v>#REF!</v>
      </c>
      <c r="Q869" s="219" t="e">
        <f>IF(OR(G869=1,G869=2),dadosexternosBMF_1!D872,"")</f>
        <v>#REF!</v>
      </c>
    </row>
    <row r="870" spans="1:17" x14ac:dyDescent="0.2">
      <c r="A870" s="222" t="e">
        <f t="shared" si="96"/>
        <v>#REF!</v>
      </c>
      <c r="B870" s="222" t="str">
        <f>IF(dadosexternosBMF_1!A873="DI1 - DI de 1 dia","DI1 - DI de 1 dia","")</f>
        <v/>
      </c>
      <c r="C870" s="222" t="e">
        <f>IF(dadosexternosBMF_1!A873="DOL - Dólar comercial","",IF(C869&lt;&gt;"",dadosexternosBMF_1!B873,IF(dadosexternosBMF_1!A873="DI1 - DI de 1 dia",dadosexternosBMF_1!B873,"")))</f>
        <v>#REF!</v>
      </c>
      <c r="D870" s="222" t="e">
        <f>IF(C870&lt;&gt;"",dadosexternosBMF_1!C873,"")</f>
        <v>#REF!</v>
      </c>
      <c r="E870" s="222" t="e">
        <f>IF(C870&lt;&gt;"",dadosexternosBMF_1!D873,"")</f>
        <v>#REF!</v>
      </c>
      <c r="G870" s="219" t="e">
        <f t="shared" si="97"/>
        <v>#REF!</v>
      </c>
      <c r="H870" s="219" t="e">
        <f t="shared" si="98"/>
        <v>#REF!</v>
      </c>
      <c r="I870" s="219" t="e">
        <f t="shared" si="99"/>
        <v>#REF!</v>
      </c>
      <c r="J870" s="219" t="e">
        <f>IF(I870="","",VLOOKUP(LEFT(C870,1),dadosexternosBMF_1!$L$2:$M$13,2,FALSE))</f>
        <v>#REF!</v>
      </c>
      <c r="K870" s="219" t="e">
        <f t="shared" si="100"/>
        <v>#REF!</v>
      </c>
      <c r="L870" s="422" t="e">
        <f t="shared" si="101"/>
        <v>#REF!</v>
      </c>
      <c r="M870" s="422" t="e">
        <f>IF(I870="","",WORKDAY(L870-1,1,FERIADOS!$A$2:$A$831))</f>
        <v>#REF!</v>
      </c>
      <c r="N870" s="219" t="e">
        <f>IF(I870="","",NETWORKDAYS(Curva!$M$2,M870,FERIADOS!$A$2:$A$831)-1)</f>
        <v>#REF!</v>
      </c>
      <c r="O870" s="423" t="e">
        <f>IF(C870&lt;&gt;"",IF(ISERROR((100000/E870)^(252/N870)-1),Curva!$B$2,((100000/E870)^(252/N870)-1)),"")</f>
        <v>#REF!</v>
      </c>
      <c r="P870" s="219" t="e">
        <f>IF(OR(G870=1,G870=2),dadosexternosBMF_1!B873,"")</f>
        <v>#REF!</v>
      </c>
      <c r="Q870" s="219" t="e">
        <f>IF(OR(G870=1,G870=2),dadosexternosBMF_1!D873,"")</f>
        <v>#REF!</v>
      </c>
    </row>
    <row r="871" spans="1:17" x14ac:dyDescent="0.2">
      <c r="A871" s="222" t="e">
        <f t="shared" si="96"/>
        <v>#REF!</v>
      </c>
      <c r="B871" s="222" t="str">
        <f>IF(dadosexternosBMF_1!A874="DI1 - DI de 1 dia","DI1 - DI de 1 dia","")</f>
        <v/>
      </c>
      <c r="C871" s="222" t="e">
        <f>IF(dadosexternosBMF_1!A874="DOL - Dólar comercial","",IF(C870&lt;&gt;"",dadosexternosBMF_1!B874,IF(dadosexternosBMF_1!A874="DI1 - DI de 1 dia",dadosexternosBMF_1!B874,"")))</f>
        <v>#REF!</v>
      </c>
      <c r="D871" s="222" t="e">
        <f>IF(C871&lt;&gt;"",dadosexternosBMF_1!C874,"")</f>
        <v>#REF!</v>
      </c>
      <c r="E871" s="222" t="e">
        <f>IF(C871&lt;&gt;"",dadosexternosBMF_1!D874,"")</f>
        <v>#REF!</v>
      </c>
      <c r="G871" s="219" t="e">
        <f t="shared" si="97"/>
        <v>#REF!</v>
      </c>
      <c r="H871" s="219" t="e">
        <f t="shared" si="98"/>
        <v>#REF!</v>
      </c>
      <c r="I871" s="219" t="e">
        <f t="shared" si="99"/>
        <v>#REF!</v>
      </c>
      <c r="J871" s="219" t="e">
        <f>IF(I871="","",VLOOKUP(LEFT(C871,1),dadosexternosBMF_1!$L$2:$M$13,2,FALSE))</f>
        <v>#REF!</v>
      </c>
      <c r="K871" s="219" t="e">
        <f t="shared" si="100"/>
        <v>#REF!</v>
      </c>
      <c r="L871" s="422" t="e">
        <f t="shared" si="101"/>
        <v>#REF!</v>
      </c>
      <c r="M871" s="422" t="e">
        <f>IF(I871="","",WORKDAY(L871-1,1,FERIADOS!$A$2:$A$831))</f>
        <v>#REF!</v>
      </c>
      <c r="N871" s="219" t="e">
        <f>IF(I871="","",NETWORKDAYS(Curva!$M$2,M871,FERIADOS!$A$2:$A$831)-1)</f>
        <v>#REF!</v>
      </c>
      <c r="O871" s="423" t="e">
        <f>IF(C871&lt;&gt;"",IF(ISERROR((100000/E871)^(252/N871)-1),Curva!$B$2,((100000/E871)^(252/N871)-1)),"")</f>
        <v>#REF!</v>
      </c>
      <c r="P871" s="219" t="e">
        <f>IF(OR(G871=1,G871=2),dadosexternosBMF_1!B874,"")</f>
        <v>#REF!</v>
      </c>
      <c r="Q871" s="219" t="e">
        <f>IF(OR(G871=1,G871=2),dadosexternosBMF_1!D874,"")</f>
        <v>#REF!</v>
      </c>
    </row>
    <row r="872" spans="1:17" x14ac:dyDescent="0.2">
      <c r="A872" s="222" t="e">
        <f t="shared" si="96"/>
        <v>#REF!</v>
      </c>
      <c r="B872" s="222" t="str">
        <f>IF(dadosexternosBMF_1!A875="DI1 - DI de 1 dia","DI1 - DI de 1 dia","")</f>
        <v/>
      </c>
      <c r="C872" s="222" t="e">
        <f>IF(dadosexternosBMF_1!A875="DOL - Dólar comercial","",IF(C871&lt;&gt;"",dadosexternosBMF_1!B875,IF(dadosexternosBMF_1!A875="DI1 - DI de 1 dia",dadosexternosBMF_1!B875,"")))</f>
        <v>#REF!</v>
      </c>
      <c r="D872" s="222" t="e">
        <f>IF(C872&lt;&gt;"",dadosexternosBMF_1!C875,"")</f>
        <v>#REF!</v>
      </c>
      <c r="E872" s="222" t="e">
        <f>IF(C872&lt;&gt;"",dadosexternosBMF_1!D875,"")</f>
        <v>#REF!</v>
      </c>
      <c r="G872" s="219" t="e">
        <f t="shared" si="97"/>
        <v>#REF!</v>
      </c>
      <c r="H872" s="219" t="e">
        <f t="shared" si="98"/>
        <v>#REF!</v>
      </c>
      <c r="I872" s="219" t="e">
        <f t="shared" si="99"/>
        <v>#REF!</v>
      </c>
      <c r="J872" s="219" t="e">
        <f>IF(I872="","",VLOOKUP(LEFT(C872,1),dadosexternosBMF_1!$L$2:$M$13,2,FALSE))</f>
        <v>#REF!</v>
      </c>
      <c r="K872" s="219" t="e">
        <f t="shared" si="100"/>
        <v>#REF!</v>
      </c>
      <c r="L872" s="422" t="e">
        <f t="shared" si="101"/>
        <v>#REF!</v>
      </c>
      <c r="M872" s="422" t="e">
        <f>IF(I872="","",WORKDAY(L872-1,1,FERIADOS!$A$2:$A$831))</f>
        <v>#REF!</v>
      </c>
      <c r="N872" s="219" t="e">
        <f>IF(I872="","",NETWORKDAYS(Curva!$M$2,M872,FERIADOS!$A$2:$A$831)-1)</f>
        <v>#REF!</v>
      </c>
      <c r="O872" s="423" t="e">
        <f>IF(C872&lt;&gt;"",IF(ISERROR((100000/E872)^(252/N872)-1),Curva!$B$2,((100000/E872)^(252/N872)-1)),"")</f>
        <v>#REF!</v>
      </c>
      <c r="P872" s="219" t="e">
        <f>IF(OR(G872=1,G872=2),dadosexternosBMF_1!B875,"")</f>
        <v>#REF!</v>
      </c>
      <c r="Q872" s="219" t="e">
        <f>IF(OR(G872=1,G872=2),dadosexternosBMF_1!D875,"")</f>
        <v>#REF!</v>
      </c>
    </row>
    <row r="873" spans="1:17" x14ac:dyDescent="0.2">
      <c r="A873" s="222" t="e">
        <f t="shared" si="96"/>
        <v>#REF!</v>
      </c>
      <c r="B873" s="222" t="str">
        <f>IF(dadosexternosBMF_1!A876="DI1 - DI de 1 dia","DI1 - DI de 1 dia","")</f>
        <v/>
      </c>
      <c r="C873" s="222" t="e">
        <f>IF(dadosexternosBMF_1!A876="DOL - Dólar comercial","",IF(C872&lt;&gt;"",dadosexternosBMF_1!B876,IF(dadosexternosBMF_1!A876="DI1 - DI de 1 dia",dadosexternosBMF_1!B876,"")))</f>
        <v>#REF!</v>
      </c>
      <c r="D873" s="222" t="e">
        <f>IF(C873&lt;&gt;"",dadosexternosBMF_1!C876,"")</f>
        <v>#REF!</v>
      </c>
      <c r="E873" s="222" t="e">
        <f>IF(C873&lt;&gt;"",dadosexternosBMF_1!D876,"")</f>
        <v>#REF!</v>
      </c>
      <c r="G873" s="219" t="e">
        <f t="shared" si="97"/>
        <v>#REF!</v>
      </c>
      <c r="H873" s="219" t="e">
        <f t="shared" si="98"/>
        <v>#REF!</v>
      </c>
      <c r="I873" s="219" t="e">
        <f t="shared" si="99"/>
        <v>#REF!</v>
      </c>
      <c r="J873" s="219" t="e">
        <f>IF(I873="","",VLOOKUP(LEFT(C873,1),dadosexternosBMF_1!$L$2:$M$13,2,FALSE))</f>
        <v>#REF!</v>
      </c>
      <c r="K873" s="219" t="e">
        <f t="shared" si="100"/>
        <v>#REF!</v>
      </c>
      <c r="L873" s="422" t="e">
        <f t="shared" si="101"/>
        <v>#REF!</v>
      </c>
      <c r="M873" s="422" t="e">
        <f>IF(I873="","",WORKDAY(L873-1,1,FERIADOS!$A$2:$A$831))</f>
        <v>#REF!</v>
      </c>
      <c r="N873" s="219" t="e">
        <f>IF(I873="","",NETWORKDAYS(Curva!$M$2,M873,FERIADOS!$A$2:$A$831)-1)</f>
        <v>#REF!</v>
      </c>
      <c r="O873" s="423" t="e">
        <f>IF(C873&lt;&gt;"",IF(ISERROR((100000/E873)^(252/N873)-1),Curva!$B$2,((100000/E873)^(252/N873)-1)),"")</f>
        <v>#REF!</v>
      </c>
      <c r="P873" s="219" t="e">
        <f>IF(OR(G873=1,G873=2),dadosexternosBMF_1!B876,"")</f>
        <v>#REF!</v>
      </c>
      <c r="Q873" s="219" t="e">
        <f>IF(OR(G873=1,G873=2),dadosexternosBMF_1!D876,"")</f>
        <v>#REF!</v>
      </c>
    </row>
    <row r="874" spans="1:17" x14ac:dyDescent="0.2">
      <c r="A874" s="222" t="e">
        <f t="shared" si="96"/>
        <v>#REF!</v>
      </c>
      <c r="B874" s="222" t="str">
        <f>IF(dadosexternosBMF_1!A877="DI1 - DI de 1 dia","DI1 - DI de 1 dia","")</f>
        <v/>
      </c>
      <c r="C874" s="222" t="e">
        <f>IF(dadosexternosBMF_1!A877="DOL - Dólar comercial","",IF(C873&lt;&gt;"",dadosexternosBMF_1!B877,IF(dadosexternosBMF_1!A877="DI1 - DI de 1 dia",dadosexternosBMF_1!B877,"")))</f>
        <v>#REF!</v>
      </c>
      <c r="D874" s="222" t="e">
        <f>IF(C874&lt;&gt;"",dadosexternosBMF_1!C877,"")</f>
        <v>#REF!</v>
      </c>
      <c r="E874" s="222" t="e">
        <f>IF(C874&lt;&gt;"",dadosexternosBMF_1!D877,"")</f>
        <v>#REF!</v>
      </c>
      <c r="G874" s="219" t="e">
        <f t="shared" si="97"/>
        <v>#REF!</v>
      </c>
      <c r="H874" s="219" t="e">
        <f t="shared" si="98"/>
        <v>#REF!</v>
      </c>
      <c r="I874" s="219" t="e">
        <f t="shared" si="99"/>
        <v>#REF!</v>
      </c>
      <c r="J874" s="219" t="e">
        <f>IF(I874="","",VLOOKUP(LEFT(C874,1),dadosexternosBMF_1!$L$2:$M$13,2,FALSE))</f>
        <v>#REF!</v>
      </c>
      <c r="K874" s="219" t="e">
        <f t="shared" si="100"/>
        <v>#REF!</v>
      </c>
      <c r="L874" s="422" t="e">
        <f t="shared" si="101"/>
        <v>#REF!</v>
      </c>
      <c r="M874" s="422" t="e">
        <f>IF(I874="","",WORKDAY(L874-1,1,FERIADOS!$A$2:$A$831))</f>
        <v>#REF!</v>
      </c>
      <c r="N874" s="219" t="e">
        <f>IF(I874="","",NETWORKDAYS(Curva!$M$2,M874,FERIADOS!$A$2:$A$831)-1)</f>
        <v>#REF!</v>
      </c>
      <c r="O874" s="423" t="e">
        <f>IF(C874&lt;&gt;"",IF(ISERROR((100000/E874)^(252/N874)-1),Curva!$B$2,((100000/E874)^(252/N874)-1)),"")</f>
        <v>#REF!</v>
      </c>
      <c r="P874" s="219" t="e">
        <f>IF(OR(G874=1,G874=2),dadosexternosBMF_1!B877,"")</f>
        <v>#REF!</v>
      </c>
      <c r="Q874" s="219" t="e">
        <f>IF(OR(G874=1,G874=2),dadosexternosBMF_1!D877,"")</f>
        <v>#REF!</v>
      </c>
    </row>
    <row r="875" spans="1:17" x14ac:dyDescent="0.2">
      <c r="A875" s="222" t="e">
        <f t="shared" si="96"/>
        <v>#REF!</v>
      </c>
      <c r="B875" s="222" t="str">
        <f>IF(dadosexternosBMF_1!A878="DI1 - DI de 1 dia","DI1 - DI de 1 dia","")</f>
        <v/>
      </c>
      <c r="C875" s="222" t="e">
        <f>IF(dadosexternosBMF_1!A878="DOL - Dólar comercial","",IF(C874&lt;&gt;"",dadosexternosBMF_1!B878,IF(dadosexternosBMF_1!A878="DI1 - DI de 1 dia",dadosexternosBMF_1!B878,"")))</f>
        <v>#REF!</v>
      </c>
      <c r="D875" s="222" t="e">
        <f>IF(C875&lt;&gt;"",dadosexternosBMF_1!C878,"")</f>
        <v>#REF!</v>
      </c>
      <c r="E875" s="222" t="e">
        <f>IF(C875&lt;&gt;"",dadosexternosBMF_1!D878,"")</f>
        <v>#REF!</v>
      </c>
      <c r="G875" s="219" t="e">
        <f t="shared" si="97"/>
        <v>#REF!</v>
      </c>
      <c r="H875" s="219" t="e">
        <f t="shared" si="98"/>
        <v>#REF!</v>
      </c>
      <c r="I875" s="219" t="e">
        <f t="shared" si="99"/>
        <v>#REF!</v>
      </c>
      <c r="J875" s="219" t="e">
        <f>IF(I875="","",VLOOKUP(LEFT(C875,1),dadosexternosBMF_1!$L$2:$M$13,2,FALSE))</f>
        <v>#REF!</v>
      </c>
      <c r="K875" s="219" t="e">
        <f t="shared" si="100"/>
        <v>#REF!</v>
      </c>
      <c r="L875" s="422" t="e">
        <f t="shared" si="101"/>
        <v>#REF!</v>
      </c>
      <c r="M875" s="422" t="e">
        <f>IF(I875="","",WORKDAY(L875-1,1,FERIADOS!$A$2:$A$831))</f>
        <v>#REF!</v>
      </c>
      <c r="N875" s="219" t="e">
        <f>IF(I875="","",NETWORKDAYS(Curva!$M$2,M875,FERIADOS!$A$2:$A$831)-1)</f>
        <v>#REF!</v>
      </c>
      <c r="O875" s="423" t="e">
        <f>IF(C875&lt;&gt;"",IF(ISERROR((100000/E875)^(252/N875)-1),Curva!$B$2,((100000/E875)^(252/N875)-1)),"")</f>
        <v>#REF!</v>
      </c>
      <c r="P875" s="219" t="e">
        <f>IF(OR(G875=1,G875=2),dadosexternosBMF_1!B878,"")</f>
        <v>#REF!</v>
      </c>
      <c r="Q875" s="219" t="e">
        <f>IF(OR(G875=1,G875=2),dadosexternosBMF_1!D878,"")</f>
        <v>#REF!</v>
      </c>
    </row>
    <row r="876" spans="1:17" x14ac:dyDescent="0.2">
      <c r="A876" s="222" t="e">
        <f t="shared" si="96"/>
        <v>#REF!</v>
      </c>
      <c r="B876" s="222" t="str">
        <f>IF(dadosexternosBMF_1!A879="DI1 - DI de 1 dia","DI1 - DI de 1 dia","")</f>
        <v/>
      </c>
      <c r="C876" s="222" t="e">
        <f>IF(dadosexternosBMF_1!A879="DOL - Dólar comercial","",IF(C875&lt;&gt;"",dadosexternosBMF_1!B879,IF(dadosexternosBMF_1!A879="DI1 - DI de 1 dia",dadosexternosBMF_1!B879,"")))</f>
        <v>#REF!</v>
      </c>
      <c r="D876" s="222" t="e">
        <f>IF(C876&lt;&gt;"",dadosexternosBMF_1!C879,"")</f>
        <v>#REF!</v>
      </c>
      <c r="E876" s="222" t="e">
        <f>IF(C876&lt;&gt;"",dadosexternosBMF_1!D879,"")</f>
        <v>#REF!</v>
      </c>
      <c r="G876" s="219" t="e">
        <f t="shared" si="97"/>
        <v>#REF!</v>
      </c>
      <c r="H876" s="219" t="e">
        <f t="shared" si="98"/>
        <v>#REF!</v>
      </c>
      <c r="I876" s="219" t="e">
        <f t="shared" si="99"/>
        <v>#REF!</v>
      </c>
      <c r="J876" s="219" t="e">
        <f>IF(I876="","",VLOOKUP(LEFT(C876,1),dadosexternosBMF_1!$L$2:$M$13,2,FALSE))</f>
        <v>#REF!</v>
      </c>
      <c r="K876" s="219" t="e">
        <f t="shared" si="100"/>
        <v>#REF!</v>
      </c>
      <c r="L876" s="422" t="e">
        <f t="shared" si="101"/>
        <v>#REF!</v>
      </c>
      <c r="M876" s="422" t="e">
        <f>IF(I876="","",WORKDAY(L876-1,1,FERIADOS!$A$2:$A$831))</f>
        <v>#REF!</v>
      </c>
      <c r="N876" s="219" t="e">
        <f>IF(I876="","",NETWORKDAYS(Curva!$M$2,M876,FERIADOS!$A$2:$A$831)-1)</f>
        <v>#REF!</v>
      </c>
      <c r="O876" s="423" t="e">
        <f>IF(C876&lt;&gt;"",IF(ISERROR((100000/E876)^(252/N876)-1),Curva!$B$2,((100000/E876)^(252/N876)-1)),"")</f>
        <v>#REF!</v>
      </c>
      <c r="P876" s="219" t="e">
        <f>IF(OR(G876=1,G876=2),dadosexternosBMF_1!B879,"")</f>
        <v>#REF!</v>
      </c>
      <c r="Q876" s="219" t="e">
        <f>IF(OR(G876=1,G876=2),dadosexternosBMF_1!D879,"")</f>
        <v>#REF!</v>
      </c>
    </row>
    <row r="877" spans="1:17" x14ac:dyDescent="0.2">
      <c r="A877" s="222" t="e">
        <f t="shared" si="96"/>
        <v>#REF!</v>
      </c>
      <c r="B877" s="222" t="str">
        <f>IF(dadosexternosBMF_1!A880="DI1 - DI de 1 dia","DI1 - DI de 1 dia","")</f>
        <v/>
      </c>
      <c r="C877" s="222" t="e">
        <f>IF(dadosexternosBMF_1!A880="DOL - Dólar comercial","",IF(C876&lt;&gt;"",dadosexternosBMF_1!B880,IF(dadosexternosBMF_1!A880="DI1 - DI de 1 dia",dadosexternosBMF_1!B880,"")))</f>
        <v>#REF!</v>
      </c>
      <c r="D877" s="222" t="e">
        <f>IF(C877&lt;&gt;"",dadosexternosBMF_1!C880,"")</f>
        <v>#REF!</v>
      </c>
      <c r="E877" s="222" t="e">
        <f>IF(C877&lt;&gt;"",dadosexternosBMF_1!D880,"")</f>
        <v>#REF!</v>
      </c>
      <c r="G877" s="219" t="e">
        <f t="shared" si="97"/>
        <v>#REF!</v>
      </c>
      <c r="H877" s="219" t="e">
        <f t="shared" si="98"/>
        <v>#REF!</v>
      </c>
      <c r="I877" s="219" t="e">
        <f t="shared" si="99"/>
        <v>#REF!</v>
      </c>
      <c r="J877" s="219" t="e">
        <f>IF(I877="","",VLOOKUP(LEFT(C877,1),dadosexternosBMF_1!$L$2:$M$13,2,FALSE))</f>
        <v>#REF!</v>
      </c>
      <c r="K877" s="219" t="e">
        <f t="shared" si="100"/>
        <v>#REF!</v>
      </c>
      <c r="L877" s="422" t="e">
        <f t="shared" si="101"/>
        <v>#REF!</v>
      </c>
      <c r="M877" s="422" t="e">
        <f>IF(I877="","",WORKDAY(L877-1,1,FERIADOS!$A$2:$A$831))</f>
        <v>#REF!</v>
      </c>
      <c r="N877" s="219" t="e">
        <f>IF(I877="","",NETWORKDAYS(Curva!$M$2,M877,FERIADOS!$A$2:$A$831)-1)</f>
        <v>#REF!</v>
      </c>
      <c r="O877" s="423" t="e">
        <f>IF(C877&lt;&gt;"",IF(ISERROR((100000/E877)^(252/N877)-1),Curva!$B$2,((100000/E877)^(252/N877)-1)),"")</f>
        <v>#REF!</v>
      </c>
      <c r="P877" s="219" t="e">
        <f>IF(OR(G877=1,G877=2),dadosexternosBMF_1!B880,"")</f>
        <v>#REF!</v>
      </c>
      <c r="Q877" s="219" t="e">
        <f>IF(OR(G877=1,G877=2),dadosexternosBMF_1!D880,"")</f>
        <v>#REF!</v>
      </c>
    </row>
    <row r="878" spans="1:17" x14ac:dyDescent="0.2">
      <c r="A878" s="222" t="e">
        <f t="shared" si="96"/>
        <v>#REF!</v>
      </c>
      <c r="B878" s="222" t="str">
        <f>IF(dadosexternosBMF_1!A881="DI1 - DI de 1 dia","DI1 - DI de 1 dia","")</f>
        <v/>
      </c>
      <c r="C878" s="222" t="e">
        <f>IF(dadosexternosBMF_1!A881="DOL - Dólar comercial","",IF(C877&lt;&gt;"",dadosexternosBMF_1!B881,IF(dadosexternosBMF_1!A881="DI1 - DI de 1 dia",dadosexternosBMF_1!B881,"")))</f>
        <v>#REF!</v>
      </c>
      <c r="D878" s="222" t="e">
        <f>IF(C878&lt;&gt;"",dadosexternosBMF_1!C881,"")</f>
        <v>#REF!</v>
      </c>
      <c r="E878" s="222" t="e">
        <f>IF(C878&lt;&gt;"",dadosexternosBMF_1!D881,"")</f>
        <v>#REF!</v>
      </c>
      <c r="G878" s="219" t="e">
        <f t="shared" si="97"/>
        <v>#REF!</v>
      </c>
      <c r="H878" s="219" t="e">
        <f t="shared" si="98"/>
        <v>#REF!</v>
      </c>
      <c r="I878" s="219" t="e">
        <f t="shared" si="99"/>
        <v>#REF!</v>
      </c>
      <c r="J878" s="219" t="e">
        <f>IF(I878="","",VLOOKUP(LEFT(C878,1),dadosexternosBMF_1!$L$2:$M$13,2,FALSE))</f>
        <v>#REF!</v>
      </c>
      <c r="K878" s="219" t="e">
        <f t="shared" si="100"/>
        <v>#REF!</v>
      </c>
      <c r="L878" s="422" t="e">
        <f t="shared" si="101"/>
        <v>#REF!</v>
      </c>
      <c r="M878" s="422" t="e">
        <f>IF(I878="","",WORKDAY(L878-1,1,FERIADOS!$A$2:$A$831))</f>
        <v>#REF!</v>
      </c>
      <c r="N878" s="219" t="e">
        <f>IF(I878="","",NETWORKDAYS(Curva!$M$2,M878,FERIADOS!$A$2:$A$831)-1)</f>
        <v>#REF!</v>
      </c>
      <c r="O878" s="423" t="e">
        <f>IF(C878&lt;&gt;"",IF(ISERROR((100000/E878)^(252/N878)-1),Curva!$B$2,((100000/E878)^(252/N878)-1)),"")</f>
        <v>#REF!</v>
      </c>
      <c r="P878" s="219" t="e">
        <f>IF(OR(G878=1,G878=2),dadosexternosBMF_1!B881,"")</f>
        <v>#REF!</v>
      </c>
      <c r="Q878" s="219" t="e">
        <f>IF(OR(G878=1,G878=2),dadosexternosBMF_1!D881,"")</f>
        <v>#REF!</v>
      </c>
    </row>
    <row r="879" spans="1:17" x14ac:dyDescent="0.2">
      <c r="A879" s="222" t="e">
        <f t="shared" si="96"/>
        <v>#REF!</v>
      </c>
      <c r="B879" s="222" t="str">
        <f>IF(dadosexternosBMF_1!A882="DI1 - DI de 1 dia","DI1 - DI de 1 dia","")</f>
        <v/>
      </c>
      <c r="C879" s="222" t="e">
        <f>IF(dadosexternosBMF_1!A882="DOL - Dólar comercial","",IF(C878&lt;&gt;"",dadosexternosBMF_1!B882,IF(dadosexternosBMF_1!A882="DI1 - DI de 1 dia",dadosexternosBMF_1!B882,"")))</f>
        <v>#REF!</v>
      </c>
      <c r="D879" s="222" t="e">
        <f>IF(C879&lt;&gt;"",dadosexternosBMF_1!C882,"")</f>
        <v>#REF!</v>
      </c>
      <c r="E879" s="222" t="e">
        <f>IF(C879&lt;&gt;"",dadosexternosBMF_1!D882,"")</f>
        <v>#REF!</v>
      </c>
      <c r="G879" s="219" t="e">
        <f t="shared" si="97"/>
        <v>#REF!</v>
      </c>
      <c r="H879" s="219" t="e">
        <f t="shared" si="98"/>
        <v>#REF!</v>
      </c>
      <c r="I879" s="219" t="e">
        <f t="shared" si="99"/>
        <v>#REF!</v>
      </c>
      <c r="J879" s="219" t="e">
        <f>IF(I879="","",VLOOKUP(LEFT(C879,1),dadosexternosBMF_1!$L$2:$M$13,2,FALSE))</f>
        <v>#REF!</v>
      </c>
      <c r="K879" s="219" t="e">
        <f t="shared" si="100"/>
        <v>#REF!</v>
      </c>
      <c r="L879" s="422" t="e">
        <f t="shared" si="101"/>
        <v>#REF!</v>
      </c>
      <c r="M879" s="422" t="e">
        <f>IF(I879="","",WORKDAY(L879-1,1,FERIADOS!$A$2:$A$831))</f>
        <v>#REF!</v>
      </c>
      <c r="N879" s="219" t="e">
        <f>IF(I879="","",NETWORKDAYS(Curva!$M$2,M879,FERIADOS!$A$2:$A$831)-1)</f>
        <v>#REF!</v>
      </c>
      <c r="O879" s="423" t="e">
        <f>IF(C879&lt;&gt;"",IF(ISERROR((100000/E879)^(252/N879)-1),Curva!$B$2,((100000/E879)^(252/N879)-1)),"")</f>
        <v>#REF!</v>
      </c>
      <c r="P879" s="219" t="e">
        <f>IF(OR(G879=1,G879=2),dadosexternosBMF_1!B882,"")</f>
        <v>#REF!</v>
      </c>
      <c r="Q879" s="219" t="e">
        <f>IF(OR(G879=1,G879=2),dadosexternosBMF_1!D882,"")</f>
        <v>#REF!</v>
      </c>
    </row>
    <row r="880" spans="1:17" x14ac:dyDescent="0.2">
      <c r="A880" s="222" t="e">
        <f t="shared" si="96"/>
        <v>#REF!</v>
      </c>
      <c r="B880" s="222" t="str">
        <f>IF(dadosexternosBMF_1!A883="DI1 - DI de 1 dia","DI1 - DI de 1 dia","")</f>
        <v/>
      </c>
      <c r="C880" s="222" t="e">
        <f>IF(dadosexternosBMF_1!A883="DOL - Dólar comercial","",IF(C879&lt;&gt;"",dadosexternosBMF_1!B883,IF(dadosexternosBMF_1!A883="DI1 - DI de 1 dia",dadosexternosBMF_1!B883,"")))</f>
        <v>#REF!</v>
      </c>
      <c r="D880" s="222" t="e">
        <f>IF(C880&lt;&gt;"",dadosexternosBMF_1!C883,"")</f>
        <v>#REF!</v>
      </c>
      <c r="E880" s="222" t="e">
        <f>IF(C880&lt;&gt;"",dadosexternosBMF_1!D883,"")</f>
        <v>#REF!</v>
      </c>
      <c r="G880" s="219" t="e">
        <f t="shared" si="97"/>
        <v>#REF!</v>
      </c>
      <c r="H880" s="219" t="e">
        <f t="shared" si="98"/>
        <v>#REF!</v>
      </c>
      <c r="I880" s="219" t="e">
        <f t="shared" si="99"/>
        <v>#REF!</v>
      </c>
      <c r="J880" s="219" t="e">
        <f>IF(I880="","",VLOOKUP(LEFT(C880,1),dadosexternosBMF_1!$L$2:$M$13,2,FALSE))</f>
        <v>#REF!</v>
      </c>
      <c r="K880" s="219" t="e">
        <f t="shared" si="100"/>
        <v>#REF!</v>
      </c>
      <c r="L880" s="422" t="e">
        <f t="shared" si="101"/>
        <v>#REF!</v>
      </c>
      <c r="M880" s="422" t="e">
        <f>IF(I880="","",WORKDAY(L880-1,1,FERIADOS!$A$2:$A$831))</f>
        <v>#REF!</v>
      </c>
      <c r="N880" s="219" t="e">
        <f>IF(I880="","",NETWORKDAYS(Curva!$M$2,M880,FERIADOS!$A$2:$A$831)-1)</f>
        <v>#REF!</v>
      </c>
      <c r="O880" s="423" t="e">
        <f>IF(C880&lt;&gt;"",IF(ISERROR((100000/E880)^(252/N880)-1),Curva!$B$2,((100000/E880)^(252/N880)-1)),"")</f>
        <v>#REF!</v>
      </c>
      <c r="P880" s="219" t="e">
        <f>IF(OR(G880=1,G880=2),dadosexternosBMF_1!B883,"")</f>
        <v>#REF!</v>
      </c>
      <c r="Q880" s="219" t="e">
        <f>IF(OR(G880=1,G880=2),dadosexternosBMF_1!D883,"")</f>
        <v>#REF!</v>
      </c>
    </row>
    <row r="881" spans="1:17" x14ac:dyDescent="0.2">
      <c r="A881" s="222" t="e">
        <f t="shared" si="96"/>
        <v>#REF!</v>
      </c>
      <c r="B881" s="222" t="str">
        <f>IF(dadosexternosBMF_1!A884="DI1 - DI de 1 dia","DI1 - DI de 1 dia","")</f>
        <v/>
      </c>
      <c r="C881" s="222" t="e">
        <f>IF(dadosexternosBMF_1!A884="DOL - Dólar comercial","",IF(C880&lt;&gt;"",dadosexternosBMF_1!B884,IF(dadosexternosBMF_1!A884="DI1 - DI de 1 dia",dadosexternosBMF_1!B884,"")))</f>
        <v>#REF!</v>
      </c>
      <c r="D881" s="222" t="e">
        <f>IF(C881&lt;&gt;"",dadosexternosBMF_1!C884,"")</f>
        <v>#REF!</v>
      </c>
      <c r="E881" s="222" t="e">
        <f>IF(C881&lt;&gt;"",dadosexternosBMF_1!D884,"")</f>
        <v>#REF!</v>
      </c>
      <c r="G881" s="219" t="e">
        <f t="shared" si="97"/>
        <v>#REF!</v>
      </c>
      <c r="H881" s="219" t="e">
        <f t="shared" si="98"/>
        <v>#REF!</v>
      </c>
      <c r="I881" s="219" t="e">
        <f t="shared" si="99"/>
        <v>#REF!</v>
      </c>
      <c r="J881" s="219" t="e">
        <f>IF(I881="","",VLOOKUP(LEFT(C881,1),dadosexternosBMF_1!$L$2:$M$13,2,FALSE))</f>
        <v>#REF!</v>
      </c>
      <c r="K881" s="219" t="e">
        <f t="shared" si="100"/>
        <v>#REF!</v>
      </c>
      <c r="L881" s="422" t="e">
        <f t="shared" si="101"/>
        <v>#REF!</v>
      </c>
      <c r="M881" s="422" t="e">
        <f>IF(I881="","",WORKDAY(L881-1,1,FERIADOS!$A$2:$A$831))</f>
        <v>#REF!</v>
      </c>
      <c r="N881" s="219" t="e">
        <f>IF(I881="","",NETWORKDAYS(Curva!$M$2,M881,FERIADOS!$A$2:$A$831)-1)</f>
        <v>#REF!</v>
      </c>
      <c r="O881" s="423" t="e">
        <f>IF(C881&lt;&gt;"",IF(ISERROR((100000/E881)^(252/N881)-1),Curva!$B$2,((100000/E881)^(252/N881)-1)),"")</f>
        <v>#REF!</v>
      </c>
      <c r="P881" s="219" t="e">
        <f>IF(OR(G881=1,G881=2),dadosexternosBMF_1!B884,"")</f>
        <v>#REF!</v>
      </c>
      <c r="Q881" s="219" t="e">
        <f>IF(OR(G881=1,G881=2),dadosexternosBMF_1!D884,"")</f>
        <v>#REF!</v>
      </c>
    </row>
    <row r="882" spans="1:17" x14ac:dyDescent="0.2">
      <c r="A882" s="222" t="e">
        <f t="shared" si="96"/>
        <v>#REF!</v>
      </c>
      <c r="B882" s="222" t="str">
        <f>IF(dadosexternosBMF_1!A885="DI1 - DI de 1 dia","DI1 - DI de 1 dia","")</f>
        <v/>
      </c>
      <c r="C882" s="222" t="e">
        <f>IF(dadosexternosBMF_1!A885="DOL - Dólar comercial","",IF(C881&lt;&gt;"",dadosexternosBMF_1!B885,IF(dadosexternosBMF_1!A885="DI1 - DI de 1 dia",dadosexternosBMF_1!B885,"")))</f>
        <v>#REF!</v>
      </c>
      <c r="D882" s="222" t="e">
        <f>IF(C882&lt;&gt;"",dadosexternosBMF_1!C885,"")</f>
        <v>#REF!</v>
      </c>
      <c r="E882" s="222" t="e">
        <f>IF(C882&lt;&gt;"",dadosexternosBMF_1!D885,"")</f>
        <v>#REF!</v>
      </c>
      <c r="G882" s="219" t="e">
        <f t="shared" si="97"/>
        <v>#REF!</v>
      </c>
      <c r="H882" s="219" t="e">
        <f t="shared" si="98"/>
        <v>#REF!</v>
      </c>
      <c r="I882" s="219" t="e">
        <f t="shared" si="99"/>
        <v>#REF!</v>
      </c>
      <c r="J882" s="219" t="e">
        <f>IF(I882="","",VLOOKUP(LEFT(C882,1),dadosexternosBMF_1!$L$2:$M$13,2,FALSE))</f>
        <v>#REF!</v>
      </c>
      <c r="K882" s="219" t="e">
        <f t="shared" si="100"/>
        <v>#REF!</v>
      </c>
      <c r="L882" s="422" t="e">
        <f t="shared" si="101"/>
        <v>#REF!</v>
      </c>
      <c r="M882" s="422" t="e">
        <f>IF(I882="","",WORKDAY(L882-1,1,FERIADOS!$A$2:$A$831))</f>
        <v>#REF!</v>
      </c>
      <c r="N882" s="219" t="e">
        <f>IF(I882="","",NETWORKDAYS(Curva!$M$2,M882,FERIADOS!$A$2:$A$831)-1)</f>
        <v>#REF!</v>
      </c>
      <c r="O882" s="423" t="e">
        <f>IF(C882&lt;&gt;"",IF(ISERROR((100000/E882)^(252/N882)-1),Curva!$B$2,((100000/E882)^(252/N882)-1)),"")</f>
        <v>#REF!</v>
      </c>
      <c r="P882" s="219" t="e">
        <f>IF(OR(G882=1,G882=2),dadosexternosBMF_1!B885,"")</f>
        <v>#REF!</v>
      </c>
      <c r="Q882" s="219" t="e">
        <f>IF(OR(G882=1,G882=2),dadosexternosBMF_1!D885,"")</f>
        <v>#REF!</v>
      </c>
    </row>
    <row r="883" spans="1:17" x14ac:dyDescent="0.2">
      <c r="A883" s="222" t="e">
        <f t="shared" si="96"/>
        <v>#REF!</v>
      </c>
      <c r="B883" s="222" t="str">
        <f>IF(dadosexternosBMF_1!A886="DI1 - DI de 1 dia","DI1 - DI de 1 dia","")</f>
        <v/>
      </c>
      <c r="C883" s="222" t="e">
        <f>IF(dadosexternosBMF_1!A886="DOL - Dólar comercial","",IF(C882&lt;&gt;"",dadosexternosBMF_1!B886,IF(dadosexternosBMF_1!A886="DI1 - DI de 1 dia",dadosexternosBMF_1!B886,"")))</f>
        <v>#REF!</v>
      </c>
      <c r="D883" s="222" t="e">
        <f>IF(C883&lt;&gt;"",dadosexternosBMF_1!C886,"")</f>
        <v>#REF!</v>
      </c>
      <c r="E883" s="222" t="e">
        <f>IF(C883&lt;&gt;"",dadosexternosBMF_1!D886,"")</f>
        <v>#REF!</v>
      </c>
      <c r="G883" s="219" t="e">
        <f t="shared" si="97"/>
        <v>#REF!</v>
      </c>
      <c r="H883" s="219" t="e">
        <f t="shared" si="98"/>
        <v>#REF!</v>
      </c>
      <c r="I883" s="219" t="e">
        <f t="shared" si="99"/>
        <v>#REF!</v>
      </c>
      <c r="J883" s="219" t="e">
        <f>IF(I883="","",VLOOKUP(LEFT(C883,1),dadosexternosBMF_1!$L$2:$M$13,2,FALSE))</f>
        <v>#REF!</v>
      </c>
      <c r="K883" s="219" t="e">
        <f t="shared" si="100"/>
        <v>#REF!</v>
      </c>
      <c r="L883" s="422" t="e">
        <f t="shared" si="101"/>
        <v>#REF!</v>
      </c>
      <c r="M883" s="422" t="e">
        <f>IF(I883="","",WORKDAY(L883-1,1,FERIADOS!$A$2:$A$831))</f>
        <v>#REF!</v>
      </c>
      <c r="N883" s="219" t="e">
        <f>IF(I883="","",NETWORKDAYS(Curva!$M$2,M883,FERIADOS!$A$2:$A$831)-1)</f>
        <v>#REF!</v>
      </c>
      <c r="O883" s="423" t="e">
        <f>IF(C883&lt;&gt;"",IF(ISERROR((100000/E883)^(252/N883)-1),Curva!$B$2,((100000/E883)^(252/N883)-1)),"")</f>
        <v>#REF!</v>
      </c>
      <c r="P883" s="219" t="e">
        <f>IF(OR(G883=1,G883=2),dadosexternosBMF_1!B886,"")</f>
        <v>#REF!</v>
      </c>
      <c r="Q883" s="219" t="e">
        <f>IF(OR(G883=1,G883=2),dadosexternosBMF_1!D886,"")</f>
        <v>#REF!</v>
      </c>
    </row>
    <row r="884" spans="1:17" x14ac:dyDescent="0.2">
      <c r="A884" s="222" t="e">
        <f t="shared" si="96"/>
        <v>#REF!</v>
      </c>
      <c r="B884" s="222" t="str">
        <f>IF(dadosexternosBMF_1!A887="DI1 - DI de 1 dia","DI1 - DI de 1 dia","")</f>
        <v/>
      </c>
      <c r="C884" s="222" t="e">
        <f>IF(dadosexternosBMF_1!A887="DOL - Dólar comercial","",IF(C883&lt;&gt;"",dadosexternosBMF_1!B887,IF(dadosexternosBMF_1!A887="DI1 - DI de 1 dia",dadosexternosBMF_1!B887,"")))</f>
        <v>#REF!</v>
      </c>
      <c r="D884" s="222" t="e">
        <f>IF(C884&lt;&gt;"",dadosexternosBMF_1!C887,"")</f>
        <v>#REF!</v>
      </c>
      <c r="E884" s="222" t="e">
        <f>IF(C884&lt;&gt;"",dadosexternosBMF_1!D887,"")</f>
        <v>#REF!</v>
      </c>
      <c r="G884" s="219" t="e">
        <f t="shared" si="97"/>
        <v>#REF!</v>
      </c>
      <c r="H884" s="219" t="e">
        <f t="shared" si="98"/>
        <v>#REF!</v>
      </c>
      <c r="I884" s="219" t="e">
        <f t="shared" si="99"/>
        <v>#REF!</v>
      </c>
      <c r="J884" s="219" t="e">
        <f>IF(I884="","",VLOOKUP(LEFT(C884,1),dadosexternosBMF_1!$L$2:$M$13,2,FALSE))</f>
        <v>#REF!</v>
      </c>
      <c r="K884" s="219" t="e">
        <f t="shared" si="100"/>
        <v>#REF!</v>
      </c>
      <c r="L884" s="422" t="e">
        <f t="shared" si="101"/>
        <v>#REF!</v>
      </c>
      <c r="M884" s="422" t="e">
        <f>IF(I884="","",WORKDAY(L884-1,1,FERIADOS!$A$2:$A$831))</f>
        <v>#REF!</v>
      </c>
      <c r="N884" s="219" t="e">
        <f>IF(I884="","",NETWORKDAYS(Curva!$M$2,M884,FERIADOS!$A$2:$A$831)-1)</f>
        <v>#REF!</v>
      </c>
      <c r="O884" s="423" t="e">
        <f>IF(C884&lt;&gt;"",IF(ISERROR((100000/E884)^(252/N884)-1),Curva!$B$2,((100000/E884)^(252/N884)-1)),"")</f>
        <v>#REF!</v>
      </c>
      <c r="P884" s="219" t="e">
        <f>IF(OR(G884=1,G884=2),dadosexternosBMF_1!B887,"")</f>
        <v>#REF!</v>
      </c>
      <c r="Q884" s="219" t="e">
        <f>IF(OR(G884=1,G884=2),dadosexternosBMF_1!D887,"")</f>
        <v>#REF!</v>
      </c>
    </row>
    <row r="885" spans="1:17" x14ac:dyDescent="0.2">
      <c r="A885" s="222" t="e">
        <f t="shared" si="96"/>
        <v>#REF!</v>
      </c>
      <c r="B885" s="222" t="str">
        <f>IF(dadosexternosBMF_1!A888="DI1 - DI de 1 dia","DI1 - DI de 1 dia","")</f>
        <v/>
      </c>
      <c r="C885" s="222" t="e">
        <f>IF(dadosexternosBMF_1!A888="DOL - Dólar comercial","",IF(C884&lt;&gt;"",dadosexternosBMF_1!B888,IF(dadosexternosBMF_1!A888="DI1 - DI de 1 dia",dadosexternosBMF_1!B888,"")))</f>
        <v>#REF!</v>
      </c>
      <c r="D885" s="222" t="e">
        <f>IF(C885&lt;&gt;"",dadosexternosBMF_1!C888,"")</f>
        <v>#REF!</v>
      </c>
      <c r="E885" s="222" t="e">
        <f>IF(C885&lt;&gt;"",dadosexternosBMF_1!D888,"")</f>
        <v>#REF!</v>
      </c>
      <c r="G885" s="219" t="e">
        <f t="shared" si="97"/>
        <v>#REF!</v>
      </c>
      <c r="H885" s="219" t="e">
        <f t="shared" si="98"/>
        <v>#REF!</v>
      </c>
      <c r="I885" s="219" t="e">
        <f t="shared" si="99"/>
        <v>#REF!</v>
      </c>
      <c r="J885" s="219" t="e">
        <f>IF(I885="","",VLOOKUP(LEFT(C885,1),dadosexternosBMF_1!$L$2:$M$13,2,FALSE))</f>
        <v>#REF!</v>
      </c>
      <c r="K885" s="219" t="e">
        <f t="shared" si="100"/>
        <v>#REF!</v>
      </c>
      <c r="L885" s="422" t="e">
        <f t="shared" si="101"/>
        <v>#REF!</v>
      </c>
      <c r="M885" s="422" t="e">
        <f>IF(I885="","",WORKDAY(L885-1,1,FERIADOS!$A$2:$A$831))</f>
        <v>#REF!</v>
      </c>
      <c r="N885" s="219" t="e">
        <f>IF(I885="","",NETWORKDAYS(Curva!$M$2,M885,FERIADOS!$A$2:$A$831)-1)</f>
        <v>#REF!</v>
      </c>
      <c r="O885" s="423" t="e">
        <f>IF(C885&lt;&gt;"",IF(ISERROR((100000/E885)^(252/N885)-1),Curva!$B$2,((100000/E885)^(252/N885)-1)),"")</f>
        <v>#REF!</v>
      </c>
      <c r="P885" s="219" t="e">
        <f>IF(OR(G885=1,G885=2),dadosexternosBMF_1!B888,"")</f>
        <v>#REF!</v>
      </c>
      <c r="Q885" s="219" t="e">
        <f>IF(OR(G885=1,G885=2),dadosexternosBMF_1!D888,"")</f>
        <v>#REF!</v>
      </c>
    </row>
    <row r="886" spans="1:17" x14ac:dyDescent="0.2">
      <c r="A886" s="222" t="e">
        <f t="shared" si="96"/>
        <v>#REF!</v>
      </c>
      <c r="B886" s="222" t="str">
        <f>IF(dadosexternosBMF_1!A889="DI1 - DI de 1 dia","DI1 - DI de 1 dia","")</f>
        <v/>
      </c>
      <c r="C886" s="222" t="e">
        <f>IF(dadosexternosBMF_1!A889="DOL - Dólar comercial","",IF(C885&lt;&gt;"",dadosexternosBMF_1!B889,IF(dadosexternosBMF_1!A889="DI1 - DI de 1 dia",dadosexternosBMF_1!B889,"")))</f>
        <v>#REF!</v>
      </c>
      <c r="D886" s="222" t="e">
        <f>IF(C886&lt;&gt;"",dadosexternosBMF_1!C889,"")</f>
        <v>#REF!</v>
      </c>
      <c r="E886" s="222" t="e">
        <f>IF(C886&lt;&gt;"",dadosexternosBMF_1!D889,"")</f>
        <v>#REF!</v>
      </c>
      <c r="G886" s="219" t="e">
        <f t="shared" si="97"/>
        <v>#REF!</v>
      </c>
      <c r="H886" s="219" t="e">
        <f t="shared" si="98"/>
        <v>#REF!</v>
      </c>
      <c r="I886" s="219" t="e">
        <f t="shared" si="99"/>
        <v>#REF!</v>
      </c>
      <c r="J886" s="219" t="e">
        <f>IF(I886="","",VLOOKUP(LEFT(C886,1),dadosexternosBMF_1!$L$2:$M$13,2,FALSE))</f>
        <v>#REF!</v>
      </c>
      <c r="K886" s="219" t="e">
        <f t="shared" si="100"/>
        <v>#REF!</v>
      </c>
      <c r="L886" s="422" t="e">
        <f t="shared" si="101"/>
        <v>#REF!</v>
      </c>
      <c r="M886" s="422" t="e">
        <f>IF(I886="","",WORKDAY(L886-1,1,FERIADOS!$A$2:$A$831))</f>
        <v>#REF!</v>
      </c>
      <c r="N886" s="219" t="e">
        <f>IF(I886="","",NETWORKDAYS(Curva!$M$2,M886,FERIADOS!$A$2:$A$831)-1)</f>
        <v>#REF!</v>
      </c>
      <c r="O886" s="423" t="e">
        <f>IF(C886&lt;&gt;"",IF(ISERROR((100000/E886)^(252/N886)-1),Curva!$B$2,((100000/E886)^(252/N886)-1)),"")</f>
        <v>#REF!</v>
      </c>
      <c r="P886" s="219" t="e">
        <f>IF(OR(G886=1,G886=2),dadosexternosBMF_1!B889,"")</f>
        <v>#REF!</v>
      </c>
      <c r="Q886" s="219" t="e">
        <f>IF(OR(G886=1,G886=2),dadosexternosBMF_1!D889,"")</f>
        <v>#REF!</v>
      </c>
    </row>
    <row r="887" spans="1:17" x14ac:dyDescent="0.2">
      <c r="A887" s="222" t="e">
        <f t="shared" si="96"/>
        <v>#REF!</v>
      </c>
      <c r="B887" s="222" t="str">
        <f>IF(dadosexternosBMF_1!A890="DI1 - DI de 1 dia","DI1 - DI de 1 dia","")</f>
        <v/>
      </c>
      <c r="C887" s="222" t="e">
        <f>IF(dadosexternosBMF_1!A890="DOL - Dólar comercial","",IF(C886&lt;&gt;"",dadosexternosBMF_1!B890,IF(dadosexternosBMF_1!A890="DI1 - DI de 1 dia",dadosexternosBMF_1!B890,"")))</f>
        <v>#REF!</v>
      </c>
      <c r="D887" s="222" t="e">
        <f>IF(C887&lt;&gt;"",dadosexternosBMF_1!C890,"")</f>
        <v>#REF!</v>
      </c>
      <c r="E887" s="222" t="e">
        <f>IF(C887&lt;&gt;"",dadosexternosBMF_1!D890,"")</f>
        <v>#REF!</v>
      </c>
      <c r="G887" s="219" t="e">
        <f t="shared" si="97"/>
        <v>#REF!</v>
      </c>
      <c r="H887" s="219" t="e">
        <f t="shared" si="98"/>
        <v>#REF!</v>
      </c>
      <c r="I887" s="219" t="e">
        <f t="shared" si="99"/>
        <v>#REF!</v>
      </c>
      <c r="J887" s="219" t="e">
        <f>IF(I887="","",VLOOKUP(LEFT(C887,1),dadosexternosBMF_1!$L$2:$M$13,2,FALSE))</f>
        <v>#REF!</v>
      </c>
      <c r="K887" s="219" t="e">
        <f t="shared" si="100"/>
        <v>#REF!</v>
      </c>
      <c r="L887" s="422" t="e">
        <f t="shared" si="101"/>
        <v>#REF!</v>
      </c>
      <c r="M887" s="422" t="e">
        <f>IF(I887="","",WORKDAY(L887-1,1,FERIADOS!$A$2:$A$831))</f>
        <v>#REF!</v>
      </c>
      <c r="N887" s="219" t="e">
        <f>IF(I887="","",NETWORKDAYS(Curva!$M$2,M887,FERIADOS!$A$2:$A$831)-1)</f>
        <v>#REF!</v>
      </c>
      <c r="O887" s="423" t="e">
        <f>IF(C887&lt;&gt;"",IF(ISERROR((100000/E887)^(252/N887)-1),Curva!$B$2,((100000/E887)^(252/N887)-1)),"")</f>
        <v>#REF!</v>
      </c>
      <c r="P887" s="219" t="e">
        <f>IF(OR(G887=1,G887=2),dadosexternosBMF_1!B890,"")</f>
        <v>#REF!</v>
      </c>
      <c r="Q887" s="219" t="e">
        <f>IF(OR(G887=1,G887=2),dadosexternosBMF_1!D890,"")</f>
        <v>#REF!</v>
      </c>
    </row>
    <row r="888" spans="1:17" x14ac:dyDescent="0.2">
      <c r="A888" s="222" t="e">
        <f t="shared" si="96"/>
        <v>#REF!</v>
      </c>
      <c r="B888" s="222" t="str">
        <f>IF(dadosexternosBMF_1!A891="DI1 - DI de 1 dia","DI1 - DI de 1 dia","")</f>
        <v/>
      </c>
      <c r="C888" s="222" t="e">
        <f>IF(dadosexternosBMF_1!A891="DOL - Dólar comercial","",IF(C887&lt;&gt;"",dadosexternosBMF_1!B891,IF(dadosexternosBMF_1!A891="DI1 - DI de 1 dia",dadosexternosBMF_1!B891,"")))</f>
        <v>#REF!</v>
      </c>
      <c r="D888" s="222" t="e">
        <f>IF(C888&lt;&gt;"",dadosexternosBMF_1!C891,"")</f>
        <v>#REF!</v>
      </c>
      <c r="E888" s="222" t="e">
        <f>IF(C888&lt;&gt;"",dadosexternosBMF_1!D891,"")</f>
        <v>#REF!</v>
      </c>
      <c r="G888" s="219" t="e">
        <f t="shared" si="97"/>
        <v>#REF!</v>
      </c>
      <c r="H888" s="219" t="e">
        <f t="shared" si="98"/>
        <v>#REF!</v>
      </c>
      <c r="I888" s="219" t="e">
        <f t="shared" si="99"/>
        <v>#REF!</v>
      </c>
      <c r="J888" s="219" t="e">
        <f>IF(I888="","",VLOOKUP(LEFT(C888,1),dadosexternosBMF_1!$L$2:$M$13,2,FALSE))</f>
        <v>#REF!</v>
      </c>
      <c r="K888" s="219" t="e">
        <f t="shared" si="100"/>
        <v>#REF!</v>
      </c>
      <c r="L888" s="422" t="e">
        <f t="shared" si="101"/>
        <v>#REF!</v>
      </c>
      <c r="M888" s="422" t="e">
        <f>IF(I888="","",WORKDAY(L888-1,1,FERIADOS!$A$2:$A$831))</f>
        <v>#REF!</v>
      </c>
      <c r="N888" s="219" t="e">
        <f>IF(I888="","",NETWORKDAYS(Curva!$M$2,M888,FERIADOS!$A$2:$A$831)-1)</f>
        <v>#REF!</v>
      </c>
      <c r="O888" s="423" t="e">
        <f>IF(C888&lt;&gt;"",IF(ISERROR((100000/E888)^(252/N888)-1),Curva!$B$2,((100000/E888)^(252/N888)-1)),"")</f>
        <v>#REF!</v>
      </c>
      <c r="P888" s="219" t="e">
        <f>IF(OR(G888=1,G888=2),dadosexternosBMF_1!B891,"")</f>
        <v>#REF!</v>
      </c>
      <c r="Q888" s="219" t="e">
        <f>IF(OR(G888=1,G888=2),dadosexternosBMF_1!D891,"")</f>
        <v>#REF!</v>
      </c>
    </row>
    <row r="889" spans="1:17" x14ac:dyDescent="0.2">
      <c r="A889" s="222" t="e">
        <f t="shared" si="96"/>
        <v>#REF!</v>
      </c>
      <c r="B889" s="222" t="str">
        <f>IF(dadosexternosBMF_1!A892="DI1 - DI de 1 dia","DI1 - DI de 1 dia","")</f>
        <v/>
      </c>
      <c r="C889" s="222" t="e">
        <f>IF(dadosexternosBMF_1!A892="DOL - Dólar comercial","",IF(C888&lt;&gt;"",dadosexternosBMF_1!B892,IF(dadosexternosBMF_1!A892="DI1 - DI de 1 dia",dadosexternosBMF_1!B892,"")))</f>
        <v>#REF!</v>
      </c>
      <c r="D889" s="222" t="e">
        <f>IF(C889&lt;&gt;"",dadosexternosBMF_1!C892,"")</f>
        <v>#REF!</v>
      </c>
      <c r="E889" s="222" t="e">
        <f>IF(C889&lt;&gt;"",dadosexternosBMF_1!D892,"")</f>
        <v>#REF!</v>
      </c>
      <c r="G889" s="219" t="e">
        <f t="shared" si="97"/>
        <v>#REF!</v>
      </c>
      <c r="H889" s="219" t="e">
        <f t="shared" si="98"/>
        <v>#REF!</v>
      </c>
      <c r="I889" s="219" t="e">
        <f t="shared" si="99"/>
        <v>#REF!</v>
      </c>
      <c r="J889" s="219" t="e">
        <f>IF(I889="","",VLOOKUP(LEFT(C889,1),dadosexternosBMF_1!$L$2:$M$13,2,FALSE))</f>
        <v>#REF!</v>
      </c>
      <c r="K889" s="219" t="e">
        <f t="shared" si="100"/>
        <v>#REF!</v>
      </c>
      <c r="L889" s="422" t="e">
        <f t="shared" si="101"/>
        <v>#REF!</v>
      </c>
      <c r="M889" s="422" t="e">
        <f>IF(I889="","",WORKDAY(L889-1,1,FERIADOS!$A$2:$A$831))</f>
        <v>#REF!</v>
      </c>
      <c r="N889" s="219" t="e">
        <f>IF(I889="","",NETWORKDAYS(Curva!$M$2,M889,FERIADOS!$A$2:$A$831)-1)</f>
        <v>#REF!</v>
      </c>
      <c r="O889" s="423" t="e">
        <f>IF(C889&lt;&gt;"",IF(ISERROR((100000/E889)^(252/N889)-1),Curva!$B$2,((100000/E889)^(252/N889)-1)),"")</f>
        <v>#REF!</v>
      </c>
      <c r="P889" s="219" t="e">
        <f>IF(OR(G889=1,G889=2),dadosexternosBMF_1!B892,"")</f>
        <v>#REF!</v>
      </c>
      <c r="Q889" s="219" t="e">
        <f>IF(OR(G889=1,G889=2),dadosexternosBMF_1!D892,"")</f>
        <v>#REF!</v>
      </c>
    </row>
    <row r="890" spans="1:17" x14ac:dyDescent="0.2">
      <c r="A890" s="222" t="e">
        <f t="shared" si="96"/>
        <v>#REF!</v>
      </c>
      <c r="B890" s="222" t="str">
        <f>IF(dadosexternosBMF_1!A893="DI1 - DI de 1 dia","DI1 - DI de 1 dia","")</f>
        <v/>
      </c>
      <c r="C890" s="222" t="e">
        <f>IF(dadosexternosBMF_1!A893="DOL - Dólar comercial","",IF(C889&lt;&gt;"",dadosexternosBMF_1!B893,IF(dadosexternosBMF_1!A893="DI1 - DI de 1 dia",dadosexternosBMF_1!B893,"")))</f>
        <v>#REF!</v>
      </c>
      <c r="D890" s="222" t="e">
        <f>IF(C890&lt;&gt;"",dadosexternosBMF_1!C893,"")</f>
        <v>#REF!</v>
      </c>
      <c r="E890" s="222" t="e">
        <f>IF(C890&lt;&gt;"",dadosexternosBMF_1!D893,"")</f>
        <v>#REF!</v>
      </c>
      <c r="G890" s="219" t="e">
        <f t="shared" si="97"/>
        <v>#REF!</v>
      </c>
      <c r="H890" s="219" t="e">
        <f t="shared" si="98"/>
        <v>#REF!</v>
      </c>
      <c r="I890" s="219" t="e">
        <f t="shared" si="99"/>
        <v>#REF!</v>
      </c>
      <c r="J890" s="219" t="e">
        <f>IF(I890="","",VLOOKUP(LEFT(C890,1),dadosexternosBMF_1!$L$2:$M$13,2,FALSE))</f>
        <v>#REF!</v>
      </c>
      <c r="K890" s="219" t="e">
        <f t="shared" si="100"/>
        <v>#REF!</v>
      </c>
      <c r="L890" s="422" t="e">
        <f t="shared" si="101"/>
        <v>#REF!</v>
      </c>
      <c r="M890" s="422" t="e">
        <f>IF(I890="","",WORKDAY(L890-1,1,FERIADOS!$A$2:$A$831))</f>
        <v>#REF!</v>
      </c>
      <c r="N890" s="219" t="e">
        <f>IF(I890="","",NETWORKDAYS(Curva!$M$2,M890,FERIADOS!$A$2:$A$831)-1)</f>
        <v>#REF!</v>
      </c>
      <c r="O890" s="423" t="e">
        <f>IF(C890&lt;&gt;"",IF(ISERROR((100000/E890)^(252/N890)-1),Curva!$B$2,((100000/E890)^(252/N890)-1)),"")</f>
        <v>#REF!</v>
      </c>
      <c r="P890" s="219" t="e">
        <f>IF(OR(G890=1,G890=2),dadosexternosBMF_1!B893,"")</f>
        <v>#REF!</v>
      </c>
      <c r="Q890" s="219" t="e">
        <f>IF(OR(G890=1,G890=2),dadosexternosBMF_1!D893,"")</f>
        <v>#REF!</v>
      </c>
    </row>
    <row r="891" spans="1:17" x14ac:dyDescent="0.2">
      <c r="A891" s="222" t="e">
        <f t="shared" si="96"/>
        <v>#REF!</v>
      </c>
      <c r="B891" s="222" t="str">
        <f>IF(dadosexternosBMF_1!A894="DI1 - DI de 1 dia","DI1 - DI de 1 dia","")</f>
        <v/>
      </c>
      <c r="C891" s="222" t="e">
        <f>IF(dadosexternosBMF_1!A894="DOL - Dólar comercial","",IF(C890&lt;&gt;"",dadosexternosBMF_1!B894,IF(dadosexternosBMF_1!A894="DI1 - DI de 1 dia",dadosexternosBMF_1!B894,"")))</f>
        <v>#REF!</v>
      </c>
      <c r="D891" s="222" t="e">
        <f>IF(C891&lt;&gt;"",dadosexternosBMF_1!C894,"")</f>
        <v>#REF!</v>
      </c>
      <c r="E891" s="222" t="e">
        <f>IF(C891&lt;&gt;"",dadosexternosBMF_1!D894,"")</f>
        <v>#REF!</v>
      </c>
      <c r="G891" s="219" t="e">
        <f t="shared" si="97"/>
        <v>#REF!</v>
      </c>
      <c r="H891" s="219" t="e">
        <f t="shared" si="98"/>
        <v>#REF!</v>
      </c>
      <c r="I891" s="219" t="e">
        <f t="shared" si="99"/>
        <v>#REF!</v>
      </c>
      <c r="J891" s="219" t="e">
        <f>IF(I891="","",VLOOKUP(LEFT(C891,1),dadosexternosBMF_1!$L$2:$M$13,2,FALSE))</f>
        <v>#REF!</v>
      </c>
      <c r="K891" s="219" t="e">
        <f t="shared" si="100"/>
        <v>#REF!</v>
      </c>
      <c r="L891" s="422" t="e">
        <f t="shared" si="101"/>
        <v>#REF!</v>
      </c>
      <c r="M891" s="422" t="e">
        <f>IF(I891="","",WORKDAY(L891-1,1,FERIADOS!$A$2:$A$831))</f>
        <v>#REF!</v>
      </c>
      <c r="N891" s="219" t="e">
        <f>IF(I891="","",NETWORKDAYS(Curva!$M$2,M891,FERIADOS!$A$2:$A$831)-1)</f>
        <v>#REF!</v>
      </c>
      <c r="O891" s="423" t="e">
        <f>IF(C891&lt;&gt;"",IF(ISERROR((100000/E891)^(252/N891)-1),Curva!$B$2,((100000/E891)^(252/N891)-1)),"")</f>
        <v>#REF!</v>
      </c>
      <c r="P891" s="219" t="e">
        <f>IF(OR(G891=1,G891=2),dadosexternosBMF_1!B894,"")</f>
        <v>#REF!</v>
      </c>
      <c r="Q891" s="219" t="e">
        <f>IF(OR(G891=1,G891=2),dadosexternosBMF_1!D894,"")</f>
        <v>#REF!</v>
      </c>
    </row>
    <row r="892" spans="1:17" x14ac:dyDescent="0.2">
      <c r="A892" s="222" t="e">
        <f t="shared" si="96"/>
        <v>#REF!</v>
      </c>
      <c r="B892" s="222" t="str">
        <f>IF(dadosexternosBMF_1!A895="DI1 - DI de 1 dia","DI1 - DI de 1 dia","")</f>
        <v/>
      </c>
      <c r="C892" s="222" t="e">
        <f>IF(dadosexternosBMF_1!A895="DOL - Dólar comercial","",IF(C891&lt;&gt;"",dadosexternosBMF_1!B895,IF(dadosexternosBMF_1!A895="DI1 - DI de 1 dia",dadosexternosBMF_1!B895,"")))</f>
        <v>#REF!</v>
      </c>
      <c r="D892" s="222" t="e">
        <f>IF(C892&lt;&gt;"",dadosexternosBMF_1!C895,"")</f>
        <v>#REF!</v>
      </c>
      <c r="E892" s="222" t="e">
        <f>IF(C892&lt;&gt;"",dadosexternosBMF_1!D895,"")</f>
        <v>#REF!</v>
      </c>
      <c r="G892" s="219" t="e">
        <f t="shared" si="97"/>
        <v>#REF!</v>
      </c>
      <c r="H892" s="219" t="e">
        <f t="shared" si="98"/>
        <v>#REF!</v>
      </c>
      <c r="I892" s="219" t="e">
        <f t="shared" si="99"/>
        <v>#REF!</v>
      </c>
      <c r="J892" s="219" t="e">
        <f>IF(I892="","",VLOOKUP(LEFT(C892,1),dadosexternosBMF_1!$L$2:$M$13,2,FALSE))</f>
        <v>#REF!</v>
      </c>
      <c r="K892" s="219" t="e">
        <f t="shared" si="100"/>
        <v>#REF!</v>
      </c>
      <c r="L892" s="422" t="e">
        <f t="shared" si="101"/>
        <v>#REF!</v>
      </c>
      <c r="M892" s="422" t="e">
        <f>IF(I892="","",WORKDAY(L892-1,1,FERIADOS!$A$2:$A$831))</f>
        <v>#REF!</v>
      </c>
      <c r="N892" s="219" t="e">
        <f>IF(I892="","",NETWORKDAYS(Curva!$M$2,M892,FERIADOS!$A$2:$A$831)-1)</f>
        <v>#REF!</v>
      </c>
      <c r="O892" s="423" t="e">
        <f>IF(C892&lt;&gt;"",IF(ISERROR((100000/E892)^(252/N892)-1),Curva!$B$2,((100000/E892)^(252/N892)-1)),"")</f>
        <v>#REF!</v>
      </c>
      <c r="P892" s="219" t="e">
        <f>IF(OR(G892=1,G892=2),dadosexternosBMF_1!B895,"")</f>
        <v>#REF!</v>
      </c>
      <c r="Q892" s="219" t="e">
        <f>IF(OR(G892=1,G892=2),dadosexternosBMF_1!D895,"")</f>
        <v>#REF!</v>
      </c>
    </row>
    <row r="893" spans="1:17" x14ac:dyDescent="0.2">
      <c r="A893" s="222" t="e">
        <f t="shared" si="96"/>
        <v>#REF!</v>
      </c>
      <c r="B893" s="222" t="str">
        <f>IF(dadosexternosBMF_1!A896="DI1 - DI de 1 dia","DI1 - DI de 1 dia","")</f>
        <v/>
      </c>
      <c r="C893" s="222" t="e">
        <f>IF(dadosexternosBMF_1!A896="DOL - Dólar comercial","",IF(C892&lt;&gt;"",dadosexternosBMF_1!B896,IF(dadosexternosBMF_1!A896="DI1 - DI de 1 dia",dadosexternosBMF_1!B896,"")))</f>
        <v>#REF!</v>
      </c>
      <c r="D893" s="222" t="e">
        <f>IF(C893&lt;&gt;"",dadosexternosBMF_1!C896,"")</f>
        <v>#REF!</v>
      </c>
      <c r="E893" s="222" t="e">
        <f>IF(C893&lt;&gt;"",dadosexternosBMF_1!D896,"")</f>
        <v>#REF!</v>
      </c>
      <c r="G893" s="219" t="e">
        <f t="shared" si="97"/>
        <v>#REF!</v>
      </c>
      <c r="H893" s="219" t="e">
        <f t="shared" si="98"/>
        <v>#REF!</v>
      </c>
      <c r="I893" s="219" t="e">
        <f t="shared" si="99"/>
        <v>#REF!</v>
      </c>
      <c r="J893" s="219" t="e">
        <f>IF(I893="","",VLOOKUP(LEFT(C893,1),dadosexternosBMF_1!$L$2:$M$13,2,FALSE))</f>
        <v>#REF!</v>
      </c>
      <c r="K893" s="219" t="e">
        <f t="shared" si="100"/>
        <v>#REF!</v>
      </c>
      <c r="L893" s="422" t="e">
        <f t="shared" si="101"/>
        <v>#REF!</v>
      </c>
      <c r="M893" s="422" t="e">
        <f>IF(I893="","",WORKDAY(L893-1,1,FERIADOS!$A$2:$A$831))</f>
        <v>#REF!</v>
      </c>
      <c r="N893" s="219" t="e">
        <f>IF(I893="","",NETWORKDAYS(Curva!$M$2,M893,FERIADOS!$A$2:$A$831)-1)</f>
        <v>#REF!</v>
      </c>
      <c r="O893" s="423" t="e">
        <f>IF(C893&lt;&gt;"",IF(ISERROR((100000/E893)^(252/N893)-1),Curva!$B$2,((100000/E893)^(252/N893)-1)),"")</f>
        <v>#REF!</v>
      </c>
      <c r="P893" s="219" t="e">
        <f>IF(OR(G893=1,G893=2),dadosexternosBMF_1!B896,"")</f>
        <v>#REF!</v>
      </c>
      <c r="Q893" s="219" t="e">
        <f>IF(OR(G893=1,G893=2),dadosexternosBMF_1!D896,"")</f>
        <v>#REF!</v>
      </c>
    </row>
    <row r="894" spans="1:17" x14ac:dyDescent="0.2">
      <c r="A894" s="222" t="e">
        <f t="shared" si="96"/>
        <v>#REF!</v>
      </c>
      <c r="B894" s="222" t="str">
        <f>IF(dadosexternosBMF_1!A897="DI1 - DI de 1 dia","DI1 - DI de 1 dia","")</f>
        <v/>
      </c>
      <c r="C894" s="222" t="e">
        <f>IF(dadosexternosBMF_1!A897="DOL - Dólar comercial","",IF(C893&lt;&gt;"",dadosexternosBMF_1!B897,IF(dadosexternosBMF_1!A897="DI1 - DI de 1 dia",dadosexternosBMF_1!B897,"")))</f>
        <v>#REF!</v>
      </c>
      <c r="D894" s="222" t="e">
        <f>IF(C894&lt;&gt;"",dadosexternosBMF_1!C897,"")</f>
        <v>#REF!</v>
      </c>
      <c r="E894" s="222" t="e">
        <f>IF(C894&lt;&gt;"",dadosexternosBMF_1!D897,"")</f>
        <v>#REF!</v>
      </c>
      <c r="G894" s="219" t="e">
        <f t="shared" si="97"/>
        <v>#REF!</v>
      </c>
      <c r="H894" s="219" t="e">
        <f t="shared" si="98"/>
        <v>#REF!</v>
      </c>
      <c r="I894" s="219" t="e">
        <f t="shared" si="99"/>
        <v>#REF!</v>
      </c>
      <c r="J894" s="219" t="e">
        <f>IF(I894="","",VLOOKUP(LEFT(C894,1),dadosexternosBMF_1!$L$2:$M$13,2,FALSE))</f>
        <v>#REF!</v>
      </c>
      <c r="K894" s="219" t="e">
        <f t="shared" si="100"/>
        <v>#REF!</v>
      </c>
      <c r="L894" s="422" t="e">
        <f t="shared" si="101"/>
        <v>#REF!</v>
      </c>
      <c r="M894" s="422" t="e">
        <f>IF(I894="","",WORKDAY(L894-1,1,FERIADOS!$A$2:$A$831))</f>
        <v>#REF!</v>
      </c>
      <c r="N894" s="219" t="e">
        <f>IF(I894="","",NETWORKDAYS(Curva!$M$2,M894,FERIADOS!$A$2:$A$831)-1)</f>
        <v>#REF!</v>
      </c>
      <c r="O894" s="423" t="e">
        <f>IF(C894&lt;&gt;"",IF(ISERROR((100000/E894)^(252/N894)-1),Curva!$B$2,((100000/E894)^(252/N894)-1)),"")</f>
        <v>#REF!</v>
      </c>
      <c r="P894" s="219" t="e">
        <f>IF(OR(G894=1,G894=2),dadosexternosBMF_1!B897,"")</f>
        <v>#REF!</v>
      </c>
      <c r="Q894" s="219" t="e">
        <f>IF(OR(G894=1,G894=2),dadosexternosBMF_1!D897,"")</f>
        <v>#REF!</v>
      </c>
    </row>
    <row r="895" spans="1:17" x14ac:dyDescent="0.2">
      <c r="A895" s="222" t="e">
        <f t="shared" si="96"/>
        <v>#REF!</v>
      </c>
      <c r="B895" s="222" t="str">
        <f>IF(dadosexternosBMF_1!A898="DI1 - DI de 1 dia","DI1 - DI de 1 dia","")</f>
        <v/>
      </c>
      <c r="C895" s="222" t="e">
        <f>IF(dadosexternosBMF_1!A898="DOL - Dólar comercial","",IF(C894&lt;&gt;"",dadosexternosBMF_1!B898,IF(dadosexternosBMF_1!A898="DI1 - DI de 1 dia",dadosexternosBMF_1!B898,"")))</f>
        <v>#REF!</v>
      </c>
      <c r="D895" s="222" t="e">
        <f>IF(C895&lt;&gt;"",dadosexternosBMF_1!C898,"")</f>
        <v>#REF!</v>
      </c>
      <c r="E895" s="222" t="e">
        <f>IF(C895&lt;&gt;"",dadosexternosBMF_1!D898,"")</f>
        <v>#REF!</v>
      </c>
      <c r="G895" s="219" t="e">
        <f t="shared" si="97"/>
        <v>#REF!</v>
      </c>
      <c r="H895" s="219" t="e">
        <f t="shared" si="98"/>
        <v>#REF!</v>
      </c>
      <c r="I895" s="219" t="e">
        <f t="shared" si="99"/>
        <v>#REF!</v>
      </c>
      <c r="J895" s="219" t="e">
        <f>IF(I895="","",VLOOKUP(LEFT(C895,1),dadosexternosBMF_1!$L$2:$M$13,2,FALSE))</f>
        <v>#REF!</v>
      </c>
      <c r="K895" s="219" t="e">
        <f t="shared" si="100"/>
        <v>#REF!</v>
      </c>
      <c r="L895" s="422" t="e">
        <f t="shared" si="101"/>
        <v>#REF!</v>
      </c>
      <c r="M895" s="422" t="e">
        <f>IF(I895="","",WORKDAY(L895-1,1,FERIADOS!$A$2:$A$831))</f>
        <v>#REF!</v>
      </c>
      <c r="N895" s="219" t="e">
        <f>IF(I895="","",NETWORKDAYS(Curva!$M$2,M895,FERIADOS!$A$2:$A$831)-1)</f>
        <v>#REF!</v>
      </c>
      <c r="O895" s="423" t="e">
        <f>IF(C895&lt;&gt;"",IF(ISERROR((100000/E895)^(252/N895)-1),Curva!$B$2,((100000/E895)^(252/N895)-1)),"")</f>
        <v>#REF!</v>
      </c>
      <c r="P895" s="219" t="e">
        <f>IF(OR(G895=1,G895=2),dadosexternosBMF_1!B898,"")</f>
        <v>#REF!</v>
      </c>
      <c r="Q895" s="219" t="e">
        <f>IF(OR(G895=1,G895=2),dadosexternosBMF_1!D898,"")</f>
        <v>#REF!</v>
      </c>
    </row>
    <row r="896" spans="1:17" x14ac:dyDescent="0.2">
      <c r="A896" s="222" t="e">
        <f t="shared" si="96"/>
        <v>#REF!</v>
      </c>
      <c r="B896" s="222" t="str">
        <f>IF(dadosexternosBMF_1!A899="DI1 - DI de 1 dia","DI1 - DI de 1 dia","")</f>
        <v/>
      </c>
      <c r="C896" s="222" t="e">
        <f>IF(dadosexternosBMF_1!A899="DOL - Dólar comercial","",IF(C895&lt;&gt;"",dadosexternosBMF_1!B899,IF(dadosexternosBMF_1!A899="DI1 - DI de 1 dia",dadosexternosBMF_1!B899,"")))</f>
        <v>#REF!</v>
      </c>
      <c r="D896" s="222" t="e">
        <f>IF(C896&lt;&gt;"",dadosexternosBMF_1!C899,"")</f>
        <v>#REF!</v>
      </c>
      <c r="E896" s="222" t="e">
        <f>IF(C896&lt;&gt;"",dadosexternosBMF_1!D899,"")</f>
        <v>#REF!</v>
      </c>
      <c r="G896" s="219" t="e">
        <f t="shared" si="97"/>
        <v>#REF!</v>
      </c>
      <c r="H896" s="219" t="e">
        <f t="shared" si="98"/>
        <v>#REF!</v>
      </c>
      <c r="I896" s="219" t="e">
        <f t="shared" si="99"/>
        <v>#REF!</v>
      </c>
      <c r="J896" s="219" t="e">
        <f>IF(I896="","",VLOOKUP(LEFT(C896,1),dadosexternosBMF_1!$L$2:$M$13,2,FALSE))</f>
        <v>#REF!</v>
      </c>
      <c r="K896" s="219" t="e">
        <f t="shared" si="100"/>
        <v>#REF!</v>
      </c>
      <c r="L896" s="422" t="e">
        <f t="shared" si="101"/>
        <v>#REF!</v>
      </c>
      <c r="M896" s="422" t="e">
        <f>IF(I896="","",WORKDAY(L896-1,1,FERIADOS!$A$2:$A$831))</f>
        <v>#REF!</v>
      </c>
      <c r="N896" s="219" t="e">
        <f>IF(I896="","",NETWORKDAYS(Curva!$M$2,M896,FERIADOS!$A$2:$A$831)-1)</f>
        <v>#REF!</v>
      </c>
      <c r="O896" s="423" t="e">
        <f>IF(C896&lt;&gt;"",IF(ISERROR((100000/E896)^(252/N896)-1),Curva!$B$2,((100000/E896)^(252/N896)-1)),"")</f>
        <v>#REF!</v>
      </c>
      <c r="P896" s="219" t="e">
        <f>IF(OR(G896=1,G896=2),dadosexternosBMF_1!B899,"")</f>
        <v>#REF!</v>
      </c>
      <c r="Q896" s="219" t="e">
        <f>IF(OR(G896=1,G896=2),dadosexternosBMF_1!D899,"")</f>
        <v>#REF!</v>
      </c>
    </row>
    <row r="897" spans="1:17" x14ac:dyDescent="0.2">
      <c r="A897" s="222" t="e">
        <f t="shared" si="96"/>
        <v>#REF!</v>
      </c>
      <c r="B897" s="222" t="str">
        <f>IF(dadosexternosBMF_1!A900="DI1 - DI de 1 dia","DI1 - DI de 1 dia","")</f>
        <v/>
      </c>
      <c r="C897" s="222" t="e">
        <f>IF(dadosexternosBMF_1!A900="DOL - Dólar comercial","",IF(C896&lt;&gt;"",dadosexternosBMF_1!B900,IF(dadosexternosBMF_1!A900="DI1 - DI de 1 dia",dadosexternosBMF_1!B900,"")))</f>
        <v>#REF!</v>
      </c>
      <c r="D897" s="222" t="e">
        <f>IF(C897&lt;&gt;"",dadosexternosBMF_1!C900,"")</f>
        <v>#REF!</v>
      </c>
      <c r="E897" s="222" t="e">
        <f>IF(C897&lt;&gt;"",dadosexternosBMF_1!D900,"")</f>
        <v>#REF!</v>
      </c>
      <c r="G897" s="219" t="e">
        <f t="shared" si="97"/>
        <v>#REF!</v>
      </c>
      <c r="H897" s="219" t="e">
        <f t="shared" si="98"/>
        <v>#REF!</v>
      </c>
      <c r="I897" s="219" t="e">
        <f t="shared" si="99"/>
        <v>#REF!</v>
      </c>
      <c r="J897" s="219" t="e">
        <f>IF(I897="","",VLOOKUP(LEFT(C897,1),dadosexternosBMF_1!$L$2:$M$13,2,FALSE))</f>
        <v>#REF!</v>
      </c>
      <c r="K897" s="219" t="e">
        <f t="shared" si="100"/>
        <v>#REF!</v>
      </c>
      <c r="L897" s="422" t="e">
        <f t="shared" si="101"/>
        <v>#REF!</v>
      </c>
      <c r="M897" s="422" t="e">
        <f>IF(I897="","",WORKDAY(L897-1,1,FERIADOS!$A$2:$A$831))</f>
        <v>#REF!</v>
      </c>
      <c r="N897" s="219" t="e">
        <f>IF(I897="","",NETWORKDAYS(Curva!$M$2,M897,FERIADOS!$A$2:$A$831)-1)</f>
        <v>#REF!</v>
      </c>
      <c r="O897" s="423" t="e">
        <f>IF(C897&lt;&gt;"",IF(ISERROR((100000/E897)^(252/N897)-1),Curva!$B$2,((100000/E897)^(252/N897)-1)),"")</f>
        <v>#REF!</v>
      </c>
      <c r="P897" s="219" t="e">
        <f>IF(OR(G897=1,G897=2),dadosexternosBMF_1!B900,"")</f>
        <v>#REF!</v>
      </c>
      <c r="Q897" s="219" t="e">
        <f>IF(OR(G897=1,G897=2),dadosexternosBMF_1!D900,"")</f>
        <v>#REF!</v>
      </c>
    </row>
    <row r="898" spans="1:17" x14ac:dyDescent="0.2">
      <c r="A898" s="222" t="e">
        <f t="shared" si="96"/>
        <v>#REF!</v>
      </c>
      <c r="B898" s="222" t="str">
        <f>IF(dadosexternosBMF_1!A901="DI1 - DI de 1 dia","DI1 - DI de 1 dia","")</f>
        <v/>
      </c>
      <c r="C898" s="222" t="e">
        <f>IF(dadosexternosBMF_1!A901="DOL - Dólar comercial","",IF(C897&lt;&gt;"",dadosexternosBMF_1!B901,IF(dadosexternosBMF_1!A901="DI1 - DI de 1 dia",dadosexternosBMF_1!B901,"")))</f>
        <v>#REF!</v>
      </c>
      <c r="D898" s="222" t="e">
        <f>IF(C898&lt;&gt;"",dadosexternosBMF_1!C901,"")</f>
        <v>#REF!</v>
      </c>
      <c r="E898" s="222" t="e">
        <f>IF(C898&lt;&gt;"",dadosexternosBMF_1!D901,"")</f>
        <v>#REF!</v>
      </c>
      <c r="G898" s="219" t="e">
        <f t="shared" si="97"/>
        <v>#REF!</v>
      </c>
      <c r="H898" s="219" t="e">
        <f t="shared" si="98"/>
        <v>#REF!</v>
      </c>
      <c r="I898" s="219" t="e">
        <f t="shared" si="99"/>
        <v>#REF!</v>
      </c>
      <c r="J898" s="219" t="e">
        <f>IF(I898="","",VLOOKUP(LEFT(C898,1),dadosexternosBMF_1!$L$2:$M$13,2,FALSE))</f>
        <v>#REF!</v>
      </c>
      <c r="K898" s="219" t="e">
        <f t="shared" si="100"/>
        <v>#REF!</v>
      </c>
      <c r="L898" s="422" t="e">
        <f t="shared" si="101"/>
        <v>#REF!</v>
      </c>
      <c r="M898" s="422" t="e">
        <f>IF(I898="","",WORKDAY(L898-1,1,FERIADOS!$A$2:$A$831))</f>
        <v>#REF!</v>
      </c>
      <c r="N898" s="219" t="e">
        <f>IF(I898="","",NETWORKDAYS(Curva!$M$2,M898,FERIADOS!$A$2:$A$831)-1)</f>
        <v>#REF!</v>
      </c>
      <c r="O898" s="423" t="e">
        <f>IF(C898&lt;&gt;"",IF(ISERROR((100000/E898)^(252/N898)-1),Curva!$B$2,((100000/E898)^(252/N898)-1)),"")</f>
        <v>#REF!</v>
      </c>
      <c r="P898" s="219" t="e">
        <f>IF(OR(G898=1,G898=2),dadosexternosBMF_1!B901,"")</f>
        <v>#REF!</v>
      </c>
      <c r="Q898" s="219" t="e">
        <f>IF(OR(G898=1,G898=2),dadosexternosBMF_1!D901,"")</f>
        <v>#REF!</v>
      </c>
    </row>
    <row r="899" spans="1:17" x14ac:dyDescent="0.2">
      <c r="A899" s="222" t="e">
        <f t="shared" si="96"/>
        <v>#REF!</v>
      </c>
      <c r="B899" s="222" t="str">
        <f>IF(dadosexternosBMF_1!A902="DI1 - DI de 1 dia","DI1 - DI de 1 dia","")</f>
        <v/>
      </c>
      <c r="C899" s="222" t="e">
        <f>IF(dadosexternosBMF_1!A902="DOL - Dólar comercial","",IF(C898&lt;&gt;"",dadosexternosBMF_1!B902,IF(dadosexternosBMF_1!A902="DI1 - DI de 1 dia",dadosexternosBMF_1!B902,"")))</f>
        <v>#REF!</v>
      </c>
      <c r="D899" s="222" t="e">
        <f>IF(C899&lt;&gt;"",dadosexternosBMF_1!C902,"")</f>
        <v>#REF!</v>
      </c>
      <c r="E899" s="222" t="e">
        <f>IF(C899&lt;&gt;"",dadosexternosBMF_1!D902,"")</f>
        <v>#REF!</v>
      </c>
      <c r="G899" s="219" t="e">
        <f t="shared" si="97"/>
        <v>#REF!</v>
      </c>
      <c r="H899" s="219" t="e">
        <f t="shared" si="98"/>
        <v>#REF!</v>
      </c>
      <c r="I899" s="219" t="e">
        <f t="shared" si="99"/>
        <v>#REF!</v>
      </c>
      <c r="J899" s="219" t="e">
        <f>IF(I899="","",VLOOKUP(LEFT(C899,1),dadosexternosBMF_1!$L$2:$M$13,2,FALSE))</f>
        <v>#REF!</v>
      </c>
      <c r="K899" s="219" t="e">
        <f t="shared" si="100"/>
        <v>#REF!</v>
      </c>
      <c r="L899" s="422" t="e">
        <f t="shared" si="101"/>
        <v>#REF!</v>
      </c>
      <c r="M899" s="422" t="e">
        <f>IF(I899="","",WORKDAY(L899-1,1,FERIADOS!$A$2:$A$831))</f>
        <v>#REF!</v>
      </c>
      <c r="N899" s="219" t="e">
        <f>IF(I899="","",NETWORKDAYS(Curva!$M$2,M899,FERIADOS!$A$2:$A$831)-1)</f>
        <v>#REF!</v>
      </c>
      <c r="O899" s="423" t="e">
        <f>IF(C899&lt;&gt;"",IF(ISERROR((100000/E899)^(252/N899)-1),Curva!$B$2,((100000/E899)^(252/N899)-1)),"")</f>
        <v>#REF!</v>
      </c>
      <c r="P899" s="219" t="e">
        <f>IF(OR(G899=1,G899=2),dadosexternosBMF_1!B902,"")</f>
        <v>#REF!</v>
      </c>
      <c r="Q899" s="219" t="e">
        <f>IF(OR(G899=1,G899=2),dadosexternosBMF_1!D902,"")</f>
        <v>#REF!</v>
      </c>
    </row>
    <row r="900" spans="1:17" x14ac:dyDescent="0.2">
      <c r="A900" s="222" t="e">
        <f t="shared" si="96"/>
        <v>#REF!</v>
      </c>
      <c r="B900" s="222" t="str">
        <f>IF(dadosexternosBMF_1!A903="DI1 - DI de 1 dia","DI1 - DI de 1 dia","")</f>
        <v/>
      </c>
      <c r="C900" s="222" t="e">
        <f>IF(dadosexternosBMF_1!A903="DOL - Dólar comercial","",IF(C899&lt;&gt;"",dadosexternosBMF_1!B903,IF(dadosexternosBMF_1!A903="DI1 - DI de 1 dia",dadosexternosBMF_1!B903,"")))</f>
        <v>#REF!</v>
      </c>
      <c r="D900" s="222" t="e">
        <f>IF(C900&lt;&gt;"",dadosexternosBMF_1!C903,"")</f>
        <v>#REF!</v>
      </c>
      <c r="E900" s="222" t="e">
        <f>IF(C900&lt;&gt;"",dadosexternosBMF_1!D903,"")</f>
        <v>#REF!</v>
      </c>
      <c r="G900" s="219" t="e">
        <f t="shared" si="97"/>
        <v>#REF!</v>
      </c>
      <c r="H900" s="219" t="e">
        <f t="shared" si="98"/>
        <v>#REF!</v>
      </c>
      <c r="I900" s="219" t="e">
        <f t="shared" si="99"/>
        <v>#REF!</v>
      </c>
      <c r="J900" s="219" t="e">
        <f>IF(I900="","",VLOOKUP(LEFT(C900,1),dadosexternosBMF_1!$L$2:$M$13,2,FALSE))</f>
        <v>#REF!</v>
      </c>
      <c r="K900" s="219" t="e">
        <f t="shared" si="100"/>
        <v>#REF!</v>
      </c>
      <c r="L900" s="422" t="e">
        <f t="shared" si="101"/>
        <v>#REF!</v>
      </c>
      <c r="M900" s="422" t="e">
        <f>IF(I900="","",WORKDAY(L900-1,1,FERIADOS!$A$2:$A$831))</f>
        <v>#REF!</v>
      </c>
      <c r="N900" s="219" t="e">
        <f>IF(I900="","",NETWORKDAYS(Curva!$M$2,M900,FERIADOS!$A$2:$A$831)-1)</f>
        <v>#REF!</v>
      </c>
      <c r="O900" s="423" t="e">
        <f>IF(C900&lt;&gt;"",IF(ISERROR((100000/E900)^(252/N900)-1),Curva!$B$2,((100000/E900)^(252/N900)-1)),"")</f>
        <v>#REF!</v>
      </c>
      <c r="P900" s="219" t="e">
        <f>IF(OR(G900=1,G900=2),dadosexternosBMF_1!B903,"")</f>
        <v>#REF!</v>
      </c>
      <c r="Q900" s="219" t="e">
        <f>IF(OR(G900=1,G900=2),dadosexternosBMF_1!D903,"")</f>
        <v>#REF!</v>
      </c>
    </row>
    <row r="901" spans="1:17" x14ac:dyDescent="0.2">
      <c r="A901" s="222" t="e">
        <f t="shared" si="96"/>
        <v>#REF!</v>
      </c>
      <c r="B901" s="222" t="str">
        <f>IF(dadosexternosBMF_1!A904="DI1 - DI de 1 dia","DI1 - DI de 1 dia","")</f>
        <v/>
      </c>
      <c r="C901" s="222" t="e">
        <f>IF(dadosexternosBMF_1!A904="DOL - Dólar comercial","",IF(C900&lt;&gt;"",dadosexternosBMF_1!B904,IF(dadosexternosBMF_1!A904="DI1 - DI de 1 dia",dadosexternosBMF_1!B904,"")))</f>
        <v>#REF!</v>
      </c>
      <c r="D901" s="222" t="e">
        <f>IF(C901&lt;&gt;"",dadosexternosBMF_1!C904,"")</f>
        <v>#REF!</v>
      </c>
      <c r="E901" s="222" t="e">
        <f>IF(C901&lt;&gt;"",dadosexternosBMF_1!D904,"")</f>
        <v>#REF!</v>
      </c>
      <c r="G901" s="219" t="e">
        <f t="shared" si="97"/>
        <v>#REF!</v>
      </c>
      <c r="H901" s="219" t="e">
        <f t="shared" si="98"/>
        <v>#REF!</v>
      </c>
      <c r="I901" s="219" t="e">
        <f t="shared" si="99"/>
        <v>#REF!</v>
      </c>
      <c r="J901" s="219" t="e">
        <f>IF(I901="","",VLOOKUP(LEFT(C901,1),dadosexternosBMF_1!$L$2:$M$13,2,FALSE))</f>
        <v>#REF!</v>
      </c>
      <c r="K901" s="219" t="e">
        <f t="shared" si="100"/>
        <v>#REF!</v>
      </c>
      <c r="L901" s="422" t="e">
        <f t="shared" si="101"/>
        <v>#REF!</v>
      </c>
      <c r="M901" s="422" t="e">
        <f>IF(I901="","",WORKDAY(L901-1,1,FERIADOS!$A$2:$A$831))</f>
        <v>#REF!</v>
      </c>
      <c r="N901" s="219" t="e">
        <f>IF(I901="","",NETWORKDAYS(Curva!$M$2,M901,FERIADOS!$A$2:$A$831)-1)</f>
        <v>#REF!</v>
      </c>
      <c r="O901" s="423" t="e">
        <f>IF(C901&lt;&gt;"",IF(ISERROR((100000/E901)^(252/N901)-1),Curva!$B$2,((100000/E901)^(252/N901)-1)),"")</f>
        <v>#REF!</v>
      </c>
      <c r="P901" s="219" t="e">
        <f>IF(OR(G901=1,G901=2),dadosexternosBMF_1!B904,"")</f>
        <v>#REF!</v>
      </c>
      <c r="Q901" s="219" t="e">
        <f>IF(OR(G901=1,G901=2),dadosexternosBMF_1!D904,"")</f>
        <v>#REF!</v>
      </c>
    </row>
    <row r="902" spans="1:17" x14ac:dyDescent="0.2">
      <c r="A902" s="222" t="e">
        <f t="shared" si="96"/>
        <v>#REF!</v>
      </c>
      <c r="B902" s="222" t="str">
        <f>IF(dadosexternosBMF_1!A905="DI1 - DI de 1 dia","DI1 - DI de 1 dia","")</f>
        <v/>
      </c>
      <c r="C902" s="222" t="e">
        <f>IF(dadosexternosBMF_1!A905="DOL - Dólar comercial","",IF(C901&lt;&gt;"",dadosexternosBMF_1!B905,IF(dadosexternosBMF_1!A905="DI1 - DI de 1 dia",dadosexternosBMF_1!B905,"")))</f>
        <v>#REF!</v>
      </c>
      <c r="D902" s="222" t="e">
        <f>IF(C902&lt;&gt;"",dadosexternosBMF_1!C905,"")</f>
        <v>#REF!</v>
      </c>
      <c r="E902" s="222" t="e">
        <f>IF(C902&lt;&gt;"",dadosexternosBMF_1!D905,"")</f>
        <v>#REF!</v>
      </c>
      <c r="G902" s="219" t="e">
        <f t="shared" si="97"/>
        <v>#REF!</v>
      </c>
      <c r="H902" s="219" t="e">
        <f t="shared" si="98"/>
        <v>#REF!</v>
      </c>
      <c r="I902" s="219" t="e">
        <f t="shared" si="99"/>
        <v>#REF!</v>
      </c>
      <c r="J902" s="219" t="e">
        <f>IF(I902="","",VLOOKUP(LEFT(C902,1),dadosexternosBMF_1!$L$2:$M$13,2,FALSE))</f>
        <v>#REF!</v>
      </c>
      <c r="K902" s="219" t="e">
        <f t="shared" si="100"/>
        <v>#REF!</v>
      </c>
      <c r="L902" s="422" t="e">
        <f t="shared" si="101"/>
        <v>#REF!</v>
      </c>
      <c r="M902" s="422" t="e">
        <f>IF(I902="","",WORKDAY(L902-1,1,FERIADOS!$A$2:$A$831))</f>
        <v>#REF!</v>
      </c>
      <c r="N902" s="219" t="e">
        <f>IF(I902="","",NETWORKDAYS(Curva!$M$2,M902,FERIADOS!$A$2:$A$831)-1)</f>
        <v>#REF!</v>
      </c>
      <c r="O902" s="423" t="e">
        <f>IF(C902&lt;&gt;"",IF(ISERROR((100000/E902)^(252/N902)-1),Curva!$B$2,((100000/E902)^(252/N902)-1)),"")</f>
        <v>#REF!</v>
      </c>
      <c r="P902" s="219" t="e">
        <f>IF(OR(G902=1,G902=2),dadosexternosBMF_1!B905,"")</f>
        <v>#REF!</v>
      </c>
      <c r="Q902" s="219" t="e">
        <f>IF(OR(G902=1,G902=2),dadosexternosBMF_1!D905,"")</f>
        <v>#REF!</v>
      </c>
    </row>
    <row r="903" spans="1:17" x14ac:dyDescent="0.2">
      <c r="A903" s="222" t="e">
        <f t="shared" si="96"/>
        <v>#REF!</v>
      </c>
      <c r="B903" s="222" t="str">
        <f>IF(dadosexternosBMF_1!A906="DI1 - DI de 1 dia","DI1 - DI de 1 dia","")</f>
        <v/>
      </c>
      <c r="C903" s="222" t="e">
        <f>IF(dadosexternosBMF_1!A906="DOL - Dólar comercial","",IF(C902&lt;&gt;"",dadosexternosBMF_1!B906,IF(dadosexternosBMF_1!A906="DI1 - DI de 1 dia",dadosexternosBMF_1!B906,"")))</f>
        <v>#REF!</v>
      </c>
      <c r="D903" s="222" t="e">
        <f>IF(C903&lt;&gt;"",dadosexternosBMF_1!C906,"")</f>
        <v>#REF!</v>
      </c>
      <c r="E903" s="222" t="e">
        <f>IF(C903&lt;&gt;"",dadosexternosBMF_1!D906,"")</f>
        <v>#REF!</v>
      </c>
      <c r="G903" s="219" t="e">
        <f t="shared" si="97"/>
        <v>#REF!</v>
      </c>
      <c r="H903" s="219" t="e">
        <f t="shared" si="98"/>
        <v>#REF!</v>
      </c>
      <c r="I903" s="219" t="e">
        <f t="shared" si="99"/>
        <v>#REF!</v>
      </c>
      <c r="J903" s="219" t="e">
        <f>IF(I903="","",VLOOKUP(LEFT(C903,1),dadosexternosBMF_1!$L$2:$M$13,2,FALSE))</f>
        <v>#REF!</v>
      </c>
      <c r="K903" s="219" t="e">
        <f t="shared" si="100"/>
        <v>#REF!</v>
      </c>
      <c r="L903" s="422" t="e">
        <f t="shared" si="101"/>
        <v>#REF!</v>
      </c>
      <c r="M903" s="422" t="e">
        <f>IF(I903="","",WORKDAY(L903-1,1,FERIADOS!$A$2:$A$831))</f>
        <v>#REF!</v>
      </c>
      <c r="N903" s="219" t="e">
        <f>IF(I903="","",NETWORKDAYS(Curva!$M$2,M903,FERIADOS!$A$2:$A$831)-1)</f>
        <v>#REF!</v>
      </c>
      <c r="O903" s="423" t="e">
        <f>IF(C903&lt;&gt;"",IF(ISERROR((100000/E903)^(252/N903)-1),Curva!$B$2,((100000/E903)^(252/N903)-1)),"")</f>
        <v>#REF!</v>
      </c>
      <c r="P903" s="219" t="e">
        <f>IF(OR(G903=1,G903=2),dadosexternosBMF_1!B906,"")</f>
        <v>#REF!</v>
      </c>
      <c r="Q903" s="219" t="e">
        <f>IF(OR(G903=1,G903=2),dadosexternosBMF_1!D906,"")</f>
        <v>#REF!</v>
      </c>
    </row>
    <row r="904" spans="1:17" x14ac:dyDescent="0.2">
      <c r="A904" s="222" t="e">
        <f t="shared" si="96"/>
        <v>#REF!</v>
      </c>
      <c r="B904" s="222" t="str">
        <f>IF(dadosexternosBMF_1!A907="DI1 - DI de 1 dia","DI1 - DI de 1 dia","")</f>
        <v/>
      </c>
      <c r="C904" s="222" t="e">
        <f>IF(dadosexternosBMF_1!A907="DOL - Dólar comercial","",IF(C903&lt;&gt;"",dadosexternosBMF_1!B907,IF(dadosexternosBMF_1!A907="DI1 - DI de 1 dia",dadosexternosBMF_1!B907,"")))</f>
        <v>#REF!</v>
      </c>
      <c r="D904" s="222" t="e">
        <f>IF(C904&lt;&gt;"",dadosexternosBMF_1!C907,"")</f>
        <v>#REF!</v>
      </c>
      <c r="E904" s="222" t="e">
        <f>IF(C904&lt;&gt;"",dadosexternosBMF_1!D907,"")</f>
        <v>#REF!</v>
      </c>
      <c r="G904" s="219" t="e">
        <f t="shared" si="97"/>
        <v>#REF!</v>
      </c>
      <c r="H904" s="219" t="e">
        <f t="shared" si="98"/>
        <v>#REF!</v>
      </c>
      <c r="I904" s="219" t="e">
        <f t="shared" si="99"/>
        <v>#REF!</v>
      </c>
      <c r="J904" s="219" t="e">
        <f>IF(I904="","",VLOOKUP(LEFT(C904,1),dadosexternosBMF_1!$L$2:$M$13,2,FALSE))</f>
        <v>#REF!</v>
      </c>
      <c r="K904" s="219" t="e">
        <f t="shared" si="100"/>
        <v>#REF!</v>
      </c>
      <c r="L904" s="422" t="e">
        <f t="shared" si="101"/>
        <v>#REF!</v>
      </c>
      <c r="M904" s="422" t="e">
        <f>IF(I904="","",WORKDAY(L904-1,1,FERIADOS!$A$2:$A$831))</f>
        <v>#REF!</v>
      </c>
      <c r="N904" s="219" t="e">
        <f>IF(I904="","",NETWORKDAYS(Curva!$M$2,M904,FERIADOS!$A$2:$A$831)-1)</f>
        <v>#REF!</v>
      </c>
      <c r="O904" s="423" t="e">
        <f>IF(C904&lt;&gt;"",IF(ISERROR((100000/E904)^(252/N904)-1),Curva!$B$2,((100000/E904)^(252/N904)-1)),"")</f>
        <v>#REF!</v>
      </c>
      <c r="P904" s="219" t="e">
        <f>IF(OR(G904=1,G904=2),dadosexternosBMF_1!B907,"")</f>
        <v>#REF!</v>
      </c>
      <c r="Q904" s="219" t="e">
        <f>IF(OR(G904=1,G904=2),dadosexternosBMF_1!D907,"")</f>
        <v>#REF!</v>
      </c>
    </row>
    <row r="905" spans="1:17" x14ac:dyDescent="0.2">
      <c r="A905" s="222" t="e">
        <f t="shared" si="96"/>
        <v>#REF!</v>
      </c>
      <c r="B905" s="222" t="str">
        <f>IF(dadosexternosBMF_1!A908="DI1 - DI de 1 dia","DI1 - DI de 1 dia","")</f>
        <v/>
      </c>
      <c r="C905" s="222" t="e">
        <f>IF(dadosexternosBMF_1!A908="DOL - Dólar comercial","",IF(C904&lt;&gt;"",dadosexternosBMF_1!B908,IF(dadosexternosBMF_1!A908="DI1 - DI de 1 dia",dadosexternosBMF_1!B908,"")))</f>
        <v>#REF!</v>
      </c>
      <c r="D905" s="222" t="e">
        <f>IF(C905&lt;&gt;"",dadosexternosBMF_1!C908,"")</f>
        <v>#REF!</v>
      </c>
      <c r="E905" s="222" t="e">
        <f>IF(C905&lt;&gt;"",dadosexternosBMF_1!D908,"")</f>
        <v>#REF!</v>
      </c>
      <c r="G905" s="219" t="e">
        <f t="shared" si="97"/>
        <v>#REF!</v>
      </c>
      <c r="H905" s="219" t="e">
        <f t="shared" si="98"/>
        <v>#REF!</v>
      </c>
      <c r="I905" s="219" t="e">
        <f t="shared" si="99"/>
        <v>#REF!</v>
      </c>
      <c r="J905" s="219" t="e">
        <f>IF(I905="","",VLOOKUP(LEFT(C905,1),dadosexternosBMF_1!$L$2:$M$13,2,FALSE))</f>
        <v>#REF!</v>
      </c>
      <c r="K905" s="219" t="e">
        <f t="shared" si="100"/>
        <v>#REF!</v>
      </c>
      <c r="L905" s="422" t="e">
        <f t="shared" si="101"/>
        <v>#REF!</v>
      </c>
      <c r="M905" s="422" t="e">
        <f>IF(I905="","",WORKDAY(L905-1,1,FERIADOS!$A$2:$A$831))</f>
        <v>#REF!</v>
      </c>
      <c r="N905" s="219" t="e">
        <f>IF(I905="","",NETWORKDAYS(Curva!$M$2,M905,FERIADOS!$A$2:$A$831)-1)</f>
        <v>#REF!</v>
      </c>
      <c r="O905" s="423" t="e">
        <f>IF(C905&lt;&gt;"",IF(ISERROR((100000/E905)^(252/N905)-1),Curva!$B$2,((100000/E905)^(252/N905)-1)),"")</f>
        <v>#REF!</v>
      </c>
      <c r="P905" s="219" t="e">
        <f>IF(OR(G905=1,G905=2),dadosexternosBMF_1!B908,"")</f>
        <v>#REF!</v>
      </c>
      <c r="Q905" s="219" t="e">
        <f>IF(OR(G905=1,G905=2),dadosexternosBMF_1!D908,"")</f>
        <v>#REF!</v>
      </c>
    </row>
    <row r="906" spans="1:17" x14ac:dyDescent="0.2">
      <c r="A906" s="222" t="e">
        <f t="shared" si="96"/>
        <v>#REF!</v>
      </c>
      <c r="B906" s="222" t="str">
        <f>IF(dadosexternosBMF_1!A909="DI1 - DI de 1 dia","DI1 - DI de 1 dia","")</f>
        <v/>
      </c>
      <c r="C906" s="222" t="e">
        <f>IF(dadosexternosBMF_1!A909="DOL - Dólar comercial","",IF(C905&lt;&gt;"",dadosexternosBMF_1!B909,IF(dadosexternosBMF_1!A909="DI1 - DI de 1 dia",dadosexternosBMF_1!B909,"")))</f>
        <v>#REF!</v>
      </c>
      <c r="D906" s="222" t="e">
        <f>IF(C906&lt;&gt;"",dadosexternosBMF_1!C909,"")</f>
        <v>#REF!</v>
      </c>
      <c r="E906" s="222" t="e">
        <f>IF(C906&lt;&gt;"",dadosexternosBMF_1!D909,"")</f>
        <v>#REF!</v>
      </c>
      <c r="G906" s="219" t="e">
        <f t="shared" si="97"/>
        <v>#REF!</v>
      </c>
      <c r="H906" s="219" t="e">
        <f t="shared" si="98"/>
        <v>#REF!</v>
      </c>
      <c r="I906" s="219" t="e">
        <f t="shared" si="99"/>
        <v>#REF!</v>
      </c>
      <c r="J906" s="219" t="e">
        <f>IF(I906="","",VLOOKUP(LEFT(C906,1),dadosexternosBMF_1!$L$2:$M$13,2,FALSE))</f>
        <v>#REF!</v>
      </c>
      <c r="K906" s="219" t="e">
        <f t="shared" si="100"/>
        <v>#REF!</v>
      </c>
      <c r="L906" s="422" t="e">
        <f t="shared" si="101"/>
        <v>#REF!</v>
      </c>
      <c r="M906" s="422" t="e">
        <f>IF(I906="","",WORKDAY(L906-1,1,FERIADOS!$A$2:$A$831))</f>
        <v>#REF!</v>
      </c>
      <c r="N906" s="219" t="e">
        <f>IF(I906="","",NETWORKDAYS(Curva!$M$2,M906,FERIADOS!$A$2:$A$831)-1)</f>
        <v>#REF!</v>
      </c>
      <c r="O906" s="423" t="e">
        <f>IF(C906&lt;&gt;"",IF(ISERROR((100000/E906)^(252/N906)-1),Curva!$B$2,((100000/E906)^(252/N906)-1)),"")</f>
        <v>#REF!</v>
      </c>
      <c r="P906" s="219" t="e">
        <f>IF(OR(G906=1,G906=2),dadosexternosBMF_1!B909,"")</f>
        <v>#REF!</v>
      </c>
      <c r="Q906" s="219" t="e">
        <f>IF(OR(G906=1,G906=2),dadosexternosBMF_1!D909,"")</f>
        <v>#REF!</v>
      </c>
    </row>
    <row r="907" spans="1:17" x14ac:dyDescent="0.2">
      <c r="A907" s="222" t="e">
        <f t="shared" si="96"/>
        <v>#REF!</v>
      </c>
      <c r="B907" s="222" t="str">
        <f>IF(dadosexternosBMF_1!A910="DI1 - DI de 1 dia","DI1 - DI de 1 dia","")</f>
        <v/>
      </c>
      <c r="C907" s="222" t="e">
        <f>IF(dadosexternosBMF_1!A910="DOL - Dólar comercial","",IF(C906&lt;&gt;"",dadosexternosBMF_1!B910,IF(dadosexternosBMF_1!A910="DI1 - DI de 1 dia",dadosexternosBMF_1!B910,"")))</f>
        <v>#REF!</v>
      </c>
      <c r="D907" s="222" t="e">
        <f>IF(C907&lt;&gt;"",dadosexternosBMF_1!C910,"")</f>
        <v>#REF!</v>
      </c>
      <c r="E907" s="222" t="e">
        <f>IF(C907&lt;&gt;"",dadosexternosBMF_1!D910,"")</f>
        <v>#REF!</v>
      </c>
      <c r="G907" s="219" t="e">
        <f t="shared" si="97"/>
        <v>#REF!</v>
      </c>
      <c r="H907" s="219" t="e">
        <f t="shared" si="98"/>
        <v>#REF!</v>
      </c>
      <c r="I907" s="219" t="e">
        <f t="shared" si="99"/>
        <v>#REF!</v>
      </c>
      <c r="J907" s="219" t="e">
        <f>IF(I907="","",VLOOKUP(LEFT(C907,1),dadosexternosBMF_1!$L$2:$M$13,2,FALSE))</f>
        <v>#REF!</v>
      </c>
      <c r="K907" s="219" t="e">
        <f t="shared" si="100"/>
        <v>#REF!</v>
      </c>
      <c r="L907" s="422" t="e">
        <f t="shared" si="101"/>
        <v>#REF!</v>
      </c>
      <c r="M907" s="422" t="e">
        <f>IF(I907="","",WORKDAY(L907-1,1,FERIADOS!$A$2:$A$831))</f>
        <v>#REF!</v>
      </c>
      <c r="N907" s="219" t="e">
        <f>IF(I907="","",NETWORKDAYS(Curva!$M$2,M907,FERIADOS!$A$2:$A$831)-1)</f>
        <v>#REF!</v>
      </c>
      <c r="O907" s="423" t="e">
        <f>IF(C907&lt;&gt;"",IF(ISERROR((100000/E907)^(252/N907)-1),Curva!$B$2,((100000/E907)^(252/N907)-1)),"")</f>
        <v>#REF!</v>
      </c>
      <c r="P907" s="219" t="e">
        <f>IF(OR(G907=1,G907=2),dadosexternosBMF_1!B910,"")</f>
        <v>#REF!</v>
      </c>
      <c r="Q907" s="219" t="e">
        <f>IF(OR(G907=1,G907=2),dadosexternosBMF_1!D910,"")</f>
        <v>#REF!</v>
      </c>
    </row>
    <row r="908" spans="1:17" x14ac:dyDescent="0.2">
      <c r="A908" s="222" t="e">
        <f t="shared" si="96"/>
        <v>#REF!</v>
      </c>
      <c r="B908" s="222" t="str">
        <f>IF(dadosexternosBMF_1!A911="DI1 - DI de 1 dia","DI1 - DI de 1 dia","")</f>
        <v/>
      </c>
      <c r="C908" s="222" t="e">
        <f>IF(dadosexternosBMF_1!A911="DOL - Dólar comercial","",IF(C907&lt;&gt;"",dadosexternosBMF_1!B911,IF(dadosexternosBMF_1!A911="DI1 - DI de 1 dia",dadosexternosBMF_1!B911,"")))</f>
        <v>#REF!</v>
      </c>
      <c r="D908" s="222" t="e">
        <f>IF(C908&lt;&gt;"",dadosexternosBMF_1!C911,"")</f>
        <v>#REF!</v>
      </c>
      <c r="E908" s="222" t="e">
        <f>IF(C908&lt;&gt;"",dadosexternosBMF_1!D911,"")</f>
        <v>#REF!</v>
      </c>
      <c r="G908" s="219" t="e">
        <f t="shared" si="97"/>
        <v>#REF!</v>
      </c>
      <c r="H908" s="219" t="e">
        <f t="shared" si="98"/>
        <v>#REF!</v>
      </c>
      <c r="I908" s="219" t="e">
        <f t="shared" si="99"/>
        <v>#REF!</v>
      </c>
      <c r="J908" s="219" t="e">
        <f>IF(I908="","",VLOOKUP(LEFT(C908,1),dadosexternosBMF_1!$L$2:$M$13,2,FALSE))</f>
        <v>#REF!</v>
      </c>
      <c r="K908" s="219" t="e">
        <f t="shared" si="100"/>
        <v>#REF!</v>
      </c>
      <c r="L908" s="422" t="e">
        <f t="shared" si="101"/>
        <v>#REF!</v>
      </c>
      <c r="M908" s="422" t="e">
        <f>IF(I908="","",WORKDAY(L908-1,1,FERIADOS!$A$2:$A$831))</f>
        <v>#REF!</v>
      </c>
      <c r="N908" s="219" t="e">
        <f>IF(I908="","",NETWORKDAYS(Curva!$M$2,M908,FERIADOS!$A$2:$A$831)-1)</f>
        <v>#REF!</v>
      </c>
      <c r="O908" s="423" t="e">
        <f>IF(C908&lt;&gt;"",IF(ISERROR((100000/E908)^(252/N908)-1),Curva!$B$2,((100000/E908)^(252/N908)-1)),"")</f>
        <v>#REF!</v>
      </c>
      <c r="P908" s="219" t="e">
        <f>IF(OR(G908=1,G908=2),dadosexternosBMF_1!B911,"")</f>
        <v>#REF!</v>
      </c>
      <c r="Q908" s="219" t="e">
        <f>IF(OR(G908=1,G908=2),dadosexternosBMF_1!D911,"")</f>
        <v>#REF!</v>
      </c>
    </row>
    <row r="909" spans="1:17" x14ac:dyDescent="0.2">
      <c r="A909" s="222" t="e">
        <f t="shared" si="96"/>
        <v>#REF!</v>
      </c>
      <c r="B909" s="222" t="str">
        <f>IF(dadosexternosBMF_1!A912="DI1 - DI de 1 dia","DI1 - DI de 1 dia","")</f>
        <v/>
      </c>
      <c r="C909" s="222" t="e">
        <f>IF(dadosexternosBMF_1!A912="DOL - Dólar comercial","",IF(C908&lt;&gt;"",dadosexternosBMF_1!B912,IF(dadosexternosBMF_1!A912="DI1 - DI de 1 dia",dadosexternosBMF_1!B912,"")))</f>
        <v>#REF!</v>
      </c>
      <c r="D909" s="222" t="e">
        <f>IF(C909&lt;&gt;"",dadosexternosBMF_1!C912,"")</f>
        <v>#REF!</v>
      </c>
      <c r="E909" s="222" t="e">
        <f>IF(C909&lt;&gt;"",dadosexternosBMF_1!D912,"")</f>
        <v>#REF!</v>
      </c>
      <c r="G909" s="219" t="e">
        <f t="shared" si="97"/>
        <v>#REF!</v>
      </c>
      <c r="H909" s="219" t="e">
        <f t="shared" si="98"/>
        <v>#REF!</v>
      </c>
      <c r="I909" s="219" t="e">
        <f t="shared" si="99"/>
        <v>#REF!</v>
      </c>
      <c r="J909" s="219" t="e">
        <f>IF(I909="","",VLOOKUP(LEFT(C909,1),dadosexternosBMF_1!$L$2:$M$13,2,FALSE))</f>
        <v>#REF!</v>
      </c>
      <c r="K909" s="219" t="e">
        <f t="shared" si="100"/>
        <v>#REF!</v>
      </c>
      <c r="L909" s="422" t="e">
        <f t="shared" si="101"/>
        <v>#REF!</v>
      </c>
      <c r="M909" s="422" t="e">
        <f>IF(I909="","",WORKDAY(L909-1,1,FERIADOS!$A$2:$A$831))</f>
        <v>#REF!</v>
      </c>
      <c r="N909" s="219" t="e">
        <f>IF(I909="","",NETWORKDAYS(Curva!$M$2,M909,FERIADOS!$A$2:$A$831)-1)</f>
        <v>#REF!</v>
      </c>
      <c r="O909" s="423" t="e">
        <f>IF(C909&lt;&gt;"",IF(ISERROR((100000/E909)^(252/N909)-1),Curva!$B$2,((100000/E909)^(252/N909)-1)),"")</f>
        <v>#REF!</v>
      </c>
      <c r="P909" s="219" t="e">
        <f>IF(OR(G909=1,G909=2),dadosexternosBMF_1!B912,"")</f>
        <v>#REF!</v>
      </c>
      <c r="Q909" s="219" t="e">
        <f>IF(OR(G909=1,G909=2),dadosexternosBMF_1!D912,"")</f>
        <v>#REF!</v>
      </c>
    </row>
    <row r="910" spans="1:17" x14ac:dyDescent="0.2">
      <c r="A910" s="222" t="e">
        <f t="shared" si="96"/>
        <v>#REF!</v>
      </c>
      <c r="B910" s="222" t="str">
        <f>IF(dadosexternosBMF_1!A913="DI1 - DI de 1 dia","DI1 - DI de 1 dia","")</f>
        <v/>
      </c>
      <c r="C910" s="222" t="e">
        <f>IF(dadosexternosBMF_1!A913="DOL - Dólar comercial","",IF(C909&lt;&gt;"",dadosexternosBMF_1!B913,IF(dadosexternosBMF_1!A913="DI1 - DI de 1 dia",dadosexternosBMF_1!B913,"")))</f>
        <v>#REF!</v>
      </c>
      <c r="D910" s="222" t="e">
        <f>IF(C910&lt;&gt;"",dadosexternosBMF_1!C913,"")</f>
        <v>#REF!</v>
      </c>
      <c r="E910" s="222" t="e">
        <f>IF(C910&lt;&gt;"",dadosexternosBMF_1!D913,"")</f>
        <v>#REF!</v>
      </c>
      <c r="G910" s="219" t="e">
        <f t="shared" si="97"/>
        <v>#REF!</v>
      </c>
      <c r="H910" s="219" t="e">
        <f t="shared" si="98"/>
        <v>#REF!</v>
      </c>
      <c r="I910" s="219" t="e">
        <f t="shared" si="99"/>
        <v>#REF!</v>
      </c>
      <c r="J910" s="219" t="e">
        <f>IF(I910="","",VLOOKUP(LEFT(C910,1),dadosexternosBMF_1!$L$2:$M$13,2,FALSE))</f>
        <v>#REF!</v>
      </c>
      <c r="K910" s="219" t="e">
        <f t="shared" si="100"/>
        <v>#REF!</v>
      </c>
      <c r="L910" s="422" t="e">
        <f t="shared" si="101"/>
        <v>#REF!</v>
      </c>
      <c r="M910" s="422" t="e">
        <f>IF(I910="","",WORKDAY(L910-1,1,FERIADOS!$A$2:$A$831))</f>
        <v>#REF!</v>
      </c>
      <c r="N910" s="219" t="e">
        <f>IF(I910="","",NETWORKDAYS(Curva!$M$2,M910,FERIADOS!$A$2:$A$831)-1)</f>
        <v>#REF!</v>
      </c>
      <c r="O910" s="423" t="e">
        <f>IF(C910&lt;&gt;"",IF(ISERROR((100000/E910)^(252/N910)-1),Curva!$B$2,((100000/E910)^(252/N910)-1)),"")</f>
        <v>#REF!</v>
      </c>
      <c r="P910" s="219" t="e">
        <f>IF(OR(G910=1,G910=2),dadosexternosBMF_1!B913,"")</f>
        <v>#REF!</v>
      </c>
      <c r="Q910" s="219" t="e">
        <f>IF(OR(G910=1,G910=2),dadosexternosBMF_1!D913,"")</f>
        <v>#REF!</v>
      </c>
    </row>
    <row r="911" spans="1:17" x14ac:dyDescent="0.2">
      <c r="A911" s="222" t="e">
        <f t="shared" si="96"/>
        <v>#REF!</v>
      </c>
      <c r="B911" s="222" t="str">
        <f>IF(dadosexternosBMF_1!A914="DI1 - DI de 1 dia","DI1 - DI de 1 dia","")</f>
        <v/>
      </c>
      <c r="C911" s="222" t="e">
        <f>IF(dadosexternosBMF_1!A914="DOL - Dólar comercial","",IF(C910&lt;&gt;"",dadosexternosBMF_1!B914,IF(dadosexternosBMF_1!A914="DI1 - DI de 1 dia",dadosexternosBMF_1!B914,"")))</f>
        <v>#REF!</v>
      </c>
      <c r="D911" s="222" t="e">
        <f>IF(C911&lt;&gt;"",dadosexternosBMF_1!C914,"")</f>
        <v>#REF!</v>
      </c>
      <c r="E911" s="222" t="e">
        <f>IF(C911&lt;&gt;"",dadosexternosBMF_1!D914,"")</f>
        <v>#REF!</v>
      </c>
      <c r="G911" s="219" t="e">
        <f t="shared" si="97"/>
        <v>#REF!</v>
      </c>
      <c r="H911" s="219" t="e">
        <f t="shared" si="98"/>
        <v>#REF!</v>
      </c>
      <c r="I911" s="219" t="e">
        <f t="shared" si="99"/>
        <v>#REF!</v>
      </c>
      <c r="J911" s="219" t="e">
        <f>IF(I911="","",VLOOKUP(LEFT(C911,1),dadosexternosBMF_1!$L$2:$M$13,2,FALSE))</f>
        <v>#REF!</v>
      </c>
      <c r="K911" s="219" t="e">
        <f t="shared" si="100"/>
        <v>#REF!</v>
      </c>
      <c r="L911" s="422" t="e">
        <f t="shared" si="101"/>
        <v>#REF!</v>
      </c>
      <c r="M911" s="422" t="e">
        <f>IF(I911="","",WORKDAY(L911-1,1,FERIADOS!$A$2:$A$831))</f>
        <v>#REF!</v>
      </c>
      <c r="N911" s="219" t="e">
        <f>IF(I911="","",NETWORKDAYS(Curva!$M$2,M911,FERIADOS!$A$2:$A$831)-1)</f>
        <v>#REF!</v>
      </c>
      <c r="O911" s="423" t="e">
        <f>IF(C911&lt;&gt;"",IF(ISERROR((100000/E911)^(252/N911)-1),Curva!$B$2,((100000/E911)^(252/N911)-1)),"")</f>
        <v>#REF!</v>
      </c>
      <c r="P911" s="219" t="e">
        <f>IF(OR(G911=1,G911=2),dadosexternosBMF_1!B914,"")</f>
        <v>#REF!</v>
      </c>
      <c r="Q911" s="219" t="e">
        <f>IF(OR(G911=1,G911=2),dadosexternosBMF_1!D914,"")</f>
        <v>#REF!</v>
      </c>
    </row>
    <row r="912" spans="1:17" x14ac:dyDescent="0.2">
      <c r="A912" s="222" t="e">
        <f t="shared" si="96"/>
        <v>#REF!</v>
      </c>
      <c r="B912" s="222" t="str">
        <f>IF(dadosexternosBMF_1!A915="DI1 - DI de 1 dia","DI1 - DI de 1 dia","")</f>
        <v/>
      </c>
      <c r="C912" s="222" t="e">
        <f>IF(dadosexternosBMF_1!A915="DOL - Dólar comercial","",IF(C911&lt;&gt;"",dadosexternosBMF_1!B915,IF(dadosexternosBMF_1!A915="DI1 - DI de 1 dia",dadosexternosBMF_1!B915,"")))</f>
        <v>#REF!</v>
      </c>
      <c r="D912" s="222" t="e">
        <f>IF(C912&lt;&gt;"",dadosexternosBMF_1!C915,"")</f>
        <v>#REF!</v>
      </c>
      <c r="E912" s="222" t="e">
        <f>IF(C912&lt;&gt;"",dadosexternosBMF_1!D915,"")</f>
        <v>#REF!</v>
      </c>
      <c r="G912" s="219" t="e">
        <f t="shared" si="97"/>
        <v>#REF!</v>
      </c>
      <c r="H912" s="219" t="e">
        <f t="shared" si="98"/>
        <v>#REF!</v>
      </c>
      <c r="I912" s="219" t="e">
        <f t="shared" si="99"/>
        <v>#REF!</v>
      </c>
      <c r="J912" s="219" t="e">
        <f>IF(I912="","",VLOOKUP(LEFT(C912,1),dadosexternosBMF_1!$L$2:$M$13,2,FALSE))</f>
        <v>#REF!</v>
      </c>
      <c r="K912" s="219" t="e">
        <f t="shared" si="100"/>
        <v>#REF!</v>
      </c>
      <c r="L912" s="422" t="e">
        <f t="shared" si="101"/>
        <v>#REF!</v>
      </c>
      <c r="M912" s="422" t="e">
        <f>IF(I912="","",WORKDAY(L912-1,1,FERIADOS!$A$2:$A$831))</f>
        <v>#REF!</v>
      </c>
      <c r="N912" s="219" t="e">
        <f>IF(I912="","",NETWORKDAYS(Curva!$M$2,M912,FERIADOS!$A$2:$A$831)-1)</f>
        <v>#REF!</v>
      </c>
      <c r="O912" s="423" t="e">
        <f>IF(C912&lt;&gt;"",IF(ISERROR((100000/E912)^(252/N912)-1),Curva!$B$2,((100000/E912)^(252/N912)-1)),"")</f>
        <v>#REF!</v>
      </c>
      <c r="P912" s="219" t="e">
        <f>IF(OR(G912=1,G912=2),dadosexternosBMF_1!B915,"")</f>
        <v>#REF!</v>
      </c>
      <c r="Q912" s="219" t="e">
        <f>IF(OR(G912=1,G912=2),dadosexternosBMF_1!D915,"")</f>
        <v>#REF!</v>
      </c>
    </row>
    <row r="913" spans="1:17" x14ac:dyDescent="0.2">
      <c r="A913" s="222" t="e">
        <f t="shared" si="96"/>
        <v>#REF!</v>
      </c>
      <c r="B913" s="222" t="str">
        <f>IF(dadosexternosBMF_1!A916="DI1 - DI de 1 dia","DI1 - DI de 1 dia","")</f>
        <v/>
      </c>
      <c r="C913" s="222" t="e">
        <f>IF(dadosexternosBMF_1!A916="DOL - Dólar comercial","",IF(C912&lt;&gt;"",dadosexternosBMF_1!B916,IF(dadosexternosBMF_1!A916="DI1 - DI de 1 dia",dadosexternosBMF_1!B916,"")))</f>
        <v>#REF!</v>
      </c>
      <c r="D913" s="222" t="e">
        <f>IF(C913&lt;&gt;"",dadosexternosBMF_1!C916,"")</f>
        <v>#REF!</v>
      </c>
      <c r="E913" s="222" t="e">
        <f>IF(C913&lt;&gt;"",dadosexternosBMF_1!D916,"")</f>
        <v>#REF!</v>
      </c>
      <c r="G913" s="219" t="e">
        <f t="shared" si="97"/>
        <v>#REF!</v>
      </c>
      <c r="H913" s="219" t="e">
        <f t="shared" si="98"/>
        <v>#REF!</v>
      </c>
      <c r="I913" s="219" t="e">
        <f t="shared" si="99"/>
        <v>#REF!</v>
      </c>
      <c r="J913" s="219" t="e">
        <f>IF(I913="","",VLOOKUP(LEFT(C913,1),dadosexternosBMF_1!$L$2:$M$13,2,FALSE))</f>
        <v>#REF!</v>
      </c>
      <c r="K913" s="219" t="e">
        <f t="shared" si="100"/>
        <v>#REF!</v>
      </c>
      <c r="L913" s="422" t="e">
        <f t="shared" si="101"/>
        <v>#REF!</v>
      </c>
      <c r="M913" s="422" t="e">
        <f>IF(I913="","",WORKDAY(L913-1,1,FERIADOS!$A$2:$A$831))</f>
        <v>#REF!</v>
      </c>
      <c r="N913" s="219" t="e">
        <f>IF(I913="","",NETWORKDAYS(Curva!$M$2,M913,FERIADOS!$A$2:$A$831)-1)</f>
        <v>#REF!</v>
      </c>
      <c r="O913" s="423" t="e">
        <f>IF(C913&lt;&gt;"",IF(ISERROR((100000/E913)^(252/N913)-1),Curva!$B$2,((100000/E913)^(252/N913)-1)),"")</f>
        <v>#REF!</v>
      </c>
      <c r="P913" s="219" t="e">
        <f>IF(OR(G913=1,G913=2),dadosexternosBMF_1!B916,"")</f>
        <v>#REF!</v>
      </c>
      <c r="Q913" s="219" t="e">
        <f>IF(OR(G913=1,G913=2),dadosexternosBMF_1!D916,"")</f>
        <v>#REF!</v>
      </c>
    </row>
    <row r="914" spans="1:17" x14ac:dyDescent="0.2">
      <c r="A914" s="222" t="e">
        <f t="shared" si="96"/>
        <v>#REF!</v>
      </c>
      <c r="B914" s="222" t="str">
        <f>IF(dadosexternosBMF_1!A917="DI1 - DI de 1 dia","DI1 - DI de 1 dia","")</f>
        <v/>
      </c>
      <c r="C914" s="222" t="e">
        <f>IF(dadosexternosBMF_1!A917="DOL - Dólar comercial","",IF(C913&lt;&gt;"",dadosexternosBMF_1!B917,IF(dadosexternosBMF_1!A917="DI1 - DI de 1 dia",dadosexternosBMF_1!B917,"")))</f>
        <v>#REF!</v>
      </c>
      <c r="D914" s="222" t="e">
        <f>IF(C914&lt;&gt;"",dadosexternosBMF_1!C917,"")</f>
        <v>#REF!</v>
      </c>
      <c r="E914" s="222" t="e">
        <f>IF(C914&lt;&gt;"",dadosexternosBMF_1!D917,"")</f>
        <v>#REF!</v>
      </c>
      <c r="G914" s="219" t="e">
        <f t="shared" si="97"/>
        <v>#REF!</v>
      </c>
      <c r="H914" s="219" t="e">
        <f t="shared" si="98"/>
        <v>#REF!</v>
      </c>
      <c r="I914" s="219" t="e">
        <f t="shared" si="99"/>
        <v>#REF!</v>
      </c>
      <c r="J914" s="219" t="e">
        <f>IF(I914="","",VLOOKUP(LEFT(C914,1),dadosexternosBMF_1!$L$2:$M$13,2,FALSE))</f>
        <v>#REF!</v>
      </c>
      <c r="K914" s="219" t="e">
        <f t="shared" si="100"/>
        <v>#REF!</v>
      </c>
      <c r="L914" s="422" t="e">
        <f t="shared" si="101"/>
        <v>#REF!</v>
      </c>
      <c r="M914" s="422" t="e">
        <f>IF(I914="","",WORKDAY(L914-1,1,FERIADOS!$A$2:$A$831))</f>
        <v>#REF!</v>
      </c>
      <c r="N914" s="219" t="e">
        <f>IF(I914="","",NETWORKDAYS(Curva!$M$2,M914,FERIADOS!$A$2:$A$831)-1)</f>
        <v>#REF!</v>
      </c>
      <c r="O914" s="423" t="e">
        <f>IF(C914&lt;&gt;"",IF(ISERROR((100000/E914)^(252/N914)-1),Curva!$B$2,((100000/E914)^(252/N914)-1)),"")</f>
        <v>#REF!</v>
      </c>
      <c r="P914" s="219" t="e">
        <f>IF(OR(G914=1,G914=2),dadosexternosBMF_1!B917,"")</f>
        <v>#REF!</v>
      </c>
      <c r="Q914" s="219" t="e">
        <f>IF(OR(G914=1,G914=2),dadosexternosBMF_1!D917,"")</f>
        <v>#REF!</v>
      </c>
    </row>
    <row r="915" spans="1:17" x14ac:dyDescent="0.2">
      <c r="A915" s="222" t="e">
        <f t="shared" si="96"/>
        <v>#REF!</v>
      </c>
      <c r="B915" s="222" t="str">
        <f>IF(dadosexternosBMF_1!A918="DI1 - DI de 1 dia","DI1 - DI de 1 dia","")</f>
        <v/>
      </c>
      <c r="C915" s="222" t="e">
        <f>IF(dadosexternosBMF_1!A918="DOL - Dólar comercial","",IF(C914&lt;&gt;"",dadosexternosBMF_1!B918,IF(dadosexternosBMF_1!A918="DI1 - DI de 1 dia",dadosexternosBMF_1!B918,"")))</f>
        <v>#REF!</v>
      </c>
      <c r="D915" s="222" t="e">
        <f>IF(C915&lt;&gt;"",dadosexternosBMF_1!C918,"")</f>
        <v>#REF!</v>
      </c>
      <c r="E915" s="222" t="e">
        <f>IF(C915&lt;&gt;"",dadosexternosBMF_1!D918,"")</f>
        <v>#REF!</v>
      </c>
      <c r="G915" s="219" t="e">
        <f t="shared" si="97"/>
        <v>#REF!</v>
      </c>
      <c r="H915" s="219" t="e">
        <f t="shared" si="98"/>
        <v>#REF!</v>
      </c>
      <c r="I915" s="219" t="e">
        <f t="shared" si="99"/>
        <v>#REF!</v>
      </c>
      <c r="J915" s="219" t="e">
        <f>IF(I915="","",VLOOKUP(LEFT(C915,1),dadosexternosBMF_1!$L$2:$M$13,2,FALSE))</f>
        <v>#REF!</v>
      </c>
      <c r="K915" s="219" t="e">
        <f t="shared" si="100"/>
        <v>#REF!</v>
      </c>
      <c r="L915" s="422" t="e">
        <f t="shared" si="101"/>
        <v>#REF!</v>
      </c>
      <c r="M915" s="422" t="e">
        <f>IF(I915="","",WORKDAY(L915-1,1,FERIADOS!$A$2:$A$831))</f>
        <v>#REF!</v>
      </c>
      <c r="N915" s="219" t="e">
        <f>IF(I915="","",NETWORKDAYS(Curva!$M$2,M915,FERIADOS!$A$2:$A$831)-1)</f>
        <v>#REF!</v>
      </c>
      <c r="O915" s="423" t="e">
        <f>IF(C915&lt;&gt;"",IF(ISERROR((100000/E915)^(252/N915)-1),Curva!$B$2,((100000/E915)^(252/N915)-1)),"")</f>
        <v>#REF!</v>
      </c>
      <c r="P915" s="219" t="e">
        <f>IF(OR(G915=1,G915=2),dadosexternosBMF_1!B918,"")</f>
        <v>#REF!</v>
      </c>
      <c r="Q915" s="219" t="e">
        <f>IF(OR(G915=1,G915=2),dadosexternosBMF_1!D918,"")</f>
        <v>#REF!</v>
      </c>
    </row>
    <row r="916" spans="1:17" x14ac:dyDescent="0.2">
      <c r="A916" s="222" t="e">
        <f t="shared" si="96"/>
        <v>#REF!</v>
      </c>
      <c r="B916" s="222" t="str">
        <f>IF(dadosexternosBMF_1!A919="DI1 - DI de 1 dia","DI1 - DI de 1 dia","")</f>
        <v/>
      </c>
      <c r="C916" s="222" t="e">
        <f>IF(dadosexternosBMF_1!A919="DOL - Dólar comercial","",IF(C915&lt;&gt;"",dadosexternosBMF_1!B919,IF(dadosexternosBMF_1!A919="DI1 - DI de 1 dia",dadosexternosBMF_1!B919,"")))</f>
        <v>#REF!</v>
      </c>
      <c r="D916" s="222" t="e">
        <f>IF(C916&lt;&gt;"",dadosexternosBMF_1!C919,"")</f>
        <v>#REF!</v>
      </c>
      <c r="E916" s="222" t="e">
        <f>IF(C916&lt;&gt;"",dadosexternosBMF_1!D919,"")</f>
        <v>#REF!</v>
      </c>
      <c r="G916" s="219" t="e">
        <f t="shared" si="97"/>
        <v>#REF!</v>
      </c>
      <c r="H916" s="219" t="e">
        <f t="shared" si="98"/>
        <v>#REF!</v>
      </c>
      <c r="I916" s="219" t="e">
        <f t="shared" si="99"/>
        <v>#REF!</v>
      </c>
      <c r="J916" s="219" t="e">
        <f>IF(I916="","",VLOOKUP(LEFT(C916,1),dadosexternosBMF_1!$L$2:$M$13,2,FALSE))</f>
        <v>#REF!</v>
      </c>
      <c r="K916" s="219" t="e">
        <f t="shared" si="100"/>
        <v>#REF!</v>
      </c>
      <c r="L916" s="422" t="e">
        <f t="shared" si="101"/>
        <v>#REF!</v>
      </c>
      <c r="M916" s="422" t="e">
        <f>IF(I916="","",WORKDAY(L916-1,1,FERIADOS!$A$2:$A$831))</f>
        <v>#REF!</v>
      </c>
      <c r="N916" s="219" t="e">
        <f>IF(I916="","",NETWORKDAYS(Curva!$M$2,M916,FERIADOS!$A$2:$A$831)-1)</f>
        <v>#REF!</v>
      </c>
      <c r="O916" s="423" t="e">
        <f>IF(C916&lt;&gt;"",IF(ISERROR((100000/E916)^(252/N916)-1),Curva!$B$2,((100000/E916)^(252/N916)-1)),"")</f>
        <v>#REF!</v>
      </c>
      <c r="P916" s="219" t="e">
        <f>IF(OR(G916=1,G916=2),dadosexternosBMF_1!B919,"")</f>
        <v>#REF!</v>
      </c>
      <c r="Q916" s="219" t="e">
        <f>IF(OR(G916=1,G916=2),dadosexternosBMF_1!D919,"")</f>
        <v>#REF!</v>
      </c>
    </row>
    <row r="917" spans="1:17" x14ac:dyDescent="0.2">
      <c r="A917" s="222" t="e">
        <f t="shared" si="96"/>
        <v>#REF!</v>
      </c>
      <c r="B917" s="222" t="str">
        <f>IF(dadosexternosBMF_1!A920="DI1 - DI de 1 dia","DI1 - DI de 1 dia","")</f>
        <v/>
      </c>
      <c r="C917" s="222" t="e">
        <f>IF(dadosexternosBMF_1!A920="DOL - Dólar comercial","",IF(C916&lt;&gt;"",dadosexternosBMF_1!B920,IF(dadosexternosBMF_1!A920="DI1 - DI de 1 dia",dadosexternosBMF_1!B920,"")))</f>
        <v>#REF!</v>
      </c>
      <c r="D917" s="222" t="e">
        <f>IF(C917&lt;&gt;"",dadosexternosBMF_1!C920,"")</f>
        <v>#REF!</v>
      </c>
      <c r="E917" s="222" t="e">
        <f>IF(C917&lt;&gt;"",dadosexternosBMF_1!D920,"")</f>
        <v>#REF!</v>
      </c>
      <c r="G917" s="219" t="e">
        <f t="shared" si="97"/>
        <v>#REF!</v>
      </c>
      <c r="H917" s="219" t="e">
        <f t="shared" si="98"/>
        <v>#REF!</v>
      </c>
      <c r="I917" s="219" t="e">
        <f t="shared" si="99"/>
        <v>#REF!</v>
      </c>
      <c r="J917" s="219" t="e">
        <f>IF(I917="","",VLOOKUP(LEFT(C917,1),dadosexternosBMF_1!$L$2:$M$13,2,FALSE))</f>
        <v>#REF!</v>
      </c>
      <c r="K917" s="219" t="e">
        <f t="shared" si="100"/>
        <v>#REF!</v>
      </c>
      <c r="L917" s="422" t="e">
        <f t="shared" si="101"/>
        <v>#REF!</v>
      </c>
      <c r="M917" s="422" t="e">
        <f>IF(I917="","",WORKDAY(L917-1,1,FERIADOS!$A$2:$A$831))</f>
        <v>#REF!</v>
      </c>
      <c r="N917" s="219" t="e">
        <f>IF(I917="","",NETWORKDAYS(Curva!$M$2,M917,FERIADOS!$A$2:$A$831)-1)</f>
        <v>#REF!</v>
      </c>
      <c r="O917" s="423" t="e">
        <f>IF(C917&lt;&gt;"",IF(ISERROR((100000/E917)^(252/N917)-1),Curva!$B$2,((100000/E917)^(252/N917)-1)),"")</f>
        <v>#REF!</v>
      </c>
      <c r="P917" s="219" t="e">
        <f>IF(OR(G917=1,G917=2),dadosexternosBMF_1!B920,"")</f>
        <v>#REF!</v>
      </c>
      <c r="Q917" s="219" t="e">
        <f>IF(OR(G917=1,G917=2),dadosexternosBMF_1!D920,"")</f>
        <v>#REF!</v>
      </c>
    </row>
    <row r="918" spans="1:17" x14ac:dyDescent="0.2">
      <c r="A918" s="222" t="e">
        <f t="shared" si="96"/>
        <v>#REF!</v>
      </c>
      <c r="B918" s="222" t="str">
        <f>IF(dadosexternosBMF_1!A921="DI1 - DI de 1 dia","DI1 - DI de 1 dia","")</f>
        <v/>
      </c>
      <c r="C918" s="222" t="e">
        <f>IF(dadosexternosBMF_1!A921="DOL - Dólar comercial","",IF(C917&lt;&gt;"",dadosexternosBMF_1!B921,IF(dadosexternosBMF_1!A921="DI1 - DI de 1 dia",dadosexternosBMF_1!B921,"")))</f>
        <v>#REF!</v>
      </c>
      <c r="D918" s="222" t="e">
        <f>IF(C918&lt;&gt;"",dadosexternosBMF_1!C921,"")</f>
        <v>#REF!</v>
      </c>
      <c r="E918" s="222" t="e">
        <f>IF(C918&lt;&gt;"",dadosexternosBMF_1!D921,"")</f>
        <v>#REF!</v>
      </c>
      <c r="G918" s="219" t="e">
        <f t="shared" si="97"/>
        <v>#REF!</v>
      </c>
      <c r="H918" s="219" t="e">
        <f t="shared" si="98"/>
        <v>#REF!</v>
      </c>
      <c r="I918" s="219" t="e">
        <f t="shared" si="99"/>
        <v>#REF!</v>
      </c>
      <c r="J918" s="219" t="e">
        <f>IF(I918="","",VLOOKUP(LEFT(C918,1),dadosexternosBMF_1!$L$2:$M$13,2,FALSE))</f>
        <v>#REF!</v>
      </c>
      <c r="K918" s="219" t="e">
        <f t="shared" si="100"/>
        <v>#REF!</v>
      </c>
      <c r="L918" s="422" t="e">
        <f t="shared" si="101"/>
        <v>#REF!</v>
      </c>
      <c r="M918" s="422" t="e">
        <f>IF(I918="","",WORKDAY(L918-1,1,FERIADOS!$A$2:$A$831))</f>
        <v>#REF!</v>
      </c>
      <c r="N918" s="219" t="e">
        <f>IF(I918="","",NETWORKDAYS(Curva!$M$2,M918,FERIADOS!$A$2:$A$831)-1)</f>
        <v>#REF!</v>
      </c>
      <c r="O918" s="423" t="e">
        <f>IF(C918&lt;&gt;"",IF(ISERROR((100000/E918)^(252/N918)-1),Curva!$B$2,((100000/E918)^(252/N918)-1)),"")</f>
        <v>#REF!</v>
      </c>
      <c r="P918" s="219" t="e">
        <f>IF(OR(G918=1,G918=2),dadosexternosBMF_1!B921,"")</f>
        <v>#REF!</v>
      </c>
      <c r="Q918" s="219" t="e">
        <f>IF(OR(G918=1,G918=2),dadosexternosBMF_1!D921,"")</f>
        <v>#REF!</v>
      </c>
    </row>
    <row r="919" spans="1:17" x14ac:dyDescent="0.2">
      <c r="A919" s="222" t="e">
        <f t="shared" si="96"/>
        <v>#REF!</v>
      </c>
      <c r="B919" s="222" t="str">
        <f>IF(dadosexternosBMF_1!A922="DI1 - DI de 1 dia","DI1 - DI de 1 dia","")</f>
        <v/>
      </c>
      <c r="C919" s="222" t="e">
        <f>IF(dadosexternosBMF_1!A922="DOL - Dólar comercial","",IF(C918&lt;&gt;"",dadosexternosBMF_1!B922,IF(dadosexternosBMF_1!A922="DI1 - DI de 1 dia",dadosexternosBMF_1!B922,"")))</f>
        <v>#REF!</v>
      </c>
      <c r="D919" s="222" t="e">
        <f>IF(C919&lt;&gt;"",dadosexternosBMF_1!C922,"")</f>
        <v>#REF!</v>
      </c>
      <c r="E919" s="222" t="e">
        <f>IF(C919&lt;&gt;"",dadosexternosBMF_1!D922,"")</f>
        <v>#REF!</v>
      </c>
      <c r="G919" s="219" t="e">
        <f t="shared" si="97"/>
        <v>#REF!</v>
      </c>
      <c r="H919" s="219" t="e">
        <f t="shared" si="98"/>
        <v>#REF!</v>
      </c>
      <c r="I919" s="219" t="e">
        <f t="shared" si="99"/>
        <v>#REF!</v>
      </c>
      <c r="J919" s="219" t="e">
        <f>IF(I919="","",VLOOKUP(LEFT(C919,1),dadosexternosBMF_1!$L$2:$M$13,2,FALSE))</f>
        <v>#REF!</v>
      </c>
      <c r="K919" s="219" t="e">
        <f t="shared" si="100"/>
        <v>#REF!</v>
      </c>
      <c r="L919" s="422" t="e">
        <f t="shared" si="101"/>
        <v>#REF!</v>
      </c>
      <c r="M919" s="422" t="e">
        <f>IF(I919="","",WORKDAY(L919-1,1,FERIADOS!$A$2:$A$831))</f>
        <v>#REF!</v>
      </c>
      <c r="N919" s="219" t="e">
        <f>IF(I919="","",NETWORKDAYS(Curva!$M$2,M919,FERIADOS!$A$2:$A$831)-1)</f>
        <v>#REF!</v>
      </c>
      <c r="O919" s="423" t="e">
        <f>IF(C919&lt;&gt;"",IF(ISERROR((100000/E919)^(252/N919)-1),Curva!$B$2,((100000/E919)^(252/N919)-1)),"")</f>
        <v>#REF!</v>
      </c>
      <c r="P919" s="219" t="e">
        <f>IF(OR(G919=1,G919=2),dadosexternosBMF_1!B922,"")</f>
        <v>#REF!</v>
      </c>
      <c r="Q919" s="219" t="e">
        <f>IF(OR(G919=1,G919=2),dadosexternosBMF_1!D922,"")</f>
        <v>#REF!</v>
      </c>
    </row>
    <row r="920" spans="1:17" x14ac:dyDescent="0.2">
      <c r="A920" s="222" t="e">
        <f t="shared" si="96"/>
        <v>#REF!</v>
      </c>
      <c r="B920" s="222" t="str">
        <f>IF(dadosexternosBMF_1!A923="DI1 - DI de 1 dia","DI1 - DI de 1 dia","")</f>
        <v/>
      </c>
      <c r="C920" s="222" t="e">
        <f>IF(dadosexternosBMF_1!A923="DOL - Dólar comercial","",IF(C919&lt;&gt;"",dadosexternosBMF_1!B923,IF(dadosexternosBMF_1!A923="DI1 - DI de 1 dia",dadosexternosBMF_1!B923,"")))</f>
        <v>#REF!</v>
      </c>
      <c r="D920" s="222" t="e">
        <f>IF(C920&lt;&gt;"",dadosexternosBMF_1!C923,"")</f>
        <v>#REF!</v>
      </c>
      <c r="E920" s="222" t="e">
        <f>IF(C920&lt;&gt;"",dadosexternosBMF_1!D923,"")</f>
        <v>#REF!</v>
      </c>
      <c r="G920" s="219" t="e">
        <f t="shared" si="97"/>
        <v>#REF!</v>
      </c>
      <c r="H920" s="219" t="e">
        <f t="shared" si="98"/>
        <v>#REF!</v>
      </c>
      <c r="I920" s="219" t="e">
        <f t="shared" si="99"/>
        <v>#REF!</v>
      </c>
      <c r="J920" s="219" t="e">
        <f>IF(I920="","",VLOOKUP(LEFT(C920,1),dadosexternosBMF_1!$L$2:$M$13,2,FALSE))</f>
        <v>#REF!</v>
      </c>
      <c r="K920" s="219" t="e">
        <f t="shared" si="100"/>
        <v>#REF!</v>
      </c>
      <c r="L920" s="422" t="e">
        <f t="shared" si="101"/>
        <v>#REF!</v>
      </c>
      <c r="M920" s="422" t="e">
        <f>IF(I920="","",WORKDAY(L920-1,1,FERIADOS!$A$2:$A$831))</f>
        <v>#REF!</v>
      </c>
      <c r="N920" s="219" t="e">
        <f>IF(I920="","",NETWORKDAYS(Curva!$M$2,M920,FERIADOS!$A$2:$A$831)-1)</f>
        <v>#REF!</v>
      </c>
      <c r="O920" s="423" t="e">
        <f>IF(C920&lt;&gt;"",IF(ISERROR((100000/E920)^(252/N920)-1),Curva!$B$2,((100000/E920)^(252/N920)-1)),"")</f>
        <v>#REF!</v>
      </c>
      <c r="P920" s="219" t="e">
        <f>IF(OR(G920=1,G920=2),dadosexternosBMF_1!B923,"")</f>
        <v>#REF!</v>
      </c>
      <c r="Q920" s="219" t="e">
        <f>IF(OR(G920=1,G920=2),dadosexternosBMF_1!D923,"")</f>
        <v>#REF!</v>
      </c>
    </row>
    <row r="921" spans="1:17" x14ac:dyDescent="0.2">
      <c r="A921" s="222" t="e">
        <f t="shared" si="96"/>
        <v>#REF!</v>
      </c>
      <c r="B921" s="222" t="str">
        <f>IF(dadosexternosBMF_1!A924="DI1 - DI de 1 dia","DI1 - DI de 1 dia","")</f>
        <v/>
      </c>
      <c r="C921" s="222" t="e">
        <f>IF(dadosexternosBMF_1!A924="DOL - Dólar comercial","",IF(C920&lt;&gt;"",dadosexternosBMF_1!B924,IF(dadosexternosBMF_1!A924="DI1 - DI de 1 dia",dadosexternosBMF_1!B924,"")))</f>
        <v>#REF!</v>
      </c>
      <c r="D921" s="222" t="e">
        <f>IF(C921&lt;&gt;"",dadosexternosBMF_1!C924,"")</f>
        <v>#REF!</v>
      </c>
      <c r="E921" s="222" t="e">
        <f>IF(C921&lt;&gt;"",dadosexternosBMF_1!D924,"")</f>
        <v>#REF!</v>
      </c>
      <c r="G921" s="219" t="e">
        <f t="shared" si="97"/>
        <v>#REF!</v>
      </c>
      <c r="H921" s="219" t="e">
        <f t="shared" si="98"/>
        <v>#REF!</v>
      </c>
      <c r="I921" s="219" t="e">
        <f t="shared" si="99"/>
        <v>#REF!</v>
      </c>
      <c r="J921" s="219" t="e">
        <f>IF(I921="","",VLOOKUP(LEFT(C921,1),dadosexternosBMF_1!$L$2:$M$13,2,FALSE))</f>
        <v>#REF!</v>
      </c>
      <c r="K921" s="219" t="e">
        <f t="shared" si="100"/>
        <v>#REF!</v>
      </c>
      <c r="L921" s="422" t="e">
        <f t="shared" si="101"/>
        <v>#REF!</v>
      </c>
      <c r="M921" s="422" t="e">
        <f>IF(I921="","",WORKDAY(L921-1,1,FERIADOS!$A$2:$A$831))</f>
        <v>#REF!</v>
      </c>
      <c r="N921" s="219" t="e">
        <f>IF(I921="","",NETWORKDAYS(Curva!$M$2,M921,FERIADOS!$A$2:$A$831)-1)</f>
        <v>#REF!</v>
      </c>
      <c r="O921" s="423" t="e">
        <f>IF(C921&lt;&gt;"",IF(ISERROR((100000/E921)^(252/N921)-1),Curva!$B$2,((100000/E921)^(252/N921)-1)),"")</f>
        <v>#REF!</v>
      </c>
      <c r="P921" s="219" t="e">
        <f>IF(OR(G921=1,G921=2),dadosexternosBMF_1!B924,"")</f>
        <v>#REF!</v>
      </c>
      <c r="Q921" s="219" t="e">
        <f>IF(OR(G921=1,G921=2),dadosexternosBMF_1!D924,"")</f>
        <v>#REF!</v>
      </c>
    </row>
    <row r="922" spans="1:17" x14ac:dyDescent="0.2">
      <c r="A922" s="222" t="e">
        <f t="shared" si="96"/>
        <v>#REF!</v>
      </c>
      <c r="B922" s="222" t="str">
        <f>IF(dadosexternosBMF_1!A925="DI1 - DI de 1 dia","DI1 - DI de 1 dia","")</f>
        <v/>
      </c>
      <c r="C922" s="222" t="e">
        <f>IF(dadosexternosBMF_1!A925="DOL - Dólar comercial","",IF(C921&lt;&gt;"",dadosexternosBMF_1!B925,IF(dadosexternosBMF_1!A925="DI1 - DI de 1 dia",dadosexternosBMF_1!B925,"")))</f>
        <v>#REF!</v>
      </c>
      <c r="D922" s="222" t="e">
        <f>IF(C922&lt;&gt;"",dadosexternosBMF_1!C925,"")</f>
        <v>#REF!</v>
      </c>
      <c r="E922" s="222" t="e">
        <f>IF(C922&lt;&gt;"",dadosexternosBMF_1!D925,"")</f>
        <v>#REF!</v>
      </c>
      <c r="G922" s="219" t="e">
        <f t="shared" si="97"/>
        <v>#REF!</v>
      </c>
      <c r="H922" s="219" t="e">
        <f t="shared" si="98"/>
        <v>#REF!</v>
      </c>
      <c r="I922" s="219" t="e">
        <f t="shared" si="99"/>
        <v>#REF!</v>
      </c>
      <c r="J922" s="219" t="e">
        <f>IF(I922="","",VLOOKUP(LEFT(C922,1),dadosexternosBMF_1!$L$2:$M$13,2,FALSE))</f>
        <v>#REF!</v>
      </c>
      <c r="K922" s="219" t="e">
        <f t="shared" si="100"/>
        <v>#REF!</v>
      </c>
      <c r="L922" s="422" t="e">
        <f t="shared" si="101"/>
        <v>#REF!</v>
      </c>
      <c r="M922" s="422" t="e">
        <f>IF(I922="","",WORKDAY(L922-1,1,FERIADOS!$A$2:$A$831))</f>
        <v>#REF!</v>
      </c>
      <c r="N922" s="219" t="e">
        <f>IF(I922="","",NETWORKDAYS(Curva!$M$2,M922,FERIADOS!$A$2:$A$831)-1)</f>
        <v>#REF!</v>
      </c>
      <c r="O922" s="423" t="e">
        <f>IF(C922&lt;&gt;"",IF(ISERROR((100000/E922)^(252/N922)-1),Curva!$B$2,((100000/E922)^(252/N922)-1)),"")</f>
        <v>#REF!</v>
      </c>
      <c r="P922" s="219" t="e">
        <f>IF(OR(G922=1,G922=2),dadosexternosBMF_1!B925,"")</f>
        <v>#REF!</v>
      </c>
      <c r="Q922" s="219" t="e">
        <f>IF(OR(G922=1,G922=2),dadosexternosBMF_1!D925,"")</f>
        <v>#REF!</v>
      </c>
    </row>
    <row r="923" spans="1:17" x14ac:dyDescent="0.2">
      <c r="A923" s="222" t="e">
        <f t="shared" ref="A923:A986" si="102">IF(AND(A922&lt;&gt;"",C923&lt;&gt;""),A922+1,IF(B923="DI1 - DI de 1 dia",1,""))</f>
        <v>#REF!</v>
      </c>
      <c r="B923" s="222" t="str">
        <f>IF(dadosexternosBMF_1!A926="DI1 - DI de 1 dia","DI1 - DI de 1 dia","")</f>
        <v/>
      </c>
      <c r="C923" s="222" t="e">
        <f>IF(dadosexternosBMF_1!A926="DOL - Dólar comercial","",IF(C922&lt;&gt;"",dadosexternosBMF_1!B926,IF(dadosexternosBMF_1!A926="DI1 - DI de 1 dia",dadosexternosBMF_1!B926,"")))</f>
        <v>#REF!</v>
      </c>
      <c r="D923" s="222" t="e">
        <f>IF(C923&lt;&gt;"",dadosexternosBMF_1!C926,"")</f>
        <v>#REF!</v>
      </c>
      <c r="E923" s="222" t="e">
        <f>IF(C923&lt;&gt;"",dadosexternosBMF_1!D926,"")</f>
        <v>#REF!</v>
      </c>
      <c r="G923" s="219" t="e">
        <f t="shared" ref="G923:G986" si="103">IF(G922=1,2,IF(AND(H923="",H922&lt;&gt;""),1,""))</f>
        <v>#REF!</v>
      </c>
      <c r="H923" s="219" t="e">
        <f t="shared" ref="H923:H986" si="104">IF(A923&lt;&gt;"",A923,"")</f>
        <v>#REF!</v>
      </c>
      <c r="I923" s="219" t="e">
        <f t="shared" ref="I923:I986" si="105">IF(A923&lt;&gt;"",(CONCATENATE("DI1",C923)),"")</f>
        <v>#REF!</v>
      </c>
      <c r="J923" s="219" t="e">
        <f>IF(I923="","",VLOOKUP(LEFT(C923,1),dadosexternosBMF_1!$L$2:$M$13,2,FALSE))</f>
        <v>#REF!</v>
      </c>
      <c r="K923" s="219" t="e">
        <f t="shared" ref="K923:K986" si="106">IF(I923="","",1+CONCATENATE(20,RIGHT(C923,2))-1)</f>
        <v>#REF!</v>
      </c>
      <c r="L923" s="422" t="e">
        <f t="shared" ref="L923:L986" si="107">IF(I923="","",CONCATENATE(1,"/",J923,"/",K923)+1-1)</f>
        <v>#REF!</v>
      </c>
      <c r="M923" s="422" t="e">
        <f>IF(I923="","",WORKDAY(L923-1,1,FERIADOS!$A$2:$A$831))</f>
        <v>#REF!</v>
      </c>
      <c r="N923" s="219" t="e">
        <f>IF(I923="","",NETWORKDAYS(Curva!$M$2,M923,FERIADOS!$A$2:$A$831)-1)</f>
        <v>#REF!</v>
      </c>
      <c r="O923" s="423" t="e">
        <f>IF(C923&lt;&gt;"",IF(ISERROR((100000/E923)^(252/N923)-1),Curva!$B$2,((100000/E923)^(252/N923)-1)),"")</f>
        <v>#REF!</v>
      </c>
      <c r="P923" s="219" t="e">
        <f>IF(OR(G923=1,G923=2),dadosexternosBMF_1!B926,"")</f>
        <v>#REF!</v>
      </c>
      <c r="Q923" s="219" t="e">
        <f>IF(OR(G923=1,G923=2),dadosexternosBMF_1!D926,"")</f>
        <v>#REF!</v>
      </c>
    </row>
    <row r="924" spans="1:17" x14ac:dyDescent="0.2">
      <c r="A924" s="222" t="e">
        <f t="shared" si="102"/>
        <v>#REF!</v>
      </c>
      <c r="B924" s="222" t="str">
        <f>IF(dadosexternosBMF_1!A927="DI1 - DI de 1 dia","DI1 - DI de 1 dia","")</f>
        <v/>
      </c>
      <c r="C924" s="222" t="e">
        <f>IF(dadosexternosBMF_1!A927="DOL - Dólar comercial","",IF(C923&lt;&gt;"",dadosexternosBMF_1!B927,IF(dadosexternosBMF_1!A927="DI1 - DI de 1 dia",dadosexternosBMF_1!B927,"")))</f>
        <v>#REF!</v>
      </c>
      <c r="D924" s="222" t="e">
        <f>IF(C924&lt;&gt;"",dadosexternosBMF_1!C927,"")</f>
        <v>#REF!</v>
      </c>
      <c r="E924" s="222" t="e">
        <f>IF(C924&lt;&gt;"",dadosexternosBMF_1!D927,"")</f>
        <v>#REF!</v>
      </c>
      <c r="G924" s="219" t="e">
        <f t="shared" si="103"/>
        <v>#REF!</v>
      </c>
      <c r="H924" s="219" t="e">
        <f t="shared" si="104"/>
        <v>#REF!</v>
      </c>
      <c r="I924" s="219" t="e">
        <f t="shared" si="105"/>
        <v>#REF!</v>
      </c>
      <c r="J924" s="219" t="e">
        <f>IF(I924="","",VLOOKUP(LEFT(C924,1),dadosexternosBMF_1!$L$2:$M$13,2,FALSE))</f>
        <v>#REF!</v>
      </c>
      <c r="K924" s="219" t="e">
        <f t="shared" si="106"/>
        <v>#REF!</v>
      </c>
      <c r="L924" s="422" t="e">
        <f t="shared" si="107"/>
        <v>#REF!</v>
      </c>
      <c r="M924" s="422" t="e">
        <f>IF(I924="","",WORKDAY(L924-1,1,FERIADOS!$A$2:$A$831))</f>
        <v>#REF!</v>
      </c>
      <c r="N924" s="219" t="e">
        <f>IF(I924="","",NETWORKDAYS(Curva!$M$2,M924,FERIADOS!$A$2:$A$831)-1)</f>
        <v>#REF!</v>
      </c>
      <c r="O924" s="423" t="e">
        <f>IF(C924&lt;&gt;"",IF(ISERROR((100000/E924)^(252/N924)-1),Curva!$B$2,((100000/E924)^(252/N924)-1)),"")</f>
        <v>#REF!</v>
      </c>
      <c r="P924" s="219" t="e">
        <f>IF(OR(G924=1,G924=2),dadosexternosBMF_1!B927,"")</f>
        <v>#REF!</v>
      </c>
      <c r="Q924" s="219" t="e">
        <f>IF(OR(G924=1,G924=2),dadosexternosBMF_1!D927,"")</f>
        <v>#REF!</v>
      </c>
    </row>
    <row r="925" spans="1:17" x14ac:dyDescent="0.2">
      <c r="A925" s="222" t="e">
        <f t="shared" si="102"/>
        <v>#REF!</v>
      </c>
      <c r="B925" s="222" t="str">
        <f>IF(dadosexternosBMF_1!A928="DI1 - DI de 1 dia","DI1 - DI de 1 dia","")</f>
        <v/>
      </c>
      <c r="C925" s="222" t="e">
        <f>IF(dadosexternosBMF_1!A928="DOL - Dólar comercial","",IF(C924&lt;&gt;"",dadosexternosBMF_1!B928,IF(dadosexternosBMF_1!A928="DI1 - DI de 1 dia",dadosexternosBMF_1!B928,"")))</f>
        <v>#REF!</v>
      </c>
      <c r="D925" s="222" t="e">
        <f>IF(C925&lt;&gt;"",dadosexternosBMF_1!C928,"")</f>
        <v>#REF!</v>
      </c>
      <c r="E925" s="222" t="e">
        <f>IF(C925&lt;&gt;"",dadosexternosBMF_1!D928,"")</f>
        <v>#REF!</v>
      </c>
      <c r="G925" s="219" t="e">
        <f t="shared" si="103"/>
        <v>#REF!</v>
      </c>
      <c r="H925" s="219" t="e">
        <f t="shared" si="104"/>
        <v>#REF!</v>
      </c>
      <c r="I925" s="219" t="e">
        <f t="shared" si="105"/>
        <v>#REF!</v>
      </c>
      <c r="J925" s="219" t="e">
        <f>IF(I925="","",VLOOKUP(LEFT(C925,1),dadosexternosBMF_1!$L$2:$M$13,2,FALSE))</f>
        <v>#REF!</v>
      </c>
      <c r="K925" s="219" t="e">
        <f t="shared" si="106"/>
        <v>#REF!</v>
      </c>
      <c r="L925" s="422" t="e">
        <f t="shared" si="107"/>
        <v>#REF!</v>
      </c>
      <c r="M925" s="422" t="e">
        <f>IF(I925="","",WORKDAY(L925-1,1,FERIADOS!$A$2:$A$831))</f>
        <v>#REF!</v>
      </c>
      <c r="N925" s="219" t="e">
        <f>IF(I925="","",NETWORKDAYS(Curva!$M$2,M925,FERIADOS!$A$2:$A$831)-1)</f>
        <v>#REF!</v>
      </c>
      <c r="O925" s="423" t="e">
        <f>IF(C925&lt;&gt;"",IF(ISERROR((100000/E925)^(252/N925)-1),Curva!$B$2,((100000/E925)^(252/N925)-1)),"")</f>
        <v>#REF!</v>
      </c>
      <c r="P925" s="219" t="e">
        <f>IF(OR(G925=1,G925=2),dadosexternosBMF_1!B928,"")</f>
        <v>#REF!</v>
      </c>
      <c r="Q925" s="219" t="e">
        <f>IF(OR(G925=1,G925=2),dadosexternosBMF_1!D928,"")</f>
        <v>#REF!</v>
      </c>
    </row>
    <row r="926" spans="1:17" x14ac:dyDescent="0.2">
      <c r="A926" s="222" t="e">
        <f t="shared" si="102"/>
        <v>#REF!</v>
      </c>
      <c r="B926" s="222" t="str">
        <f>IF(dadosexternosBMF_1!A929="DI1 - DI de 1 dia","DI1 - DI de 1 dia","")</f>
        <v/>
      </c>
      <c r="C926" s="222" t="e">
        <f>IF(dadosexternosBMF_1!A929="DOL - Dólar comercial","",IF(C925&lt;&gt;"",dadosexternosBMF_1!B929,IF(dadosexternosBMF_1!A929="DI1 - DI de 1 dia",dadosexternosBMF_1!B929,"")))</f>
        <v>#REF!</v>
      </c>
      <c r="D926" s="222" t="e">
        <f>IF(C926&lt;&gt;"",dadosexternosBMF_1!C929,"")</f>
        <v>#REF!</v>
      </c>
      <c r="E926" s="222" t="e">
        <f>IF(C926&lt;&gt;"",dadosexternosBMF_1!D929,"")</f>
        <v>#REF!</v>
      </c>
      <c r="G926" s="219" t="e">
        <f t="shared" si="103"/>
        <v>#REF!</v>
      </c>
      <c r="H926" s="219" t="e">
        <f t="shared" si="104"/>
        <v>#REF!</v>
      </c>
      <c r="I926" s="219" t="e">
        <f t="shared" si="105"/>
        <v>#REF!</v>
      </c>
      <c r="J926" s="219" t="e">
        <f>IF(I926="","",VLOOKUP(LEFT(C926,1),dadosexternosBMF_1!$L$2:$M$13,2,FALSE))</f>
        <v>#REF!</v>
      </c>
      <c r="K926" s="219" t="e">
        <f t="shared" si="106"/>
        <v>#REF!</v>
      </c>
      <c r="L926" s="422" t="e">
        <f t="shared" si="107"/>
        <v>#REF!</v>
      </c>
      <c r="M926" s="422" t="e">
        <f>IF(I926="","",WORKDAY(L926-1,1,FERIADOS!$A$2:$A$831))</f>
        <v>#REF!</v>
      </c>
      <c r="N926" s="219" t="e">
        <f>IF(I926="","",NETWORKDAYS(Curva!$M$2,M926,FERIADOS!$A$2:$A$831)-1)</f>
        <v>#REF!</v>
      </c>
      <c r="O926" s="423" t="e">
        <f>IF(C926&lt;&gt;"",IF(ISERROR((100000/E926)^(252/N926)-1),Curva!$B$2,((100000/E926)^(252/N926)-1)),"")</f>
        <v>#REF!</v>
      </c>
      <c r="P926" s="219" t="e">
        <f>IF(OR(G926=1,G926=2),dadosexternosBMF_1!B929,"")</f>
        <v>#REF!</v>
      </c>
      <c r="Q926" s="219" t="e">
        <f>IF(OR(G926=1,G926=2),dadosexternosBMF_1!D929,"")</f>
        <v>#REF!</v>
      </c>
    </row>
    <row r="927" spans="1:17" x14ac:dyDescent="0.2">
      <c r="A927" s="222" t="e">
        <f t="shared" si="102"/>
        <v>#REF!</v>
      </c>
      <c r="B927" s="222" t="str">
        <f>IF(dadosexternosBMF_1!A930="DI1 - DI de 1 dia","DI1 - DI de 1 dia","")</f>
        <v/>
      </c>
      <c r="C927" s="222" t="e">
        <f>IF(dadosexternosBMF_1!A930="DOL - Dólar comercial","",IF(C926&lt;&gt;"",dadosexternosBMF_1!B930,IF(dadosexternosBMF_1!A930="DI1 - DI de 1 dia",dadosexternosBMF_1!B930,"")))</f>
        <v>#REF!</v>
      </c>
      <c r="D927" s="222" t="e">
        <f>IF(C927&lt;&gt;"",dadosexternosBMF_1!C930,"")</f>
        <v>#REF!</v>
      </c>
      <c r="E927" s="222" t="e">
        <f>IF(C927&lt;&gt;"",dadosexternosBMF_1!D930,"")</f>
        <v>#REF!</v>
      </c>
      <c r="G927" s="219" t="e">
        <f t="shared" si="103"/>
        <v>#REF!</v>
      </c>
      <c r="H927" s="219" t="e">
        <f t="shared" si="104"/>
        <v>#REF!</v>
      </c>
      <c r="I927" s="219" t="e">
        <f t="shared" si="105"/>
        <v>#REF!</v>
      </c>
      <c r="J927" s="219" t="e">
        <f>IF(I927="","",VLOOKUP(LEFT(C927,1),dadosexternosBMF_1!$L$2:$M$13,2,FALSE))</f>
        <v>#REF!</v>
      </c>
      <c r="K927" s="219" t="e">
        <f t="shared" si="106"/>
        <v>#REF!</v>
      </c>
      <c r="L927" s="422" t="e">
        <f t="shared" si="107"/>
        <v>#REF!</v>
      </c>
      <c r="M927" s="422" t="e">
        <f>IF(I927="","",WORKDAY(L927-1,1,FERIADOS!$A$2:$A$831))</f>
        <v>#REF!</v>
      </c>
      <c r="N927" s="219" t="e">
        <f>IF(I927="","",NETWORKDAYS(Curva!$M$2,M927,FERIADOS!$A$2:$A$831)-1)</f>
        <v>#REF!</v>
      </c>
      <c r="O927" s="423" t="e">
        <f>IF(C927&lt;&gt;"",IF(ISERROR((100000/E927)^(252/N927)-1),Curva!$B$2,((100000/E927)^(252/N927)-1)),"")</f>
        <v>#REF!</v>
      </c>
      <c r="P927" s="219" t="e">
        <f>IF(OR(G927=1,G927=2),dadosexternosBMF_1!B930,"")</f>
        <v>#REF!</v>
      </c>
      <c r="Q927" s="219" t="e">
        <f>IF(OR(G927=1,G927=2),dadosexternosBMF_1!D930,"")</f>
        <v>#REF!</v>
      </c>
    </row>
    <row r="928" spans="1:17" x14ac:dyDescent="0.2">
      <c r="A928" s="222" t="e">
        <f t="shared" si="102"/>
        <v>#REF!</v>
      </c>
      <c r="B928" s="222" t="str">
        <f>IF(dadosexternosBMF_1!A931="DI1 - DI de 1 dia","DI1 - DI de 1 dia","")</f>
        <v/>
      </c>
      <c r="C928" s="222" t="e">
        <f>IF(dadosexternosBMF_1!A931="DOL - Dólar comercial","",IF(C927&lt;&gt;"",dadosexternosBMF_1!B931,IF(dadosexternosBMF_1!A931="DI1 - DI de 1 dia",dadosexternosBMF_1!B931,"")))</f>
        <v>#REF!</v>
      </c>
      <c r="D928" s="222" t="e">
        <f>IF(C928&lt;&gt;"",dadosexternosBMF_1!C931,"")</f>
        <v>#REF!</v>
      </c>
      <c r="E928" s="222" t="e">
        <f>IF(C928&lt;&gt;"",dadosexternosBMF_1!D931,"")</f>
        <v>#REF!</v>
      </c>
      <c r="G928" s="219" t="e">
        <f t="shared" si="103"/>
        <v>#REF!</v>
      </c>
      <c r="H928" s="219" t="e">
        <f t="shared" si="104"/>
        <v>#REF!</v>
      </c>
      <c r="I928" s="219" t="e">
        <f t="shared" si="105"/>
        <v>#REF!</v>
      </c>
      <c r="J928" s="219" t="e">
        <f>IF(I928="","",VLOOKUP(LEFT(C928,1),dadosexternosBMF_1!$L$2:$M$13,2,FALSE))</f>
        <v>#REF!</v>
      </c>
      <c r="K928" s="219" t="e">
        <f t="shared" si="106"/>
        <v>#REF!</v>
      </c>
      <c r="L928" s="422" t="e">
        <f t="shared" si="107"/>
        <v>#REF!</v>
      </c>
      <c r="M928" s="422" t="e">
        <f>IF(I928="","",WORKDAY(L928-1,1,FERIADOS!$A$2:$A$831))</f>
        <v>#REF!</v>
      </c>
      <c r="N928" s="219" t="e">
        <f>IF(I928="","",NETWORKDAYS(Curva!$M$2,M928,FERIADOS!$A$2:$A$831)-1)</f>
        <v>#REF!</v>
      </c>
      <c r="O928" s="423" t="e">
        <f>IF(C928&lt;&gt;"",IF(ISERROR((100000/E928)^(252/N928)-1),Curva!$B$2,((100000/E928)^(252/N928)-1)),"")</f>
        <v>#REF!</v>
      </c>
      <c r="P928" s="219" t="e">
        <f>IF(OR(G928=1,G928=2),dadosexternosBMF_1!B931,"")</f>
        <v>#REF!</v>
      </c>
      <c r="Q928" s="219" t="e">
        <f>IF(OR(G928=1,G928=2),dadosexternosBMF_1!D931,"")</f>
        <v>#REF!</v>
      </c>
    </row>
    <row r="929" spans="1:17" x14ac:dyDescent="0.2">
      <c r="A929" s="222" t="e">
        <f t="shared" si="102"/>
        <v>#REF!</v>
      </c>
      <c r="B929" s="222" t="str">
        <f>IF(dadosexternosBMF_1!A932="DI1 - DI de 1 dia","DI1 - DI de 1 dia","")</f>
        <v/>
      </c>
      <c r="C929" s="222" t="e">
        <f>IF(dadosexternosBMF_1!A932="DOL - Dólar comercial","",IF(C928&lt;&gt;"",dadosexternosBMF_1!B932,IF(dadosexternosBMF_1!A932="DI1 - DI de 1 dia",dadosexternosBMF_1!B932,"")))</f>
        <v>#REF!</v>
      </c>
      <c r="D929" s="222" t="e">
        <f>IF(C929&lt;&gt;"",dadosexternosBMF_1!C932,"")</f>
        <v>#REF!</v>
      </c>
      <c r="E929" s="222" t="e">
        <f>IF(C929&lt;&gt;"",dadosexternosBMF_1!D932,"")</f>
        <v>#REF!</v>
      </c>
      <c r="G929" s="219" t="e">
        <f t="shared" si="103"/>
        <v>#REF!</v>
      </c>
      <c r="H929" s="219" t="e">
        <f t="shared" si="104"/>
        <v>#REF!</v>
      </c>
      <c r="I929" s="219" t="e">
        <f t="shared" si="105"/>
        <v>#REF!</v>
      </c>
      <c r="J929" s="219" t="e">
        <f>IF(I929="","",VLOOKUP(LEFT(C929,1),dadosexternosBMF_1!$L$2:$M$13,2,FALSE))</f>
        <v>#REF!</v>
      </c>
      <c r="K929" s="219" t="e">
        <f t="shared" si="106"/>
        <v>#REF!</v>
      </c>
      <c r="L929" s="422" t="e">
        <f t="shared" si="107"/>
        <v>#REF!</v>
      </c>
      <c r="M929" s="422" t="e">
        <f>IF(I929="","",WORKDAY(L929-1,1,FERIADOS!$A$2:$A$831))</f>
        <v>#REF!</v>
      </c>
      <c r="N929" s="219" t="e">
        <f>IF(I929="","",NETWORKDAYS(Curva!$M$2,M929,FERIADOS!$A$2:$A$831)-1)</f>
        <v>#REF!</v>
      </c>
      <c r="O929" s="423" t="e">
        <f>IF(C929&lt;&gt;"",IF(ISERROR((100000/E929)^(252/N929)-1),Curva!$B$2,((100000/E929)^(252/N929)-1)),"")</f>
        <v>#REF!</v>
      </c>
      <c r="P929" s="219" t="e">
        <f>IF(OR(G929=1,G929=2),dadosexternosBMF_1!B932,"")</f>
        <v>#REF!</v>
      </c>
      <c r="Q929" s="219" t="e">
        <f>IF(OR(G929=1,G929=2),dadosexternosBMF_1!D932,"")</f>
        <v>#REF!</v>
      </c>
    </row>
    <row r="930" spans="1:17" x14ac:dyDescent="0.2">
      <c r="A930" s="222" t="e">
        <f t="shared" si="102"/>
        <v>#REF!</v>
      </c>
      <c r="B930" s="222" t="str">
        <f>IF(dadosexternosBMF_1!A933="DI1 - DI de 1 dia","DI1 - DI de 1 dia","")</f>
        <v/>
      </c>
      <c r="C930" s="222" t="e">
        <f>IF(dadosexternosBMF_1!A933="DOL - Dólar comercial","",IF(C929&lt;&gt;"",dadosexternosBMF_1!B933,IF(dadosexternosBMF_1!A933="DI1 - DI de 1 dia",dadosexternosBMF_1!B933,"")))</f>
        <v>#REF!</v>
      </c>
      <c r="D930" s="222" t="e">
        <f>IF(C930&lt;&gt;"",dadosexternosBMF_1!C933,"")</f>
        <v>#REF!</v>
      </c>
      <c r="E930" s="222" t="e">
        <f>IF(C930&lt;&gt;"",dadosexternosBMF_1!D933,"")</f>
        <v>#REF!</v>
      </c>
      <c r="G930" s="219" t="e">
        <f t="shared" si="103"/>
        <v>#REF!</v>
      </c>
      <c r="H930" s="219" t="e">
        <f t="shared" si="104"/>
        <v>#REF!</v>
      </c>
      <c r="I930" s="219" t="e">
        <f t="shared" si="105"/>
        <v>#REF!</v>
      </c>
      <c r="J930" s="219" t="e">
        <f>IF(I930="","",VLOOKUP(LEFT(C930,1),dadosexternosBMF_1!$L$2:$M$13,2,FALSE))</f>
        <v>#REF!</v>
      </c>
      <c r="K930" s="219" t="e">
        <f t="shared" si="106"/>
        <v>#REF!</v>
      </c>
      <c r="L930" s="422" t="e">
        <f t="shared" si="107"/>
        <v>#REF!</v>
      </c>
      <c r="M930" s="422" t="e">
        <f>IF(I930="","",WORKDAY(L930-1,1,FERIADOS!$A$2:$A$831))</f>
        <v>#REF!</v>
      </c>
      <c r="N930" s="219" t="e">
        <f>IF(I930="","",NETWORKDAYS(Curva!$M$2,M930,FERIADOS!$A$2:$A$831)-1)</f>
        <v>#REF!</v>
      </c>
      <c r="O930" s="423" t="e">
        <f>IF(C930&lt;&gt;"",IF(ISERROR((100000/E930)^(252/N930)-1),Curva!$B$2,((100000/E930)^(252/N930)-1)),"")</f>
        <v>#REF!</v>
      </c>
      <c r="P930" s="219" t="e">
        <f>IF(OR(G930=1,G930=2),dadosexternosBMF_1!B933,"")</f>
        <v>#REF!</v>
      </c>
      <c r="Q930" s="219" t="e">
        <f>IF(OR(G930=1,G930=2),dadosexternosBMF_1!D933,"")</f>
        <v>#REF!</v>
      </c>
    </row>
    <row r="931" spans="1:17" x14ac:dyDescent="0.2">
      <c r="A931" s="222" t="e">
        <f t="shared" si="102"/>
        <v>#REF!</v>
      </c>
      <c r="B931" s="222" t="str">
        <f>IF(dadosexternosBMF_1!A934="DI1 - DI de 1 dia","DI1 - DI de 1 dia","")</f>
        <v/>
      </c>
      <c r="C931" s="222" t="e">
        <f>IF(dadosexternosBMF_1!A934="DOL - Dólar comercial","",IF(C930&lt;&gt;"",dadosexternosBMF_1!B934,IF(dadosexternosBMF_1!A934="DI1 - DI de 1 dia",dadosexternosBMF_1!B934,"")))</f>
        <v>#REF!</v>
      </c>
      <c r="D931" s="222" t="e">
        <f>IF(C931&lt;&gt;"",dadosexternosBMF_1!C934,"")</f>
        <v>#REF!</v>
      </c>
      <c r="E931" s="222" t="e">
        <f>IF(C931&lt;&gt;"",dadosexternosBMF_1!D934,"")</f>
        <v>#REF!</v>
      </c>
      <c r="G931" s="219" t="e">
        <f t="shared" si="103"/>
        <v>#REF!</v>
      </c>
      <c r="H931" s="219" t="e">
        <f t="shared" si="104"/>
        <v>#REF!</v>
      </c>
      <c r="I931" s="219" t="e">
        <f t="shared" si="105"/>
        <v>#REF!</v>
      </c>
      <c r="J931" s="219" t="e">
        <f>IF(I931="","",VLOOKUP(LEFT(C931,1),dadosexternosBMF_1!$L$2:$M$13,2,FALSE))</f>
        <v>#REF!</v>
      </c>
      <c r="K931" s="219" t="e">
        <f t="shared" si="106"/>
        <v>#REF!</v>
      </c>
      <c r="L931" s="422" t="e">
        <f t="shared" si="107"/>
        <v>#REF!</v>
      </c>
      <c r="M931" s="422" t="e">
        <f>IF(I931="","",WORKDAY(L931-1,1,FERIADOS!$A$2:$A$831))</f>
        <v>#REF!</v>
      </c>
      <c r="N931" s="219" t="e">
        <f>IF(I931="","",NETWORKDAYS(Curva!$M$2,M931,FERIADOS!$A$2:$A$831)-1)</f>
        <v>#REF!</v>
      </c>
      <c r="O931" s="423" t="e">
        <f>IF(C931&lt;&gt;"",IF(ISERROR((100000/E931)^(252/N931)-1),Curva!$B$2,((100000/E931)^(252/N931)-1)),"")</f>
        <v>#REF!</v>
      </c>
      <c r="P931" s="219" t="e">
        <f>IF(OR(G931=1,G931=2),dadosexternosBMF_1!B934,"")</f>
        <v>#REF!</v>
      </c>
      <c r="Q931" s="219" t="e">
        <f>IF(OR(G931=1,G931=2),dadosexternosBMF_1!D934,"")</f>
        <v>#REF!</v>
      </c>
    </row>
    <row r="932" spans="1:17" x14ac:dyDescent="0.2">
      <c r="A932" s="222" t="e">
        <f t="shared" si="102"/>
        <v>#REF!</v>
      </c>
      <c r="B932" s="222" t="str">
        <f>IF(dadosexternosBMF_1!A935="DI1 - DI de 1 dia","DI1 - DI de 1 dia","")</f>
        <v/>
      </c>
      <c r="C932" s="222" t="e">
        <f>IF(dadosexternosBMF_1!A935="DOL - Dólar comercial","",IF(C931&lt;&gt;"",dadosexternosBMF_1!B935,IF(dadosexternosBMF_1!A935="DI1 - DI de 1 dia",dadosexternosBMF_1!B935,"")))</f>
        <v>#REF!</v>
      </c>
      <c r="D932" s="222" t="e">
        <f>IF(C932&lt;&gt;"",dadosexternosBMF_1!C935,"")</f>
        <v>#REF!</v>
      </c>
      <c r="E932" s="222" t="e">
        <f>IF(C932&lt;&gt;"",dadosexternosBMF_1!D935,"")</f>
        <v>#REF!</v>
      </c>
      <c r="G932" s="219" t="e">
        <f t="shared" si="103"/>
        <v>#REF!</v>
      </c>
      <c r="H932" s="219" t="e">
        <f t="shared" si="104"/>
        <v>#REF!</v>
      </c>
      <c r="I932" s="219" t="e">
        <f t="shared" si="105"/>
        <v>#REF!</v>
      </c>
      <c r="J932" s="219" t="e">
        <f>IF(I932="","",VLOOKUP(LEFT(C932,1),dadosexternosBMF_1!$L$2:$M$13,2,FALSE))</f>
        <v>#REF!</v>
      </c>
      <c r="K932" s="219" t="e">
        <f t="shared" si="106"/>
        <v>#REF!</v>
      </c>
      <c r="L932" s="422" t="e">
        <f t="shared" si="107"/>
        <v>#REF!</v>
      </c>
      <c r="M932" s="422" t="e">
        <f>IF(I932="","",WORKDAY(L932-1,1,FERIADOS!$A$2:$A$831))</f>
        <v>#REF!</v>
      </c>
      <c r="N932" s="219" t="e">
        <f>IF(I932="","",NETWORKDAYS(Curva!$M$2,M932,FERIADOS!$A$2:$A$831)-1)</f>
        <v>#REF!</v>
      </c>
      <c r="O932" s="423" t="e">
        <f>IF(C932&lt;&gt;"",IF(ISERROR((100000/E932)^(252/N932)-1),Curva!$B$2,((100000/E932)^(252/N932)-1)),"")</f>
        <v>#REF!</v>
      </c>
      <c r="P932" s="219" t="e">
        <f>IF(OR(G932=1,G932=2),dadosexternosBMF_1!B935,"")</f>
        <v>#REF!</v>
      </c>
      <c r="Q932" s="219" t="e">
        <f>IF(OR(G932=1,G932=2),dadosexternosBMF_1!D935,"")</f>
        <v>#REF!</v>
      </c>
    </row>
    <row r="933" spans="1:17" x14ac:dyDescent="0.2">
      <c r="A933" s="222" t="e">
        <f t="shared" si="102"/>
        <v>#REF!</v>
      </c>
      <c r="B933" s="222" t="str">
        <f>IF(dadosexternosBMF_1!A936="DI1 - DI de 1 dia","DI1 - DI de 1 dia","")</f>
        <v/>
      </c>
      <c r="C933" s="222" t="e">
        <f>IF(dadosexternosBMF_1!A936="DOL - Dólar comercial","",IF(C932&lt;&gt;"",dadosexternosBMF_1!B936,IF(dadosexternosBMF_1!A936="DI1 - DI de 1 dia",dadosexternosBMF_1!B936,"")))</f>
        <v>#REF!</v>
      </c>
      <c r="D933" s="222" t="e">
        <f>IF(C933&lt;&gt;"",dadosexternosBMF_1!C936,"")</f>
        <v>#REF!</v>
      </c>
      <c r="E933" s="222" t="e">
        <f>IF(C933&lt;&gt;"",dadosexternosBMF_1!D936,"")</f>
        <v>#REF!</v>
      </c>
      <c r="G933" s="219" t="e">
        <f t="shared" si="103"/>
        <v>#REF!</v>
      </c>
      <c r="H933" s="219" t="e">
        <f t="shared" si="104"/>
        <v>#REF!</v>
      </c>
      <c r="I933" s="219" t="e">
        <f t="shared" si="105"/>
        <v>#REF!</v>
      </c>
      <c r="J933" s="219" t="e">
        <f>IF(I933="","",VLOOKUP(LEFT(C933,1),dadosexternosBMF_1!$L$2:$M$13,2,FALSE))</f>
        <v>#REF!</v>
      </c>
      <c r="K933" s="219" t="e">
        <f t="shared" si="106"/>
        <v>#REF!</v>
      </c>
      <c r="L933" s="422" t="e">
        <f t="shared" si="107"/>
        <v>#REF!</v>
      </c>
      <c r="M933" s="422" t="e">
        <f>IF(I933="","",WORKDAY(L933-1,1,FERIADOS!$A$2:$A$831))</f>
        <v>#REF!</v>
      </c>
      <c r="N933" s="219" t="e">
        <f>IF(I933="","",NETWORKDAYS(Curva!$M$2,M933,FERIADOS!$A$2:$A$831)-1)</f>
        <v>#REF!</v>
      </c>
      <c r="O933" s="423" t="e">
        <f>IF(C933&lt;&gt;"",IF(ISERROR((100000/E933)^(252/N933)-1),Curva!$B$2,((100000/E933)^(252/N933)-1)),"")</f>
        <v>#REF!</v>
      </c>
      <c r="P933" s="219" t="e">
        <f>IF(OR(G933=1,G933=2),dadosexternosBMF_1!B936,"")</f>
        <v>#REF!</v>
      </c>
      <c r="Q933" s="219" t="e">
        <f>IF(OR(G933=1,G933=2),dadosexternosBMF_1!D936,"")</f>
        <v>#REF!</v>
      </c>
    </row>
    <row r="934" spans="1:17" x14ac:dyDescent="0.2">
      <c r="A934" s="222" t="e">
        <f t="shared" si="102"/>
        <v>#REF!</v>
      </c>
      <c r="B934" s="222" t="str">
        <f>IF(dadosexternosBMF_1!A937="DI1 - DI de 1 dia","DI1 - DI de 1 dia","")</f>
        <v/>
      </c>
      <c r="C934" s="222" t="e">
        <f>IF(dadosexternosBMF_1!A937="DOL - Dólar comercial","",IF(C933&lt;&gt;"",dadosexternosBMF_1!B937,IF(dadosexternosBMF_1!A937="DI1 - DI de 1 dia",dadosexternosBMF_1!B937,"")))</f>
        <v>#REF!</v>
      </c>
      <c r="D934" s="222" t="e">
        <f>IF(C934&lt;&gt;"",dadosexternosBMF_1!C937,"")</f>
        <v>#REF!</v>
      </c>
      <c r="E934" s="222" t="e">
        <f>IF(C934&lt;&gt;"",dadosexternosBMF_1!D937,"")</f>
        <v>#REF!</v>
      </c>
      <c r="G934" s="219" t="e">
        <f t="shared" si="103"/>
        <v>#REF!</v>
      </c>
      <c r="H934" s="219" t="e">
        <f t="shared" si="104"/>
        <v>#REF!</v>
      </c>
      <c r="I934" s="219" t="e">
        <f t="shared" si="105"/>
        <v>#REF!</v>
      </c>
      <c r="J934" s="219" t="e">
        <f>IF(I934="","",VLOOKUP(LEFT(C934,1),dadosexternosBMF_1!$L$2:$M$13,2,FALSE))</f>
        <v>#REF!</v>
      </c>
      <c r="K934" s="219" t="e">
        <f t="shared" si="106"/>
        <v>#REF!</v>
      </c>
      <c r="L934" s="422" t="e">
        <f t="shared" si="107"/>
        <v>#REF!</v>
      </c>
      <c r="M934" s="422" t="e">
        <f>IF(I934="","",WORKDAY(L934-1,1,FERIADOS!$A$2:$A$831))</f>
        <v>#REF!</v>
      </c>
      <c r="N934" s="219" t="e">
        <f>IF(I934="","",NETWORKDAYS(Curva!$M$2,M934,FERIADOS!$A$2:$A$831)-1)</f>
        <v>#REF!</v>
      </c>
      <c r="O934" s="423" t="e">
        <f>IF(C934&lt;&gt;"",IF(ISERROR((100000/E934)^(252/N934)-1),Curva!$B$2,((100000/E934)^(252/N934)-1)),"")</f>
        <v>#REF!</v>
      </c>
      <c r="P934" s="219" t="e">
        <f>IF(OR(G934=1,G934=2),dadosexternosBMF_1!B937,"")</f>
        <v>#REF!</v>
      </c>
      <c r="Q934" s="219" t="e">
        <f>IF(OR(G934=1,G934=2),dadosexternosBMF_1!D937,"")</f>
        <v>#REF!</v>
      </c>
    </row>
    <row r="935" spans="1:17" x14ac:dyDescent="0.2">
      <c r="A935" s="222" t="e">
        <f t="shared" si="102"/>
        <v>#REF!</v>
      </c>
      <c r="B935" s="222" t="str">
        <f>IF(dadosexternosBMF_1!A938="DI1 - DI de 1 dia","DI1 - DI de 1 dia","")</f>
        <v/>
      </c>
      <c r="C935" s="222" t="e">
        <f>IF(dadosexternosBMF_1!A938="DOL - Dólar comercial","",IF(C934&lt;&gt;"",dadosexternosBMF_1!B938,IF(dadosexternosBMF_1!A938="DI1 - DI de 1 dia",dadosexternosBMF_1!B938,"")))</f>
        <v>#REF!</v>
      </c>
      <c r="D935" s="222" t="e">
        <f>IF(C935&lt;&gt;"",dadosexternosBMF_1!C938,"")</f>
        <v>#REF!</v>
      </c>
      <c r="E935" s="222" t="e">
        <f>IF(C935&lt;&gt;"",dadosexternosBMF_1!D938,"")</f>
        <v>#REF!</v>
      </c>
      <c r="G935" s="219" t="e">
        <f t="shared" si="103"/>
        <v>#REF!</v>
      </c>
      <c r="H935" s="219" t="e">
        <f t="shared" si="104"/>
        <v>#REF!</v>
      </c>
      <c r="I935" s="219" t="e">
        <f t="shared" si="105"/>
        <v>#REF!</v>
      </c>
      <c r="J935" s="219" t="e">
        <f>IF(I935="","",VLOOKUP(LEFT(C935,1),dadosexternosBMF_1!$L$2:$M$13,2,FALSE))</f>
        <v>#REF!</v>
      </c>
      <c r="K935" s="219" t="e">
        <f t="shared" si="106"/>
        <v>#REF!</v>
      </c>
      <c r="L935" s="422" t="e">
        <f t="shared" si="107"/>
        <v>#REF!</v>
      </c>
      <c r="M935" s="422" t="e">
        <f>IF(I935="","",WORKDAY(L935-1,1,FERIADOS!$A$2:$A$831))</f>
        <v>#REF!</v>
      </c>
      <c r="N935" s="219" t="e">
        <f>IF(I935="","",NETWORKDAYS(Curva!$M$2,M935,FERIADOS!$A$2:$A$831)-1)</f>
        <v>#REF!</v>
      </c>
      <c r="O935" s="423" t="e">
        <f>IF(C935&lt;&gt;"",IF(ISERROR((100000/E935)^(252/N935)-1),Curva!$B$2,((100000/E935)^(252/N935)-1)),"")</f>
        <v>#REF!</v>
      </c>
      <c r="P935" s="219" t="e">
        <f>IF(OR(G935=1,G935=2),dadosexternosBMF_1!B938,"")</f>
        <v>#REF!</v>
      </c>
      <c r="Q935" s="219" t="e">
        <f>IF(OR(G935=1,G935=2),dadosexternosBMF_1!D938,"")</f>
        <v>#REF!</v>
      </c>
    </row>
    <row r="936" spans="1:17" x14ac:dyDescent="0.2">
      <c r="A936" s="222" t="e">
        <f t="shared" si="102"/>
        <v>#REF!</v>
      </c>
      <c r="B936" s="222" t="str">
        <f>IF(dadosexternosBMF_1!A939="DI1 - DI de 1 dia","DI1 - DI de 1 dia","")</f>
        <v/>
      </c>
      <c r="C936" s="222" t="e">
        <f>IF(dadosexternosBMF_1!A939="DOL - Dólar comercial","",IF(C935&lt;&gt;"",dadosexternosBMF_1!B939,IF(dadosexternosBMF_1!A939="DI1 - DI de 1 dia",dadosexternosBMF_1!B939,"")))</f>
        <v>#REF!</v>
      </c>
      <c r="D936" s="222" t="e">
        <f>IF(C936&lt;&gt;"",dadosexternosBMF_1!C939,"")</f>
        <v>#REF!</v>
      </c>
      <c r="E936" s="222" t="e">
        <f>IF(C936&lt;&gt;"",dadosexternosBMF_1!D939,"")</f>
        <v>#REF!</v>
      </c>
      <c r="G936" s="219" t="e">
        <f t="shared" si="103"/>
        <v>#REF!</v>
      </c>
      <c r="H936" s="219" t="e">
        <f t="shared" si="104"/>
        <v>#REF!</v>
      </c>
      <c r="I936" s="219" t="e">
        <f t="shared" si="105"/>
        <v>#REF!</v>
      </c>
      <c r="J936" s="219" t="e">
        <f>IF(I936="","",VLOOKUP(LEFT(C936,1),dadosexternosBMF_1!$L$2:$M$13,2,FALSE))</f>
        <v>#REF!</v>
      </c>
      <c r="K936" s="219" t="e">
        <f t="shared" si="106"/>
        <v>#REF!</v>
      </c>
      <c r="L936" s="422" t="e">
        <f t="shared" si="107"/>
        <v>#REF!</v>
      </c>
      <c r="M936" s="422" t="e">
        <f>IF(I936="","",WORKDAY(L936-1,1,FERIADOS!$A$2:$A$831))</f>
        <v>#REF!</v>
      </c>
      <c r="N936" s="219" t="e">
        <f>IF(I936="","",NETWORKDAYS(Curva!$M$2,M936,FERIADOS!$A$2:$A$831)-1)</f>
        <v>#REF!</v>
      </c>
      <c r="O936" s="423" t="e">
        <f>IF(C936&lt;&gt;"",IF(ISERROR((100000/E936)^(252/N936)-1),Curva!$B$2,((100000/E936)^(252/N936)-1)),"")</f>
        <v>#REF!</v>
      </c>
      <c r="P936" s="219" t="e">
        <f>IF(OR(G936=1,G936=2),dadosexternosBMF_1!B939,"")</f>
        <v>#REF!</v>
      </c>
      <c r="Q936" s="219" t="e">
        <f>IF(OR(G936=1,G936=2),dadosexternosBMF_1!D939,"")</f>
        <v>#REF!</v>
      </c>
    </row>
    <row r="937" spans="1:17" x14ac:dyDescent="0.2">
      <c r="A937" s="222" t="e">
        <f t="shared" si="102"/>
        <v>#REF!</v>
      </c>
      <c r="B937" s="222" t="str">
        <f>IF(dadosexternosBMF_1!A940="DI1 - DI de 1 dia","DI1 - DI de 1 dia","")</f>
        <v/>
      </c>
      <c r="C937" s="222" t="e">
        <f>IF(dadosexternosBMF_1!A940="DOL - Dólar comercial","",IF(C936&lt;&gt;"",dadosexternosBMF_1!B940,IF(dadosexternosBMF_1!A940="DI1 - DI de 1 dia",dadosexternosBMF_1!B940,"")))</f>
        <v>#REF!</v>
      </c>
      <c r="D937" s="222" t="e">
        <f>IF(C937&lt;&gt;"",dadosexternosBMF_1!C940,"")</f>
        <v>#REF!</v>
      </c>
      <c r="E937" s="222" t="e">
        <f>IF(C937&lt;&gt;"",dadosexternosBMF_1!D940,"")</f>
        <v>#REF!</v>
      </c>
      <c r="G937" s="219" t="e">
        <f t="shared" si="103"/>
        <v>#REF!</v>
      </c>
      <c r="H937" s="219" t="e">
        <f t="shared" si="104"/>
        <v>#REF!</v>
      </c>
      <c r="I937" s="219" t="e">
        <f t="shared" si="105"/>
        <v>#REF!</v>
      </c>
      <c r="J937" s="219" t="e">
        <f>IF(I937="","",VLOOKUP(LEFT(C937,1),dadosexternosBMF_1!$L$2:$M$13,2,FALSE))</f>
        <v>#REF!</v>
      </c>
      <c r="K937" s="219" t="e">
        <f t="shared" si="106"/>
        <v>#REF!</v>
      </c>
      <c r="L937" s="422" t="e">
        <f t="shared" si="107"/>
        <v>#REF!</v>
      </c>
      <c r="M937" s="422" t="e">
        <f>IF(I937="","",WORKDAY(L937-1,1,FERIADOS!$A$2:$A$831))</f>
        <v>#REF!</v>
      </c>
      <c r="N937" s="219" t="e">
        <f>IF(I937="","",NETWORKDAYS(Curva!$M$2,M937,FERIADOS!$A$2:$A$831)-1)</f>
        <v>#REF!</v>
      </c>
      <c r="O937" s="423" t="e">
        <f>IF(C937&lt;&gt;"",IF(ISERROR((100000/E937)^(252/N937)-1),Curva!$B$2,((100000/E937)^(252/N937)-1)),"")</f>
        <v>#REF!</v>
      </c>
      <c r="P937" s="219" t="e">
        <f>IF(OR(G937=1,G937=2),dadosexternosBMF_1!B940,"")</f>
        <v>#REF!</v>
      </c>
      <c r="Q937" s="219" t="e">
        <f>IF(OR(G937=1,G937=2),dadosexternosBMF_1!D940,"")</f>
        <v>#REF!</v>
      </c>
    </row>
    <row r="938" spans="1:17" x14ac:dyDescent="0.2">
      <c r="A938" s="222" t="e">
        <f t="shared" si="102"/>
        <v>#REF!</v>
      </c>
      <c r="B938" s="222" t="str">
        <f>IF(dadosexternosBMF_1!A941="DI1 - DI de 1 dia","DI1 - DI de 1 dia","")</f>
        <v/>
      </c>
      <c r="C938" s="222" t="e">
        <f>IF(dadosexternosBMF_1!A941="DOL - Dólar comercial","",IF(C937&lt;&gt;"",dadosexternosBMF_1!B941,IF(dadosexternosBMF_1!A941="DI1 - DI de 1 dia",dadosexternosBMF_1!B941,"")))</f>
        <v>#REF!</v>
      </c>
      <c r="D938" s="222" t="e">
        <f>IF(C938&lt;&gt;"",dadosexternosBMF_1!C941,"")</f>
        <v>#REF!</v>
      </c>
      <c r="E938" s="222" t="e">
        <f>IF(C938&lt;&gt;"",dadosexternosBMF_1!D941,"")</f>
        <v>#REF!</v>
      </c>
      <c r="G938" s="219" t="e">
        <f t="shared" si="103"/>
        <v>#REF!</v>
      </c>
      <c r="H938" s="219" t="e">
        <f t="shared" si="104"/>
        <v>#REF!</v>
      </c>
      <c r="I938" s="219" t="e">
        <f t="shared" si="105"/>
        <v>#REF!</v>
      </c>
      <c r="J938" s="219" t="e">
        <f>IF(I938="","",VLOOKUP(LEFT(C938,1),dadosexternosBMF_1!$L$2:$M$13,2,FALSE))</f>
        <v>#REF!</v>
      </c>
      <c r="K938" s="219" t="e">
        <f t="shared" si="106"/>
        <v>#REF!</v>
      </c>
      <c r="L938" s="422" t="e">
        <f t="shared" si="107"/>
        <v>#REF!</v>
      </c>
      <c r="M938" s="422" t="e">
        <f>IF(I938="","",WORKDAY(L938-1,1,FERIADOS!$A$2:$A$831))</f>
        <v>#REF!</v>
      </c>
      <c r="N938" s="219" t="e">
        <f>IF(I938="","",NETWORKDAYS(Curva!$M$2,M938,FERIADOS!$A$2:$A$831)-1)</f>
        <v>#REF!</v>
      </c>
      <c r="O938" s="423" t="e">
        <f>IF(C938&lt;&gt;"",IF(ISERROR((100000/E938)^(252/N938)-1),Curva!$B$2,((100000/E938)^(252/N938)-1)),"")</f>
        <v>#REF!</v>
      </c>
      <c r="P938" s="219" t="e">
        <f>IF(OR(G938=1,G938=2),dadosexternosBMF_1!B941,"")</f>
        <v>#REF!</v>
      </c>
      <c r="Q938" s="219" t="e">
        <f>IF(OR(G938=1,G938=2),dadosexternosBMF_1!D941,"")</f>
        <v>#REF!</v>
      </c>
    </row>
    <row r="939" spans="1:17" x14ac:dyDescent="0.2">
      <c r="A939" s="222" t="e">
        <f t="shared" si="102"/>
        <v>#REF!</v>
      </c>
      <c r="B939" s="222" t="str">
        <f>IF(dadosexternosBMF_1!A942="DI1 - DI de 1 dia","DI1 - DI de 1 dia","")</f>
        <v/>
      </c>
      <c r="C939" s="222" t="e">
        <f>IF(dadosexternosBMF_1!A942="DOL - Dólar comercial","",IF(C938&lt;&gt;"",dadosexternosBMF_1!B942,IF(dadosexternosBMF_1!A942="DI1 - DI de 1 dia",dadosexternosBMF_1!B942,"")))</f>
        <v>#REF!</v>
      </c>
      <c r="D939" s="222" t="e">
        <f>IF(C939&lt;&gt;"",dadosexternosBMF_1!C942,"")</f>
        <v>#REF!</v>
      </c>
      <c r="E939" s="222" t="e">
        <f>IF(C939&lt;&gt;"",dadosexternosBMF_1!D942,"")</f>
        <v>#REF!</v>
      </c>
      <c r="G939" s="219" t="e">
        <f t="shared" si="103"/>
        <v>#REF!</v>
      </c>
      <c r="H939" s="219" t="e">
        <f t="shared" si="104"/>
        <v>#REF!</v>
      </c>
      <c r="I939" s="219" t="e">
        <f t="shared" si="105"/>
        <v>#REF!</v>
      </c>
      <c r="J939" s="219" t="e">
        <f>IF(I939="","",VLOOKUP(LEFT(C939,1),dadosexternosBMF_1!$L$2:$M$13,2,FALSE))</f>
        <v>#REF!</v>
      </c>
      <c r="K939" s="219" t="e">
        <f t="shared" si="106"/>
        <v>#REF!</v>
      </c>
      <c r="L939" s="422" t="e">
        <f t="shared" si="107"/>
        <v>#REF!</v>
      </c>
      <c r="M939" s="422" t="e">
        <f>IF(I939="","",WORKDAY(L939-1,1,FERIADOS!$A$2:$A$831))</f>
        <v>#REF!</v>
      </c>
      <c r="N939" s="219" t="e">
        <f>IF(I939="","",NETWORKDAYS(Curva!$M$2,M939,FERIADOS!$A$2:$A$831)-1)</f>
        <v>#REF!</v>
      </c>
      <c r="O939" s="423" t="e">
        <f>IF(C939&lt;&gt;"",IF(ISERROR((100000/E939)^(252/N939)-1),Curva!$B$2,((100000/E939)^(252/N939)-1)),"")</f>
        <v>#REF!</v>
      </c>
      <c r="P939" s="219" t="e">
        <f>IF(OR(G939=1,G939=2),dadosexternosBMF_1!B942,"")</f>
        <v>#REF!</v>
      </c>
      <c r="Q939" s="219" t="e">
        <f>IF(OR(G939=1,G939=2),dadosexternosBMF_1!D942,"")</f>
        <v>#REF!</v>
      </c>
    </row>
    <row r="940" spans="1:17" x14ac:dyDescent="0.2">
      <c r="A940" s="222" t="e">
        <f t="shared" si="102"/>
        <v>#REF!</v>
      </c>
      <c r="B940" s="222" t="str">
        <f>IF(dadosexternosBMF_1!A943="DI1 - DI de 1 dia","DI1 - DI de 1 dia","")</f>
        <v/>
      </c>
      <c r="C940" s="222" t="e">
        <f>IF(dadosexternosBMF_1!A943="DOL - Dólar comercial","",IF(C939&lt;&gt;"",dadosexternosBMF_1!B943,IF(dadosexternosBMF_1!A943="DI1 - DI de 1 dia",dadosexternosBMF_1!B943,"")))</f>
        <v>#REF!</v>
      </c>
      <c r="D940" s="222" t="e">
        <f>IF(C940&lt;&gt;"",dadosexternosBMF_1!C943,"")</f>
        <v>#REF!</v>
      </c>
      <c r="E940" s="222" t="e">
        <f>IF(C940&lt;&gt;"",dadosexternosBMF_1!D943,"")</f>
        <v>#REF!</v>
      </c>
      <c r="G940" s="219" t="e">
        <f t="shared" si="103"/>
        <v>#REF!</v>
      </c>
      <c r="H940" s="219" t="e">
        <f t="shared" si="104"/>
        <v>#REF!</v>
      </c>
      <c r="I940" s="219" t="e">
        <f t="shared" si="105"/>
        <v>#REF!</v>
      </c>
      <c r="J940" s="219" t="e">
        <f>IF(I940="","",VLOOKUP(LEFT(C940,1),dadosexternosBMF_1!$L$2:$M$13,2,FALSE))</f>
        <v>#REF!</v>
      </c>
      <c r="K940" s="219" t="e">
        <f t="shared" si="106"/>
        <v>#REF!</v>
      </c>
      <c r="L940" s="422" t="e">
        <f t="shared" si="107"/>
        <v>#REF!</v>
      </c>
      <c r="M940" s="422" t="e">
        <f>IF(I940="","",WORKDAY(L940-1,1,FERIADOS!$A$2:$A$831))</f>
        <v>#REF!</v>
      </c>
      <c r="N940" s="219" t="e">
        <f>IF(I940="","",NETWORKDAYS(Curva!$M$2,M940,FERIADOS!$A$2:$A$831)-1)</f>
        <v>#REF!</v>
      </c>
      <c r="O940" s="423" t="e">
        <f>IF(C940&lt;&gt;"",IF(ISERROR((100000/E940)^(252/N940)-1),Curva!$B$2,((100000/E940)^(252/N940)-1)),"")</f>
        <v>#REF!</v>
      </c>
      <c r="P940" s="219" t="e">
        <f>IF(OR(G940=1,G940=2),dadosexternosBMF_1!B943,"")</f>
        <v>#REF!</v>
      </c>
      <c r="Q940" s="219" t="e">
        <f>IF(OR(G940=1,G940=2),dadosexternosBMF_1!D943,"")</f>
        <v>#REF!</v>
      </c>
    </row>
    <row r="941" spans="1:17" x14ac:dyDescent="0.2">
      <c r="A941" s="222" t="e">
        <f t="shared" si="102"/>
        <v>#REF!</v>
      </c>
      <c r="B941" s="222" t="str">
        <f>IF(dadosexternosBMF_1!A944="DI1 - DI de 1 dia","DI1 - DI de 1 dia","")</f>
        <v/>
      </c>
      <c r="C941" s="222" t="e">
        <f>IF(dadosexternosBMF_1!A944="DOL - Dólar comercial","",IF(C940&lt;&gt;"",dadosexternosBMF_1!B944,IF(dadosexternosBMF_1!A944="DI1 - DI de 1 dia",dadosexternosBMF_1!B944,"")))</f>
        <v>#REF!</v>
      </c>
      <c r="D941" s="222" t="e">
        <f>IF(C941&lt;&gt;"",dadosexternosBMF_1!C944,"")</f>
        <v>#REF!</v>
      </c>
      <c r="E941" s="222" t="e">
        <f>IF(C941&lt;&gt;"",dadosexternosBMF_1!D944,"")</f>
        <v>#REF!</v>
      </c>
      <c r="G941" s="219" t="e">
        <f t="shared" si="103"/>
        <v>#REF!</v>
      </c>
      <c r="H941" s="219" t="e">
        <f t="shared" si="104"/>
        <v>#REF!</v>
      </c>
      <c r="I941" s="219" t="e">
        <f t="shared" si="105"/>
        <v>#REF!</v>
      </c>
      <c r="J941" s="219" t="e">
        <f>IF(I941="","",VLOOKUP(LEFT(C941,1),dadosexternosBMF_1!$L$2:$M$13,2,FALSE))</f>
        <v>#REF!</v>
      </c>
      <c r="K941" s="219" t="e">
        <f t="shared" si="106"/>
        <v>#REF!</v>
      </c>
      <c r="L941" s="422" t="e">
        <f t="shared" si="107"/>
        <v>#REF!</v>
      </c>
      <c r="M941" s="422" t="e">
        <f>IF(I941="","",WORKDAY(L941-1,1,FERIADOS!$A$2:$A$831))</f>
        <v>#REF!</v>
      </c>
      <c r="N941" s="219" t="e">
        <f>IF(I941="","",NETWORKDAYS(Curva!$M$2,M941,FERIADOS!$A$2:$A$831)-1)</f>
        <v>#REF!</v>
      </c>
      <c r="O941" s="423" t="e">
        <f>IF(C941&lt;&gt;"",IF(ISERROR((100000/E941)^(252/N941)-1),Curva!$B$2,((100000/E941)^(252/N941)-1)),"")</f>
        <v>#REF!</v>
      </c>
      <c r="P941" s="219" t="e">
        <f>IF(OR(G941=1,G941=2),dadosexternosBMF_1!B944,"")</f>
        <v>#REF!</v>
      </c>
      <c r="Q941" s="219" t="e">
        <f>IF(OR(G941=1,G941=2),dadosexternosBMF_1!D944,"")</f>
        <v>#REF!</v>
      </c>
    </row>
    <row r="942" spans="1:17" x14ac:dyDescent="0.2">
      <c r="A942" s="222" t="e">
        <f t="shared" si="102"/>
        <v>#REF!</v>
      </c>
      <c r="B942" s="222" t="str">
        <f>IF(dadosexternosBMF_1!A945="DI1 - DI de 1 dia","DI1 - DI de 1 dia","")</f>
        <v/>
      </c>
      <c r="C942" s="222" t="e">
        <f>IF(dadosexternosBMF_1!A945="DOL - Dólar comercial","",IF(C941&lt;&gt;"",dadosexternosBMF_1!B945,IF(dadosexternosBMF_1!A945="DI1 - DI de 1 dia",dadosexternosBMF_1!B945,"")))</f>
        <v>#REF!</v>
      </c>
      <c r="D942" s="222" t="e">
        <f>IF(C942&lt;&gt;"",dadosexternosBMF_1!C945,"")</f>
        <v>#REF!</v>
      </c>
      <c r="E942" s="222" t="e">
        <f>IF(C942&lt;&gt;"",dadosexternosBMF_1!D945,"")</f>
        <v>#REF!</v>
      </c>
      <c r="G942" s="219" t="e">
        <f t="shared" si="103"/>
        <v>#REF!</v>
      </c>
      <c r="H942" s="219" t="e">
        <f t="shared" si="104"/>
        <v>#REF!</v>
      </c>
      <c r="I942" s="219" t="e">
        <f t="shared" si="105"/>
        <v>#REF!</v>
      </c>
      <c r="J942" s="219" t="e">
        <f>IF(I942="","",VLOOKUP(LEFT(C942,1),dadosexternosBMF_1!$L$2:$M$13,2,FALSE))</f>
        <v>#REF!</v>
      </c>
      <c r="K942" s="219" t="e">
        <f t="shared" si="106"/>
        <v>#REF!</v>
      </c>
      <c r="L942" s="422" t="e">
        <f t="shared" si="107"/>
        <v>#REF!</v>
      </c>
      <c r="M942" s="422" t="e">
        <f>IF(I942="","",WORKDAY(L942-1,1,FERIADOS!$A$2:$A$831))</f>
        <v>#REF!</v>
      </c>
      <c r="N942" s="219" t="e">
        <f>IF(I942="","",NETWORKDAYS(Curva!$M$2,M942,FERIADOS!$A$2:$A$831)-1)</f>
        <v>#REF!</v>
      </c>
      <c r="O942" s="423" t="e">
        <f>IF(C942&lt;&gt;"",IF(ISERROR((100000/E942)^(252/N942)-1),Curva!$B$2,((100000/E942)^(252/N942)-1)),"")</f>
        <v>#REF!</v>
      </c>
      <c r="P942" s="219" t="e">
        <f>IF(OR(G942=1,G942=2),dadosexternosBMF_1!B945,"")</f>
        <v>#REF!</v>
      </c>
      <c r="Q942" s="219" t="e">
        <f>IF(OR(G942=1,G942=2),dadosexternosBMF_1!D945,"")</f>
        <v>#REF!</v>
      </c>
    </row>
    <row r="943" spans="1:17" x14ac:dyDescent="0.2">
      <c r="A943" s="222" t="e">
        <f t="shared" si="102"/>
        <v>#REF!</v>
      </c>
      <c r="B943" s="222" t="str">
        <f>IF(dadosexternosBMF_1!A946="DI1 - DI de 1 dia","DI1 - DI de 1 dia","")</f>
        <v/>
      </c>
      <c r="C943" s="222" t="e">
        <f>IF(dadosexternosBMF_1!A946="DOL - Dólar comercial","",IF(C942&lt;&gt;"",dadosexternosBMF_1!B946,IF(dadosexternosBMF_1!A946="DI1 - DI de 1 dia",dadosexternosBMF_1!B946,"")))</f>
        <v>#REF!</v>
      </c>
      <c r="D943" s="222" t="e">
        <f>IF(C943&lt;&gt;"",dadosexternosBMF_1!C946,"")</f>
        <v>#REF!</v>
      </c>
      <c r="E943" s="222" t="e">
        <f>IF(C943&lt;&gt;"",dadosexternosBMF_1!D946,"")</f>
        <v>#REF!</v>
      </c>
      <c r="G943" s="219" t="e">
        <f t="shared" si="103"/>
        <v>#REF!</v>
      </c>
      <c r="H943" s="219" t="e">
        <f t="shared" si="104"/>
        <v>#REF!</v>
      </c>
      <c r="I943" s="219" t="e">
        <f t="shared" si="105"/>
        <v>#REF!</v>
      </c>
      <c r="J943" s="219" t="e">
        <f>IF(I943="","",VLOOKUP(LEFT(C943,1),dadosexternosBMF_1!$L$2:$M$13,2,FALSE))</f>
        <v>#REF!</v>
      </c>
      <c r="K943" s="219" t="e">
        <f t="shared" si="106"/>
        <v>#REF!</v>
      </c>
      <c r="L943" s="422" t="e">
        <f t="shared" si="107"/>
        <v>#REF!</v>
      </c>
      <c r="M943" s="422" t="e">
        <f>IF(I943="","",WORKDAY(L943-1,1,FERIADOS!$A$2:$A$831))</f>
        <v>#REF!</v>
      </c>
      <c r="N943" s="219" t="e">
        <f>IF(I943="","",NETWORKDAYS(Curva!$M$2,M943,FERIADOS!$A$2:$A$831)-1)</f>
        <v>#REF!</v>
      </c>
      <c r="O943" s="423" t="e">
        <f>IF(C943&lt;&gt;"",IF(ISERROR((100000/E943)^(252/N943)-1),Curva!$B$2,((100000/E943)^(252/N943)-1)),"")</f>
        <v>#REF!</v>
      </c>
      <c r="P943" s="219" t="e">
        <f>IF(OR(G943=1,G943=2),dadosexternosBMF_1!B946,"")</f>
        <v>#REF!</v>
      </c>
      <c r="Q943" s="219" t="e">
        <f>IF(OR(G943=1,G943=2),dadosexternosBMF_1!D946,"")</f>
        <v>#REF!</v>
      </c>
    </row>
    <row r="944" spans="1:17" x14ac:dyDescent="0.2">
      <c r="A944" s="222" t="e">
        <f t="shared" si="102"/>
        <v>#REF!</v>
      </c>
      <c r="B944" s="222" t="str">
        <f>IF(dadosexternosBMF_1!A947="DI1 - DI de 1 dia","DI1 - DI de 1 dia","")</f>
        <v/>
      </c>
      <c r="C944" s="222" t="e">
        <f>IF(dadosexternosBMF_1!A947="DOL - Dólar comercial","",IF(C943&lt;&gt;"",dadosexternosBMF_1!B947,IF(dadosexternosBMF_1!A947="DI1 - DI de 1 dia",dadosexternosBMF_1!B947,"")))</f>
        <v>#REF!</v>
      </c>
      <c r="D944" s="222" t="e">
        <f>IF(C944&lt;&gt;"",dadosexternosBMF_1!C947,"")</f>
        <v>#REF!</v>
      </c>
      <c r="E944" s="222" t="e">
        <f>IF(C944&lt;&gt;"",dadosexternosBMF_1!D947,"")</f>
        <v>#REF!</v>
      </c>
      <c r="G944" s="219" t="e">
        <f t="shared" si="103"/>
        <v>#REF!</v>
      </c>
      <c r="H944" s="219" t="e">
        <f t="shared" si="104"/>
        <v>#REF!</v>
      </c>
      <c r="I944" s="219" t="e">
        <f t="shared" si="105"/>
        <v>#REF!</v>
      </c>
      <c r="J944" s="219" t="e">
        <f>IF(I944="","",VLOOKUP(LEFT(C944,1),dadosexternosBMF_1!$L$2:$M$13,2,FALSE))</f>
        <v>#REF!</v>
      </c>
      <c r="K944" s="219" t="e">
        <f t="shared" si="106"/>
        <v>#REF!</v>
      </c>
      <c r="L944" s="422" t="e">
        <f t="shared" si="107"/>
        <v>#REF!</v>
      </c>
      <c r="M944" s="422" t="e">
        <f>IF(I944="","",WORKDAY(L944-1,1,FERIADOS!$A$2:$A$831))</f>
        <v>#REF!</v>
      </c>
      <c r="N944" s="219" t="e">
        <f>IF(I944="","",NETWORKDAYS(Curva!$M$2,M944,FERIADOS!$A$2:$A$831)-1)</f>
        <v>#REF!</v>
      </c>
      <c r="O944" s="423" t="e">
        <f>IF(C944&lt;&gt;"",IF(ISERROR((100000/E944)^(252/N944)-1),Curva!$B$2,((100000/E944)^(252/N944)-1)),"")</f>
        <v>#REF!</v>
      </c>
      <c r="P944" s="219" t="e">
        <f>IF(OR(G944=1,G944=2),dadosexternosBMF_1!B947,"")</f>
        <v>#REF!</v>
      </c>
      <c r="Q944" s="219" t="e">
        <f>IF(OR(G944=1,G944=2),dadosexternosBMF_1!D947,"")</f>
        <v>#REF!</v>
      </c>
    </row>
    <row r="945" spans="1:17" x14ac:dyDescent="0.2">
      <c r="A945" s="222" t="e">
        <f t="shared" si="102"/>
        <v>#REF!</v>
      </c>
      <c r="B945" s="222" t="str">
        <f>IF(dadosexternosBMF_1!A948="DI1 - DI de 1 dia","DI1 - DI de 1 dia","")</f>
        <v/>
      </c>
      <c r="C945" s="222" t="e">
        <f>IF(dadosexternosBMF_1!A948="DOL - Dólar comercial","",IF(C944&lt;&gt;"",dadosexternosBMF_1!B948,IF(dadosexternosBMF_1!A948="DI1 - DI de 1 dia",dadosexternosBMF_1!B948,"")))</f>
        <v>#REF!</v>
      </c>
      <c r="D945" s="222" t="e">
        <f>IF(C945&lt;&gt;"",dadosexternosBMF_1!C948,"")</f>
        <v>#REF!</v>
      </c>
      <c r="E945" s="222" t="e">
        <f>IF(C945&lt;&gt;"",dadosexternosBMF_1!D948,"")</f>
        <v>#REF!</v>
      </c>
      <c r="G945" s="219" t="e">
        <f t="shared" si="103"/>
        <v>#REF!</v>
      </c>
      <c r="H945" s="219" t="e">
        <f t="shared" si="104"/>
        <v>#REF!</v>
      </c>
      <c r="I945" s="219" t="e">
        <f t="shared" si="105"/>
        <v>#REF!</v>
      </c>
      <c r="J945" s="219" t="e">
        <f>IF(I945="","",VLOOKUP(LEFT(C945,1),dadosexternosBMF_1!$L$2:$M$13,2,FALSE))</f>
        <v>#REF!</v>
      </c>
      <c r="K945" s="219" t="e">
        <f t="shared" si="106"/>
        <v>#REF!</v>
      </c>
      <c r="L945" s="422" t="e">
        <f t="shared" si="107"/>
        <v>#REF!</v>
      </c>
      <c r="M945" s="422" t="e">
        <f>IF(I945="","",WORKDAY(L945-1,1,FERIADOS!$A$2:$A$831))</f>
        <v>#REF!</v>
      </c>
      <c r="N945" s="219" t="e">
        <f>IF(I945="","",NETWORKDAYS(Curva!$M$2,M945,FERIADOS!$A$2:$A$831)-1)</f>
        <v>#REF!</v>
      </c>
      <c r="O945" s="423" t="e">
        <f>IF(C945&lt;&gt;"",IF(ISERROR((100000/E945)^(252/N945)-1),Curva!$B$2,((100000/E945)^(252/N945)-1)),"")</f>
        <v>#REF!</v>
      </c>
      <c r="P945" s="219" t="e">
        <f>IF(OR(G945=1,G945=2),dadosexternosBMF_1!B948,"")</f>
        <v>#REF!</v>
      </c>
      <c r="Q945" s="219" t="e">
        <f>IF(OR(G945=1,G945=2),dadosexternosBMF_1!D948,"")</f>
        <v>#REF!</v>
      </c>
    </row>
    <row r="946" spans="1:17" x14ac:dyDescent="0.2">
      <c r="A946" s="222" t="e">
        <f t="shared" si="102"/>
        <v>#REF!</v>
      </c>
      <c r="B946" s="222" t="str">
        <f>IF(dadosexternosBMF_1!A949="DI1 - DI de 1 dia","DI1 - DI de 1 dia","")</f>
        <v/>
      </c>
      <c r="C946" s="222" t="e">
        <f>IF(dadosexternosBMF_1!A949="DOL - Dólar comercial","",IF(C945&lt;&gt;"",dadosexternosBMF_1!B949,IF(dadosexternosBMF_1!A949="DI1 - DI de 1 dia",dadosexternosBMF_1!B949,"")))</f>
        <v>#REF!</v>
      </c>
      <c r="D946" s="222" t="e">
        <f>IF(C946&lt;&gt;"",dadosexternosBMF_1!C949,"")</f>
        <v>#REF!</v>
      </c>
      <c r="E946" s="222" t="e">
        <f>IF(C946&lt;&gt;"",dadosexternosBMF_1!D949,"")</f>
        <v>#REF!</v>
      </c>
      <c r="G946" s="219" t="e">
        <f t="shared" si="103"/>
        <v>#REF!</v>
      </c>
      <c r="H946" s="219" t="e">
        <f t="shared" si="104"/>
        <v>#REF!</v>
      </c>
      <c r="I946" s="219" t="e">
        <f t="shared" si="105"/>
        <v>#REF!</v>
      </c>
      <c r="J946" s="219" t="e">
        <f>IF(I946="","",VLOOKUP(LEFT(C946,1),dadosexternosBMF_1!$L$2:$M$13,2,FALSE))</f>
        <v>#REF!</v>
      </c>
      <c r="K946" s="219" t="e">
        <f t="shared" si="106"/>
        <v>#REF!</v>
      </c>
      <c r="L946" s="422" t="e">
        <f t="shared" si="107"/>
        <v>#REF!</v>
      </c>
      <c r="M946" s="422" t="e">
        <f>IF(I946="","",WORKDAY(L946-1,1,FERIADOS!$A$2:$A$831))</f>
        <v>#REF!</v>
      </c>
      <c r="N946" s="219" t="e">
        <f>IF(I946="","",NETWORKDAYS(Curva!$M$2,M946,FERIADOS!$A$2:$A$831)-1)</f>
        <v>#REF!</v>
      </c>
      <c r="O946" s="423" t="e">
        <f>IF(C946&lt;&gt;"",IF(ISERROR((100000/E946)^(252/N946)-1),Curva!$B$2,((100000/E946)^(252/N946)-1)),"")</f>
        <v>#REF!</v>
      </c>
      <c r="P946" s="219" t="e">
        <f>IF(OR(G946=1,G946=2),dadosexternosBMF_1!B949,"")</f>
        <v>#REF!</v>
      </c>
      <c r="Q946" s="219" t="e">
        <f>IF(OR(G946=1,G946=2),dadosexternosBMF_1!D949,"")</f>
        <v>#REF!</v>
      </c>
    </row>
    <row r="947" spans="1:17" x14ac:dyDescent="0.2">
      <c r="A947" s="222" t="e">
        <f t="shared" si="102"/>
        <v>#REF!</v>
      </c>
      <c r="B947" s="222" t="str">
        <f>IF(dadosexternosBMF_1!A950="DI1 - DI de 1 dia","DI1 - DI de 1 dia","")</f>
        <v/>
      </c>
      <c r="C947" s="222" t="e">
        <f>IF(dadosexternosBMF_1!A950="DOL - Dólar comercial","",IF(C946&lt;&gt;"",dadosexternosBMF_1!B950,IF(dadosexternosBMF_1!A950="DI1 - DI de 1 dia",dadosexternosBMF_1!B950,"")))</f>
        <v>#REF!</v>
      </c>
      <c r="D947" s="222" t="e">
        <f>IF(C947&lt;&gt;"",dadosexternosBMF_1!C950,"")</f>
        <v>#REF!</v>
      </c>
      <c r="E947" s="222" t="e">
        <f>IF(C947&lt;&gt;"",dadosexternosBMF_1!D950,"")</f>
        <v>#REF!</v>
      </c>
      <c r="G947" s="219" t="e">
        <f t="shared" si="103"/>
        <v>#REF!</v>
      </c>
      <c r="H947" s="219" t="e">
        <f t="shared" si="104"/>
        <v>#REF!</v>
      </c>
      <c r="I947" s="219" t="e">
        <f t="shared" si="105"/>
        <v>#REF!</v>
      </c>
      <c r="J947" s="219" t="e">
        <f>IF(I947="","",VLOOKUP(LEFT(C947,1),dadosexternosBMF_1!$L$2:$M$13,2,FALSE))</f>
        <v>#REF!</v>
      </c>
      <c r="K947" s="219" t="e">
        <f t="shared" si="106"/>
        <v>#REF!</v>
      </c>
      <c r="L947" s="422" t="e">
        <f t="shared" si="107"/>
        <v>#REF!</v>
      </c>
      <c r="M947" s="422" t="e">
        <f>IF(I947="","",WORKDAY(L947-1,1,FERIADOS!$A$2:$A$831))</f>
        <v>#REF!</v>
      </c>
      <c r="N947" s="219" t="e">
        <f>IF(I947="","",NETWORKDAYS(Curva!$M$2,M947,FERIADOS!$A$2:$A$831)-1)</f>
        <v>#REF!</v>
      </c>
      <c r="O947" s="423" t="e">
        <f>IF(C947&lt;&gt;"",IF(ISERROR((100000/E947)^(252/N947)-1),Curva!$B$2,((100000/E947)^(252/N947)-1)),"")</f>
        <v>#REF!</v>
      </c>
      <c r="P947" s="219" t="e">
        <f>IF(OR(G947=1,G947=2),dadosexternosBMF_1!B950,"")</f>
        <v>#REF!</v>
      </c>
      <c r="Q947" s="219" t="e">
        <f>IF(OR(G947=1,G947=2),dadosexternosBMF_1!D950,"")</f>
        <v>#REF!</v>
      </c>
    </row>
    <row r="948" spans="1:17" x14ac:dyDescent="0.2">
      <c r="A948" s="222" t="e">
        <f t="shared" si="102"/>
        <v>#REF!</v>
      </c>
      <c r="B948" s="222" t="str">
        <f>IF(dadosexternosBMF_1!A951="DI1 - DI de 1 dia","DI1 - DI de 1 dia","")</f>
        <v/>
      </c>
      <c r="C948" s="222" t="e">
        <f>IF(dadosexternosBMF_1!A951="DOL - Dólar comercial","",IF(C947&lt;&gt;"",dadosexternosBMF_1!B951,IF(dadosexternosBMF_1!A951="DI1 - DI de 1 dia",dadosexternosBMF_1!B951,"")))</f>
        <v>#REF!</v>
      </c>
      <c r="D948" s="222" t="e">
        <f>IF(C948&lt;&gt;"",dadosexternosBMF_1!C951,"")</f>
        <v>#REF!</v>
      </c>
      <c r="E948" s="222" t="e">
        <f>IF(C948&lt;&gt;"",dadosexternosBMF_1!D951,"")</f>
        <v>#REF!</v>
      </c>
      <c r="G948" s="219" t="e">
        <f t="shared" si="103"/>
        <v>#REF!</v>
      </c>
      <c r="H948" s="219" t="e">
        <f t="shared" si="104"/>
        <v>#REF!</v>
      </c>
      <c r="I948" s="219" t="e">
        <f t="shared" si="105"/>
        <v>#REF!</v>
      </c>
      <c r="J948" s="219" t="e">
        <f>IF(I948="","",VLOOKUP(LEFT(C948,1),dadosexternosBMF_1!$L$2:$M$13,2,FALSE))</f>
        <v>#REF!</v>
      </c>
      <c r="K948" s="219" t="e">
        <f t="shared" si="106"/>
        <v>#REF!</v>
      </c>
      <c r="L948" s="422" t="e">
        <f t="shared" si="107"/>
        <v>#REF!</v>
      </c>
      <c r="M948" s="422" t="e">
        <f>IF(I948="","",WORKDAY(L948-1,1,FERIADOS!$A$2:$A$831))</f>
        <v>#REF!</v>
      </c>
      <c r="N948" s="219" t="e">
        <f>IF(I948="","",NETWORKDAYS(Curva!$M$2,M948,FERIADOS!$A$2:$A$831)-1)</f>
        <v>#REF!</v>
      </c>
      <c r="O948" s="423" t="e">
        <f>IF(C948&lt;&gt;"",IF(ISERROR((100000/E948)^(252/N948)-1),Curva!$B$2,((100000/E948)^(252/N948)-1)),"")</f>
        <v>#REF!</v>
      </c>
      <c r="P948" s="219" t="e">
        <f>IF(OR(G948=1,G948=2),dadosexternosBMF_1!B951,"")</f>
        <v>#REF!</v>
      </c>
      <c r="Q948" s="219" t="e">
        <f>IF(OR(G948=1,G948=2),dadosexternosBMF_1!D951,"")</f>
        <v>#REF!</v>
      </c>
    </row>
    <row r="949" spans="1:17" x14ac:dyDescent="0.2">
      <c r="A949" s="222" t="e">
        <f t="shared" si="102"/>
        <v>#REF!</v>
      </c>
      <c r="B949" s="222" t="str">
        <f>IF(dadosexternosBMF_1!A952="DI1 - DI de 1 dia","DI1 - DI de 1 dia","")</f>
        <v/>
      </c>
      <c r="C949" s="222" t="e">
        <f>IF(dadosexternosBMF_1!A952="DOL - Dólar comercial","",IF(C948&lt;&gt;"",dadosexternosBMF_1!B952,IF(dadosexternosBMF_1!A952="DI1 - DI de 1 dia",dadosexternosBMF_1!B952,"")))</f>
        <v>#REF!</v>
      </c>
      <c r="D949" s="222" t="e">
        <f>IF(C949&lt;&gt;"",dadosexternosBMF_1!C952,"")</f>
        <v>#REF!</v>
      </c>
      <c r="E949" s="222" t="e">
        <f>IF(C949&lt;&gt;"",dadosexternosBMF_1!D952,"")</f>
        <v>#REF!</v>
      </c>
      <c r="G949" s="219" t="e">
        <f t="shared" si="103"/>
        <v>#REF!</v>
      </c>
      <c r="H949" s="219" t="e">
        <f t="shared" si="104"/>
        <v>#REF!</v>
      </c>
      <c r="I949" s="219" t="e">
        <f t="shared" si="105"/>
        <v>#REF!</v>
      </c>
      <c r="J949" s="219" t="e">
        <f>IF(I949="","",VLOOKUP(LEFT(C949,1),dadosexternosBMF_1!$L$2:$M$13,2,FALSE))</f>
        <v>#REF!</v>
      </c>
      <c r="K949" s="219" t="e">
        <f t="shared" si="106"/>
        <v>#REF!</v>
      </c>
      <c r="L949" s="422" t="e">
        <f t="shared" si="107"/>
        <v>#REF!</v>
      </c>
      <c r="M949" s="422" t="e">
        <f>IF(I949="","",WORKDAY(L949-1,1,FERIADOS!$A$2:$A$831))</f>
        <v>#REF!</v>
      </c>
      <c r="N949" s="219" t="e">
        <f>IF(I949="","",NETWORKDAYS(Curva!$M$2,M949,FERIADOS!$A$2:$A$831)-1)</f>
        <v>#REF!</v>
      </c>
      <c r="O949" s="423" t="e">
        <f>IF(C949&lt;&gt;"",IF(ISERROR((100000/E949)^(252/N949)-1),Curva!$B$2,((100000/E949)^(252/N949)-1)),"")</f>
        <v>#REF!</v>
      </c>
      <c r="P949" s="219" t="e">
        <f>IF(OR(G949=1,G949=2),dadosexternosBMF_1!B952,"")</f>
        <v>#REF!</v>
      </c>
      <c r="Q949" s="219" t="e">
        <f>IF(OR(G949=1,G949=2),dadosexternosBMF_1!D952,"")</f>
        <v>#REF!</v>
      </c>
    </row>
    <row r="950" spans="1:17" x14ac:dyDescent="0.2">
      <c r="A950" s="222" t="e">
        <f t="shared" si="102"/>
        <v>#REF!</v>
      </c>
      <c r="B950" s="222" t="str">
        <f>IF(dadosexternosBMF_1!A953="DI1 - DI de 1 dia","DI1 - DI de 1 dia","")</f>
        <v/>
      </c>
      <c r="C950" s="222" t="e">
        <f>IF(dadosexternosBMF_1!A953="DOL - Dólar comercial","",IF(C949&lt;&gt;"",dadosexternosBMF_1!B953,IF(dadosexternosBMF_1!A953="DI1 - DI de 1 dia",dadosexternosBMF_1!B953,"")))</f>
        <v>#REF!</v>
      </c>
      <c r="D950" s="222" t="e">
        <f>IF(C950&lt;&gt;"",dadosexternosBMF_1!C953,"")</f>
        <v>#REF!</v>
      </c>
      <c r="E950" s="222" t="e">
        <f>IF(C950&lt;&gt;"",dadosexternosBMF_1!D953,"")</f>
        <v>#REF!</v>
      </c>
      <c r="G950" s="219" t="e">
        <f t="shared" si="103"/>
        <v>#REF!</v>
      </c>
      <c r="H950" s="219" t="e">
        <f t="shared" si="104"/>
        <v>#REF!</v>
      </c>
      <c r="I950" s="219" t="e">
        <f t="shared" si="105"/>
        <v>#REF!</v>
      </c>
      <c r="J950" s="219" t="e">
        <f>IF(I950="","",VLOOKUP(LEFT(C950,1),dadosexternosBMF_1!$L$2:$M$13,2,FALSE))</f>
        <v>#REF!</v>
      </c>
      <c r="K950" s="219" t="e">
        <f t="shared" si="106"/>
        <v>#REF!</v>
      </c>
      <c r="L950" s="422" t="e">
        <f t="shared" si="107"/>
        <v>#REF!</v>
      </c>
      <c r="M950" s="422" t="e">
        <f>IF(I950="","",WORKDAY(L950-1,1,FERIADOS!$A$2:$A$831))</f>
        <v>#REF!</v>
      </c>
      <c r="N950" s="219" t="e">
        <f>IF(I950="","",NETWORKDAYS(Curva!$M$2,M950,FERIADOS!$A$2:$A$831)-1)</f>
        <v>#REF!</v>
      </c>
      <c r="O950" s="423" t="e">
        <f>IF(C950&lt;&gt;"",IF(ISERROR((100000/E950)^(252/N950)-1),Curva!$B$2,((100000/E950)^(252/N950)-1)),"")</f>
        <v>#REF!</v>
      </c>
      <c r="P950" s="219" t="e">
        <f>IF(OR(G950=1,G950=2),dadosexternosBMF_1!B953,"")</f>
        <v>#REF!</v>
      </c>
      <c r="Q950" s="219" t="e">
        <f>IF(OR(G950=1,G950=2),dadosexternosBMF_1!D953,"")</f>
        <v>#REF!</v>
      </c>
    </row>
    <row r="951" spans="1:17" x14ac:dyDescent="0.2">
      <c r="A951" s="222" t="e">
        <f t="shared" si="102"/>
        <v>#REF!</v>
      </c>
      <c r="B951" s="222" t="str">
        <f>IF(dadosexternosBMF_1!A954="DI1 - DI de 1 dia","DI1 - DI de 1 dia","")</f>
        <v/>
      </c>
      <c r="C951" s="222" t="e">
        <f>IF(dadosexternosBMF_1!A954="DOL - Dólar comercial","",IF(C950&lt;&gt;"",dadosexternosBMF_1!B954,IF(dadosexternosBMF_1!A954="DI1 - DI de 1 dia",dadosexternosBMF_1!B954,"")))</f>
        <v>#REF!</v>
      </c>
      <c r="D951" s="222" t="e">
        <f>IF(C951&lt;&gt;"",dadosexternosBMF_1!C954,"")</f>
        <v>#REF!</v>
      </c>
      <c r="E951" s="222" t="e">
        <f>IF(C951&lt;&gt;"",dadosexternosBMF_1!D954,"")</f>
        <v>#REF!</v>
      </c>
      <c r="G951" s="219" t="e">
        <f t="shared" si="103"/>
        <v>#REF!</v>
      </c>
      <c r="H951" s="219" t="e">
        <f t="shared" si="104"/>
        <v>#REF!</v>
      </c>
      <c r="I951" s="219" t="e">
        <f t="shared" si="105"/>
        <v>#REF!</v>
      </c>
      <c r="J951" s="219" t="e">
        <f>IF(I951="","",VLOOKUP(LEFT(C951,1),dadosexternosBMF_1!$L$2:$M$13,2,FALSE))</f>
        <v>#REF!</v>
      </c>
      <c r="K951" s="219" t="e">
        <f t="shared" si="106"/>
        <v>#REF!</v>
      </c>
      <c r="L951" s="422" t="e">
        <f t="shared" si="107"/>
        <v>#REF!</v>
      </c>
      <c r="M951" s="422" t="e">
        <f>IF(I951="","",WORKDAY(L951-1,1,FERIADOS!$A$2:$A$831))</f>
        <v>#REF!</v>
      </c>
      <c r="N951" s="219" t="e">
        <f>IF(I951="","",NETWORKDAYS(Curva!$M$2,M951,FERIADOS!$A$2:$A$831)-1)</f>
        <v>#REF!</v>
      </c>
      <c r="O951" s="423" t="e">
        <f>IF(C951&lt;&gt;"",IF(ISERROR((100000/E951)^(252/N951)-1),Curva!$B$2,((100000/E951)^(252/N951)-1)),"")</f>
        <v>#REF!</v>
      </c>
      <c r="P951" s="219" t="e">
        <f>IF(OR(G951=1,G951=2),dadosexternosBMF_1!B954,"")</f>
        <v>#REF!</v>
      </c>
      <c r="Q951" s="219" t="e">
        <f>IF(OR(G951=1,G951=2),dadosexternosBMF_1!D954,"")</f>
        <v>#REF!</v>
      </c>
    </row>
    <row r="952" spans="1:17" x14ac:dyDescent="0.2">
      <c r="A952" s="222" t="e">
        <f t="shared" si="102"/>
        <v>#REF!</v>
      </c>
      <c r="B952" s="222" t="str">
        <f>IF(dadosexternosBMF_1!A955="DI1 - DI de 1 dia","DI1 - DI de 1 dia","")</f>
        <v/>
      </c>
      <c r="C952" s="222" t="e">
        <f>IF(dadosexternosBMF_1!A955="DOL - Dólar comercial","",IF(C951&lt;&gt;"",dadosexternosBMF_1!B955,IF(dadosexternosBMF_1!A955="DI1 - DI de 1 dia",dadosexternosBMF_1!B955,"")))</f>
        <v>#REF!</v>
      </c>
      <c r="D952" s="222" t="e">
        <f>IF(C952&lt;&gt;"",dadosexternosBMF_1!C955,"")</f>
        <v>#REF!</v>
      </c>
      <c r="E952" s="222" t="e">
        <f>IF(C952&lt;&gt;"",dadosexternosBMF_1!D955,"")</f>
        <v>#REF!</v>
      </c>
      <c r="G952" s="219" t="e">
        <f t="shared" si="103"/>
        <v>#REF!</v>
      </c>
      <c r="H952" s="219" t="e">
        <f t="shared" si="104"/>
        <v>#REF!</v>
      </c>
      <c r="I952" s="219" t="e">
        <f t="shared" si="105"/>
        <v>#REF!</v>
      </c>
      <c r="J952" s="219" t="e">
        <f>IF(I952="","",VLOOKUP(LEFT(C952,1),dadosexternosBMF_1!$L$2:$M$13,2,FALSE))</f>
        <v>#REF!</v>
      </c>
      <c r="K952" s="219" t="e">
        <f t="shared" si="106"/>
        <v>#REF!</v>
      </c>
      <c r="L952" s="422" t="e">
        <f t="shared" si="107"/>
        <v>#REF!</v>
      </c>
      <c r="M952" s="422" t="e">
        <f>IF(I952="","",WORKDAY(L952-1,1,FERIADOS!$A$2:$A$831))</f>
        <v>#REF!</v>
      </c>
      <c r="N952" s="219" t="e">
        <f>IF(I952="","",NETWORKDAYS(Curva!$M$2,M952,FERIADOS!$A$2:$A$831)-1)</f>
        <v>#REF!</v>
      </c>
      <c r="O952" s="423" t="e">
        <f>IF(C952&lt;&gt;"",IF(ISERROR((100000/E952)^(252/N952)-1),Curva!$B$2,((100000/E952)^(252/N952)-1)),"")</f>
        <v>#REF!</v>
      </c>
      <c r="P952" s="219" t="e">
        <f>IF(OR(G952=1,G952=2),dadosexternosBMF_1!B955,"")</f>
        <v>#REF!</v>
      </c>
      <c r="Q952" s="219" t="e">
        <f>IF(OR(G952=1,G952=2),dadosexternosBMF_1!D955,"")</f>
        <v>#REF!</v>
      </c>
    </row>
    <row r="953" spans="1:17" x14ac:dyDescent="0.2">
      <c r="A953" s="222" t="e">
        <f t="shared" si="102"/>
        <v>#REF!</v>
      </c>
      <c r="B953" s="222" t="str">
        <f>IF(dadosexternosBMF_1!A956="DI1 - DI de 1 dia","DI1 - DI de 1 dia","")</f>
        <v/>
      </c>
      <c r="C953" s="222" t="e">
        <f>IF(dadosexternosBMF_1!A956="DOL - Dólar comercial","",IF(C952&lt;&gt;"",dadosexternosBMF_1!B956,IF(dadosexternosBMF_1!A956="DI1 - DI de 1 dia",dadosexternosBMF_1!B956,"")))</f>
        <v>#REF!</v>
      </c>
      <c r="D953" s="222" t="e">
        <f>IF(C953&lt;&gt;"",dadosexternosBMF_1!C956,"")</f>
        <v>#REF!</v>
      </c>
      <c r="E953" s="222" t="e">
        <f>IF(C953&lt;&gt;"",dadosexternosBMF_1!D956,"")</f>
        <v>#REF!</v>
      </c>
      <c r="G953" s="219" t="e">
        <f t="shared" si="103"/>
        <v>#REF!</v>
      </c>
      <c r="H953" s="219" t="e">
        <f t="shared" si="104"/>
        <v>#REF!</v>
      </c>
      <c r="I953" s="219" t="e">
        <f t="shared" si="105"/>
        <v>#REF!</v>
      </c>
      <c r="J953" s="219" t="e">
        <f>IF(I953="","",VLOOKUP(LEFT(C953,1),dadosexternosBMF_1!$L$2:$M$13,2,FALSE))</f>
        <v>#REF!</v>
      </c>
      <c r="K953" s="219" t="e">
        <f t="shared" si="106"/>
        <v>#REF!</v>
      </c>
      <c r="L953" s="422" t="e">
        <f t="shared" si="107"/>
        <v>#REF!</v>
      </c>
      <c r="M953" s="422" t="e">
        <f>IF(I953="","",WORKDAY(L953-1,1,FERIADOS!$A$2:$A$831))</f>
        <v>#REF!</v>
      </c>
      <c r="N953" s="219" t="e">
        <f>IF(I953="","",NETWORKDAYS(Curva!$M$2,M953,FERIADOS!$A$2:$A$831)-1)</f>
        <v>#REF!</v>
      </c>
      <c r="O953" s="423" t="e">
        <f>IF(C953&lt;&gt;"",IF(ISERROR((100000/E953)^(252/N953)-1),Curva!$B$2,((100000/E953)^(252/N953)-1)),"")</f>
        <v>#REF!</v>
      </c>
      <c r="P953" s="219" t="e">
        <f>IF(OR(G953=1,G953=2),dadosexternosBMF_1!B956,"")</f>
        <v>#REF!</v>
      </c>
      <c r="Q953" s="219" t="e">
        <f>IF(OR(G953=1,G953=2),dadosexternosBMF_1!D956,"")</f>
        <v>#REF!</v>
      </c>
    </row>
    <row r="954" spans="1:17" x14ac:dyDescent="0.2">
      <c r="A954" s="222" t="e">
        <f t="shared" si="102"/>
        <v>#REF!</v>
      </c>
      <c r="B954" s="222" t="str">
        <f>IF(dadosexternosBMF_1!A957="DI1 - DI de 1 dia","DI1 - DI de 1 dia","")</f>
        <v/>
      </c>
      <c r="C954" s="222" t="e">
        <f>IF(dadosexternosBMF_1!A957="DOL - Dólar comercial","",IF(C953&lt;&gt;"",dadosexternosBMF_1!B957,IF(dadosexternosBMF_1!A957="DI1 - DI de 1 dia",dadosexternosBMF_1!B957,"")))</f>
        <v>#REF!</v>
      </c>
      <c r="D954" s="222" t="e">
        <f>IF(C954&lt;&gt;"",dadosexternosBMF_1!C957,"")</f>
        <v>#REF!</v>
      </c>
      <c r="E954" s="222" t="e">
        <f>IF(C954&lt;&gt;"",dadosexternosBMF_1!D957,"")</f>
        <v>#REF!</v>
      </c>
      <c r="G954" s="219" t="e">
        <f t="shared" si="103"/>
        <v>#REF!</v>
      </c>
      <c r="H954" s="219" t="e">
        <f t="shared" si="104"/>
        <v>#REF!</v>
      </c>
      <c r="I954" s="219" t="e">
        <f t="shared" si="105"/>
        <v>#REF!</v>
      </c>
      <c r="J954" s="219" t="e">
        <f>IF(I954="","",VLOOKUP(LEFT(C954,1),dadosexternosBMF_1!$L$2:$M$13,2,FALSE))</f>
        <v>#REF!</v>
      </c>
      <c r="K954" s="219" t="e">
        <f t="shared" si="106"/>
        <v>#REF!</v>
      </c>
      <c r="L954" s="422" t="e">
        <f t="shared" si="107"/>
        <v>#REF!</v>
      </c>
      <c r="M954" s="422" t="e">
        <f>IF(I954="","",WORKDAY(L954-1,1,FERIADOS!$A$2:$A$831))</f>
        <v>#REF!</v>
      </c>
      <c r="N954" s="219" t="e">
        <f>IF(I954="","",NETWORKDAYS(Curva!$M$2,M954,FERIADOS!$A$2:$A$831)-1)</f>
        <v>#REF!</v>
      </c>
      <c r="O954" s="423" t="e">
        <f>IF(C954&lt;&gt;"",IF(ISERROR((100000/E954)^(252/N954)-1),Curva!$B$2,((100000/E954)^(252/N954)-1)),"")</f>
        <v>#REF!</v>
      </c>
      <c r="P954" s="219" t="e">
        <f>IF(OR(G954=1,G954=2),dadosexternosBMF_1!B957,"")</f>
        <v>#REF!</v>
      </c>
      <c r="Q954" s="219" t="e">
        <f>IF(OR(G954=1,G954=2),dadosexternosBMF_1!D957,"")</f>
        <v>#REF!</v>
      </c>
    </row>
    <row r="955" spans="1:17" x14ac:dyDescent="0.2">
      <c r="A955" s="222" t="e">
        <f t="shared" si="102"/>
        <v>#REF!</v>
      </c>
      <c r="B955" s="222" t="str">
        <f>IF(dadosexternosBMF_1!A958="DI1 - DI de 1 dia","DI1 - DI de 1 dia","")</f>
        <v/>
      </c>
      <c r="C955" s="222" t="e">
        <f>IF(dadosexternosBMF_1!A958="DOL - Dólar comercial","",IF(C954&lt;&gt;"",dadosexternosBMF_1!B958,IF(dadosexternosBMF_1!A958="DI1 - DI de 1 dia",dadosexternosBMF_1!B958,"")))</f>
        <v>#REF!</v>
      </c>
      <c r="D955" s="222" t="e">
        <f>IF(C955&lt;&gt;"",dadosexternosBMF_1!C958,"")</f>
        <v>#REF!</v>
      </c>
      <c r="E955" s="222" t="e">
        <f>IF(C955&lt;&gt;"",dadosexternosBMF_1!D958,"")</f>
        <v>#REF!</v>
      </c>
      <c r="G955" s="219" t="e">
        <f t="shared" si="103"/>
        <v>#REF!</v>
      </c>
      <c r="H955" s="219" t="e">
        <f t="shared" si="104"/>
        <v>#REF!</v>
      </c>
      <c r="I955" s="219" t="e">
        <f t="shared" si="105"/>
        <v>#REF!</v>
      </c>
      <c r="J955" s="219" t="e">
        <f>IF(I955="","",VLOOKUP(LEFT(C955,1),dadosexternosBMF_1!$L$2:$M$13,2,FALSE))</f>
        <v>#REF!</v>
      </c>
      <c r="K955" s="219" t="e">
        <f t="shared" si="106"/>
        <v>#REF!</v>
      </c>
      <c r="L955" s="422" t="e">
        <f t="shared" si="107"/>
        <v>#REF!</v>
      </c>
      <c r="M955" s="422" t="e">
        <f>IF(I955="","",WORKDAY(L955-1,1,FERIADOS!$A$2:$A$831))</f>
        <v>#REF!</v>
      </c>
      <c r="N955" s="219" t="e">
        <f>IF(I955="","",NETWORKDAYS(Curva!$M$2,M955,FERIADOS!$A$2:$A$831)-1)</f>
        <v>#REF!</v>
      </c>
      <c r="O955" s="423" t="e">
        <f>IF(C955&lt;&gt;"",IF(ISERROR((100000/E955)^(252/N955)-1),Curva!$B$2,((100000/E955)^(252/N955)-1)),"")</f>
        <v>#REF!</v>
      </c>
      <c r="P955" s="219" t="e">
        <f>IF(OR(G955=1,G955=2),dadosexternosBMF_1!B958,"")</f>
        <v>#REF!</v>
      </c>
      <c r="Q955" s="219" t="e">
        <f>IF(OR(G955=1,G955=2),dadosexternosBMF_1!D958,"")</f>
        <v>#REF!</v>
      </c>
    </row>
    <row r="956" spans="1:17" x14ac:dyDescent="0.2">
      <c r="A956" s="222" t="e">
        <f t="shared" si="102"/>
        <v>#REF!</v>
      </c>
      <c r="B956" s="222" t="str">
        <f>IF(dadosexternosBMF_1!A959="DI1 - DI de 1 dia","DI1 - DI de 1 dia","")</f>
        <v/>
      </c>
      <c r="C956" s="222" t="e">
        <f>IF(dadosexternosBMF_1!A959="DOL - Dólar comercial","",IF(C955&lt;&gt;"",dadosexternosBMF_1!B959,IF(dadosexternosBMF_1!A959="DI1 - DI de 1 dia",dadosexternosBMF_1!B959,"")))</f>
        <v>#REF!</v>
      </c>
      <c r="D956" s="222" t="e">
        <f>IF(C956&lt;&gt;"",dadosexternosBMF_1!C959,"")</f>
        <v>#REF!</v>
      </c>
      <c r="E956" s="222" t="e">
        <f>IF(C956&lt;&gt;"",dadosexternosBMF_1!D959,"")</f>
        <v>#REF!</v>
      </c>
      <c r="G956" s="219" t="e">
        <f t="shared" si="103"/>
        <v>#REF!</v>
      </c>
      <c r="H956" s="219" t="e">
        <f t="shared" si="104"/>
        <v>#REF!</v>
      </c>
      <c r="I956" s="219" t="e">
        <f t="shared" si="105"/>
        <v>#REF!</v>
      </c>
      <c r="J956" s="219" t="e">
        <f>IF(I956="","",VLOOKUP(LEFT(C956,1),dadosexternosBMF_1!$L$2:$M$13,2,FALSE))</f>
        <v>#REF!</v>
      </c>
      <c r="K956" s="219" t="e">
        <f t="shared" si="106"/>
        <v>#REF!</v>
      </c>
      <c r="L956" s="422" t="e">
        <f t="shared" si="107"/>
        <v>#REF!</v>
      </c>
      <c r="M956" s="422" t="e">
        <f>IF(I956="","",WORKDAY(L956-1,1,FERIADOS!$A$2:$A$831))</f>
        <v>#REF!</v>
      </c>
      <c r="N956" s="219" t="e">
        <f>IF(I956="","",NETWORKDAYS(Curva!$M$2,M956,FERIADOS!$A$2:$A$831)-1)</f>
        <v>#REF!</v>
      </c>
      <c r="O956" s="423" t="e">
        <f>IF(C956&lt;&gt;"",IF(ISERROR((100000/E956)^(252/N956)-1),Curva!$B$2,((100000/E956)^(252/N956)-1)),"")</f>
        <v>#REF!</v>
      </c>
      <c r="P956" s="219" t="e">
        <f>IF(OR(G956=1,G956=2),dadosexternosBMF_1!B959,"")</f>
        <v>#REF!</v>
      </c>
      <c r="Q956" s="219" t="e">
        <f>IF(OR(G956=1,G956=2),dadosexternosBMF_1!D959,"")</f>
        <v>#REF!</v>
      </c>
    </row>
    <row r="957" spans="1:17" x14ac:dyDescent="0.2">
      <c r="A957" s="222" t="e">
        <f t="shared" si="102"/>
        <v>#REF!</v>
      </c>
      <c r="B957" s="222" t="str">
        <f>IF(dadosexternosBMF_1!A960="DI1 - DI de 1 dia","DI1 - DI de 1 dia","")</f>
        <v/>
      </c>
      <c r="C957" s="222" t="e">
        <f>IF(dadosexternosBMF_1!A960="DOL - Dólar comercial","",IF(C956&lt;&gt;"",dadosexternosBMF_1!B960,IF(dadosexternosBMF_1!A960="DI1 - DI de 1 dia",dadosexternosBMF_1!B960,"")))</f>
        <v>#REF!</v>
      </c>
      <c r="D957" s="222" t="e">
        <f>IF(C957&lt;&gt;"",dadosexternosBMF_1!C960,"")</f>
        <v>#REF!</v>
      </c>
      <c r="E957" s="222" t="e">
        <f>IF(C957&lt;&gt;"",dadosexternosBMF_1!D960,"")</f>
        <v>#REF!</v>
      </c>
      <c r="G957" s="219" t="e">
        <f t="shared" si="103"/>
        <v>#REF!</v>
      </c>
      <c r="H957" s="219" t="e">
        <f t="shared" si="104"/>
        <v>#REF!</v>
      </c>
      <c r="I957" s="219" t="e">
        <f t="shared" si="105"/>
        <v>#REF!</v>
      </c>
      <c r="J957" s="219" t="e">
        <f>IF(I957="","",VLOOKUP(LEFT(C957,1),dadosexternosBMF_1!$L$2:$M$13,2,FALSE))</f>
        <v>#REF!</v>
      </c>
      <c r="K957" s="219" t="e">
        <f t="shared" si="106"/>
        <v>#REF!</v>
      </c>
      <c r="L957" s="422" t="e">
        <f t="shared" si="107"/>
        <v>#REF!</v>
      </c>
      <c r="M957" s="422" t="e">
        <f>IF(I957="","",WORKDAY(L957-1,1,FERIADOS!$A$2:$A$831))</f>
        <v>#REF!</v>
      </c>
      <c r="N957" s="219" t="e">
        <f>IF(I957="","",NETWORKDAYS(Curva!$M$2,M957,FERIADOS!$A$2:$A$831)-1)</f>
        <v>#REF!</v>
      </c>
      <c r="O957" s="423" t="e">
        <f>IF(C957&lt;&gt;"",IF(ISERROR((100000/E957)^(252/N957)-1),Curva!$B$2,((100000/E957)^(252/N957)-1)),"")</f>
        <v>#REF!</v>
      </c>
      <c r="P957" s="219" t="e">
        <f>IF(OR(G957=1,G957=2),dadosexternosBMF_1!B960,"")</f>
        <v>#REF!</v>
      </c>
      <c r="Q957" s="219" t="e">
        <f>IF(OR(G957=1,G957=2),dadosexternosBMF_1!D960,"")</f>
        <v>#REF!</v>
      </c>
    </row>
    <row r="958" spans="1:17" x14ac:dyDescent="0.2">
      <c r="A958" s="222" t="e">
        <f t="shared" si="102"/>
        <v>#REF!</v>
      </c>
      <c r="B958" s="222" t="str">
        <f>IF(dadosexternosBMF_1!A961="DI1 - DI de 1 dia","DI1 - DI de 1 dia","")</f>
        <v/>
      </c>
      <c r="C958" s="222" t="e">
        <f>IF(dadosexternosBMF_1!A961="DOL - Dólar comercial","",IF(C957&lt;&gt;"",dadosexternosBMF_1!B961,IF(dadosexternosBMF_1!A961="DI1 - DI de 1 dia",dadosexternosBMF_1!B961,"")))</f>
        <v>#REF!</v>
      </c>
      <c r="D958" s="222" t="e">
        <f>IF(C958&lt;&gt;"",dadosexternosBMF_1!C961,"")</f>
        <v>#REF!</v>
      </c>
      <c r="E958" s="222" t="e">
        <f>IF(C958&lt;&gt;"",dadosexternosBMF_1!D961,"")</f>
        <v>#REF!</v>
      </c>
      <c r="G958" s="219" t="e">
        <f t="shared" si="103"/>
        <v>#REF!</v>
      </c>
      <c r="H958" s="219" t="e">
        <f t="shared" si="104"/>
        <v>#REF!</v>
      </c>
      <c r="I958" s="219" t="e">
        <f t="shared" si="105"/>
        <v>#REF!</v>
      </c>
      <c r="J958" s="219" t="e">
        <f>IF(I958="","",VLOOKUP(LEFT(C958,1),dadosexternosBMF_1!$L$2:$M$13,2,FALSE))</f>
        <v>#REF!</v>
      </c>
      <c r="K958" s="219" t="e">
        <f t="shared" si="106"/>
        <v>#REF!</v>
      </c>
      <c r="L958" s="422" t="e">
        <f t="shared" si="107"/>
        <v>#REF!</v>
      </c>
      <c r="M958" s="422" t="e">
        <f>IF(I958="","",WORKDAY(L958-1,1,FERIADOS!$A$2:$A$831))</f>
        <v>#REF!</v>
      </c>
      <c r="N958" s="219" t="e">
        <f>IF(I958="","",NETWORKDAYS(Curva!$M$2,M958,FERIADOS!$A$2:$A$831)-1)</f>
        <v>#REF!</v>
      </c>
      <c r="O958" s="423" t="e">
        <f>IF(C958&lt;&gt;"",IF(ISERROR((100000/E958)^(252/N958)-1),Curva!$B$2,((100000/E958)^(252/N958)-1)),"")</f>
        <v>#REF!</v>
      </c>
      <c r="P958" s="219" t="e">
        <f>IF(OR(G958=1,G958=2),dadosexternosBMF_1!B961,"")</f>
        <v>#REF!</v>
      </c>
      <c r="Q958" s="219" t="e">
        <f>IF(OR(G958=1,G958=2),dadosexternosBMF_1!D961,"")</f>
        <v>#REF!</v>
      </c>
    </row>
    <row r="959" spans="1:17" x14ac:dyDescent="0.2">
      <c r="A959" s="222" t="e">
        <f t="shared" si="102"/>
        <v>#REF!</v>
      </c>
      <c r="B959" s="222" t="str">
        <f>IF(dadosexternosBMF_1!A962="DI1 - DI de 1 dia","DI1 - DI de 1 dia","")</f>
        <v/>
      </c>
      <c r="C959" s="222" t="e">
        <f>IF(dadosexternosBMF_1!A962="DOL - Dólar comercial","",IF(C958&lt;&gt;"",dadosexternosBMF_1!B962,IF(dadosexternosBMF_1!A962="DI1 - DI de 1 dia",dadosexternosBMF_1!B962,"")))</f>
        <v>#REF!</v>
      </c>
      <c r="D959" s="222" t="e">
        <f>IF(C959&lt;&gt;"",dadosexternosBMF_1!C962,"")</f>
        <v>#REF!</v>
      </c>
      <c r="E959" s="222" t="e">
        <f>IF(C959&lt;&gt;"",dadosexternosBMF_1!D962,"")</f>
        <v>#REF!</v>
      </c>
      <c r="G959" s="219" t="e">
        <f t="shared" si="103"/>
        <v>#REF!</v>
      </c>
      <c r="H959" s="219" t="e">
        <f t="shared" si="104"/>
        <v>#REF!</v>
      </c>
      <c r="I959" s="219" t="e">
        <f t="shared" si="105"/>
        <v>#REF!</v>
      </c>
      <c r="J959" s="219" t="e">
        <f>IF(I959="","",VLOOKUP(LEFT(C959,1),dadosexternosBMF_1!$L$2:$M$13,2,FALSE))</f>
        <v>#REF!</v>
      </c>
      <c r="K959" s="219" t="e">
        <f t="shared" si="106"/>
        <v>#REF!</v>
      </c>
      <c r="L959" s="422" t="e">
        <f t="shared" si="107"/>
        <v>#REF!</v>
      </c>
      <c r="M959" s="422" t="e">
        <f>IF(I959="","",WORKDAY(L959-1,1,FERIADOS!$A$2:$A$831))</f>
        <v>#REF!</v>
      </c>
      <c r="N959" s="219" t="e">
        <f>IF(I959="","",NETWORKDAYS(Curva!$M$2,M959,FERIADOS!$A$2:$A$831)-1)</f>
        <v>#REF!</v>
      </c>
      <c r="O959" s="423" t="e">
        <f>IF(C959&lt;&gt;"",IF(ISERROR((100000/E959)^(252/N959)-1),Curva!$B$2,((100000/E959)^(252/N959)-1)),"")</f>
        <v>#REF!</v>
      </c>
      <c r="P959" s="219" t="e">
        <f>IF(OR(G959=1,G959=2),dadosexternosBMF_1!B962,"")</f>
        <v>#REF!</v>
      </c>
      <c r="Q959" s="219" t="e">
        <f>IF(OR(G959=1,G959=2),dadosexternosBMF_1!D962,"")</f>
        <v>#REF!</v>
      </c>
    </row>
    <row r="960" spans="1:17" x14ac:dyDescent="0.2">
      <c r="A960" s="222" t="e">
        <f t="shared" si="102"/>
        <v>#REF!</v>
      </c>
      <c r="B960" s="222" t="str">
        <f>IF(dadosexternosBMF_1!A963="DI1 - DI de 1 dia","DI1 - DI de 1 dia","")</f>
        <v/>
      </c>
      <c r="C960" s="222" t="e">
        <f>IF(dadosexternosBMF_1!A963="DOL - Dólar comercial","",IF(C959&lt;&gt;"",dadosexternosBMF_1!B963,IF(dadosexternosBMF_1!A963="DI1 - DI de 1 dia",dadosexternosBMF_1!B963,"")))</f>
        <v>#REF!</v>
      </c>
      <c r="D960" s="222" t="e">
        <f>IF(C960&lt;&gt;"",dadosexternosBMF_1!C963,"")</f>
        <v>#REF!</v>
      </c>
      <c r="E960" s="222" t="e">
        <f>IF(C960&lt;&gt;"",dadosexternosBMF_1!D963,"")</f>
        <v>#REF!</v>
      </c>
      <c r="G960" s="219" t="e">
        <f t="shared" si="103"/>
        <v>#REF!</v>
      </c>
      <c r="H960" s="219" t="e">
        <f t="shared" si="104"/>
        <v>#REF!</v>
      </c>
      <c r="I960" s="219" t="e">
        <f t="shared" si="105"/>
        <v>#REF!</v>
      </c>
      <c r="J960" s="219" t="e">
        <f>IF(I960="","",VLOOKUP(LEFT(C960,1),dadosexternosBMF_1!$L$2:$M$13,2,FALSE))</f>
        <v>#REF!</v>
      </c>
      <c r="K960" s="219" t="e">
        <f t="shared" si="106"/>
        <v>#REF!</v>
      </c>
      <c r="L960" s="422" t="e">
        <f t="shared" si="107"/>
        <v>#REF!</v>
      </c>
      <c r="M960" s="422" t="e">
        <f>IF(I960="","",WORKDAY(L960-1,1,FERIADOS!$A$2:$A$831))</f>
        <v>#REF!</v>
      </c>
      <c r="N960" s="219" t="e">
        <f>IF(I960="","",NETWORKDAYS(Curva!$M$2,M960,FERIADOS!$A$2:$A$831)-1)</f>
        <v>#REF!</v>
      </c>
      <c r="O960" s="423" t="e">
        <f>IF(C960&lt;&gt;"",IF(ISERROR((100000/E960)^(252/N960)-1),Curva!$B$2,((100000/E960)^(252/N960)-1)),"")</f>
        <v>#REF!</v>
      </c>
      <c r="P960" s="219" t="e">
        <f>IF(OR(G960=1,G960=2),dadosexternosBMF_1!B963,"")</f>
        <v>#REF!</v>
      </c>
      <c r="Q960" s="219" t="e">
        <f>IF(OR(G960=1,G960=2),dadosexternosBMF_1!D963,"")</f>
        <v>#REF!</v>
      </c>
    </row>
    <row r="961" spans="1:17" x14ac:dyDescent="0.2">
      <c r="A961" s="222" t="e">
        <f t="shared" si="102"/>
        <v>#REF!</v>
      </c>
      <c r="B961" s="222" t="str">
        <f>IF(dadosexternosBMF_1!A964="DI1 - DI de 1 dia","DI1 - DI de 1 dia","")</f>
        <v/>
      </c>
      <c r="C961" s="222" t="e">
        <f>IF(dadosexternosBMF_1!A964="DOL - Dólar comercial","",IF(C960&lt;&gt;"",dadosexternosBMF_1!B964,IF(dadosexternosBMF_1!A964="DI1 - DI de 1 dia",dadosexternosBMF_1!B964,"")))</f>
        <v>#REF!</v>
      </c>
      <c r="D961" s="222" t="e">
        <f>IF(C961&lt;&gt;"",dadosexternosBMF_1!C964,"")</f>
        <v>#REF!</v>
      </c>
      <c r="E961" s="222" t="e">
        <f>IF(C961&lt;&gt;"",dadosexternosBMF_1!D964,"")</f>
        <v>#REF!</v>
      </c>
      <c r="G961" s="219" t="e">
        <f t="shared" si="103"/>
        <v>#REF!</v>
      </c>
      <c r="H961" s="219" t="e">
        <f t="shared" si="104"/>
        <v>#REF!</v>
      </c>
      <c r="I961" s="219" t="e">
        <f t="shared" si="105"/>
        <v>#REF!</v>
      </c>
      <c r="J961" s="219" t="e">
        <f>IF(I961="","",VLOOKUP(LEFT(C961,1),dadosexternosBMF_1!$L$2:$M$13,2,FALSE))</f>
        <v>#REF!</v>
      </c>
      <c r="K961" s="219" t="e">
        <f t="shared" si="106"/>
        <v>#REF!</v>
      </c>
      <c r="L961" s="422" t="e">
        <f t="shared" si="107"/>
        <v>#REF!</v>
      </c>
      <c r="M961" s="422" t="e">
        <f>IF(I961="","",WORKDAY(L961-1,1,FERIADOS!$A$2:$A$831))</f>
        <v>#REF!</v>
      </c>
      <c r="N961" s="219" t="e">
        <f>IF(I961="","",NETWORKDAYS(Curva!$M$2,M961,FERIADOS!$A$2:$A$831)-1)</f>
        <v>#REF!</v>
      </c>
      <c r="O961" s="423" t="e">
        <f>IF(C961&lt;&gt;"",IF(ISERROR((100000/E961)^(252/N961)-1),Curva!$B$2,((100000/E961)^(252/N961)-1)),"")</f>
        <v>#REF!</v>
      </c>
      <c r="P961" s="219" t="e">
        <f>IF(OR(G961=1,G961=2),dadosexternosBMF_1!B964,"")</f>
        <v>#REF!</v>
      </c>
      <c r="Q961" s="219" t="e">
        <f>IF(OR(G961=1,G961=2),dadosexternosBMF_1!D964,"")</f>
        <v>#REF!</v>
      </c>
    </row>
    <row r="962" spans="1:17" x14ac:dyDescent="0.2">
      <c r="A962" s="222" t="e">
        <f t="shared" si="102"/>
        <v>#REF!</v>
      </c>
      <c r="B962" s="222" t="str">
        <f>IF(dadosexternosBMF_1!A965="DI1 - DI de 1 dia","DI1 - DI de 1 dia","")</f>
        <v/>
      </c>
      <c r="C962" s="222" t="e">
        <f>IF(dadosexternosBMF_1!A965="DOL - Dólar comercial","",IF(C961&lt;&gt;"",dadosexternosBMF_1!B965,IF(dadosexternosBMF_1!A965="DI1 - DI de 1 dia",dadosexternosBMF_1!B965,"")))</f>
        <v>#REF!</v>
      </c>
      <c r="D962" s="222" t="e">
        <f>IF(C962&lt;&gt;"",dadosexternosBMF_1!C965,"")</f>
        <v>#REF!</v>
      </c>
      <c r="E962" s="222" t="e">
        <f>IF(C962&lt;&gt;"",dadosexternosBMF_1!D965,"")</f>
        <v>#REF!</v>
      </c>
      <c r="G962" s="219" t="e">
        <f t="shared" si="103"/>
        <v>#REF!</v>
      </c>
      <c r="H962" s="219" t="e">
        <f t="shared" si="104"/>
        <v>#REF!</v>
      </c>
      <c r="I962" s="219" t="e">
        <f t="shared" si="105"/>
        <v>#REF!</v>
      </c>
      <c r="J962" s="219" t="e">
        <f>IF(I962="","",VLOOKUP(LEFT(C962,1),dadosexternosBMF_1!$L$2:$M$13,2,FALSE))</f>
        <v>#REF!</v>
      </c>
      <c r="K962" s="219" t="e">
        <f t="shared" si="106"/>
        <v>#REF!</v>
      </c>
      <c r="L962" s="422" t="e">
        <f t="shared" si="107"/>
        <v>#REF!</v>
      </c>
      <c r="M962" s="422" t="e">
        <f>IF(I962="","",WORKDAY(L962-1,1,FERIADOS!$A$2:$A$831))</f>
        <v>#REF!</v>
      </c>
      <c r="N962" s="219" t="e">
        <f>IF(I962="","",NETWORKDAYS(Curva!$M$2,M962,FERIADOS!$A$2:$A$831)-1)</f>
        <v>#REF!</v>
      </c>
      <c r="O962" s="423" t="e">
        <f>IF(C962&lt;&gt;"",IF(ISERROR((100000/E962)^(252/N962)-1),Curva!$B$2,((100000/E962)^(252/N962)-1)),"")</f>
        <v>#REF!</v>
      </c>
      <c r="P962" s="219" t="e">
        <f>IF(OR(G962=1,G962=2),dadosexternosBMF_1!B965,"")</f>
        <v>#REF!</v>
      </c>
      <c r="Q962" s="219" t="e">
        <f>IF(OR(G962=1,G962=2),dadosexternosBMF_1!D965,"")</f>
        <v>#REF!</v>
      </c>
    </row>
    <row r="963" spans="1:17" x14ac:dyDescent="0.2">
      <c r="A963" s="222" t="e">
        <f t="shared" si="102"/>
        <v>#REF!</v>
      </c>
      <c r="B963" s="222" t="str">
        <f>IF(dadosexternosBMF_1!A966="DI1 - DI de 1 dia","DI1 - DI de 1 dia","")</f>
        <v/>
      </c>
      <c r="C963" s="222" t="e">
        <f>IF(dadosexternosBMF_1!A966="DOL - Dólar comercial","",IF(C962&lt;&gt;"",dadosexternosBMF_1!B966,IF(dadosexternosBMF_1!A966="DI1 - DI de 1 dia",dadosexternosBMF_1!B966,"")))</f>
        <v>#REF!</v>
      </c>
      <c r="D963" s="222" t="e">
        <f>IF(C963&lt;&gt;"",dadosexternosBMF_1!C966,"")</f>
        <v>#REF!</v>
      </c>
      <c r="E963" s="222" t="e">
        <f>IF(C963&lt;&gt;"",dadosexternosBMF_1!D966,"")</f>
        <v>#REF!</v>
      </c>
      <c r="G963" s="219" t="e">
        <f t="shared" si="103"/>
        <v>#REF!</v>
      </c>
      <c r="H963" s="219" t="e">
        <f t="shared" si="104"/>
        <v>#REF!</v>
      </c>
      <c r="I963" s="219" t="e">
        <f t="shared" si="105"/>
        <v>#REF!</v>
      </c>
      <c r="J963" s="219" t="e">
        <f>IF(I963="","",VLOOKUP(LEFT(C963,1),dadosexternosBMF_1!$L$2:$M$13,2,FALSE))</f>
        <v>#REF!</v>
      </c>
      <c r="K963" s="219" t="e">
        <f t="shared" si="106"/>
        <v>#REF!</v>
      </c>
      <c r="L963" s="422" t="e">
        <f t="shared" si="107"/>
        <v>#REF!</v>
      </c>
      <c r="M963" s="422" t="e">
        <f>IF(I963="","",WORKDAY(L963-1,1,FERIADOS!$A$2:$A$831))</f>
        <v>#REF!</v>
      </c>
      <c r="N963" s="219" t="e">
        <f>IF(I963="","",NETWORKDAYS(Curva!$M$2,M963,FERIADOS!$A$2:$A$831)-1)</f>
        <v>#REF!</v>
      </c>
      <c r="O963" s="423" t="e">
        <f>IF(C963&lt;&gt;"",IF(ISERROR((100000/E963)^(252/N963)-1),Curva!$B$2,((100000/E963)^(252/N963)-1)),"")</f>
        <v>#REF!</v>
      </c>
      <c r="P963" s="219" t="e">
        <f>IF(OR(G963=1,G963=2),dadosexternosBMF_1!B966,"")</f>
        <v>#REF!</v>
      </c>
      <c r="Q963" s="219" t="e">
        <f>IF(OR(G963=1,G963=2),dadosexternosBMF_1!D966,"")</f>
        <v>#REF!</v>
      </c>
    </row>
    <row r="964" spans="1:17" x14ac:dyDescent="0.2">
      <c r="A964" s="222" t="e">
        <f t="shared" si="102"/>
        <v>#REF!</v>
      </c>
      <c r="B964" s="222" t="str">
        <f>IF(dadosexternosBMF_1!A967="DI1 - DI de 1 dia","DI1 - DI de 1 dia","")</f>
        <v/>
      </c>
      <c r="C964" s="222" t="e">
        <f>IF(dadosexternosBMF_1!A967="DOL - Dólar comercial","",IF(C963&lt;&gt;"",dadosexternosBMF_1!B967,IF(dadosexternosBMF_1!A967="DI1 - DI de 1 dia",dadosexternosBMF_1!B967,"")))</f>
        <v>#REF!</v>
      </c>
      <c r="D964" s="222" t="e">
        <f>IF(C964&lt;&gt;"",dadosexternosBMF_1!C967,"")</f>
        <v>#REF!</v>
      </c>
      <c r="E964" s="222" t="e">
        <f>IF(C964&lt;&gt;"",dadosexternosBMF_1!D967,"")</f>
        <v>#REF!</v>
      </c>
      <c r="G964" s="219" t="e">
        <f t="shared" si="103"/>
        <v>#REF!</v>
      </c>
      <c r="H964" s="219" t="e">
        <f t="shared" si="104"/>
        <v>#REF!</v>
      </c>
      <c r="I964" s="219" t="e">
        <f t="shared" si="105"/>
        <v>#REF!</v>
      </c>
      <c r="J964" s="219" t="e">
        <f>IF(I964="","",VLOOKUP(LEFT(C964,1),dadosexternosBMF_1!$L$2:$M$13,2,FALSE))</f>
        <v>#REF!</v>
      </c>
      <c r="K964" s="219" t="e">
        <f t="shared" si="106"/>
        <v>#REF!</v>
      </c>
      <c r="L964" s="422" t="e">
        <f t="shared" si="107"/>
        <v>#REF!</v>
      </c>
      <c r="M964" s="422" t="e">
        <f>IF(I964="","",WORKDAY(L964-1,1,FERIADOS!$A$2:$A$831))</f>
        <v>#REF!</v>
      </c>
      <c r="N964" s="219" t="e">
        <f>IF(I964="","",NETWORKDAYS(Curva!$M$2,M964,FERIADOS!$A$2:$A$831)-1)</f>
        <v>#REF!</v>
      </c>
      <c r="O964" s="423" t="e">
        <f>IF(C964&lt;&gt;"",IF(ISERROR((100000/E964)^(252/N964)-1),Curva!$B$2,((100000/E964)^(252/N964)-1)),"")</f>
        <v>#REF!</v>
      </c>
      <c r="P964" s="219" t="e">
        <f>IF(OR(G964=1,G964=2),dadosexternosBMF_1!B967,"")</f>
        <v>#REF!</v>
      </c>
      <c r="Q964" s="219" t="e">
        <f>IF(OR(G964=1,G964=2),dadosexternosBMF_1!D967,"")</f>
        <v>#REF!</v>
      </c>
    </row>
    <row r="965" spans="1:17" x14ac:dyDescent="0.2">
      <c r="A965" s="222" t="e">
        <f t="shared" si="102"/>
        <v>#REF!</v>
      </c>
      <c r="B965" s="222" t="str">
        <f>IF(dadosexternosBMF_1!A968="DI1 - DI de 1 dia","DI1 - DI de 1 dia","")</f>
        <v/>
      </c>
      <c r="C965" s="222" t="e">
        <f>IF(dadosexternosBMF_1!A968="DOL - Dólar comercial","",IF(C964&lt;&gt;"",dadosexternosBMF_1!B968,IF(dadosexternosBMF_1!A968="DI1 - DI de 1 dia",dadosexternosBMF_1!B968,"")))</f>
        <v>#REF!</v>
      </c>
      <c r="D965" s="222" t="e">
        <f>IF(C965&lt;&gt;"",dadosexternosBMF_1!C968,"")</f>
        <v>#REF!</v>
      </c>
      <c r="E965" s="222" t="e">
        <f>IF(C965&lt;&gt;"",dadosexternosBMF_1!D968,"")</f>
        <v>#REF!</v>
      </c>
      <c r="G965" s="219" t="e">
        <f t="shared" si="103"/>
        <v>#REF!</v>
      </c>
      <c r="H965" s="219" t="e">
        <f t="shared" si="104"/>
        <v>#REF!</v>
      </c>
      <c r="I965" s="219" t="e">
        <f t="shared" si="105"/>
        <v>#REF!</v>
      </c>
      <c r="J965" s="219" t="e">
        <f>IF(I965="","",VLOOKUP(LEFT(C965,1),dadosexternosBMF_1!$L$2:$M$13,2,FALSE))</f>
        <v>#REF!</v>
      </c>
      <c r="K965" s="219" t="e">
        <f t="shared" si="106"/>
        <v>#REF!</v>
      </c>
      <c r="L965" s="422" t="e">
        <f t="shared" si="107"/>
        <v>#REF!</v>
      </c>
      <c r="M965" s="422" t="e">
        <f>IF(I965="","",WORKDAY(L965-1,1,FERIADOS!$A$2:$A$831))</f>
        <v>#REF!</v>
      </c>
      <c r="N965" s="219" t="e">
        <f>IF(I965="","",NETWORKDAYS(Curva!$M$2,M965,FERIADOS!$A$2:$A$831)-1)</f>
        <v>#REF!</v>
      </c>
      <c r="O965" s="423" t="e">
        <f>IF(C965&lt;&gt;"",IF(ISERROR((100000/E965)^(252/N965)-1),Curva!$B$2,((100000/E965)^(252/N965)-1)),"")</f>
        <v>#REF!</v>
      </c>
      <c r="P965" s="219" t="e">
        <f>IF(OR(G965=1,G965=2),dadosexternosBMF_1!B968,"")</f>
        <v>#REF!</v>
      </c>
      <c r="Q965" s="219" t="e">
        <f>IF(OR(G965=1,G965=2),dadosexternosBMF_1!D968,"")</f>
        <v>#REF!</v>
      </c>
    </row>
    <row r="966" spans="1:17" x14ac:dyDescent="0.2">
      <c r="A966" s="222" t="e">
        <f t="shared" si="102"/>
        <v>#REF!</v>
      </c>
      <c r="B966" s="222" t="str">
        <f>IF(dadosexternosBMF_1!A969="DI1 - DI de 1 dia","DI1 - DI de 1 dia","")</f>
        <v/>
      </c>
      <c r="C966" s="222" t="e">
        <f>IF(dadosexternosBMF_1!A969="DOL - Dólar comercial","",IF(C965&lt;&gt;"",dadosexternosBMF_1!B969,IF(dadosexternosBMF_1!A969="DI1 - DI de 1 dia",dadosexternosBMF_1!B969,"")))</f>
        <v>#REF!</v>
      </c>
      <c r="D966" s="222" t="e">
        <f>IF(C966&lt;&gt;"",dadosexternosBMF_1!C969,"")</f>
        <v>#REF!</v>
      </c>
      <c r="E966" s="222" t="e">
        <f>IF(C966&lt;&gt;"",dadosexternosBMF_1!D969,"")</f>
        <v>#REF!</v>
      </c>
      <c r="G966" s="219" t="e">
        <f t="shared" si="103"/>
        <v>#REF!</v>
      </c>
      <c r="H966" s="219" t="e">
        <f t="shared" si="104"/>
        <v>#REF!</v>
      </c>
      <c r="I966" s="219" t="e">
        <f t="shared" si="105"/>
        <v>#REF!</v>
      </c>
      <c r="J966" s="219" t="e">
        <f>IF(I966="","",VLOOKUP(LEFT(C966,1),dadosexternosBMF_1!$L$2:$M$13,2,FALSE))</f>
        <v>#REF!</v>
      </c>
      <c r="K966" s="219" t="e">
        <f t="shared" si="106"/>
        <v>#REF!</v>
      </c>
      <c r="L966" s="422" t="e">
        <f t="shared" si="107"/>
        <v>#REF!</v>
      </c>
      <c r="M966" s="422" t="e">
        <f>IF(I966="","",WORKDAY(L966-1,1,FERIADOS!$A$2:$A$831))</f>
        <v>#REF!</v>
      </c>
      <c r="N966" s="219" t="e">
        <f>IF(I966="","",NETWORKDAYS(Curva!$M$2,M966,FERIADOS!$A$2:$A$831)-1)</f>
        <v>#REF!</v>
      </c>
      <c r="O966" s="423" t="e">
        <f>IF(C966&lt;&gt;"",IF(ISERROR((100000/E966)^(252/N966)-1),Curva!$B$2,((100000/E966)^(252/N966)-1)),"")</f>
        <v>#REF!</v>
      </c>
      <c r="P966" s="219" t="e">
        <f>IF(OR(G966=1,G966=2),dadosexternosBMF_1!B969,"")</f>
        <v>#REF!</v>
      </c>
      <c r="Q966" s="219" t="e">
        <f>IF(OR(G966=1,G966=2),dadosexternosBMF_1!D969,"")</f>
        <v>#REF!</v>
      </c>
    </row>
    <row r="967" spans="1:17" x14ac:dyDescent="0.2">
      <c r="A967" s="222" t="e">
        <f t="shared" si="102"/>
        <v>#REF!</v>
      </c>
      <c r="B967" s="222" t="str">
        <f>IF(dadosexternosBMF_1!A970="DI1 - DI de 1 dia","DI1 - DI de 1 dia","")</f>
        <v/>
      </c>
      <c r="C967" s="222" t="e">
        <f>IF(dadosexternosBMF_1!A970="DOL - Dólar comercial","",IF(C966&lt;&gt;"",dadosexternosBMF_1!B970,IF(dadosexternosBMF_1!A970="DI1 - DI de 1 dia",dadosexternosBMF_1!B970,"")))</f>
        <v>#REF!</v>
      </c>
      <c r="D967" s="222" t="e">
        <f>IF(C967&lt;&gt;"",dadosexternosBMF_1!C970,"")</f>
        <v>#REF!</v>
      </c>
      <c r="E967" s="222" t="e">
        <f>IF(C967&lt;&gt;"",dadosexternosBMF_1!D970,"")</f>
        <v>#REF!</v>
      </c>
      <c r="G967" s="219" t="e">
        <f t="shared" si="103"/>
        <v>#REF!</v>
      </c>
      <c r="H967" s="219" t="e">
        <f t="shared" si="104"/>
        <v>#REF!</v>
      </c>
      <c r="I967" s="219" t="e">
        <f t="shared" si="105"/>
        <v>#REF!</v>
      </c>
      <c r="J967" s="219" t="e">
        <f>IF(I967="","",VLOOKUP(LEFT(C967,1),dadosexternosBMF_1!$L$2:$M$13,2,FALSE))</f>
        <v>#REF!</v>
      </c>
      <c r="K967" s="219" t="e">
        <f t="shared" si="106"/>
        <v>#REF!</v>
      </c>
      <c r="L967" s="422" t="e">
        <f t="shared" si="107"/>
        <v>#REF!</v>
      </c>
      <c r="M967" s="422" t="e">
        <f>IF(I967="","",WORKDAY(L967-1,1,FERIADOS!$A$2:$A$831))</f>
        <v>#REF!</v>
      </c>
      <c r="N967" s="219" t="e">
        <f>IF(I967="","",NETWORKDAYS(Curva!$M$2,M967,FERIADOS!$A$2:$A$831)-1)</f>
        <v>#REF!</v>
      </c>
      <c r="O967" s="423" t="e">
        <f>IF(C967&lt;&gt;"",IF(ISERROR((100000/E967)^(252/N967)-1),Curva!$B$2,((100000/E967)^(252/N967)-1)),"")</f>
        <v>#REF!</v>
      </c>
      <c r="P967" s="219" t="e">
        <f>IF(OR(G967=1,G967=2),dadosexternosBMF_1!B970,"")</f>
        <v>#REF!</v>
      </c>
      <c r="Q967" s="219" t="e">
        <f>IF(OR(G967=1,G967=2),dadosexternosBMF_1!D970,"")</f>
        <v>#REF!</v>
      </c>
    </row>
    <row r="968" spans="1:17" x14ac:dyDescent="0.2">
      <c r="A968" s="222" t="e">
        <f t="shared" si="102"/>
        <v>#REF!</v>
      </c>
      <c r="B968" s="222" t="str">
        <f>IF(dadosexternosBMF_1!A971="DI1 - DI de 1 dia","DI1 - DI de 1 dia","")</f>
        <v/>
      </c>
      <c r="C968" s="222" t="e">
        <f>IF(dadosexternosBMF_1!A971="DOL - Dólar comercial","",IF(C967&lt;&gt;"",dadosexternosBMF_1!B971,IF(dadosexternosBMF_1!A971="DI1 - DI de 1 dia",dadosexternosBMF_1!B971,"")))</f>
        <v>#REF!</v>
      </c>
      <c r="D968" s="222" t="e">
        <f>IF(C968&lt;&gt;"",dadosexternosBMF_1!C971,"")</f>
        <v>#REF!</v>
      </c>
      <c r="E968" s="222" t="e">
        <f>IF(C968&lt;&gt;"",dadosexternosBMF_1!D971,"")</f>
        <v>#REF!</v>
      </c>
      <c r="G968" s="219" t="e">
        <f t="shared" si="103"/>
        <v>#REF!</v>
      </c>
      <c r="H968" s="219" t="e">
        <f t="shared" si="104"/>
        <v>#REF!</v>
      </c>
      <c r="I968" s="219" t="e">
        <f t="shared" si="105"/>
        <v>#REF!</v>
      </c>
      <c r="J968" s="219" t="e">
        <f>IF(I968="","",VLOOKUP(LEFT(C968,1),dadosexternosBMF_1!$L$2:$M$13,2,FALSE))</f>
        <v>#REF!</v>
      </c>
      <c r="K968" s="219" t="e">
        <f t="shared" si="106"/>
        <v>#REF!</v>
      </c>
      <c r="L968" s="422" t="e">
        <f t="shared" si="107"/>
        <v>#REF!</v>
      </c>
      <c r="M968" s="422" t="e">
        <f>IF(I968="","",WORKDAY(L968-1,1,FERIADOS!$A$2:$A$831))</f>
        <v>#REF!</v>
      </c>
      <c r="N968" s="219" t="e">
        <f>IF(I968="","",NETWORKDAYS(Curva!$M$2,M968,FERIADOS!$A$2:$A$831)-1)</f>
        <v>#REF!</v>
      </c>
      <c r="O968" s="423" t="e">
        <f>IF(C968&lt;&gt;"",IF(ISERROR((100000/E968)^(252/N968)-1),Curva!$B$2,((100000/E968)^(252/N968)-1)),"")</f>
        <v>#REF!</v>
      </c>
      <c r="P968" s="219" t="e">
        <f>IF(OR(G968=1,G968=2),dadosexternosBMF_1!B971,"")</f>
        <v>#REF!</v>
      </c>
      <c r="Q968" s="219" t="e">
        <f>IF(OR(G968=1,G968=2),dadosexternosBMF_1!D971,"")</f>
        <v>#REF!</v>
      </c>
    </row>
    <row r="969" spans="1:17" x14ac:dyDescent="0.2">
      <c r="A969" s="222" t="e">
        <f t="shared" si="102"/>
        <v>#REF!</v>
      </c>
      <c r="B969" s="222" t="str">
        <f>IF(dadosexternosBMF_1!A972="DI1 - DI de 1 dia","DI1 - DI de 1 dia","")</f>
        <v/>
      </c>
      <c r="C969" s="222" t="e">
        <f>IF(dadosexternosBMF_1!A972="DOL - Dólar comercial","",IF(C968&lt;&gt;"",dadosexternosBMF_1!B972,IF(dadosexternosBMF_1!A972="DI1 - DI de 1 dia",dadosexternosBMF_1!B972,"")))</f>
        <v>#REF!</v>
      </c>
      <c r="D969" s="222" t="e">
        <f>IF(C969&lt;&gt;"",dadosexternosBMF_1!C972,"")</f>
        <v>#REF!</v>
      </c>
      <c r="E969" s="222" t="e">
        <f>IF(C969&lt;&gt;"",dadosexternosBMF_1!D972,"")</f>
        <v>#REF!</v>
      </c>
      <c r="G969" s="219" t="e">
        <f t="shared" si="103"/>
        <v>#REF!</v>
      </c>
      <c r="H969" s="219" t="e">
        <f t="shared" si="104"/>
        <v>#REF!</v>
      </c>
      <c r="I969" s="219" t="e">
        <f t="shared" si="105"/>
        <v>#REF!</v>
      </c>
      <c r="J969" s="219" t="e">
        <f>IF(I969="","",VLOOKUP(LEFT(C969,1),dadosexternosBMF_1!$L$2:$M$13,2,FALSE))</f>
        <v>#REF!</v>
      </c>
      <c r="K969" s="219" t="e">
        <f t="shared" si="106"/>
        <v>#REF!</v>
      </c>
      <c r="L969" s="422" t="e">
        <f t="shared" si="107"/>
        <v>#REF!</v>
      </c>
      <c r="M969" s="422" t="e">
        <f>IF(I969="","",WORKDAY(L969-1,1,FERIADOS!$A$2:$A$831))</f>
        <v>#REF!</v>
      </c>
      <c r="N969" s="219" t="e">
        <f>IF(I969="","",NETWORKDAYS(Curva!$M$2,M969,FERIADOS!$A$2:$A$831)-1)</f>
        <v>#REF!</v>
      </c>
      <c r="O969" s="423" t="e">
        <f>IF(C969&lt;&gt;"",IF(ISERROR((100000/E969)^(252/N969)-1),Curva!$B$2,((100000/E969)^(252/N969)-1)),"")</f>
        <v>#REF!</v>
      </c>
      <c r="P969" s="219" t="e">
        <f>IF(OR(G969=1,G969=2),dadosexternosBMF_1!B972,"")</f>
        <v>#REF!</v>
      </c>
      <c r="Q969" s="219" t="e">
        <f>IF(OR(G969=1,G969=2),dadosexternosBMF_1!D972,"")</f>
        <v>#REF!</v>
      </c>
    </row>
    <row r="970" spans="1:17" x14ac:dyDescent="0.2">
      <c r="A970" s="222" t="e">
        <f t="shared" si="102"/>
        <v>#REF!</v>
      </c>
      <c r="B970" s="222" t="str">
        <f>IF(dadosexternosBMF_1!A973="DI1 - DI de 1 dia","DI1 - DI de 1 dia","")</f>
        <v/>
      </c>
      <c r="C970" s="222" t="e">
        <f>IF(dadosexternosBMF_1!A973="DOL - Dólar comercial","",IF(C969&lt;&gt;"",dadosexternosBMF_1!B973,IF(dadosexternosBMF_1!A973="DI1 - DI de 1 dia",dadosexternosBMF_1!B973,"")))</f>
        <v>#REF!</v>
      </c>
      <c r="D970" s="222" t="e">
        <f>IF(C970&lt;&gt;"",dadosexternosBMF_1!C973,"")</f>
        <v>#REF!</v>
      </c>
      <c r="E970" s="222" t="e">
        <f>IF(C970&lt;&gt;"",dadosexternosBMF_1!D973,"")</f>
        <v>#REF!</v>
      </c>
      <c r="G970" s="219" t="e">
        <f t="shared" si="103"/>
        <v>#REF!</v>
      </c>
      <c r="H970" s="219" t="e">
        <f t="shared" si="104"/>
        <v>#REF!</v>
      </c>
      <c r="I970" s="219" t="e">
        <f t="shared" si="105"/>
        <v>#REF!</v>
      </c>
      <c r="J970" s="219" t="e">
        <f>IF(I970="","",VLOOKUP(LEFT(C970,1),dadosexternosBMF_1!$L$2:$M$13,2,FALSE))</f>
        <v>#REF!</v>
      </c>
      <c r="K970" s="219" t="e">
        <f t="shared" si="106"/>
        <v>#REF!</v>
      </c>
      <c r="L970" s="422" t="e">
        <f t="shared" si="107"/>
        <v>#REF!</v>
      </c>
      <c r="M970" s="422" t="e">
        <f>IF(I970="","",WORKDAY(L970-1,1,FERIADOS!$A$2:$A$831))</f>
        <v>#REF!</v>
      </c>
      <c r="N970" s="219" t="e">
        <f>IF(I970="","",NETWORKDAYS(Curva!$M$2,M970,FERIADOS!$A$2:$A$831)-1)</f>
        <v>#REF!</v>
      </c>
      <c r="O970" s="423" t="e">
        <f>IF(C970&lt;&gt;"",IF(ISERROR((100000/E970)^(252/N970)-1),Curva!$B$2,((100000/E970)^(252/N970)-1)),"")</f>
        <v>#REF!</v>
      </c>
      <c r="P970" s="219" t="e">
        <f>IF(OR(G970=1,G970=2),dadosexternosBMF_1!B973,"")</f>
        <v>#REF!</v>
      </c>
      <c r="Q970" s="219" t="e">
        <f>IF(OR(G970=1,G970=2),dadosexternosBMF_1!D973,"")</f>
        <v>#REF!</v>
      </c>
    </row>
    <row r="971" spans="1:17" x14ac:dyDescent="0.2">
      <c r="A971" s="222" t="e">
        <f t="shared" si="102"/>
        <v>#REF!</v>
      </c>
      <c r="B971" s="222" t="str">
        <f>IF(dadosexternosBMF_1!A974="DI1 - DI de 1 dia","DI1 - DI de 1 dia","")</f>
        <v/>
      </c>
      <c r="C971" s="222" t="e">
        <f>IF(dadosexternosBMF_1!A974="DOL - Dólar comercial","",IF(C970&lt;&gt;"",dadosexternosBMF_1!B974,IF(dadosexternosBMF_1!A974="DI1 - DI de 1 dia",dadosexternosBMF_1!B974,"")))</f>
        <v>#REF!</v>
      </c>
      <c r="D971" s="222" t="e">
        <f>IF(C971&lt;&gt;"",dadosexternosBMF_1!C974,"")</f>
        <v>#REF!</v>
      </c>
      <c r="E971" s="222" t="e">
        <f>IF(C971&lt;&gt;"",dadosexternosBMF_1!D974,"")</f>
        <v>#REF!</v>
      </c>
      <c r="G971" s="219" t="e">
        <f t="shared" si="103"/>
        <v>#REF!</v>
      </c>
      <c r="H971" s="219" t="e">
        <f t="shared" si="104"/>
        <v>#REF!</v>
      </c>
      <c r="I971" s="219" t="e">
        <f t="shared" si="105"/>
        <v>#REF!</v>
      </c>
      <c r="J971" s="219" t="e">
        <f>IF(I971="","",VLOOKUP(LEFT(C971,1),dadosexternosBMF_1!$L$2:$M$13,2,FALSE))</f>
        <v>#REF!</v>
      </c>
      <c r="K971" s="219" t="e">
        <f t="shared" si="106"/>
        <v>#REF!</v>
      </c>
      <c r="L971" s="422" t="e">
        <f t="shared" si="107"/>
        <v>#REF!</v>
      </c>
      <c r="M971" s="422" t="e">
        <f>IF(I971="","",WORKDAY(L971-1,1,FERIADOS!$A$2:$A$831))</f>
        <v>#REF!</v>
      </c>
      <c r="N971" s="219" t="e">
        <f>IF(I971="","",NETWORKDAYS(Curva!$M$2,M971,FERIADOS!$A$2:$A$831)-1)</f>
        <v>#REF!</v>
      </c>
      <c r="O971" s="423" t="e">
        <f>IF(C971&lt;&gt;"",IF(ISERROR((100000/E971)^(252/N971)-1),Curva!$B$2,((100000/E971)^(252/N971)-1)),"")</f>
        <v>#REF!</v>
      </c>
      <c r="P971" s="219" t="e">
        <f>IF(OR(G971=1,G971=2),dadosexternosBMF_1!B974,"")</f>
        <v>#REF!</v>
      </c>
      <c r="Q971" s="219" t="e">
        <f>IF(OR(G971=1,G971=2),dadosexternosBMF_1!D974,"")</f>
        <v>#REF!</v>
      </c>
    </row>
    <row r="972" spans="1:17" x14ac:dyDescent="0.2">
      <c r="A972" s="222" t="e">
        <f t="shared" si="102"/>
        <v>#REF!</v>
      </c>
      <c r="B972" s="222" t="str">
        <f>IF(dadosexternosBMF_1!A975="DI1 - DI de 1 dia","DI1 - DI de 1 dia","")</f>
        <v/>
      </c>
      <c r="C972" s="222" t="e">
        <f>IF(dadosexternosBMF_1!A975="DOL - Dólar comercial","",IF(C971&lt;&gt;"",dadosexternosBMF_1!B975,IF(dadosexternosBMF_1!A975="DI1 - DI de 1 dia",dadosexternosBMF_1!B975,"")))</f>
        <v>#REF!</v>
      </c>
      <c r="D972" s="222" t="e">
        <f>IF(C972&lt;&gt;"",dadosexternosBMF_1!C975,"")</f>
        <v>#REF!</v>
      </c>
      <c r="E972" s="222" t="e">
        <f>IF(C972&lt;&gt;"",dadosexternosBMF_1!D975,"")</f>
        <v>#REF!</v>
      </c>
      <c r="G972" s="219" t="e">
        <f t="shared" si="103"/>
        <v>#REF!</v>
      </c>
      <c r="H972" s="219" t="e">
        <f t="shared" si="104"/>
        <v>#REF!</v>
      </c>
      <c r="I972" s="219" t="e">
        <f t="shared" si="105"/>
        <v>#REF!</v>
      </c>
      <c r="J972" s="219" t="e">
        <f>IF(I972="","",VLOOKUP(LEFT(C972,1),dadosexternosBMF_1!$L$2:$M$13,2,FALSE))</f>
        <v>#REF!</v>
      </c>
      <c r="K972" s="219" t="e">
        <f t="shared" si="106"/>
        <v>#REF!</v>
      </c>
      <c r="L972" s="422" t="e">
        <f t="shared" si="107"/>
        <v>#REF!</v>
      </c>
      <c r="M972" s="422" t="e">
        <f>IF(I972="","",WORKDAY(L972-1,1,FERIADOS!$A$2:$A$831))</f>
        <v>#REF!</v>
      </c>
      <c r="N972" s="219" t="e">
        <f>IF(I972="","",NETWORKDAYS(Curva!$M$2,M972,FERIADOS!$A$2:$A$831)-1)</f>
        <v>#REF!</v>
      </c>
      <c r="O972" s="423" t="e">
        <f>IF(C972&lt;&gt;"",IF(ISERROR((100000/E972)^(252/N972)-1),Curva!$B$2,((100000/E972)^(252/N972)-1)),"")</f>
        <v>#REF!</v>
      </c>
      <c r="P972" s="219" t="e">
        <f>IF(OR(G972=1,G972=2),dadosexternosBMF_1!B975,"")</f>
        <v>#REF!</v>
      </c>
      <c r="Q972" s="219" t="e">
        <f>IF(OR(G972=1,G972=2),dadosexternosBMF_1!D975,"")</f>
        <v>#REF!</v>
      </c>
    </row>
    <row r="973" spans="1:17" x14ac:dyDescent="0.2">
      <c r="A973" s="222" t="e">
        <f t="shared" si="102"/>
        <v>#REF!</v>
      </c>
      <c r="B973" s="222" t="str">
        <f>IF(dadosexternosBMF_1!A976="DI1 - DI de 1 dia","DI1 - DI de 1 dia","")</f>
        <v/>
      </c>
      <c r="C973" s="222" t="e">
        <f>IF(dadosexternosBMF_1!A976="DOL - Dólar comercial","",IF(C972&lt;&gt;"",dadosexternosBMF_1!B976,IF(dadosexternosBMF_1!A976="DI1 - DI de 1 dia",dadosexternosBMF_1!B976,"")))</f>
        <v>#REF!</v>
      </c>
      <c r="D973" s="222" t="e">
        <f>IF(C973&lt;&gt;"",dadosexternosBMF_1!C976,"")</f>
        <v>#REF!</v>
      </c>
      <c r="E973" s="222" t="e">
        <f>IF(C973&lt;&gt;"",dadosexternosBMF_1!D976,"")</f>
        <v>#REF!</v>
      </c>
      <c r="G973" s="219" t="e">
        <f t="shared" si="103"/>
        <v>#REF!</v>
      </c>
      <c r="H973" s="219" t="e">
        <f t="shared" si="104"/>
        <v>#REF!</v>
      </c>
      <c r="I973" s="219" t="e">
        <f t="shared" si="105"/>
        <v>#REF!</v>
      </c>
      <c r="J973" s="219" t="e">
        <f>IF(I973="","",VLOOKUP(LEFT(C973,1),dadosexternosBMF_1!$L$2:$M$13,2,FALSE))</f>
        <v>#REF!</v>
      </c>
      <c r="K973" s="219" t="e">
        <f t="shared" si="106"/>
        <v>#REF!</v>
      </c>
      <c r="L973" s="422" t="e">
        <f t="shared" si="107"/>
        <v>#REF!</v>
      </c>
      <c r="M973" s="422" t="e">
        <f>IF(I973="","",WORKDAY(L973-1,1,FERIADOS!$A$2:$A$831))</f>
        <v>#REF!</v>
      </c>
      <c r="N973" s="219" t="e">
        <f>IF(I973="","",NETWORKDAYS(Curva!$M$2,M973,FERIADOS!$A$2:$A$831)-1)</f>
        <v>#REF!</v>
      </c>
      <c r="O973" s="423" t="e">
        <f>IF(C973&lt;&gt;"",IF(ISERROR((100000/E973)^(252/N973)-1),Curva!$B$2,((100000/E973)^(252/N973)-1)),"")</f>
        <v>#REF!</v>
      </c>
      <c r="P973" s="219" t="e">
        <f>IF(OR(G973=1,G973=2),dadosexternosBMF_1!B976,"")</f>
        <v>#REF!</v>
      </c>
      <c r="Q973" s="219" t="e">
        <f>IF(OR(G973=1,G973=2),dadosexternosBMF_1!D976,"")</f>
        <v>#REF!</v>
      </c>
    </row>
    <row r="974" spans="1:17" x14ac:dyDescent="0.2">
      <c r="A974" s="222" t="e">
        <f t="shared" si="102"/>
        <v>#REF!</v>
      </c>
      <c r="B974" s="222" t="str">
        <f>IF(dadosexternosBMF_1!A977="DI1 - DI de 1 dia","DI1 - DI de 1 dia","")</f>
        <v/>
      </c>
      <c r="C974" s="222" t="e">
        <f>IF(dadosexternosBMF_1!A977="DOL - Dólar comercial","",IF(C973&lt;&gt;"",dadosexternosBMF_1!B977,IF(dadosexternosBMF_1!A977="DI1 - DI de 1 dia",dadosexternosBMF_1!B977,"")))</f>
        <v>#REF!</v>
      </c>
      <c r="D974" s="222" t="e">
        <f>IF(C974&lt;&gt;"",dadosexternosBMF_1!C977,"")</f>
        <v>#REF!</v>
      </c>
      <c r="E974" s="222" t="e">
        <f>IF(C974&lt;&gt;"",dadosexternosBMF_1!D977,"")</f>
        <v>#REF!</v>
      </c>
      <c r="G974" s="219" t="e">
        <f t="shared" si="103"/>
        <v>#REF!</v>
      </c>
      <c r="H974" s="219" t="e">
        <f t="shared" si="104"/>
        <v>#REF!</v>
      </c>
      <c r="I974" s="219" t="e">
        <f t="shared" si="105"/>
        <v>#REF!</v>
      </c>
      <c r="J974" s="219" t="e">
        <f>IF(I974="","",VLOOKUP(LEFT(C974,1),dadosexternosBMF_1!$L$2:$M$13,2,FALSE))</f>
        <v>#REF!</v>
      </c>
      <c r="K974" s="219" t="e">
        <f t="shared" si="106"/>
        <v>#REF!</v>
      </c>
      <c r="L974" s="422" t="e">
        <f t="shared" si="107"/>
        <v>#REF!</v>
      </c>
      <c r="M974" s="422" t="e">
        <f>IF(I974="","",WORKDAY(L974-1,1,FERIADOS!$A$2:$A$831))</f>
        <v>#REF!</v>
      </c>
      <c r="N974" s="219" t="e">
        <f>IF(I974="","",NETWORKDAYS(Curva!$M$2,M974,FERIADOS!$A$2:$A$831)-1)</f>
        <v>#REF!</v>
      </c>
      <c r="O974" s="423" t="e">
        <f>IF(C974&lt;&gt;"",IF(ISERROR((100000/E974)^(252/N974)-1),Curva!$B$2,((100000/E974)^(252/N974)-1)),"")</f>
        <v>#REF!</v>
      </c>
      <c r="P974" s="219" t="e">
        <f>IF(OR(G974=1,G974=2),dadosexternosBMF_1!B977,"")</f>
        <v>#REF!</v>
      </c>
      <c r="Q974" s="219" t="e">
        <f>IF(OR(G974=1,G974=2),dadosexternosBMF_1!D977,"")</f>
        <v>#REF!</v>
      </c>
    </row>
    <row r="975" spans="1:17" x14ac:dyDescent="0.2">
      <c r="A975" s="222" t="e">
        <f t="shared" si="102"/>
        <v>#REF!</v>
      </c>
      <c r="B975" s="222" t="str">
        <f>IF(dadosexternosBMF_1!A978="DI1 - DI de 1 dia","DI1 - DI de 1 dia","")</f>
        <v/>
      </c>
      <c r="C975" s="222" t="e">
        <f>IF(dadosexternosBMF_1!A978="DOL - Dólar comercial","",IF(C974&lt;&gt;"",dadosexternosBMF_1!B978,IF(dadosexternosBMF_1!A978="DI1 - DI de 1 dia",dadosexternosBMF_1!B978,"")))</f>
        <v>#REF!</v>
      </c>
      <c r="D975" s="222" t="e">
        <f>IF(C975&lt;&gt;"",dadosexternosBMF_1!C978,"")</f>
        <v>#REF!</v>
      </c>
      <c r="E975" s="222" t="e">
        <f>IF(C975&lt;&gt;"",dadosexternosBMF_1!D978,"")</f>
        <v>#REF!</v>
      </c>
      <c r="G975" s="219" t="e">
        <f t="shared" si="103"/>
        <v>#REF!</v>
      </c>
      <c r="H975" s="219" t="e">
        <f t="shared" si="104"/>
        <v>#REF!</v>
      </c>
      <c r="I975" s="219" t="e">
        <f t="shared" si="105"/>
        <v>#REF!</v>
      </c>
      <c r="J975" s="219" t="e">
        <f>IF(I975="","",VLOOKUP(LEFT(C975,1),dadosexternosBMF_1!$L$2:$M$13,2,FALSE))</f>
        <v>#REF!</v>
      </c>
      <c r="K975" s="219" t="e">
        <f t="shared" si="106"/>
        <v>#REF!</v>
      </c>
      <c r="L975" s="422" t="e">
        <f t="shared" si="107"/>
        <v>#REF!</v>
      </c>
      <c r="M975" s="422" t="e">
        <f>IF(I975="","",WORKDAY(L975-1,1,FERIADOS!$A$2:$A$831))</f>
        <v>#REF!</v>
      </c>
      <c r="N975" s="219" t="e">
        <f>IF(I975="","",NETWORKDAYS(Curva!$M$2,M975,FERIADOS!$A$2:$A$831)-1)</f>
        <v>#REF!</v>
      </c>
      <c r="O975" s="423" t="e">
        <f>IF(C975&lt;&gt;"",IF(ISERROR((100000/E975)^(252/N975)-1),Curva!$B$2,((100000/E975)^(252/N975)-1)),"")</f>
        <v>#REF!</v>
      </c>
      <c r="P975" s="219" t="e">
        <f>IF(OR(G975=1,G975=2),dadosexternosBMF_1!B978,"")</f>
        <v>#REF!</v>
      </c>
      <c r="Q975" s="219" t="e">
        <f>IF(OR(G975=1,G975=2),dadosexternosBMF_1!D978,"")</f>
        <v>#REF!</v>
      </c>
    </row>
    <row r="976" spans="1:17" x14ac:dyDescent="0.2">
      <c r="A976" s="222" t="e">
        <f t="shared" si="102"/>
        <v>#REF!</v>
      </c>
      <c r="B976" s="222" t="str">
        <f>IF(dadosexternosBMF_1!A979="DI1 - DI de 1 dia","DI1 - DI de 1 dia","")</f>
        <v/>
      </c>
      <c r="C976" s="222" t="e">
        <f>IF(dadosexternosBMF_1!A979="DOL - Dólar comercial","",IF(C975&lt;&gt;"",dadosexternosBMF_1!B979,IF(dadosexternosBMF_1!A979="DI1 - DI de 1 dia",dadosexternosBMF_1!B979,"")))</f>
        <v>#REF!</v>
      </c>
      <c r="D976" s="222" t="e">
        <f>IF(C976&lt;&gt;"",dadosexternosBMF_1!C979,"")</f>
        <v>#REF!</v>
      </c>
      <c r="E976" s="222" t="e">
        <f>IF(C976&lt;&gt;"",dadosexternosBMF_1!D979,"")</f>
        <v>#REF!</v>
      </c>
      <c r="G976" s="219" t="e">
        <f t="shared" si="103"/>
        <v>#REF!</v>
      </c>
      <c r="H976" s="219" t="e">
        <f t="shared" si="104"/>
        <v>#REF!</v>
      </c>
      <c r="I976" s="219" t="e">
        <f t="shared" si="105"/>
        <v>#REF!</v>
      </c>
      <c r="J976" s="219" t="e">
        <f>IF(I976="","",VLOOKUP(LEFT(C976,1),dadosexternosBMF_1!$L$2:$M$13,2,FALSE))</f>
        <v>#REF!</v>
      </c>
      <c r="K976" s="219" t="e">
        <f t="shared" si="106"/>
        <v>#REF!</v>
      </c>
      <c r="L976" s="422" t="e">
        <f t="shared" si="107"/>
        <v>#REF!</v>
      </c>
      <c r="M976" s="422" t="e">
        <f>IF(I976="","",WORKDAY(L976-1,1,FERIADOS!$A$2:$A$831))</f>
        <v>#REF!</v>
      </c>
      <c r="N976" s="219" t="e">
        <f>IF(I976="","",NETWORKDAYS(Curva!$M$2,M976,FERIADOS!$A$2:$A$831)-1)</f>
        <v>#REF!</v>
      </c>
      <c r="O976" s="423" t="e">
        <f>IF(C976&lt;&gt;"",IF(ISERROR((100000/E976)^(252/N976)-1),Curva!$B$2,((100000/E976)^(252/N976)-1)),"")</f>
        <v>#REF!</v>
      </c>
      <c r="P976" s="219" t="e">
        <f>IF(OR(G976=1,G976=2),dadosexternosBMF_1!B979,"")</f>
        <v>#REF!</v>
      </c>
      <c r="Q976" s="219" t="e">
        <f>IF(OR(G976=1,G976=2),dadosexternosBMF_1!D979,"")</f>
        <v>#REF!</v>
      </c>
    </row>
    <row r="977" spans="1:17" x14ac:dyDescent="0.2">
      <c r="A977" s="222" t="e">
        <f t="shared" si="102"/>
        <v>#REF!</v>
      </c>
      <c r="B977" s="222" t="str">
        <f>IF(dadosexternosBMF_1!A980="DI1 - DI de 1 dia","DI1 - DI de 1 dia","")</f>
        <v/>
      </c>
      <c r="C977" s="222" t="e">
        <f>IF(dadosexternosBMF_1!A980="DOL - Dólar comercial","",IF(C976&lt;&gt;"",dadosexternosBMF_1!B980,IF(dadosexternosBMF_1!A980="DI1 - DI de 1 dia",dadosexternosBMF_1!B980,"")))</f>
        <v>#REF!</v>
      </c>
      <c r="D977" s="222" t="e">
        <f>IF(C977&lt;&gt;"",dadosexternosBMF_1!C980,"")</f>
        <v>#REF!</v>
      </c>
      <c r="E977" s="222" t="e">
        <f>IF(C977&lt;&gt;"",dadosexternosBMF_1!D980,"")</f>
        <v>#REF!</v>
      </c>
      <c r="G977" s="219" t="e">
        <f t="shared" si="103"/>
        <v>#REF!</v>
      </c>
      <c r="H977" s="219" t="e">
        <f t="shared" si="104"/>
        <v>#REF!</v>
      </c>
      <c r="I977" s="219" t="e">
        <f t="shared" si="105"/>
        <v>#REF!</v>
      </c>
      <c r="J977" s="219" t="e">
        <f>IF(I977="","",VLOOKUP(LEFT(C977,1),dadosexternosBMF_1!$L$2:$M$13,2,FALSE))</f>
        <v>#REF!</v>
      </c>
      <c r="K977" s="219" t="e">
        <f t="shared" si="106"/>
        <v>#REF!</v>
      </c>
      <c r="L977" s="422" t="e">
        <f t="shared" si="107"/>
        <v>#REF!</v>
      </c>
      <c r="M977" s="422" t="e">
        <f>IF(I977="","",WORKDAY(L977-1,1,FERIADOS!$A$2:$A$831))</f>
        <v>#REF!</v>
      </c>
      <c r="N977" s="219" t="e">
        <f>IF(I977="","",NETWORKDAYS(Curva!$M$2,M977,FERIADOS!$A$2:$A$831)-1)</f>
        <v>#REF!</v>
      </c>
      <c r="O977" s="423" t="e">
        <f>IF(C977&lt;&gt;"",IF(ISERROR((100000/E977)^(252/N977)-1),Curva!$B$2,((100000/E977)^(252/N977)-1)),"")</f>
        <v>#REF!</v>
      </c>
      <c r="P977" s="219" t="e">
        <f>IF(OR(G977=1,G977=2),dadosexternosBMF_1!B980,"")</f>
        <v>#REF!</v>
      </c>
      <c r="Q977" s="219" t="e">
        <f>IF(OR(G977=1,G977=2),dadosexternosBMF_1!D980,"")</f>
        <v>#REF!</v>
      </c>
    </row>
    <row r="978" spans="1:17" x14ac:dyDescent="0.2">
      <c r="A978" s="222" t="e">
        <f t="shared" si="102"/>
        <v>#REF!</v>
      </c>
      <c r="B978" s="222" t="str">
        <f>IF(dadosexternosBMF_1!A981="DI1 - DI de 1 dia","DI1 - DI de 1 dia","")</f>
        <v/>
      </c>
      <c r="C978" s="222" t="e">
        <f>IF(dadosexternosBMF_1!A981="DOL - Dólar comercial","",IF(C977&lt;&gt;"",dadosexternosBMF_1!B981,IF(dadosexternosBMF_1!A981="DI1 - DI de 1 dia",dadosexternosBMF_1!B981,"")))</f>
        <v>#REF!</v>
      </c>
      <c r="D978" s="222" t="e">
        <f>IF(C978&lt;&gt;"",dadosexternosBMF_1!C981,"")</f>
        <v>#REF!</v>
      </c>
      <c r="E978" s="222" t="e">
        <f>IF(C978&lt;&gt;"",dadosexternosBMF_1!D981,"")</f>
        <v>#REF!</v>
      </c>
      <c r="G978" s="219" t="e">
        <f t="shared" si="103"/>
        <v>#REF!</v>
      </c>
      <c r="H978" s="219" t="e">
        <f t="shared" si="104"/>
        <v>#REF!</v>
      </c>
      <c r="I978" s="219" t="e">
        <f t="shared" si="105"/>
        <v>#REF!</v>
      </c>
      <c r="J978" s="219" t="e">
        <f>IF(I978="","",VLOOKUP(LEFT(C978,1),dadosexternosBMF_1!$L$2:$M$13,2,FALSE))</f>
        <v>#REF!</v>
      </c>
      <c r="K978" s="219" t="e">
        <f t="shared" si="106"/>
        <v>#REF!</v>
      </c>
      <c r="L978" s="422" t="e">
        <f t="shared" si="107"/>
        <v>#REF!</v>
      </c>
      <c r="M978" s="422" t="e">
        <f>IF(I978="","",WORKDAY(L978-1,1,FERIADOS!$A$2:$A$831))</f>
        <v>#REF!</v>
      </c>
      <c r="N978" s="219" t="e">
        <f>IF(I978="","",NETWORKDAYS(Curva!$M$2,M978,FERIADOS!$A$2:$A$831)-1)</f>
        <v>#REF!</v>
      </c>
      <c r="O978" s="423" t="e">
        <f>IF(C978&lt;&gt;"",IF(ISERROR((100000/E978)^(252/N978)-1),Curva!$B$2,((100000/E978)^(252/N978)-1)),"")</f>
        <v>#REF!</v>
      </c>
      <c r="P978" s="219" t="e">
        <f>IF(OR(G978=1,G978=2),dadosexternosBMF_1!B981,"")</f>
        <v>#REF!</v>
      </c>
      <c r="Q978" s="219" t="e">
        <f>IF(OR(G978=1,G978=2),dadosexternosBMF_1!D981,"")</f>
        <v>#REF!</v>
      </c>
    </row>
    <row r="979" spans="1:17" x14ac:dyDescent="0.2">
      <c r="A979" s="222" t="e">
        <f t="shared" si="102"/>
        <v>#REF!</v>
      </c>
      <c r="B979" s="222" t="str">
        <f>IF(dadosexternosBMF_1!A982="DI1 - DI de 1 dia","DI1 - DI de 1 dia","")</f>
        <v/>
      </c>
      <c r="C979" s="222" t="e">
        <f>IF(dadosexternosBMF_1!A982="DOL - Dólar comercial","",IF(C978&lt;&gt;"",dadosexternosBMF_1!B982,IF(dadosexternosBMF_1!A982="DI1 - DI de 1 dia",dadosexternosBMF_1!B982,"")))</f>
        <v>#REF!</v>
      </c>
      <c r="D979" s="222" t="e">
        <f>IF(C979&lt;&gt;"",dadosexternosBMF_1!C982,"")</f>
        <v>#REF!</v>
      </c>
      <c r="E979" s="222" t="e">
        <f>IF(C979&lt;&gt;"",dadosexternosBMF_1!D982,"")</f>
        <v>#REF!</v>
      </c>
      <c r="G979" s="219" t="e">
        <f t="shared" si="103"/>
        <v>#REF!</v>
      </c>
      <c r="H979" s="219" t="e">
        <f t="shared" si="104"/>
        <v>#REF!</v>
      </c>
      <c r="I979" s="219" t="e">
        <f t="shared" si="105"/>
        <v>#REF!</v>
      </c>
      <c r="J979" s="219" t="e">
        <f>IF(I979="","",VLOOKUP(LEFT(C979,1),dadosexternosBMF_1!$L$2:$M$13,2,FALSE))</f>
        <v>#REF!</v>
      </c>
      <c r="K979" s="219" t="e">
        <f t="shared" si="106"/>
        <v>#REF!</v>
      </c>
      <c r="L979" s="422" t="e">
        <f t="shared" si="107"/>
        <v>#REF!</v>
      </c>
      <c r="M979" s="422" t="e">
        <f>IF(I979="","",WORKDAY(L979-1,1,FERIADOS!$A$2:$A$831))</f>
        <v>#REF!</v>
      </c>
      <c r="N979" s="219" t="e">
        <f>IF(I979="","",NETWORKDAYS(Curva!$M$2,M979,FERIADOS!$A$2:$A$831)-1)</f>
        <v>#REF!</v>
      </c>
      <c r="O979" s="423" t="e">
        <f>IF(C979&lt;&gt;"",IF(ISERROR((100000/E979)^(252/N979)-1),Curva!$B$2,((100000/E979)^(252/N979)-1)),"")</f>
        <v>#REF!</v>
      </c>
      <c r="P979" s="219" t="e">
        <f>IF(OR(G979=1,G979=2),dadosexternosBMF_1!B982,"")</f>
        <v>#REF!</v>
      </c>
      <c r="Q979" s="219" t="e">
        <f>IF(OR(G979=1,G979=2),dadosexternosBMF_1!D982,"")</f>
        <v>#REF!</v>
      </c>
    </row>
    <row r="980" spans="1:17" x14ac:dyDescent="0.2">
      <c r="A980" s="222" t="e">
        <f t="shared" si="102"/>
        <v>#REF!</v>
      </c>
      <c r="B980" s="222" t="str">
        <f>IF(dadosexternosBMF_1!A983="DI1 - DI de 1 dia","DI1 - DI de 1 dia","")</f>
        <v/>
      </c>
      <c r="C980" s="222" t="e">
        <f>IF(dadosexternosBMF_1!A983="DOL - Dólar comercial","",IF(C979&lt;&gt;"",dadosexternosBMF_1!B983,IF(dadosexternosBMF_1!A983="DI1 - DI de 1 dia",dadosexternosBMF_1!B983,"")))</f>
        <v>#REF!</v>
      </c>
      <c r="D980" s="222" t="e">
        <f>IF(C980&lt;&gt;"",dadosexternosBMF_1!C983,"")</f>
        <v>#REF!</v>
      </c>
      <c r="E980" s="222" t="e">
        <f>IF(C980&lt;&gt;"",dadosexternosBMF_1!D983,"")</f>
        <v>#REF!</v>
      </c>
      <c r="G980" s="219" t="e">
        <f t="shared" si="103"/>
        <v>#REF!</v>
      </c>
      <c r="H980" s="219" t="e">
        <f t="shared" si="104"/>
        <v>#REF!</v>
      </c>
      <c r="I980" s="219" t="e">
        <f t="shared" si="105"/>
        <v>#REF!</v>
      </c>
      <c r="J980" s="219" t="e">
        <f>IF(I980="","",VLOOKUP(LEFT(C980,1),dadosexternosBMF_1!$L$2:$M$13,2,FALSE))</f>
        <v>#REF!</v>
      </c>
      <c r="K980" s="219" t="e">
        <f t="shared" si="106"/>
        <v>#REF!</v>
      </c>
      <c r="L980" s="422" t="e">
        <f t="shared" si="107"/>
        <v>#REF!</v>
      </c>
      <c r="M980" s="422" t="e">
        <f>IF(I980="","",WORKDAY(L980-1,1,FERIADOS!$A$2:$A$831))</f>
        <v>#REF!</v>
      </c>
      <c r="N980" s="219" t="e">
        <f>IF(I980="","",NETWORKDAYS(Curva!$M$2,M980,FERIADOS!$A$2:$A$831)-1)</f>
        <v>#REF!</v>
      </c>
      <c r="O980" s="423" t="e">
        <f>IF(C980&lt;&gt;"",IF(ISERROR((100000/E980)^(252/N980)-1),Curva!$B$2,((100000/E980)^(252/N980)-1)),"")</f>
        <v>#REF!</v>
      </c>
      <c r="P980" s="219" t="e">
        <f>IF(OR(G980=1,G980=2),dadosexternosBMF_1!B983,"")</f>
        <v>#REF!</v>
      </c>
      <c r="Q980" s="219" t="e">
        <f>IF(OR(G980=1,G980=2),dadosexternosBMF_1!D983,"")</f>
        <v>#REF!</v>
      </c>
    </row>
    <row r="981" spans="1:17" x14ac:dyDescent="0.2">
      <c r="A981" s="222" t="e">
        <f t="shared" si="102"/>
        <v>#REF!</v>
      </c>
      <c r="B981" s="222" t="str">
        <f>IF(dadosexternosBMF_1!A984="DI1 - DI de 1 dia","DI1 - DI de 1 dia","")</f>
        <v/>
      </c>
      <c r="C981" s="222" t="e">
        <f>IF(dadosexternosBMF_1!A984="DOL - Dólar comercial","",IF(C980&lt;&gt;"",dadosexternosBMF_1!B984,IF(dadosexternosBMF_1!A984="DI1 - DI de 1 dia",dadosexternosBMF_1!B984,"")))</f>
        <v>#REF!</v>
      </c>
      <c r="D981" s="222" t="e">
        <f>IF(C981&lt;&gt;"",dadosexternosBMF_1!C984,"")</f>
        <v>#REF!</v>
      </c>
      <c r="E981" s="222" t="e">
        <f>IF(C981&lt;&gt;"",dadosexternosBMF_1!D984,"")</f>
        <v>#REF!</v>
      </c>
      <c r="G981" s="219" t="e">
        <f t="shared" si="103"/>
        <v>#REF!</v>
      </c>
      <c r="H981" s="219" t="e">
        <f t="shared" si="104"/>
        <v>#REF!</v>
      </c>
      <c r="I981" s="219" t="e">
        <f t="shared" si="105"/>
        <v>#REF!</v>
      </c>
      <c r="J981" s="219" t="e">
        <f>IF(I981="","",VLOOKUP(LEFT(C981,1),dadosexternosBMF_1!$L$2:$M$13,2,FALSE))</f>
        <v>#REF!</v>
      </c>
      <c r="K981" s="219" t="e">
        <f t="shared" si="106"/>
        <v>#REF!</v>
      </c>
      <c r="L981" s="422" t="e">
        <f t="shared" si="107"/>
        <v>#REF!</v>
      </c>
      <c r="M981" s="422" t="e">
        <f>IF(I981="","",WORKDAY(L981-1,1,FERIADOS!$A$2:$A$831))</f>
        <v>#REF!</v>
      </c>
      <c r="N981" s="219" t="e">
        <f>IF(I981="","",NETWORKDAYS(Curva!$M$2,M981,FERIADOS!$A$2:$A$831)-1)</f>
        <v>#REF!</v>
      </c>
      <c r="O981" s="423" t="e">
        <f>IF(C981&lt;&gt;"",IF(ISERROR((100000/E981)^(252/N981)-1),Curva!$B$2,((100000/E981)^(252/N981)-1)),"")</f>
        <v>#REF!</v>
      </c>
      <c r="P981" s="219" t="e">
        <f>IF(OR(G981=1,G981=2),dadosexternosBMF_1!B984,"")</f>
        <v>#REF!</v>
      </c>
      <c r="Q981" s="219" t="e">
        <f>IF(OR(G981=1,G981=2),dadosexternosBMF_1!D984,"")</f>
        <v>#REF!</v>
      </c>
    </row>
    <row r="982" spans="1:17" x14ac:dyDescent="0.2">
      <c r="A982" s="222" t="e">
        <f t="shared" si="102"/>
        <v>#REF!</v>
      </c>
      <c r="B982" s="222" t="str">
        <f>IF(dadosexternosBMF_1!A985="DI1 - DI de 1 dia","DI1 - DI de 1 dia","")</f>
        <v/>
      </c>
      <c r="C982" s="222" t="e">
        <f>IF(dadosexternosBMF_1!A985="DOL - Dólar comercial","",IF(C981&lt;&gt;"",dadosexternosBMF_1!B985,IF(dadosexternosBMF_1!A985="DI1 - DI de 1 dia",dadosexternosBMF_1!B985,"")))</f>
        <v>#REF!</v>
      </c>
      <c r="D982" s="222" t="e">
        <f>IF(C982&lt;&gt;"",dadosexternosBMF_1!C985,"")</f>
        <v>#REF!</v>
      </c>
      <c r="E982" s="222" t="e">
        <f>IF(C982&lt;&gt;"",dadosexternosBMF_1!D985,"")</f>
        <v>#REF!</v>
      </c>
      <c r="G982" s="219" t="e">
        <f t="shared" si="103"/>
        <v>#REF!</v>
      </c>
      <c r="H982" s="219" t="e">
        <f t="shared" si="104"/>
        <v>#REF!</v>
      </c>
      <c r="I982" s="219" t="e">
        <f t="shared" si="105"/>
        <v>#REF!</v>
      </c>
      <c r="J982" s="219" t="e">
        <f>IF(I982="","",VLOOKUP(LEFT(C982,1),dadosexternosBMF_1!$L$2:$M$13,2,FALSE))</f>
        <v>#REF!</v>
      </c>
      <c r="K982" s="219" t="e">
        <f t="shared" si="106"/>
        <v>#REF!</v>
      </c>
      <c r="L982" s="422" t="e">
        <f t="shared" si="107"/>
        <v>#REF!</v>
      </c>
      <c r="M982" s="422" t="e">
        <f>IF(I982="","",WORKDAY(L982-1,1,FERIADOS!$A$2:$A$831))</f>
        <v>#REF!</v>
      </c>
      <c r="N982" s="219" t="e">
        <f>IF(I982="","",NETWORKDAYS(Curva!$M$2,M982,FERIADOS!$A$2:$A$831)-1)</f>
        <v>#REF!</v>
      </c>
      <c r="O982" s="423" t="e">
        <f>IF(C982&lt;&gt;"",IF(ISERROR((100000/E982)^(252/N982)-1),Curva!$B$2,((100000/E982)^(252/N982)-1)),"")</f>
        <v>#REF!</v>
      </c>
      <c r="P982" s="219" t="e">
        <f>IF(OR(G982=1,G982=2),dadosexternosBMF_1!B985,"")</f>
        <v>#REF!</v>
      </c>
      <c r="Q982" s="219" t="e">
        <f>IF(OR(G982=1,G982=2),dadosexternosBMF_1!D985,"")</f>
        <v>#REF!</v>
      </c>
    </row>
    <row r="983" spans="1:17" x14ac:dyDescent="0.2">
      <c r="A983" s="222" t="e">
        <f t="shared" si="102"/>
        <v>#REF!</v>
      </c>
      <c r="B983" s="222" t="str">
        <f>IF(dadosexternosBMF_1!A986="DI1 - DI de 1 dia","DI1 - DI de 1 dia","")</f>
        <v/>
      </c>
      <c r="C983" s="222" t="e">
        <f>IF(dadosexternosBMF_1!A986="DOL - Dólar comercial","",IF(C982&lt;&gt;"",dadosexternosBMF_1!B986,IF(dadosexternosBMF_1!A986="DI1 - DI de 1 dia",dadosexternosBMF_1!B986,"")))</f>
        <v>#REF!</v>
      </c>
      <c r="D983" s="222" t="e">
        <f>IF(C983&lt;&gt;"",dadosexternosBMF_1!C986,"")</f>
        <v>#REF!</v>
      </c>
      <c r="E983" s="222" t="e">
        <f>IF(C983&lt;&gt;"",dadosexternosBMF_1!D986,"")</f>
        <v>#REF!</v>
      </c>
      <c r="G983" s="219" t="e">
        <f t="shared" si="103"/>
        <v>#REF!</v>
      </c>
      <c r="H983" s="219" t="e">
        <f t="shared" si="104"/>
        <v>#REF!</v>
      </c>
      <c r="I983" s="219" t="e">
        <f t="shared" si="105"/>
        <v>#REF!</v>
      </c>
      <c r="J983" s="219" t="e">
        <f>IF(I983="","",VLOOKUP(LEFT(C983,1),dadosexternosBMF_1!$L$2:$M$13,2,FALSE))</f>
        <v>#REF!</v>
      </c>
      <c r="K983" s="219" t="e">
        <f t="shared" si="106"/>
        <v>#REF!</v>
      </c>
      <c r="L983" s="422" t="e">
        <f t="shared" si="107"/>
        <v>#REF!</v>
      </c>
      <c r="M983" s="422" t="e">
        <f>IF(I983="","",WORKDAY(L983-1,1,FERIADOS!$A$2:$A$831))</f>
        <v>#REF!</v>
      </c>
      <c r="N983" s="219" t="e">
        <f>IF(I983="","",NETWORKDAYS(Curva!$M$2,M983,FERIADOS!$A$2:$A$831)-1)</f>
        <v>#REF!</v>
      </c>
      <c r="O983" s="423" t="e">
        <f>IF(C983&lt;&gt;"",IF(ISERROR((100000/E983)^(252/N983)-1),Curva!$B$2,((100000/E983)^(252/N983)-1)),"")</f>
        <v>#REF!</v>
      </c>
      <c r="P983" s="219" t="e">
        <f>IF(OR(G983=1,G983=2),dadosexternosBMF_1!B986,"")</f>
        <v>#REF!</v>
      </c>
      <c r="Q983" s="219" t="e">
        <f>IF(OR(G983=1,G983=2),dadosexternosBMF_1!D986,"")</f>
        <v>#REF!</v>
      </c>
    </row>
    <row r="984" spans="1:17" x14ac:dyDescent="0.2">
      <c r="A984" s="222" t="e">
        <f t="shared" si="102"/>
        <v>#REF!</v>
      </c>
      <c r="B984" s="222" t="str">
        <f>IF(dadosexternosBMF_1!A987="DI1 - DI de 1 dia","DI1 - DI de 1 dia","")</f>
        <v/>
      </c>
      <c r="C984" s="222" t="e">
        <f>IF(dadosexternosBMF_1!A987="DOL - Dólar comercial","",IF(C983&lt;&gt;"",dadosexternosBMF_1!B987,IF(dadosexternosBMF_1!A987="DI1 - DI de 1 dia",dadosexternosBMF_1!B987,"")))</f>
        <v>#REF!</v>
      </c>
      <c r="D984" s="222" t="e">
        <f>IF(C984&lt;&gt;"",dadosexternosBMF_1!C987,"")</f>
        <v>#REF!</v>
      </c>
      <c r="E984" s="222" t="e">
        <f>IF(C984&lt;&gt;"",dadosexternosBMF_1!D987,"")</f>
        <v>#REF!</v>
      </c>
      <c r="G984" s="219" t="e">
        <f t="shared" si="103"/>
        <v>#REF!</v>
      </c>
      <c r="H984" s="219" t="e">
        <f t="shared" si="104"/>
        <v>#REF!</v>
      </c>
      <c r="I984" s="219" t="e">
        <f t="shared" si="105"/>
        <v>#REF!</v>
      </c>
      <c r="J984" s="219" t="e">
        <f>IF(I984="","",VLOOKUP(LEFT(C984,1),dadosexternosBMF_1!$L$2:$M$13,2,FALSE))</f>
        <v>#REF!</v>
      </c>
      <c r="K984" s="219" t="e">
        <f t="shared" si="106"/>
        <v>#REF!</v>
      </c>
      <c r="L984" s="422" t="e">
        <f t="shared" si="107"/>
        <v>#REF!</v>
      </c>
      <c r="M984" s="422" t="e">
        <f>IF(I984="","",WORKDAY(L984-1,1,FERIADOS!$A$2:$A$831))</f>
        <v>#REF!</v>
      </c>
      <c r="N984" s="219" t="e">
        <f>IF(I984="","",NETWORKDAYS(Curva!$M$2,M984,FERIADOS!$A$2:$A$831)-1)</f>
        <v>#REF!</v>
      </c>
      <c r="O984" s="423" t="e">
        <f>IF(C984&lt;&gt;"",IF(ISERROR((100000/E984)^(252/N984)-1),Curva!$B$2,((100000/E984)^(252/N984)-1)),"")</f>
        <v>#REF!</v>
      </c>
      <c r="P984" s="219" t="e">
        <f>IF(OR(G984=1,G984=2),dadosexternosBMF_1!B987,"")</f>
        <v>#REF!</v>
      </c>
      <c r="Q984" s="219" t="e">
        <f>IF(OR(G984=1,G984=2),dadosexternosBMF_1!D987,"")</f>
        <v>#REF!</v>
      </c>
    </row>
    <row r="985" spans="1:17" x14ac:dyDescent="0.2">
      <c r="A985" s="222" t="e">
        <f t="shared" si="102"/>
        <v>#REF!</v>
      </c>
      <c r="B985" s="222" t="str">
        <f>IF(dadosexternosBMF_1!A988="DI1 - DI de 1 dia","DI1 - DI de 1 dia","")</f>
        <v/>
      </c>
      <c r="C985" s="222" t="e">
        <f>IF(dadosexternosBMF_1!A988="DOL - Dólar comercial","",IF(C984&lt;&gt;"",dadosexternosBMF_1!B988,IF(dadosexternosBMF_1!A988="DI1 - DI de 1 dia",dadosexternosBMF_1!B988,"")))</f>
        <v>#REF!</v>
      </c>
      <c r="D985" s="222" t="e">
        <f>IF(C985&lt;&gt;"",dadosexternosBMF_1!C988,"")</f>
        <v>#REF!</v>
      </c>
      <c r="E985" s="222" t="e">
        <f>IF(C985&lt;&gt;"",dadosexternosBMF_1!D988,"")</f>
        <v>#REF!</v>
      </c>
      <c r="G985" s="219" t="e">
        <f t="shared" si="103"/>
        <v>#REF!</v>
      </c>
      <c r="H985" s="219" t="e">
        <f t="shared" si="104"/>
        <v>#REF!</v>
      </c>
      <c r="I985" s="219" t="e">
        <f t="shared" si="105"/>
        <v>#REF!</v>
      </c>
      <c r="J985" s="219" t="e">
        <f>IF(I985="","",VLOOKUP(LEFT(C985,1),dadosexternosBMF_1!$L$2:$M$13,2,FALSE))</f>
        <v>#REF!</v>
      </c>
      <c r="K985" s="219" t="e">
        <f t="shared" si="106"/>
        <v>#REF!</v>
      </c>
      <c r="L985" s="422" t="e">
        <f t="shared" si="107"/>
        <v>#REF!</v>
      </c>
      <c r="M985" s="422" t="e">
        <f>IF(I985="","",WORKDAY(L985-1,1,FERIADOS!$A$2:$A$831))</f>
        <v>#REF!</v>
      </c>
      <c r="N985" s="219" t="e">
        <f>IF(I985="","",NETWORKDAYS(Curva!$M$2,M985,FERIADOS!$A$2:$A$831)-1)</f>
        <v>#REF!</v>
      </c>
      <c r="O985" s="423" t="e">
        <f>IF(C985&lt;&gt;"",IF(ISERROR((100000/E985)^(252/N985)-1),Curva!$B$2,((100000/E985)^(252/N985)-1)),"")</f>
        <v>#REF!</v>
      </c>
      <c r="P985" s="219" t="e">
        <f>IF(OR(G985=1,G985=2),dadosexternosBMF_1!B988,"")</f>
        <v>#REF!</v>
      </c>
      <c r="Q985" s="219" t="e">
        <f>IF(OR(G985=1,G985=2),dadosexternosBMF_1!D988,"")</f>
        <v>#REF!</v>
      </c>
    </row>
    <row r="986" spans="1:17" x14ac:dyDescent="0.2">
      <c r="A986" s="222" t="e">
        <f t="shared" si="102"/>
        <v>#REF!</v>
      </c>
      <c r="B986" s="222" t="str">
        <f>IF(dadosexternosBMF_1!A989="DI1 - DI de 1 dia","DI1 - DI de 1 dia","")</f>
        <v/>
      </c>
      <c r="C986" s="222" t="e">
        <f>IF(dadosexternosBMF_1!A989="DOL - Dólar comercial","",IF(C985&lt;&gt;"",dadosexternosBMF_1!B989,IF(dadosexternosBMF_1!A989="DI1 - DI de 1 dia",dadosexternosBMF_1!B989,"")))</f>
        <v>#REF!</v>
      </c>
      <c r="D986" s="222" t="e">
        <f>IF(C986&lt;&gt;"",dadosexternosBMF_1!C989,"")</f>
        <v>#REF!</v>
      </c>
      <c r="E986" s="222" t="e">
        <f>IF(C986&lt;&gt;"",dadosexternosBMF_1!D989,"")</f>
        <v>#REF!</v>
      </c>
      <c r="G986" s="219" t="e">
        <f t="shared" si="103"/>
        <v>#REF!</v>
      </c>
      <c r="H986" s="219" t="e">
        <f t="shared" si="104"/>
        <v>#REF!</v>
      </c>
      <c r="I986" s="219" t="e">
        <f t="shared" si="105"/>
        <v>#REF!</v>
      </c>
      <c r="J986" s="219" t="e">
        <f>IF(I986="","",VLOOKUP(LEFT(C986,1),dadosexternosBMF_1!$L$2:$M$13,2,FALSE))</f>
        <v>#REF!</v>
      </c>
      <c r="K986" s="219" t="e">
        <f t="shared" si="106"/>
        <v>#REF!</v>
      </c>
      <c r="L986" s="422" t="e">
        <f t="shared" si="107"/>
        <v>#REF!</v>
      </c>
      <c r="M986" s="422" t="e">
        <f>IF(I986="","",WORKDAY(L986-1,1,FERIADOS!$A$2:$A$831))</f>
        <v>#REF!</v>
      </c>
      <c r="N986" s="219" t="e">
        <f>IF(I986="","",NETWORKDAYS(Curva!$M$2,M986,FERIADOS!$A$2:$A$831)-1)</f>
        <v>#REF!</v>
      </c>
      <c r="O986" s="423" t="e">
        <f>IF(C986&lt;&gt;"",IF(ISERROR((100000/E986)^(252/N986)-1),Curva!$B$2,((100000/E986)^(252/N986)-1)),"")</f>
        <v>#REF!</v>
      </c>
      <c r="P986" s="219" t="e">
        <f>IF(OR(G986=1,G986=2),dadosexternosBMF_1!B989,"")</f>
        <v>#REF!</v>
      </c>
      <c r="Q986" s="219" t="e">
        <f>IF(OR(G986=1,G986=2),dadosexternosBMF_1!D989,"")</f>
        <v>#REF!</v>
      </c>
    </row>
    <row r="987" spans="1:17" x14ac:dyDescent="0.2">
      <c r="A987" s="222" t="e">
        <f t="shared" ref="A987:A1050" si="108">IF(AND(A986&lt;&gt;"",C987&lt;&gt;""),A986+1,IF(B987="DI1 - DI de 1 dia",1,""))</f>
        <v>#REF!</v>
      </c>
      <c r="B987" s="222" t="str">
        <f>IF(dadosexternosBMF_1!A990="DI1 - DI de 1 dia","DI1 - DI de 1 dia","")</f>
        <v/>
      </c>
      <c r="C987" s="222" t="e">
        <f>IF(dadosexternosBMF_1!A990="DOL - Dólar comercial","",IF(C986&lt;&gt;"",dadosexternosBMF_1!B990,IF(dadosexternosBMF_1!A990="DI1 - DI de 1 dia",dadosexternosBMF_1!B990,"")))</f>
        <v>#REF!</v>
      </c>
      <c r="D987" s="222" t="e">
        <f>IF(C987&lt;&gt;"",dadosexternosBMF_1!C990,"")</f>
        <v>#REF!</v>
      </c>
      <c r="E987" s="222" t="e">
        <f>IF(C987&lt;&gt;"",dadosexternosBMF_1!D990,"")</f>
        <v>#REF!</v>
      </c>
      <c r="G987" s="219" t="e">
        <f t="shared" ref="G987:G1050" si="109">IF(G986=1,2,IF(AND(H987="",H986&lt;&gt;""),1,""))</f>
        <v>#REF!</v>
      </c>
      <c r="H987" s="219" t="e">
        <f t="shared" ref="H987:H1050" si="110">IF(A987&lt;&gt;"",A987,"")</f>
        <v>#REF!</v>
      </c>
      <c r="I987" s="219" t="e">
        <f t="shared" ref="I987:I1050" si="111">IF(A987&lt;&gt;"",(CONCATENATE("DI1",C987)),"")</f>
        <v>#REF!</v>
      </c>
      <c r="J987" s="219" t="e">
        <f>IF(I987="","",VLOOKUP(LEFT(C987,1),dadosexternosBMF_1!$L$2:$M$13,2,FALSE))</f>
        <v>#REF!</v>
      </c>
      <c r="K987" s="219" t="e">
        <f t="shared" ref="K987:K1050" si="112">IF(I987="","",1+CONCATENATE(20,RIGHT(C987,2))-1)</f>
        <v>#REF!</v>
      </c>
      <c r="L987" s="422" t="e">
        <f t="shared" ref="L987:L1050" si="113">IF(I987="","",CONCATENATE(1,"/",J987,"/",K987)+1-1)</f>
        <v>#REF!</v>
      </c>
      <c r="M987" s="422" t="e">
        <f>IF(I987="","",WORKDAY(L987-1,1,FERIADOS!$A$2:$A$831))</f>
        <v>#REF!</v>
      </c>
      <c r="N987" s="219" t="e">
        <f>IF(I987="","",NETWORKDAYS(Curva!$M$2,M987,FERIADOS!$A$2:$A$831)-1)</f>
        <v>#REF!</v>
      </c>
      <c r="O987" s="423" t="e">
        <f>IF(C987&lt;&gt;"",IF(ISERROR((100000/E987)^(252/N987)-1),Curva!$B$2,((100000/E987)^(252/N987)-1)),"")</f>
        <v>#REF!</v>
      </c>
      <c r="P987" s="219" t="e">
        <f>IF(OR(G987=1,G987=2),dadosexternosBMF_1!B990,"")</f>
        <v>#REF!</v>
      </c>
      <c r="Q987" s="219" t="e">
        <f>IF(OR(G987=1,G987=2),dadosexternosBMF_1!D990,"")</f>
        <v>#REF!</v>
      </c>
    </row>
    <row r="988" spans="1:17" x14ac:dyDescent="0.2">
      <c r="A988" s="222" t="e">
        <f t="shared" si="108"/>
        <v>#REF!</v>
      </c>
      <c r="B988" s="222" t="str">
        <f>IF(dadosexternosBMF_1!A991="DI1 - DI de 1 dia","DI1 - DI de 1 dia","")</f>
        <v/>
      </c>
      <c r="C988" s="222" t="e">
        <f>IF(dadosexternosBMF_1!A991="DOL - Dólar comercial","",IF(C987&lt;&gt;"",dadosexternosBMF_1!B991,IF(dadosexternosBMF_1!A991="DI1 - DI de 1 dia",dadosexternosBMF_1!B991,"")))</f>
        <v>#REF!</v>
      </c>
      <c r="D988" s="222" t="e">
        <f>IF(C988&lt;&gt;"",dadosexternosBMF_1!C991,"")</f>
        <v>#REF!</v>
      </c>
      <c r="E988" s="222" t="e">
        <f>IF(C988&lt;&gt;"",dadosexternosBMF_1!D991,"")</f>
        <v>#REF!</v>
      </c>
      <c r="G988" s="219" t="e">
        <f t="shared" si="109"/>
        <v>#REF!</v>
      </c>
      <c r="H988" s="219" t="e">
        <f t="shared" si="110"/>
        <v>#REF!</v>
      </c>
      <c r="I988" s="219" t="e">
        <f t="shared" si="111"/>
        <v>#REF!</v>
      </c>
      <c r="J988" s="219" t="e">
        <f>IF(I988="","",VLOOKUP(LEFT(C988,1),dadosexternosBMF_1!$L$2:$M$13,2,FALSE))</f>
        <v>#REF!</v>
      </c>
      <c r="K988" s="219" t="e">
        <f t="shared" si="112"/>
        <v>#REF!</v>
      </c>
      <c r="L988" s="422" t="e">
        <f t="shared" si="113"/>
        <v>#REF!</v>
      </c>
      <c r="M988" s="422" t="e">
        <f>IF(I988="","",WORKDAY(L988-1,1,FERIADOS!$A$2:$A$831))</f>
        <v>#REF!</v>
      </c>
      <c r="N988" s="219" t="e">
        <f>IF(I988="","",NETWORKDAYS(Curva!$M$2,M988,FERIADOS!$A$2:$A$831)-1)</f>
        <v>#REF!</v>
      </c>
      <c r="O988" s="423" t="e">
        <f>IF(C988&lt;&gt;"",IF(ISERROR((100000/E988)^(252/N988)-1),Curva!$B$2,((100000/E988)^(252/N988)-1)),"")</f>
        <v>#REF!</v>
      </c>
      <c r="P988" s="219" t="e">
        <f>IF(OR(G988=1,G988=2),dadosexternosBMF_1!B991,"")</f>
        <v>#REF!</v>
      </c>
      <c r="Q988" s="219" t="e">
        <f>IF(OR(G988=1,G988=2),dadosexternosBMF_1!D991,"")</f>
        <v>#REF!</v>
      </c>
    </row>
    <row r="989" spans="1:17" x14ac:dyDescent="0.2">
      <c r="A989" s="222" t="e">
        <f t="shared" si="108"/>
        <v>#REF!</v>
      </c>
      <c r="B989" s="222" t="str">
        <f>IF(dadosexternosBMF_1!A992="DI1 - DI de 1 dia","DI1 - DI de 1 dia","")</f>
        <v/>
      </c>
      <c r="C989" s="222" t="e">
        <f>IF(dadosexternosBMF_1!A992="DOL - Dólar comercial","",IF(C988&lt;&gt;"",dadosexternosBMF_1!B992,IF(dadosexternosBMF_1!A992="DI1 - DI de 1 dia",dadosexternosBMF_1!B992,"")))</f>
        <v>#REF!</v>
      </c>
      <c r="D989" s="222" t="e">
        <f>IF(C989&lt;&gt;"",dadosexternosBMF_1!C992,"")</f>
        <v>#REF!</v>
      </c>
      <c r="E989" s="222" t="e">
        <f>IF(C989&lt;&gt;"",dadosexternosBMF_1!D992,"")</f>
        <v>#REF!</v>
      </c>
      <c r="G989" s="219" t="e">
        <f t="shared" si="109"/>
        <v>#REF!</v>
      </c>
      <c r="H989" s="219" t="e">
        <f t="shared" si="110"/>
        <v>#REF!</v>
      </c>
      <c r="I989" s="219" t="e">
        <f t="shared" si="111"/>
        <v>#REF!</v>
      </c>
      <c r="J989" s="219" t="e">
        <f>IF(I989="","",VLOOKUP(LEFT(C989,1),dadosexternosBMF_1!$L$2:$M$13,2,FALSE))</f>
        <v>#REF!</v>
      </c>
      <c r="K989" s="219" t="e">
        <f t="shared" si="112"/>
        <v>#REF!</v>
      </c>
      <c r="L989" s="422" t="e">
        <f t="shared" si="113"/>
        <v>#REF!</v>
      </c>
      <c r="M989" s="422" t="e">
        <f>IF(I989="","",WORKDAY(L989-1,1,FERIADOS!$A$2:$A$831))</f>
        <v>#REF!</v>
      </c>
      <c r="N989" s="219" t="e">
        <f>IF(I989="","",NETWORKDAYS(Curva!$M$2,M989,FERIADOS!$A$2:$A$831)-1)</f>
        <v>#REF!</v>
      </c>
      <c r="O989" s="423" t="e">
        <f>IF(C989&lt;&gt;"",IF(ISERROR((100000/E989)^(252/N989)-1),Curva!$B$2,((100000/E989)^(252/N989)-1)),"")</f>
        <v>#REF!</v>
      </c>
      <c r="P989" s="219" t="e">
        <f>IF(OR(G989=1,G989=2),dadosexternosBMF_1!B992,"")</f>
        <v>#REF!</v>
      </c>
      <c r="Q989" s="219" t="e">
        <f>IF(OR(G989=1,G989=2),dadosexternosBMF_1!D992,"")</f>
        <v>#REF!</v>
      </c>
    </row>
    <row r="990" spans="1:17" x14ac:dyDescent="0.2">
      <c r="A990" s="222" t="e">
        <f t="shared" si="108"/>
        <v>#REF!</v>
      </c>
      <c r="B990" s="222" t="str">
        <f>IF(dadosexternosBMF_1!A993="DI1 - DI de 1 dia","DI1 - DI de 1 dia","")</f>
        <v/>
      </c>
      <c r="C990" s="222" t="e">
        <f>IF(dadosexternosBMF_1!A993="DOL - Dólar comercial","",IF(C989&lt;&gt;"",dadosexternosBMF_1!B993,IF(dadosexternosBMF_1!A993="DI1 - DI de 1 dia",dadosexternosBMF_1!B993,"")))</f>
        <v>#REF!</v>
      </c>
      <c r="D990" s="222" t="e">
        <f>IF(C990&lt;&gt;"",dadosexternosBMF_1!C993,"")</f>
        <v>#REF!</v>
      </c>
      <c r="E990" s="222" t="e">
        <f>IF(C990&lt;&gt;"",dadosexternosBMF_1!D993,"")</f>
        <v>#REF!</v>
      </c>
      <c r="G990" s="219" t="e">
        <f t="shared" si="109"/>
        <v>#REF!</v>
      </c>
      <c r="H990" s="219" t="e">
        <f t="shared" si="110"/>
        <v>#REF!</v>
      </c>
      <c r="I990" s="219" t="e">
        <f t="shared" si="111"/>
        <v>#REF!</v>
      </c>
      <c r="J990" s="219" t="e">
        <f>IF(I990="","",VLOOKUP(LEFT(C990,1),dadosexternosBMF_1!$L$2:$M$13,2,FALSE))</f>
        <v>#REF!</v>
      </c>
      <c r="K990" s="219" t="e">
        <f t="shared" si="112"/>
        <v>#REF!</v>
      </c>
      <c r="L990" s="422" t="e">
        <f t="shared" si="113"/>
        <v>#REF!</v>
      </c>
      <c r="M990" s="422" t="e">
        <f>IF(I990="","",WORKDAY(L990-1,1,FERIADOS!$A$2:$A$831))</f>
        <v>#REF!</v>
      </c>
      <c r="N990" s="219" t="e">
        <f>IF(I990="","",NETWORKDAYS(Curva!$M$2,M990,FERIADOS!$A$2:$A$831)-1)</f>
        <v>#REF!</v>
      </c>
      <c r="O990" s="423" t="e">
        <f>IF(C990&lt;&gt;"",IF(ISERROR((100000/E990)^(252/N990)-1),Curva!$B$2,((100000/E990)^(252/N990)-1)),"")</f>
        <v>#REF!</v>
      </c>
      <c r="P990" s="219" t="e">
        <f>IF(OR(G990=1,G990=2),dadosexternosBMF_1!B993,"")</f>
        <v>#REF!</v>
      </c>
      <c r="Q990" s="219" t="e">
        <f>IF(OR(G990=1,G990=2),dadosexternosBMF_1!D993,"")</f>
        <v>#REF!</v>
      </c>
    </row>
    <row r="991" spans="1:17" x14ac:dyDescent="0.2">
      <c r="A991" s="222" t="e">
        <f t="shared" si="108"/>
        <v>#REF!</v>
      </c>
      <c r="B991" s="222" t="str">
        <f>IF(dadosexternosBMF_1!A994="DI1 - DI de 1 dia","DI1 - DI de 1 dia","")</f>
        <v/>
      </c>
      <c r="C991" s="222" t="e">
        <f>IF(dadosexternosBMF_1!A994="DOL - Dólar comercial","",IF(C990&lt;&gt;"",dadosexternosBMF_1!B994,IF(dadosexternosBMF_1!A994="DI1 - DI de 1 dia",dadosexternosBMF_1!B994,"")))</f>
        <v>#REF!</v>
      </c>
      <c r="D991" s="222" t="e">
        <f>IF(C991&lt;&gt;"",dadosexternosBMF_1!C994,"")</f>
        <v>#REF!</v>
      </c>
      <c r="E991" s="222" t="e">
        <f>IF(C991&lt;&gt;"",dadosexternosBMF_1!D994,"")</f>
        <v>#REF!</v>
      </c>
      <c r="G991" s="219" t="e">
        <f t="shared" si="109"/>
        <v>#REF!</v>
      </c>
      <c r="H991" s="219" t="e">
        <f t="shared" si="110"/>
        <v>#REF!</v>
      </c>
      <c r="I991" s="219" t="e">
        <f t="shared" si="111"/>
        <v>#REF!</v>
      </c>
      <c r="J991" s="219" t="e">
        <f>IF(I991="","",VLOOKUP(LEFT(C991,1),dadosexternosBMF_1!$L$2:$M$13,2,FALSE))</f>
        <v>#REF!</v>
      </c>
      <c r="K991" s="219" t="e">
        <f t="shared" si="112"/>
        <v>#REF!</v>
      </c>
      <c r="L991" s="422" t="e">
        <f t="shared" si="113"/>
        <v>#REF!</v>
      </c>
      <c r="M991" s="422" t="e">
        <f>IF(I991="","",WORKDAY(L991-1,1,FERIADOS!$A$2:$A$831))</f>
        <v>#REF!</v>
      </c>
      <c r="N991" s="219" t="e">
        <f>IF(I991="","",NETWORKDAYS(Curva!$M$2,M991,FERIADOS!$A$2:$A$831)-1)</f>
        <v>#REF!</v>
      </c>
      <c r="O991" s="423" t="e">
        <f>IF(C991&lt;&gt;"",IF(ISERROR((100000/E991)^(252/N991)-1),Curva!$B$2,((100000/E991)^(252/N991)-1)),"")</f>
        <v>#REF!</v>
      </c>
      <c r="P991" s="219" t="e">
        <f>IF(OR(G991=1,G991=2),dadosexternosBMF_1!B994,"")</f>
        <v>#REF!</v>
      </c>
      <c r="Q991" s="219" t="e">
        <f>IF(OR(G991=1,G991=2),dadosexternosBMF_1!D994,"")</f>
        <v>#REF!</v>
      </c>
    </row>
    <row r="992" spans="1:17" x14ac:dyDescent="0.2">
      <c r="A992" s="222" t="e">
        <f t="shared" si="108"/>
        <v>#REF!</v>
      </c>
      <c r="B992" s="222" t="str">
        <f>IF(dadosexternosBMF_1!A995="DI1 - DI de 1 dia","DI1 - DI de 1 dia","")</f>
        <v/>
      </c>
      <c r="C992" s="222" t="e">
        <f>IF(dadosexternosBMF_1!A995="DOL - Dólar comercial","",IF(C991&lt;&gt;"",dadosexternosBMF_1!B995,IF(dadosexternosBMF_1!A995="DI1 - DI de 1 dia",dadosexternosBMF_1!B995,"")))</f>
        <v>#REF!</v>
      </c>
      <c r="D992" s="222" t="e">
        <f>IF(C992&lt;&gt;"",dadosexternosBMF_1!C995,"")</f>
        <v>#REF!</v>
      </c>
      <c r="E992" s="222" t="e">
        <f>IF(C992&lt;&gt;"",dadosexternosBMF_1!D995,"")</f>
        <v>#REF!</v>
      </c>
      <c r="G992" s="219" t="e">
        <f t="shared" si="109"/>
        <v>#REF!</v>
      </c>
      <c r="H992" s="219" t="e">
        <f t="shared" si="110"/>
        <v>#REF!</v>
      </c>
      <c r="I992" s="219" t="e">
        <f t="shared" si="111"/>
        <v>#REF!</v>
      </c>
      <c r="J992" s="219" t="e">
        <f>IF(I992="","",VLOOKUP(LEFT(C992,1),dadosexternosBMF_1!$L$2:$M$13,2,FALSE))</f>
        <v>#REF!</v>
      </c>
      <c r="K992" s="219" t="e">
        <f t="shared" si="112"/>
        <v>#REF!</v>
      </c>
      <c r="L992" s="422" t="e">
        <f t="shared" si="113"/>
        <v>#REF!</v>
      </c>
      <c r="M992" s="422" t="e">
        <f>IF(I992="","",WORKDAY(L992-1,1,FERIADOS!$A$2:$A$831))</f>
        <v>#REF!</v>
      </c>
      <c r="N992" s="219" t="e">
        <f>IF(I992="","",NETWORKDAYS(Curva!$M$2,M992,FERIADOS!$A$2:$A$831)-1)</f>
        <v>#REF!</v>
      </c>
      <c r="O992" s="423" t="e">
        <f>IF(C992&lt;&gt;"",IF(ISERROR((100000/E992)^(252/N992)-1),Curva!$B$2,((100000/E992)^(252/N992)-1)),"")</f>
        <v>#REF!</v>
      </c>
      <c r="P992" s="219" t="e">
        <f>IF(OR(G992=1,G992=2),dadosexternosBMF_1!B995,"")</f>
        <v>#REF!</v>
      </c>
      <c r="Q992" s="219" t="e">
        <f>IF(OR(G992=1,G992=2),dadosexternosBMF_1!D995,"")</f>
        <v>#REF!</v>
      </c>
    </row>
    <row r="993" spans="1:17" x14ac:dyDescent="0.2">
      <c r="A993" s="222" t="e">
        <f t="shared" si="108"/>
        <v>#REF!</v>
      </c>
      <c r="B993" s="222" t="str">
        <f>IF(dadosexternosBMF_1!A996="DI1 - DI de 1 dia","DI1 - DI de 1 dia","")</f>
        <v/>
      </c>
      <c r="C993" s="222" t="e">
        <f>IF(dadosexternosBMF_1!A996="DOL - Dólar comercial","",IF(C992&lt;&gt;"",dadosexternosBMF_1!B996,IF(dadosexternosBMF_1!A996="DI1 - DI de 1 dia",dadosexternosBMF_1!B996,"")))</f>
        <v>#REF!</v>
      </c>
      <c r="D993" s="222" t="e">
        <f>IF(C993&lt;&gt;"",dadosexternosBMF_1!C996,"")</f>
        <v>#REF!</v>
      </c>
      <c r="E993" s="222" t="e">
        <f>IF(C993&lt;&gt;"",dadosexternosBMF_1!D996,"")</f>
        <v>#REF!</v>
      </c>
      <c r="G993" s="219" t="e">
        <f t="shared" si="109"/>
        <v>#REF!</v>
      </c>
      <c r="H993" s="219" t="e">
        <f t="shared" si="110"/>
        <v>#REF!</v>
      </c>
      <c r="I993" s="219" t="e">
        <f t="shared" si="111"/>
        <v>#REF!</v>
      </c>
      <c r="J993" s="219" t="e">
        <f>IF(I993="","",VLOOKUP(LEFT(C993,1),dadosexternosBMF_1!$L$2:$M$13,2,FALSE))</f>
        <v>#REF!</v>
      </c>
      <c r="K993" s="219" t="e">
        <f t="shared" si="112"/>
        <v>#REF!</v>
      </c>
      <c r="L993" s="422" t="e">
        <f t="shared" si="113"/>
        <v>#REF!</v>
      </c>
      <c r="M993" s="422" t="e">
        <f>IF(I993="","",WORKDAY(L993-1,1,FERIADOS!$A$2:$A$831))</f>
        <v>#REF!</v>
      </c>
      <c r="N993" s="219" t="e">
        <f>IF(I993="","",NETWORKDAYS(Curva!$M$2,M993,FERIADOS!$A$2:$A$831)-1)</f>
        <v>#REF!</v>
      </c>
      <c r="O993" s="423" t="e">
        <f>IF(C993&lt;&gt;"",IF(ISERROR((100000/E993)^(252/N993)-1),Curva!$B$2,((100000/E993)^(252/N993)-1)),"")</f>
        <v>#REF!</v>
      </c>
      <c r="P993" s="219" t="e">
        <f>IF(OR(G993=1,G993=2),dadosexternosBMF_1!B996,"")</f>
        <v>#REF!</v>
      </c>
      <c r="Q993" s="219" t="e">
        <f>IF(OR(G993=1,G993=2),dadosexternosBMF_1!D996,"")</f>
        <v>#REF!</v>
      </c>
    </row>
    <row r="994" spans="1:17" x14ac:dyDescent="0.2">
      <c r="A994" s="222" t="e">
        <f t="shared" si="108"/>
        <v>#REF!</v>
      </c>
      <c r="B994" s="222" t="str">
        <f>IF(dadosexternosBMF_1!A997="DI1 - DI de 1 dia","DI1 - DI de 1 dia","")</f>
        <v/>
      </c>
      <c r="C994" s="222" t="e">
        <f>IF(dadosexternosBMF_1!A997="DOL - Dólar comercial","",IF(C993&lt;&gt;"",dadosexternosBMF_1!B997,IF(dadosexternosBMF_1!A997="DI1 - DI de 1 dia",dadosexternosBMF_1!B997,"")))</f>
        <v>#REF!</v>
      </c>
      <c r="D994" s="222" t="e">
        <f>IF(C994&lt;&gt;"",dadosexternosBMF_1!C997,"")</f>
        <v>#REF!</v>
      </c>
      <c r="E994" s="222" t="e">
        <f>IF(C994&lt;&gt;"",dadosexternosBMF_1!D997,"")</f>
        <v>#REF!</v>
      </c>
      <c r="G994" s="219" t="e">
        <f t="shared" si="109"/>
        <v>#REF!</v>
      </c>
      <c r="H994" s="219" t="e">
        <f t="shared" si="110"/>
        <v>#REF!</v>
      </c>
      <c r="I994" s="219" t="e">
        <f t="shared" si="111"/>
        <v>#REF!</v>
      </c>
      <c r="J994" s="219" t="e">
        <f>IF(I994="","",VLOOKUP(LEFT(C994,1),dadosexternosBMF_1!$L$2:$M$13,2,FALSE))</f>
        <v>#REF!</v>
      </c>
      <c r="K994" s="219" t="e">
        <f t="shared" si="112"/>
        <v>#REF!</v>
      </c>
      <c r="L994" s="422" t="e">
        <f t="shared" si="113"/>
        <v>#REF!</v>
      </c>
      <c r="M994" s="422" t="e">
        <f>IF(I994="","",WORKDAY(L994-1,1,FERIADOS!$A$2:$A$831))</f>
        <v>#REF!</v>
      </c>
      <c r="N994" s="219" t="e">
        <f>IF(I994="","",NETWORKDAYS(Curva!$M$2,M994,FERIADOS!$A$2:$A$831)-1)</f>
        <v>#REF!</v>
      </c>
      <c r="O994" s="423" t="e">
        <f>IF(C994&lt;&gt;"",IF(ISERROR((100000/E994)^(252/N994)-1),Curva!$B$2,((100000/E994)^(252/N994)-1)),"")</f>
        <v>#REF!</v>
      </c>
      <c r="P994" s="219" t="e">
        <f>IF(OR(G994=1,G994=2),dadosexternosBMF_1!B997,"")</f>
        <v>#REF!</v>
      </c>
      <c r="Q994" s="219" t="e">
        <f>IF(OR(G994=1,G994=2),dadosexternosBMF_1!D997,"")</f>
        <v>#REF!</v>
      </c>
    </row>
    <row r="995" spans="1:17" x14ac:dyDescent="0.2">
      <c r="A995" s="222" t="e">
        <f t="shared" si="108"/>
        <v>#REF!</v>
      </c>
      <c r="B995" s="222" t="str">
        <f>IF(dadosexternosBMF_1!A998="DI1 - DI de 1 dia","DI1 - DI de 1 dia","")</f>
        <v/>
      </c>
      <c r="C995" s="222" t="e">
        <f>IF(dadosexternosBMF_1!A998="DOL - Dólar comercial","",IF(C994&lt;&gt;"",dadosexternosBMF_1!B998,IF(dadosexternosBMF_1!A998="DI1 - DI de 1 dia",dadosexternosBMF_1!B998,"")))</f>
        <v>#REF!</v>
      </c>
      <c r="D995" s="222" t="e">
        <f>IF(C995&lt;&gt;"",dadosexternosBMF_1!C998,"")</f>
        <v>#REF!</v>
      </c>
      <c r="E995" s="222" t="e">
        <f>IF(C995&lt;&gt;"",dadosexternosBMF_1!D998,"")</f>
        <v>#REF!</v>
      </c>
      <c r="G995" s="219" t="e">
        <f t="shared" si="109"/>
        <v>#REF!</v>
      </c>
      <c r="H995" s="219" t="e">
        <f t="shared" si="110"/>
        <v>#REF!</v>
      </c>
      <c r="I995" s="219" t="e">
        <f t="shared" si="111"/>
        <v>#REF!</v>
      </c>
      <c r="J995" s="219" t="e">
        <f>IF(I995="","",VLOOKUP(LEFT(C995,1),dadosexternosBMF_1!$L$2:$M$13,2,FALSE))</f>
        <v>#REF!</v>
      </c>
      <c r="K995" s="219" t="e">
        <f t="shared" si="112"/>
        <v>#REF!</v>
      </c>
      <c r="L995" s="422" t="e">
        <f t="shared" si="113"/>
        <v>#REF!</v>
      </c>
      <c r="M995" s="422" t="e">
        <f>IF(I995="","",WORKDAY(L995-1,1,FERIADOS!$A$2:$A$831))</f>
        <v>#REF!</v>
      </c>
      <c r="N995" s="219" t="e">
        <f>IF(I995="","",NETWORKDAYS(Curva!$M$2,M995,FERIADOS!$A$2:$A$831)-1)</f>
        <v>#REF!</v>
      </c>
      <c r="O995" s="423" t="e">
        <f>IF(C995&lt;&gt;"",IF(ISERROR((100000/E995)^(252/N995)-1),Curva!$B$2,((100000/E995)^(252/N995)-1)),"")</f>
        <v>#REF!</v>
      </c>
      <c r="P995" s="219" t="e">
        <f>IF(OR(G995=1,G995=2),dadosexternosBMF_1!B998,"")</f>
        <v>#REF!</v>
      </c>
      <c r="Q995" s="219" t="e">
        <f>IF(OR(G995=1,G995=2),dadosexternosBMF_1!D998,"")</f>
        <v>#REF!</v>
      </c>
    </row>
    <row r="996" spans="1:17" x14ac:dyDescent="0.2">
      <c r="A996" s="222" t="e">
        <f t="shared" si="108"/>
        <v>#REF!</v>
      </c>
      <c r="B996" s="222" t="str">
        <f>IF(dadosexternosBMF_1!A999="DI1 - DI de 1 dia","DI1 - DI de 1 dia","")</f>
        <v/>
      </c>
      <c r="C996" s="222" t="e">
        <f>IF(dadosexternosBMF_1!A999="DOL - Dólar comercial","",IF(C995&lt;&gt;"",dadosexternosBMF_1!B999,IF(dadosexternosBMF_1!A999="DI1 - DI de 1 dia",dadosexternosBMF_1!B999,"")))</f>
        <v>#REF!</v>
      </c>
      <c r="D996" s="222" t="e">
        <f>IF(C996&lt;&gt;"",dadosexternosBMF_1!C999,"")</f>
        <v>#REF!</v>
      </c>
      <c r="E996" s="222" t="e">
        <f>IF(C996&lt;&gt;"",dadosexternosBMF_1!D999,"")</f>
        <v>#REF!</v>
      </c>
      <c r="G996" s="219" t="e">
        <f t="shared" si="109"/>
        <v>#REF!</v>
      </c>
      <c r="H996" s="219" t="e">
        <f t="shared" si="110"/>
        <v>#REF!</v>
      </c>
      <c r="I996" s="219" t="e">
        <f t="shared" si="111"/>
        <v>#REF!</v>
      </c>
      <c r="J996" s="219" t="e">
        <f>IF(I996="","",VLOOKUP(LEFT(C996,1),dadosexternosBMF_1!$L$2:$M$13,2,FALSE))</f>
        <v>#REF!</v>
      </c>
      <c r="K996" s="219" t="e">
        <f t="shared" si="112"/>
        <v>#REF!</v>
      </c>
      <c r="L996" s="422" t="e">
        <f t="shared" si="113"/>
        <v>#REF!</v>
      </c>
      <c r="M996" s="422" t="e">
        <f>IF(I996="","",WORKDAY(L996-1,1,FERIADOS!$A$2:$A$831))</f>
        <v>#REF!</v>
      </c>
      <c r="N996" s="219" t="e">
        <f>IF(I996="","",NETWORKDAYS(Curva!$M$2,M996,FERIADOS!$A$2:$A$831)-1)</f>
        <v>#REF!</v>
      </c>
      <c r="O996" s="423" t="e">
        <f>IF(C996&lt;&gt;"",IF(ISERROR((100000/E996)^(252/N996)-1),Curva!$B$2,((100000/E996)^(252/N996)-1)),"")</f>
        <v>#REF!</v>
      </c>
      <c r="P996" s="219" t="e">
        <f>IF(OR(G996=1,G996=2),dadosexternosBMF_1!B999,"")</f>
        <v>#REF!</v>
      </c>
      <c r="Q996" s="219" t="e">
        <f>IF(OR(G996=1,G996=2),dadosexternosBMF_1!D999,"")</f>
        <v>#REF!</v>
      </c>
    </row>
    <row r="997" spans="1:17" x14ac:dyDescent="0.2">
      <c r="A997" s="222" t="e">
        <f t="shared" si="108"/>
        <v>#REF!</v>
      </c>
      <c r="B997" s="222" t="str">
        <f>IF(dadosexternosBMF_1!A1000="DI1 - DI de 1 dia","DI1 - DI de 1 dia","")</f>
        <v/>
      </c>
      <c r="C997" s="222" t="e">
        <f>IF(dadosexternosBMF_1!A1000="DOL - Dólar comercial","",IF(C996&lt;&gt;"",dadosexternosBMF_1!B1000,IF(dadosexternosBMF_1!A1000="DI1 - DI de 1 dia",dadosexternosBMF_1!B1000,"")))</f>
        <v>#REF!</v>
      </c>
      <c r="D997" s="222" t="e">
        <f>IF(C997&lt;&gt;"",dadosexternosBMF_1!C1000,"")</f>
        <v>#REF!</v>
      </c>
      <c r="E997" s="222" t="e">
        <f>IF(C997&lt;&gt;"",dadosexternosBMF_1!D1000,"")</f>
        <v>#REF!</v>
      </c>
      <c r="G997" s="219" t="e">
        <f t="shared" si="109"/>
        <v>#REF!</v>
      </c>
      <c r="H997" s="219" t="e">
        <f t="shared" si="110"/>
        <v>#REF!</v>
      </c>
      <c r="I997" s="219" t="e">
        <f t="shared" si="111"/>
        <v>#REF!</v>
      </c>
      <c r="J997" s="219" t="e">
        <f>IF(I997="","",VLOOKUP(LEFT(C997,1),dadosexternosBMF_1!$L$2:$M$13,2,FALSE))</f>
        <v>#REF!</v>
      </c>
      <c r="K997" s="219" t="e">
        <f t="shared" si="112"/>
        <v>#REF!</v>
      </c>
      <c r="L997" s="422" t="e">
        <f t="shared" si="113"/>
        <v>#REF!</v>
      </c>
      <c r="M997" s="422" t="e">
        <f>IF(I997="","",WORKDAY(L997-1,1,FERIADOS!$A$2:$A$831))</f>
        <v>#REF!</v>
      </c>
      <c r="N997" s="219" t="e">
        <f>IF(I997="","",NETWORKDAYS(Curva!$M$2,M997,FERIADOS!$A$2:$A$831)-1)</f>
        <v>#REF!</v>
      </c>
      <c r="O997" s="423" t="e">
        <f>IF(C997&lt;&gt;"",IF(ISERROR((100000/E997)^(252/N997)-1),Curva!$B$2,((100000/E997)^(252/N997)-1)),"")</f>
        <v>#REF!</v>
      </c>
      <c r="P997" s="219" t="e">
        <f>IF(OR(G997=1,G997=2),dadosexternosBMF_1!B1000,"")</f>
        <v>#REF!</v>
      </c>
      <c r="Q997" s="219" t="e">
        <f>IF(OR(G997=1,G997=2),dadosexternosBMF_1!D1000,"")</f>
        <v>#REF!</v>
      </c>
    </row>
    <row r="998" spans="1:17" x14ac:dyDescent="0.2">
      <c r="A998" s="222" t="e">
        <f t="shared" si="108"/>
        <v>#REF!</v>
      </c>
      <c r="B998" s="222" t="str">
        <f>IF(dadosexternosBMF_1!A1001="DI1 - DI de 1 dia","DI1 - DI de 1 dia","")</f>
        <v/>
      </c>
      <c r="C998" s="222" t="e">
        <f>IF(dadosexternosBMF_1!A1001="DOL - Dólar comercial","",IF(C997&lt;&gt;"",dadosexternosBMF_1!B1001,IF(dadosexternosBMF_1!A1001="DI1 - DI de 1 dia",dadosexternosBMF_1!B1001,"")))</f>
        <v>#REF!</v>
      </c>
      <c r="D998" s="222" t="e">
        <f>IF(C998&lt;&gt;"",dadosexternosBMF_1!C1001,"")</f>
        <v>#REF!</v>
      </c>
      <c r="E998" s="222" t="e">
        <f>IF(C998&lt;&gt;"",dadosexternosBMF_1!D1001,"")</f>
        <v>#REF!</v>
      </c>
      <c r="G998" s="219" t="e">
        <f t="shared" si="109"/>
        <v>#REF!</v>
      </c>
      <c r="H998" s="219" t="e">
        <f t="shared" si="110"/>
        <v>#REF!</v>
      </c>
      <c r="I998" s="219" t="e">
        <f t="shared" si="111"/>
        <v>#REF!</v>
      </c>
      <c r="J998" s="219" t="e">
        <f>IF(I998="","",VLOOKUP(LEFT(C998,1),dadosexternosBMF_1!$L$2:$M$13,2,FALSE))</f>
        <v>#REF!</v>
      </c>
      <c r="K998" s="219" t="e">
        <f t="shared" si="112"/>
        <v>#REF!</v>
      </c>
      <c r="L998" s="422" t="e">
        <f t="shared" si="113"/>
        <v>#REF!</v>
      </c>
      <c r="M998" s="422" t="e">
        <f>IF(I998="","",WORKDAY(L998-1,1,FERIADOS!$A$2:$A$831))</f>
        <v>#REF!</v>
      </c>
      <c r="N998" s="219" t="e">
        <f>IF(I998="","",NETWORKDAYS(Curva!$M$2,M998,FERIADOS!$A$2:$A$831)-1)</f>
        <v>#REF!</v>
      </c>
      <c r="O998" s="423" t="e">
        <f>IF(C998&lt;&gt;"",IF(ISERROR((100000/E998)^(252/N998)-1),Curva!$B$2,((100000/E998)^(252/N998)-1)),"")</f>
        <v>#REF!</v>
      </c>
      <c r="P998" s="219" t="e">
        <f>IF(OR(G998=1,G998=2),dadosexternosBMF_1!B1001,"")</f>
        <v>#REF!</v>
      </c>
      <c r="Q998" s="219" t="e">
        <f>IF(OR(G998=1,G998=2),dadosexternosBMF_1!D1001,"")</f>
        <v>#REF!</v>
      </c>
    </row>
    <row r="999" spans="1:17" x14ac:dyDescent="0.2">
      <c r="A999" s="222" t="e">
        <f t="shared" si="108"/>
        <v>#REF!</v>
      </c>
      <c r="B999" s="222" t="str">
        <f>IF(dadosexternosBMF_1!A1002="DI1 - DI de 1 dia","DI1 - DI de 1 dia","")</f>
        <v/>
      </c>
      <c r="C999" s="222" t="e">
        <f>IF(dadosexternosBMF_1!A1002="DOL - Dólar comercial","",IF(C998&lt;&gt;"",dadosexternosBMF_1!B1002,IF(dadosexternosBMF_1!A1002="DI1 - DI de 1 dia",dadosexternosBMF_1!B1002,"")))</f>
        <v>#REF!</v>
      </c>
      <c r="D999" s="222" t="e">
        <f>IF(C999&lt;&gt;"",dadosexternosBMF_1!C1002,"")</f>
        <v>#REF!</v>
      </c>
      <c r="E999" s="222" t="e">
        <f>IF(C999&lt;&gt;"",dadosexternosBMF_1!D1002,"")</f>
        <v>#REF!</v>
      </c>
      <c r="G999" s="219" t="e">
        <f t="shared" si="109"/>
        <v>#REF!</v>
      </c>
      <c r="H999" s="219" t="e">
        <f t="shared" si="110"/>
        <v>#REF!</v>
      </c>
      <c r="I999" s="219" t="e">
        <f t="shared" si="111"/>
        <v>#REF!</v>
      </c>
      <c r="J999" s="219" t="e">
        <f>IF(I999="","",VLOOKUP(LEFT(C999,1),dadosexternosBMF_1!$L$2:$M$13,2,FALSE))</f>
        <v>#REF!</v>
      </c>
      <c r="K999" s="219" t="e">
        <f t="shared" si="112"/>
        <v>#REF!</v>
      </c>
      <c r="L999" s="422" t="e">
        <f t="shared" si="113"/>
        <v>#REF!</v>
      </c>
      <c r="M999" s="422" t="e">
        <f>IF(I999="","",WORKDAY(L999-1,1,FERIADOS!$A$2:$A$831))</f>
        <v>#REF!</v>
      </c>
      <c r="N999" s="219" t="e">
        <f>IF(I999="","",NETWORKDAYS(Curva!$M$2,M999,FERIADOS!$A$2:$A$831)-1)</f>
        <v>#REF!</v>
      </c>
      <c r="O999" s="423" t="e">
        <f>IF(C999&lt;&gt;"",IF(ISERROR((100000/E999)^(252/N999)-1),Curva!$B$2,((100000/E999)^(252/N999)-1)),"")</f>
        <v>#REF!</v>
      </c>
      <c r="P999" s="219" t="e">
        <f>IF(OR(G999=1,G999=2),dadosexternosBMF_1!B1002,"")</f>
        <v>#REF!</v>
      </c>
      <c r="Q999" s="219" t="e">
        <f>IF(OR(G999=1,G999=2),dadosexternosBMF_1!D1002,"")</f>
        <v>#REF!</v>
      </c>
    </row>
    <row r="1000" spans="1:17" x14ac:dyDescent="0.2">
      <c r="A1000" s="222" t="e">
        <f t="shared" si="108"/>
        <v>#REF!</v>
      </c>
      <c r="B1000" s="222" t="str">
        <f>IF(dadosexternosBMF_1!A1003="DI1 - DI de 1 dia","DI1 - DI de 1 dia","")</f>
        <v/>
      </c>
      <c r="C1000" s="222" t="e">
        <f>IF(dadosexternosBMF_1!A1003="DOL - Dólar comercial","",IF(C999&lt;&gt;"",dadosexternosBMF_1!B1003,IF(dadosexternosBMF_1!A1003="DI1 - DI de 1 dia",dadosexternosBMF_1!B1003,"")))</f>
        <v>#REF!</v>
      </c>
      <c r="D1000" s="222" t="e">
        <f>IF(C1000&lt;&gt;"",dadosexternosBMF_1!C1003,"")</f>
        <v>#REF!</v>
      </c>
      <c r="E1000" s="222" t="e">
        <f>IF(C1000&lt;&gt;"",dadosexternosBMF_1!D1003,"")</f>
        <v>#REF!</v>
      </c>
      <c r="G1000" s="219" t="e">
        <f t="shared" si="109"/>
        <v>#REF!</v>
      </c>
      <c r="H1000" s="219" t="e">
        <f t="shared" si="110"/>
        <v>#REF!</v>
      </c>
      <c r="I1000" s="219" t="e">
        <f t="shared" si="111"/>
        <v>#REF!</v>
      </c>
      <c r="J1000" s="219" t="e">
        <f>IF(I1000="","",VLOOKUP(LEFT(C1000,1),dadosexternosBMF_1!$L$2:$M$13,2,FALSE))</f>
        <v>#REF!</v>
      </c>
      <c r="K1000" s="219" t="e">
        <f t="shared" si="112"/>
        <v>#REF!</v>
      </c>
      <c r="L1000" s="422" t="e">
        <f t="shared" si="113"/>
        <v>#REF!</v>
      </c>
      <c r="M1000" s="422" t="e">
        <f>IF(I1000="","",WORKDAY(L1000-1,1,FERIADOS!$A$2:$A$831))</f>
        <v>#REF!</v>
      </c>
      <c r="N1000" s="219" t="e">
        <f>IF(I1000="","",NETWORKDAYS(Curva!$M$2,M1000,FERIADOS!$A$2:$A$831)-1)</f>
        <v>#REF!</v>
      </c>
      <c r="O1000" s="423" t="e">
        <f>IF(C1000&lt;&gt;"",IF(ISERROR((100000/E1000)^(252/N1000)-1),Curva!$B$2,((100000/E1000)^(252/N1000)-1)),"")</f>
        <v>#REF!</v>
      </c>
      <c r="P1000" s="219" t="e">
        <f>IF(OR(G1000=1,G1000=2),dadosexternosBMF_1!B1003,"")</f>
        <v>#REF!</v>
      </c>
      <c r="Q1000" s="219" t="e">
        <f>IF(OR(G1000=1,G1000=2),dadosexternosBMF_1!D1003,"")</f>
        <v>#REF!</v>
      </c>
    </row>
    <row r="1001" spans="1:17" x14ac:dyDescent="0.2">
      <c r="A1001" s="222" t="e">
        <f t="shared" si="108"/>
        <v>#REF!</v>
      </c>
      <c r="B1001" s="222" t="str">
        <f>IF(dadosexternosBMF_1!A1004="DI1 - DI de 1 dia","DI1 - DI de 1 dia","")</f>
        <v/>
      </c>
      <c r="C1001" s="222" t="e">
        <f>IF(dadosexternosBMF_1!A1004="DOL - Dólar comercial","",IF(C1000&lt;&gt;"",dadosexternosBMF_1!B1004,IF(dadosexternosBMF_1!A1004="DI1 - DI de 1 dia",dadosexternosBMF_1!B1004,"")))</f>
        <v>#REF!</v>
      </c>
      <c r="D1001" s="222" t="e">
        <f>IF(C1001&lt;&gt;"",dadosexternosBMF_1!C1004,"")</f>
        <v>#REF!</v>
      </c>
      <c r="E1001" s="222" t="e">
        <f>IF(C1001&lt;&gt;"",dadosexternosBMF_1!D1004,"")</f>
        <v>#REF!</v>
      </c>
      <c r="G1001" s="219" t="e">
        <f t="shared" si="109"/>
        <v>#REF!</v>
      </c>
      <c r="H1001" s="219" t="e">
        <f t="shared" si="110"/>
        <v>#REF!</v>
      </c>
      <c r="I1001" s="219" t="e">
        <f t="shared" si="111"/>
        <v>#REF!</v>
      </c>
      <c r="J1001" s="219" t="e">
        <f>IF(I1001="","",VLOOKUP(LEFT(C1001,1),dadosexternosBMF_1!$L$2:$M$13,2,FALSE))</f>
        <v>#REF!</v>
      </c>
      <c r="K1001" s="219" t="e">
        <f t="shared" si="112"/>
        <v>#REF!</v>
      </c>
      <c r="L1001" s="422" t="e">
        <f t="shared" si="113"/>
        <v>#REF!</v>
      </c>
      <c r="M1001" s="422" t="e">
        <f>IF(I1001="","",WORKDAY(L1001-1,1,FERIADOS!$A$2:$A$831))</f>
        <v>#REF!</v>
      </c>
      <c r="N1001" s="219" t="e">
        <f>IF(I1001="","",NETWORKDAYS(Curva!$M$2,M1001,FERIADOS!$A$2:$A$831)-1)</f>
        <v>#REF!</v>
      </c>
      <c r="O1001" s="423" t="e">
        <f>IF(C1001&lt;&gt;"",IF(ISERROR((100000/E1001)^(252/N1001)-1),Curva!$B$2,((100000/E1001)^(252/N1001)-1)),"")</f>
        <v>#REF!</v>
      </c>
      <c r="P1001" s="219" t="e">
        <f>IF(OR(G1001=1,G1001=2),dadosexternosBMF_1!B1004,"")</f>
        <v>#REF!</v>
      </c>
      <c r="Q1001" s="219" t="e">
        <f>IF(OR(G1001=1,G1001=2),dadosexternosBMF_1!D1004,"")</f>
        <v>#REF!</v>
      </c>
    </row>
    <row r="1002" spans="1:17" x14ac:dyDescent="0.2">
      <c r="A1002" s="222" t="e">
        <f t="shared" si="108"/>
        <v>#REF!</v>
      </c>
      <c r="B1002" s="222" t="str">
        <f>IF(dadosexternosBMF_1!A1005="DI1 - DI de 1 dia","DI1 - DI de 1 dia","")</f>
        <v/>
      </c>
      <c r="C1002" s="222" t="e">
        <f>IF(dadosexternosBMF_1!A1005="DOL - Dólar comercial","",IF(C1001&lt;&gt;"",dadosexternosBMF_1!B1005,IF(dadosexternosBMF_1!A1005="DI1 - DI de 1 dia",dadosexternosBMF_1!B1005,"")))</f>
        <v>#REF!</v>
      </c>
      <c r="D1002" s="222" t="e">
        <f>IF(C1002&lt;&gt;"",dadosexternosBMF_1!C1005,"")</f>
        <v>#REF!</v>
      </c>
      <c r="E1002" s="222" t="e">
        <f>IF(C1002&lt;&gt;"",dadosexternosBMF_1!D1005,"")</f>
        <v>#REF!</v>
      </c>
      <c r="G1002" s="219" t="e">
        <f t="shared" si="109"/>
        <v>#REF!</v>
      </c>
      <c r="H1002" s="219" t="e">
        <f t="shared" si="110"/>
        <v>#REF!</v>
      </c>
      <c r="I1002" s="219" t="e">
        <f t="shared" si="111"/>
        <v>#REF!</v>
      </c>
      <c r="J1002" s="219" t="e">
        <f>IF(I1002="","",VLOOKUP(LEFT(C1002,1),dadosexternosBMF_1!$L$2:$M$13,2,FALSE))</f>
        <v>#REF!</v>
      </c>
      <c r="K1002" s="219" t="e">
        <f t="shared" si="112"/>
        <v>#REF!</v>
      </c>
      <c r="L1002" s="422" t="e">
        <f t="shared" si="113"/>
        <v>#REF!</v>
      </c>
      <c r="M1002" s="422" t="e">
        <f>IF(I1002="","",WORKDAY(L1002-1,1,FERIADOS!$A$2:$A$831))</f>
        <v>#REF!</v>
      </c>
      <c r="N1002" s="219" t="e">
        <f>IF(I1002="","",NETWORKDAYS(Curva!$M$2,M1002,FERIADOS!$A$2:$A$831)-1)</f>
        <v>#REF!</v>
      </c>
      <c r="O1002" s="423" t="e">
        <f>IF(C1002&lt;&gt;"",IF(ISERROR((100000/E1002)^(252/N1002)-1),Curva!$B$2,((100000/E1002)^(252/N1002)-1)),"")</f>
        <v>#REF!</v>
      </c>
      <c r="P1002" s="219" t="e">
        <f>IF(OR(G1002=1,G1002=2),dadosexternosBMF_1!B1005,"")</f>
        <v>#REF!</v>
      </c>
      <c r="Q1002" s="219" t="e">
        <f>IF(OR(G1002=1,G1002=2),dadosexternosBMF_1!D1005,"")</f>
        <v>#REF!</v>
      </c>
    </row>
    <row r="1003" spans="1:17" x14ac:dyDescent="0.2">
      <c r="A1003" s="222" t="e">
        <f t="shared" si="108"/>
        <v>#REF!</v>
      </c>
      <c r="B1003" s="222" t="str">
        <f>IF(dadosexternosBMF_1!A1006="DI1 - DI de 1 dia","DI1 - DI de 1 dia","")</f>
        <v/>
      </c>
      <c r="C1003" s="222" t="e">
        <f>IF(dadosexternosBMF_1!A1006="DOL - Dólar comercial","",IF(C1002&lt;&gt;"",dadosexternosBMF_1!B1006,IF(dadosexternosBMF_1!A1006="DI1 - DI de 1 dia",dadosexternosBMF_1!B1006,"")))</f>
        <v>#REF!</v>
      </c>
      <c r="D1003" s="222" t="e">
        <f>IF(C1003&lt;&gt;"",dadosexternosBMF_1!C1006,"")</f>
        <v>#REF!</v>
      </c>
      <c r="E1003" s="222" t="e">
        <f>IF(C1003&lt;&gt;"",dadosexternosBMF_1!D1006,"")</f>
        <v>#REF!</v>
      </c>
      <c r="G1003" s="219" t="e">
        <f t="shared" si="109"/>
        <v>#REF!</v>
      </c>
      <c r="H1003" s="219" t="e">
        <f t="shared" si="110"/>
        <v>#REF!</v>
      </c>
      <c r="I1003" s="219" t="e">
        <f t="shared" si="111"/>
        <v>#REF!</v>
      </c>
      <c r="J1003" s="219" t="e">
        <f>IF(I1003="","",VLOOKUP(LEFT(C1003,1),dadosexternosBMF_1!$L$2:$M$13,2,FALSE))</f>
        <v>#REF!</v>
      </c>
      <c r="K1003" s="219" t="e">
        <f t="shared" si="112"/>
        <v>#REF!</v>
      </c>
      <c r="L1003" s="422" t="e">
        <f t="shared" si="113"/>
        <v>#REF!</v>
      </c>
      <c r="M1003" s="422" t="e">
        <f>IF(I1003="","",WORKDAY(L1003-1,1,FERIADOS!$A$2:$A$831))</f>
        <v>#REF!</v>
      </c>
      <c r="N1003" s="219" t="e">
        <f>IF(I1003="","",NETWORKDAYS(Curva!$M$2,M1003,FERIADOS!$A$2:$A$831)-1)</f>
        <v>#REF!</v>
      </c>
      <c r="O1003" s="423" t="e">
        <f>IF(C1003&lt;&gt;"",IF(ISERROR((100000/E1003)^(252/N1003)-1),Curva!$B$2,((100000/E1003)^(252/N1003)-1)),"")</f>
        <v>#REF!</v>
      </c>
      <c r="P1003" s="219" t="e">
        <f>IF(OR(G1003=1,G1003=2),dadosexternosBMF_1!B1006,"")</f>
        <v>#REF!</v>
      </c>
      <c r="Q1003" s="219" t="e">
        <f>IF(OR(G1003=1,G1003=2),dadosexternosBMF_1!D1006,"")</f>
        <v>#REF!</v>
      </c>
    </row>
    <row r="1004" spans="1:17" x14ac:dyDescent="0.2">
      <c r="A1004" s="222" t="e">
        <f t="shared" si="108"/>
        <v>#REF!</v>
      </c>
      <c r="B1004" s="222" t="str">
        <f>IF(dadosexternosBMF_1!A1007="DI1 - DI de 1 dia","DI1 - DI de 1 dia","")</f>
        <v/>
      </c>
      <c r="C1004" s="222" t="e">
        <f>IF(dadosexternosBMF_1!A1007="DOL - Dólar comercial","",IF(C1003&lt;&gt;"",dadosexternosBMF_1!B1007,IF(dadosexternosBMF_1!A1007="DI1 - DI de 1 dia",dadosexternosBMF_1!B1007,"")))</f>
        <v>#REF!</v>
      </c>
      <c r="D1004" s="222" t="e">
        <f>IF(C1004&lt;&gt;"",dadosexternosBMF_1!C1007,"")</f>
        <v>#REF!</v>
      </c>
      <c r="E1004" s="222" t="e">
        <f>IF(C1004&lt;&gt;"",dadosexternosBMF_1!D1007,"")</f>
        <v>#REF!</v>
      </c>
      <c r="G1004" s="219" t="e">
        <f t="shared" si="109"/>
        <v>#REF!</v>
      </c>
      <c r="H1004" s="219" t="e">
        <f t="shared" si="110"/>
        <v>#REF!</v>
      </c>
      <c r="I1004" s="219" t="e">
        <f t="shared" si="111"/>
        <v>#REF!</v>
      </c>
      <c r="J1004" s="219" t="e">
        <f>IF(I1004="","",VLOOKUP(LEFT(C1004,1),dadosexternosBMF_1!$L$2:$M$13,2,FALSE))</f>
        <v>#REF!</v>
      </c>
      <c r="K1004" s="219" t="e">
        <f t="shared" si="112"/>
        <v>#REF!</v>
      </c>
      <c r="L1004" s="422" t="e">
        <f t="shared" si="113"/>
        <v>#REF!</v>
      </c>
      <c r="M1004" s="422" t="e">
        <f>IF(I1004="","",WORKDAY(L1004-1,1,FERIADOS!$A$2:$A$831))</f>
        <v>#REF!</v>
      </c>
      <c r="N1004" s="219" t="e">
        <f>IF(I1004="","",NETWORKDAYS(Curva!$M$2,M1004,FERIADOS!$A$2:$A$831)-1)</f>
        <v>#REF!</v>
      </c>
      <c r="O1004" s="423" t="e">
        <f>IF(C1004&lt;&gt;"",IF(ISERROR((100000/E1004)^(252/N1004)-1),Curva!$B$2,((100000/E1004)^(252/N1004)-1)),"")</f>
        <v>#REF!</v>
      </c>
      <c r="P1004" s="219" t="e">
        <f>IF(OR(G1004=1,G1004=2),dadosexternosBMF_1!B1007,"")</f>
        <v>#REF!</v>
      </c>
      <c r="Q1004" s="219" t="e">
        <f>IF(OR(G1004=1,G1004=2),dadosexternosBMF_1!D1007,"")</f>
        <v>#REF!</v>
      </c>
    </row>
    <row r="1005" spans="1:17" x14ac:dyDescent="0.2">
      <c r="A1005" s="222" t="e">
        <f t="shared" si="108"/>
        <v>#REF!</v>
      </c>
      <c r="B1005" s="222" t="str">
        <f>IF(dadosexternosBMF_1!A1008="DI1 - DI de 1 dia","DI1 - DI de 1 dia","")</f>
        <v/>
      </c>
      <c r="C1005" s="222" t="e">
        <f>IF(dadosexternosBMF_1!A1008="DOL - Dólar comercial","",IF(C1004&lt;&gt;"",dadosexternosBMF_1!B1008,IF(dadosexternosBMF_1!A1008="DI1 - DI de 1 dia",dadosexternosBMF_1!B1008,"")))</f>
        <v>#REF!</v>
      </c>
      <c r="D1005" s="222" t="e">
        <f>IF(C1005&lt;&gt;"",dadosexternosBMF_1!C1008,"")</f>
        <v>#REF!</v>
      </c>
      <c r="E1005" s="222" t="e">
        <f>IF(C1005&lt;&gt;"",dadosexternosBMF_1!D1008,"")</f>
        <v>#REF!</v>
      </c>
      <c r="G1005" s="219" t="e">
        <f t="shared" si="109"/>
        <v>#REF!</v>
      </c>
      <c r="H1005" s="219" t="e">
        <f t="shared" si="110"/>
        <v>#REF!</v>
      </c>
      <c r="I1005" s="219" t="e">
        <f t="shared" si="111"/>
        <v>#REF!</v>
      </c>
      <c r="J1005" s="219" t="e">
        <f>IF(I1005="","",VLOOKUP(LEFT(C1005,1),dadosexternosBMF_1!$L$2:$M$13,2,FALSE))</f>
        <v>#REF!</v>
      </c>
      <c r="K1005" s="219" t="e">
        <f t="shared" si="112"/>
        <v>#REF!</v>
      </c>
      <c r="L1005" s="422" t="e">
        <f t="shared" si="113"/>
        <v>#REF!</v>
      </c>
      <c r="M1005" s="422" t="e">
        <f>IF(I1005="","",WORKDAY(L1005-1,1,FERIADOS!$A$2:$A$831))</f>
        <v>#REF!</v>
      </c>
      <c r="N1005" s="219" t="e">
        <f>IF(I1005="","",NETWORKDAYS(Curva!$M$2,M1005,FERIADOS!$A$2:$A$831)-1)</f>
        <v>#REF!</v>
      </c>
      <c r="O1005" s="423" t="e">
        <f>IF(C1005&lt;&gt;"",IF(ISERROR((100000/E1005)^(252/N1005)-1),Curva!$B$2,((100000/E1005)^(252/N1005)-1)),"")</f>
        <v>#REF!</v>
      </c>
      <c r="P1005" s="219" t="e">
        <f>IF(OR(G1005=1,G1005=2),dadosexternosBMF_1!B1008,"")</f>
        <v>#REF!</v>
      </c>
      <c r="Q1005" s="219" t="e">
        <f>IF(OR(G1005=1,G1005=2),dadosexternosBMF_1!D1008,"")</f>
        <v>#REF!</v>
      </c>
    </row>
    <row r="1006" spans="1:17" x14ac:dyDescent="0.2">
      <c r="A1006" s="222" t="e">
        <f t="shared" si="108"/>
        <v>#REF!</v>
      </c>
      <c r="B1006" s="222" t="str">
        <f>IF(dadosexternosBMF_1!A1009="DI1 - DI de 1 dia","DI1 - DI de 1 dia","")</f>
        <v/>
      </c>
      <c r="C1006" s="222" t="e">
        <f>IF(dadosexternosBMF_1!A1009="DOL - Dólar comercial","",IF(C1005&lt;&gt;"",dadosexternosBMF_1!B1009,IF(dadosexternosBMF_1!A1009="DI1 - DI de 1 dia",dadosexternosBMF_1!B1009,"")))</f>
        <v>#REF!</v>
      </c>
      <c r="D1006" s="222" t="e">
        <f>IF(C1006&lt;&gt;"",dadosexternosBMF_1!C1009,"")</f>
        <v>#REF!</v>
      </c>
      <c r="E1006" s="222" t="e">
        <f>IF(C1006&lt;&gt;"",dadosexternosBMF_1!D1009,"")</f>
        <v>#REF!</v>
      </c>
      <c r="G1006" s="219" t="e">
        <f t="shared" si="109"/>
        <v>#REF!</v>
      </c>
      <c r="H1006" s="219" t="e">
        <f t="shared" si="110"/>
        <v>#REF!</v>
      </c>
      <c r="I1006" s="219" t="e">
        <f t="shared" si="111"/>
        <v>#REF!</v>
      </c>
      <c r="J1006" s="219" t="e">
        <f>IF(I1006="","",VLOOKUP(LEFT(C1006,1),dadosexternosBMF_1!$L$2:$M$13,2,FALSE))</f>
        <v>#REF!</v>
      </c>
      <c r="K1006" s="219" t="e">
        <f t="shared" si="112"/>
        <v>#REF!</v>
      </c>
      <c r="L1006" s="422" t="e">
        <f t="shared" si="113"/>
        <v>#REF!</v>
      </c>
      <c r="M1006" s="422" t="e">
        <f>IF(I1006="","",WORKDAY(L1006-1,1,FERIADOS!$A$2:$A$831))</f>
        <v>#REF!</v>
      </c>
      <c r="N1006" s="219" t="e">
        <f>IF(I1006="","",NETWORKDAYS(Curva!$M$2,M1006,FERIADOS!$A$2:$A$831)-1)</f>
        <v>#REF!</v>
      </c>
      <c r="O1006" s="423" t="e">
        <f>IF(C1006&lt;&gt;"",IF(ISERROR((100000/E1006)^(252/N1006)-1),Curva!$B$2,((100000/E1006)^(252/N1006)-1)),"")</f>
        <v>#REF!</v>
      </c>
      <c r="P1006" s="219" t="e">
        <f>IF(OR(G1006=1,G1006=2),dadosexternosBMF_1!B1009,"")</f>
        <v>#REF!</v>
      </c>
      <c r="Q1006" s="219" t="e">
        <f>IF(OR(G1006=1,G1006=2),dadosexternosBMF_1!D1009,"")</f>
        <v>#REF!</v>
      </c>
    </row>
    <row r="1007" spans="1:17" x14ac:dyDescent="0.2">
      <c r="A1007" s="222" t="e">
        <f t="shared" si="108"/>
        <v>#REF!</v>
      </c>
      <c r="B1007" s="222" t="str">
        <f>IF(dadosexternosBMF_1!A1010="DI1 - DI de 1 dia","DI1 - DI de 1 dia","")</f>
        <v/>
      </c>
      <c r="C1007" s="222" t="e">
        <f>IF(dadosexternosBMF_1!A1010="DOL - Dólar comercial","",IF(C1006&lt;&gt;"",dadosexternosBMF_1!B1010,IF(dadosexternosBMF_1!A1010="DI1 - DI de 1 dia",dadosexternosBMF_1!B1010,"")))</f>
        <v>#REF!</v>
      </c>
      <c r="D1007" s="222" t="e">
        <f>IF(C1007&lt;&gt;"",dadosexternosBMF_1!C1010,"")</f>
        <v>#REF!</v>
      </c>
      <c r="E1007" s="222" t="e">
        <f>IF(C1007&lt;&gt;"",dadosexternosBMF_1!D1010,"")</f>
        <v>#REF!</v>
      </c>
      <c r="G1007" s="219" t="e">
        <f t="shared" si="109"/>
        <v>#REF!</v>
      </c>
      <c r="H1007" s="219" t="e">
        <f t="shared" si="110"/>
        <v>#REF!</v>
      </c>
      <c r="I1007" s="219" t="e">
        <f t="shared" si="111"/>
        <v>#REF!</v>
      </c>
      <c r="J1007" s="219" t="e">
        <f>IF(I1007="","",VLOOKUP(LEFT(C1007,1),dadosexternosBMF_1!$L$2:$M$13,2,FALSE))</f>
        <v>#REF!</v>
      </c>
      <c r="K1007" s="219" t="e">
        <f t="shared" si="112"/>
        <v>#REF!</v>
      </c>
      <c r="L1007" s="422" t="e">
        <f t="shared" si="113"/>
        <v>#REF!</v>
      </c>
      <c r="M1007" s="422" t="e">
        <f>IF(I1007="","",WORKDAY(L1007-1,1,FERIADOS!$A$2:$A$831))</f>
        <v>#REF!</v>
      </c>
      <c r="N1007" s="219" t="e">
        <f>IF(I1007="","",NETWORKDAYS(Curva!$M$2,M1007,FERIADOS!$A$2:$A$831)-1)</f>
        <v>#REF!</v>
      </c>
      <c r="O1007" s="423" t="e">
        <f>IF(C1007&lt;&gt;"",IF(ISERROR((100000/E1007)^(252/N1007)-1),Curva!$B$2,((100000/E1007)^(252/N1007)-1)),"")</f>
        <v>#REF!</v>
      </c>
      <c r="P1007" s="219" t="e">
        <f>IF(OR(G1007=1,G1007=2),dadosexternosBMF_1!B1010,"")</f>
        <v>#REF!</v>
      </c>
      <c r="Q1007" s="219" t="e">
        <f>IF(OR(G1007=1,G1007=2),dadosexternosBMF_1!D1010,"")</f>
        <v>#REF!</v>
      </c>
    </row>
    <row r="1008" spans="1:17" x14ac:dyDescent="0.2">
      <c r="A1008" s="222" t="e">
        <f t="shared" si="108"/>
        <v>#REF!</v>
      </c>
      <c r="B1008" s="222" t="str">
        <f>IF(dadosexternosBMF_1!A1011="DI1 - DI de 1 dia","DI1 - DI de 1 dia","")</f>
        <v/>
      </c>
      <c r="C1008" s="222" t="e">
        <f>IF(dadosexternosBMF_1!A1011="DOL - Dólar comercial","",IF(C1007&lt;&gt;"",dadosexternosBMF_1!B1011,IF(dadosexternosBMF_1!A1011="DI1 - DI de 1 dia",dadosexternosBMF_1!B1011,"")))</f>
        <v>#REF!</v>
      </c>
      <c r="D1008" s="222" t="e">
        <f>IF(C1008&lt;&gt;"",dadosexternosBMF_1!C1011,"")</f>
        <v>#REF!</v>
      </c>
      <c r="E1008" s="222" t="e">
        <f>IF(C1008&lt;&gt;"",dadosexternosBMF_1!D1011,"")</f>
        <v>#REF!</v>
      </c>
      <c r="G1008" s="219" t="e">
        <f t="shared" si="109"/>
        <v>#REF!</v>
      </c>
      <c r="H1008" s="219" t="e">
        <f t="shared" si="110"/>
        <v>#REF!</v>
      </c>
      <c r="I1008" s="219" t="e">
        <f t="shared" si="111"/>
        <v>#REF!</v>
      </c>
      <c r="J1008" s="219" t="e">
        <f>IF(I1008="","",VLOOKUP(LEFT(C1008,1),dadosexternosBMF_1!$L$2:$M$13,2,FALSE))</f>
        <v>#REF!</v>
      </c>
      <c r="K1008" s="219" t="e">
        <f t="shared" si="112"/>
        <v>#REF!</v>
      </c>
      <c r="L1008" s="422" t="e">
        <f t="shared" si="113"/>
        <v>#REF!</v>
      </c>
      <c r="M1008" s="422" t="e">
        <f>IF(I1008="","",WORKDAY(L1008-1,1,FERIADOS!$A$2:$A$831))</f>
        <v>#REF!</v>
      </c>
      <c r="N1008" s="219" t="e">
        <f>IF(I1008="","",NETWORKDAYS(Curva!$M$2,M1008,FERIADOS!$A$2:$A$831)-1)</f>
        <v>#REF!</v>
      </c>
      <c r="O1008" s="423" t="e">
        <f>IF(C1008&lt;&gt;"",IF(ISERROR((100000/E1008)^(252/N1008)-1),Curva!$B$2,((100000/E1008)^(252/N1008)-1)),"")</f>
        <v>#REF!</v>
      </c>
      <c r="P1008" s="219" t="e">
        <f>IF(OR(G1008=1,G1008=2),dadosexternosBMF_1!B1011,"")</f>
        <v>#REF!</v>
      </c>
      <c r="Q1008" s="219" t="e">
        <f>IF(OR(G1008=1,G1008=2),dadosexternosBMF_1!D1011,"")</f>
        <v>#REF!</v>
      </c>
    </row>
    <row r="1009" spans="1:17" x14ac:dyDescent="0.2">
      <c r="A1009" s="222" t="e">
        <f t="shared" si="108"/>
        <v>#REF!</v>
      </c>
      <c r="B1009" s="222" t="str">
        <f>IF(dadosexternosBMF_1!A1012="DI1 - DI de 1 dia","DI1 - DI de 1 dia","")</f>
        <v/>
      </c>
      <c r="C1009" s="222" t="e">
        <f>IF(dadosexternosBMF_1!A1012="DOL - Dólar comercial","",IF(C1008&lt;&gt;"",dadosexternosBMF_1!B1012,IF(dadosexternosBMF_1!A1012="DI1 - DI de 1 dia",dadosexternosBMF_1!B1012,"")))</f>
        <v>#REF!</v>
      </c>
      <c r="D1009" s="222" t="e">
        <f>IF(C1009&lt;&gt;"",dadosexternosBMF_1!C1012,"")</f>
        <v>#REF!</v>
      </c>
      <c r="E1009" s="222" t="e">
        <f>IF(C1009&lt;&gt;"",dadosexternosBMF_1!D1012,"")</f>
        <v>#REF!</v>
      </c>
      <c r="G1009" s="219" t="e">
        <f t="shared" si="109"/>
        <v>#REF!</v>
      </c>
      <c r="H1009" s="219" t="e">
        <f t="shared" si="110"/>
        <v>#REF!</v>
      </c>
      <c r="I1009" s="219" t="e">
        <f t="shared" si="111"/>
        <v>#REF!</v>
      </c>
      <c r="J1009" s="219" t="e">
        <f>IF(I1009="","",VLOOKUP(LEFT(C1009,1),dadosexternosBMF_1!$L$2:$M$13,2,FALSE))</f>
        <v>#REF!</v>
      </c>
      <c r="K1009" s="219" t="e">
        <f t="shared" si="112"/>
        <v>#REF!</v>
      </c>
      <c r="L1009" s="422" t="e">
        <f t="shared" si="113"/>
        <v>#REF!</v>
      </c>
      <c r="M1009" s="422" t="e">
        <f>IF(I1009="","",WORKDAY(L1009-1,1,FERIADOS!$A$2:$A$831))</f>
        <v>#REF!</v>
      </c>
      <c r="N1009" s="219" t="e">
        <f>IF(I1009="","",NETWORKDAYS(Curva!$M$2,M1009,FERIADOS!$A$2:$A$831)-1)</f>
        <v>#REF!</v>
      </c>
      <c r="O1009" s="423" t="e">
        <f>IF(C1009&lt;&gt;"",IF(ISERROR((100000/E1009)^(252/N1009)-1),Curva!$B$2,((100000/E1009)^(252/N1009)-1)),"")</f>
        <v>#REF!</v>
      </c>
      <c r="P1009" s="219" t="e">
        <f>IF(OR(G1009=1,G1009=2),dadosexternosBMF_1!B1012,"")</f>
        <v>#REF!</v>
      </c>
      <c r="Q1009" s="219" t="e">
        <f>IF(OR(G1009=1,G1009=2),dadosexternosBMF_1!D1012,"")</f>
        <v>#REF!</v>
      </c>
    </row>
    <row r="1010" spans="1:17" x14ac:dyDescent="0.2">
      <c r="A1010" s="222" t="e">
        <f t="shared" si="108"/>
        <v>#REF!</v>
      </c>
      <c r="B1010" s="222" t="str">
        <f>IF(dadosexternosBMF_1!A1013="DI1 - DI de 1 dia","DI1 - DI de 1 dia","")</f>
        <v/>
      </c>
      <c r="C1010" s="222" t="e">
        <f>IF(dadosexternosBMF_1!A1013="DOL - Dólar comercial","",IF(C1009&lt;&gt;"",dadosexternosBMF_1!B1013,IF(dadosexternosBMF_1!A1013="DI1 - DI de 1 dia",dadosexternosBMF_1!B1013,"")))</f>
        <v>#REF!</v>
      </c>
      <c r="D1010" s="222" t="e">
        <f>IF(C1010&lt;&gt;"",dadosexternosBMF_1!C1013,"")</f>
        <v>#REF!</v>
      </c>
      <c r="E1010" s="222" t="e">
        <f>IF(C1010&lt;&gt;"",dadosexternosBMF_1!D1013,"")</f>
        <v>#REF!</v>
      </c>
      <c r="G1010" s="219" t="e">
        <f t="shared" si="109"/>
        <v>#REF!</v>
      </c>
      <c r="H1010" s="219" t="e">
        <f t="shared" si="110"/>
        <v>#REF!</v>
      </c>
      <c r="I1010" s="219" t="e">
        <f t="shared" si="111"/>
        <v>#REF!</v>
      </c>
      <c r="J1010" s="219" t="e">
        <f>IF(I1010="","",VLOOKUP(LEFT(C1010,1),dadosexternosBMF_1!$L$2:$M$13,2,FALSE))</f>
        <v>#REF!</v>
      </c>
      <c r="K1010" s="219" t="e">
        <f t="shared" si="112"/>
        <v>#REF!</v>
      </c>
      <c r="L1010" s="422" t="e">
        <f t="shared" si="113"/>
        <v>#REF!</v>
      </c>
      <c r="M1010" s="422" t="e">
        <f>IF(I1010="","",WORKDAY(L1010-1,1,FERIADOS!$A$2:$A$831))</f>
        <v>#REF!</v>
      </c>
      <c r="N1010" s="219" t="e">
        <f>IF(I1010="","",NETWORKDAYS(Curva!$M$2,M1010,FERIADOS!$A$2:$A$831)-1)</f>
        <v>#REF!</v>
      </c>
      <c r="O1010" s="423" t="e">
        <f>IF(C1010&lt;&gt;"",IF(ISERROR((100000/E1010)^(252/N1010)-1),Curva!$B$2,((100000/E1010)^(252/N1010)-1)),"")</f>
        <v>#REF!</v>
      </c>
      <c r="P1010" s="219" t="e">
        <f>IF(OR(G1010=1,G1010=2),dadosexternosBMF_1!B1013,"")</f>
        <v>#REF!</v>
      </c>
      <c r="Q1010" s="219" t="e">
        <f>IF(OR(G1010=1,G1010=2),dadosexternosBMF_1!D1013,"")</f>
        <v>#REF!</v>
      </c>
    </row>
    <row r="1011" spans="1:17" x14ac:dyDescent="0.2">
      <c r="A1011" s="222" t="e">
        <f t="shared" si="108"/>
        <v>#REF!</v>
      </c>
      <c r="B1011" s="222" t="str">
        <f>IF(dadosexternosBMF_1!A1014="DI1 - DI de 1 dia","DI1 - DI de 1 dia","")</f>
        <v/>
      </c>
      <c r="C1011" s="222" t="e">
        <f>IF(dadosexternosBMF_1!A1014="DOL - Dólar comercial","",IF(C1010&lt;&gt;"",dadosexternosBMF_1!B1014,IF(dadosexternosBMF_1!A1014="DI1 - DI de 1 dia",dadosexternosBMF_1!B1014,"")))</f>
        <v>#REF!</v>
      </c>
      <c r="D1011" s="222" t="e">
        <f>IF(C1011&lt;&gt;"",dadosexternosBMF_1!C1014,"")</f>
        <v>#REF!</v>
      </c>
      <c r="E1011" s="222" t="e">
        <f>IF(C1011&lt;&gt;"",dadosexternosBMF_1!D1014,"")</f>
        <v>#REF!</v>
      </c>
      <c r="G1011" s="219" t="e">
        <f t="shared" si="109"/>
        <v>#REF!</v>
      </c>
      <c r="H1011" s="219" t="e">
        <f t="shared" si="110"/>
        <v>#REF!</v>
      </c>
      <c r="I1011" s="219" t="e">
        <f t="shared" si="111"/>
        <v>#REF!</v>
      </c>
      <c r="J1011" s="219" t="e">
        <f>IF(I1011="","",VLOOKUP(LEFT(C1011,1),dadosexternosBMF_1!$L$2:$M$13,2,FALSE))</f>
        <v>#REF!</v>
      </c>
      <c r="K1011" s="219" t="e">
        <f t="shared" si="112"/>
        <v>#REF!</v>
      </c>
      <c r="L1011" s="422" t="e">
        <f t="shared" si="113"/>
        <v>#REF!</v>
      </c>
      <c r="M1011" s="422" t="e">
        <f>IF(I1011="","",WORKDAY(L1011-1,1,FERIADOS!$A$2:$A$831))</f>
        <v>#REF!</v>
      </c>
      <c r="N1011" s="219" t="e">
        <f>IF(I1011="","",NETWORKDAYS(Curva!$M$2,M1011,FERIADOS!$A$2:$A$831)-1)</f>
        <v>#REF!</v>
      </c>
      <c r="O1011" s="423" t="e">
        <f>IF(C1011&lt;&gt;"",IF(ISERROR((100000/E1011)^(252/N1011)-1),Curva!$B$2,((100000/E1011)^(252/N1011)-1)),"")</f>
        <v>#REF!</v>
      </c>
      <c r="P1011" s="219" t="e">
        <f>IF(OR(G1011=1,G1011=2),dadosexternosBMF_1!B1014,"")</f>
        <v>#REF!</v>
      </c>
      <c r="Q1011" s="219" t="e">
        <f>IF(OR(G1011=1,G1011=2),dadosexternosBMF_1!D1014,"")</f>
        <v>#REF!</v>
      </c>
    </row>
    <row r="1012" spans="1:17" x14ac:dyDescent="0.2">
      <c r="A1012" s="222" t="e">
        <f t="shared" si="108"/>
        <v>#REF!</v>
      </c>
      <c r="B1012" s="222" t="str">
        <f>IF(dadosexternosBMF_1!A1015="DI1 - DI de 1 dia","DI1 - DI de 1 dia","")</f>
        <v/>
      </c>
      <c r="C1012" s="222" t="e">
        <f>IF(dadosexternosBMF_1!A1015="DOL - Dólar comercial","",IF(C1011&lt;&gt;"",dadosexternosBMF_1!B1015,IF(dadosexternosBMF_1!A1015="DI1 - DI de 1 dia",dadosexternosBMF_1!B1015,"")))</f>
        <v>#REF!</v>
      </c>
      <c r="D1012" s="222" t="e">
        <f>IF(C1012&lt;&gt;"",dadosexternosBMF_1!C1015,"")</f>
        <v>#REF!</v>
      </c>
      <c r="E1012" s="222" t="e">
        <f>IF(C1012&lt;&gt;"",dadosexternosBMF_1!D1015,"")</f>
        <v>#REF!</v>
      </c>
      <c r="G1012" s="219" t="e">
        <f t="shared" si="109"/>
        <v>#REF!</v>
      </c>
      <c r="H1012" s="219" t="e">
        <f t="shared" si="110"/>
        <v>#REF!</v>
      </c>
      <c r="I1012" s="219" t="e">
        <f t="shared" si="111"/>
        <v>#REF!</v>
      </c>
      <c r="J1012" s="219" t="e">
        <f>IF(I1012="","",VLOOKUP(LEFT(C1012,1),dadosexternosBMF_1!$L$2:$M$13,2,FALSE))</f>
        <v>#REF!</v>
      </c>
      <c r="K1012" s="219" t="e">
        <f t="shared" si="112"/>
        <v>#REF!</v>
      </c>
      <c r="L1012" s="422" t="e">
        <f t="shared" si="113"/>
        <v>#REF!</v>
      </c>
      <c r="M1012" s="422" t="e">
        <f>IF(I1012="","",WORKDAY(L1012-1,1,FERIADOS!$A$2:$A$831))</f>
        <v>#REF!</v>
      </c>
      <c r="N1012" s="219" t="e">
        <f>IF(I1012="","",NETWORKDAYS(Curva!$M$2,M1012,FERIADOS!$A$2:$A$831)-1)</f>
        <v>#REF!</v>
      </c>
      <c r="O1012" s="423" t="e">
        <f>IF(C1012&lt;&gt;"",IF(ISERROR((100000/E1012)^(252/N1012)-1),Curva!$B$2,((100000/E1012)^(252/N1012)-1)),"")</f>
        <v>#REF!</v>
      </c>
      <c r="P1012" s="219" t="e">
        <f>IF(OR(G1012=1,G1012=2),dadosexternosBMF_1!B1015,"")</f>
        <v>#REF!</v>
      </c>
      <c r="Q1012" s="219" t="e">
        <f>IF(OR(G1012=1,G1012=2),dadosexternosBMF_1!D1015,"")</f>
        <v>#REF!</v>
      </c>
    </row>
    <row r="1013" spans="1:17" x14ac:dyDescent="0.2">
      <c r="A1013" s="222" t="e">
        <f t="shared" si="108"/>
        <v>#REF!</v>
      </c>
      <c r="B1013" s="222" t="str">
        <f>IF(dadosexternosBMF_1!A1016="DI1 - DI de 1 dia","DI1 - DI de 1 dia","")</f>
        <v/>
      </c>
      <c r="C1013" s="222" t="e">
        <f>IF(dadosexternosBMF_1!A1016="DOL - Dólar comercial","",IF(C1012&lt;&gt;"",dadosexternosBMF_1!B1016,IF(dadosexternosBMF_1!A1016="DI1 - DI de 1 dia",dadosexternosBMF_1!B1016,"")))</f>
        <v>#REF!</v>
      </c>
      <c r="D1013" s="222" t="e">
        <f>IF(C1013&lt;&gt;"",dadosexternosBMF_1!C1016,"")</f>
        <v>#REF!</v>
      </c>
      <c r="E1013" s="222" t="e">
        <f>IF(C1013&lt;&gt;"",dadosexternosBMF_1!D1016,"")</f>
        <v>#REF!</v>
      </c>
      <c r="G1013" s="219" t="e">
        <f t="shared" si="109"/>
        <v>#REF!</v>
      </c>
      <c r="H1013" s="219" t="e">
        <f t="shared" si="110"/>
        <v>#REF!</v>
      </c>
      <c r="I1013" s="219" t="e">
        <f t="shared" si="111"/>
        <v>#REF!</v>
      </c>
      <c r="J1013" s="219" t="e">
        <f>IF(I1013="","",VLOOKUP(LEFT(C1013,1),dadosexternosBMF_1!$L$2:$M$13,2,FALSE))</f>
        <v>#REF!</v>
      </c>
      <c r="K1013" s="219" t="e">
        <f t="shared" si="112"/>
        <v>#REF!</v>
      </c>
      <c r="L1013" s="422" t="e">
        <f t="shared" si="113"/>
        <v>#REF!</v>
      </c>
      <c r="M1013" s="422" t="e">
        <f>IF(I1013="","",WORKDAY(L1013-1,1,FERIADOS!$A$2:$A$831))</f>
        <v>#REF!</v>
      </c>
      <c r="N1013" s="219" t="e">
        <f>IF(I1013="","",NETWORKDAYS(Curva!$M$2,M1013,FERIADOS!$A$2:$A$831)-1)</f>
        <v>#REF!</v>
      </c>
      <c r="O1013" s="423" t="e">
        <f>IF(C1013&lt;&gt;"",IF(ISERROR((100000/E1013)^(252/N1013)-1),Curva!$B$2,((100000/E1013)^(252/N1013)-1)),"")</f>
        <v>#REF!</v>
      </c>
      <c r="P1013" s="219" t="e">
        <f>IF(OR(G1013=1,G1013=2),dadosexternosBMF_1!B1016,"")</f>
        <v>#REF!</v>
      </c>
      <c r="Q1013" s="219" t="e">
        <f>IF(OR(G1013=1,G1013=2),dadosexternosBMF_1!D1016,"")</f>
        <v>#REF!</v>
      </c>
    </row>
    <row r="1014" spans="1:17" x14ac:dyDescent="0.2">
      <c r="A1014" s="222" t="e">
        <f t="shared" si="108"/>
        <v>#REF!</v>
      </c>
      <c r="B1014" s="222" t="str">
        <f>IF(dadosexternosBMF_1!A1017="DI1 - DI de 1 dia","DI1 - DI de 1 dia","")</f>
        <v/>
      </c>
      <c r="C1014" s="222" t="e">
        <f>IF(dadosexternosBMF_1!A1017="DOL - Dólar comercial","",IF(C1013&lt;&gt;"",dadosexternosBMF_1!B1017,IF(dadosexternosBMF_1!A1017="DI1 - DI de 1 dia",dadosexternosBMF_1!B1017,"")))</f>
        <v>#REF!</v>
      </c>
      <c r="D1014" s="222" t="e">
        <f>IF(C1014&lt;&gt;"",dadosexternosBMF_1!C1017,"")</f>
        <v>#REF!</v>
      </c>
      <c r="E1014" s="222" t="e">
        <f>IF(C1014&lt;&gt;"",dadosexternosBMF_1!D1017,"")</f>
        <v>#REF!</v>
      </c>
      <c r="G1014" s="219" t="e">
        <f t="shared" si="109"/>
        <v>#REF!</v>
      </c>
      <c r="H1014" s="219" t="e">
        <f t="shared" si="110"/>
        <v>#REF!</v>
      </c>
      <c r="I1014" s="219" t="e">
        <f t="shared" si="111"/>
        <v>#REF!</v>
      </c>
      <c r="J1014" s="219" t="e">
        <f>IF(I1014="","",VLOOKUP(LEFT(C1014,1),dadosexternosBMF_1!$L$2:$M$13,2,FALSE))</f>
        <v>#REF!</v>
      </c>
      <c r="K1014" s="219" t="e">
        <f t="shared" si="112"/>
        <v>#REF!</v>
      </c>
      <c r="L1014" s="422" t="e">
        <f t="shared" si="113"/>
        <v>#REF!</v>
      </c>
      <c r="M1014" s="422" t="e">
        <f>IF(I1014="","",WORKDAY(L1014-1,1,FERIADOS!$A$2:$A$831))</f>
        <v>#REF!</v>
      </c>
      <c r="N1014" s="219" t="e">
        <f>IF(I1014="","",NETWORKDAYS(Curva!$M$2,M1014,FERIADOS!$A$2:$A$831)-1)</f>
        <v>#REF!</v>
      </c>
      <c r="O1014" s="423" t="e">
        <f>IF(C1014&lt;&gt;"",IF(ISERROR((100000/E1014)^(252/N1014)-1),Curva!$B$2,((100000/E1014)^(252/N1014)-1)),"")</f>
        <v>#REF!</v>
      </c>
      <c r="P1014" s="219" t="e">
        <f>IF(OR(G1014=1,G1014=2),dadosexternosBMF_1!B1017,"")</f>
        <v>#REF!</v>
      </c>
      <c r="Q1014" s="219" t="e">
        <f>IF(OR(G1014=1,G1014=2),dadosexternosBMF_1!D1017,"")</f>
        <v>#REF!</v>
      </c>
    </row>
    <row r="1015" spans="1:17" x14ac:dyDescent="0.2">
      <c r="A1015" s="222" t="e">
        <f t="shared" si="108"/>
        <v>#REF!</v>
      </c>
      <c r="B1015" s="222" t="str">
        <f>IF(dadosexternosBMF_1!A1018="DI1 - DI de 1 dia","DI1 - DI de 1 dia","")</f>
        <v/>
      </c>
      <c r="C1015" s="222" t="e">
        <f>IF(dadosexternosBMF_1!A1018="DOL - Dólar comercial","",IF(C1014&lt;&gt;"",dadosexternosBMF_1!B1018,IF(dadosexternosBMF_1!A1018="DI1 - DI de 1 dia",dadosexternosBMF_1!B1018,"")))</f>
        <v>#REF!</v>
      </c>
      <c r="D1015" s="222" t="e">
        <f>IF(C1015&lt;&gt;"",dadosexternosBMF_1!C1018,"")</f>
        <v>#REF!</v>
      </c>
      <c r="E1015" s="222" t="e">
        <f>IF(C1015&lt;&gt;"",dadosexternosBMF_1!D1018,"")</f>
        <v>#REF!</v>
      </c>
      <c r="G1015" s="219" t="e">
        <f t="shared" si="109"/>
        <v>#REF!</v>
      </c>
      <c r="H1015" s="219" t="e">
        <f t="shared" si="110"/>
        <v>#REF!</v>
      </c>
      <c r="I1015" s="219" t="e">
        <f t="shared" si="111"/>
        <v>#REF!</v>
      </c>
      <c r="J1015" s="219" t="e">
        <f>IF(I1015="","",VLOOKUP(LEFT(C1015,1),dadosexternosBMF_1!$L$2:$M$13,2,FALSE))</f>
        <v>#REF!</v>
      </c>
      <c r="K1015" s="219" t="e">
        <f t="shared" si="112"/>
        <v>#REF!</v>
      </c>
      <c r="L1015" s="422" t="e">
        <f t="shared" si="113"/>
        <v>#REF!</v>
      </c>
      <c r="M1015" s="422" t="e">
        <f>IF(I1015="","",WORKDAY(L1015-1,1,FERIADOS!$A$2:$A$831))</f>
        <v>#REF!</v>
      </c>
      <c r="N1015" s="219" t="e">
        <f>IF(I1015="","",NETWORKDAYS(Curva!$M$2,M1015,FERIADOS!$A$2:$A$831)-1)</f>
        <v>#REF!</v>
      </c>
      <c r="O1015" s="423" t="e">
        <f>IF(C1015&lt;&gt;"",IF(ISERROR((100000/E1015)^(252/N1015)-1),Curva!$B$2,((100000/E1015)^(252/N1015)-1)),"")</f>
        <v>#REF!</v>
      </c>
      <c r="P1015" s="219" t="e">
        <f>IF(OR(G1015=1,G1015=2),dadosexternosBMF_1!B1018,"")</f>
        <v>#REF!</v>
      </c>
      <c r="Q1015" s="219" t="e">
        <f>IF(OR(G1015=1,G1015=2),dadosexternosBMF_1!D1018,"")</f>
        <v>#REF!</v>
      </c>
    </row>
    <row r="1016" spans="1:17" x14ac:dyDescent="0.2">
      <c r="A1016" s="222" t="e">
        <f t="shared" si="108"/>
        <v>#REF!</v>
      </c>
      <c r="B1016" s="222" t="str">
        <f>IF(dadosexternosBMF_1!A1019="DI1 - DI de 1 dia","DI1 - DI de 1 dia","")</f>
        <v/>
      </c>
      <c r="C1016" s="222" t="e">
        <f>IF(dadosexternosBMF_1!A1019="DOL - Dólar comercial","",IF(C1015&lt;&gt;"",dadosexternosBMF_1!B1019,IF(dadosexternosBMF_1!A1019="DI1 - DI de 1 dia",dadosexternosBMF_1!B1019,"")))</f>
        <v>#REF!</v>
      </c>
      <c r="D1016" s="222" t="e">
        <f>IF(C1016&lt;&gt;"",dadosexternosBMF_1!C1019,"")</f>
        <v>#REF!</v>
      </c>
      <c r="E1016" s="222" t="e">
        <f>IF(C1016&lt;&gt;"",dadosexternosBMF_1!D1019,"")</f>
        <v>#REF!</v>
      </c>
      <c r="G1016" s="219" t="e">
        <f t="shared" si="109"/>
        <v>#REF!</v>
      </c>
      <c r="H1016" s="219" t="e">
        <f t="shared" si="110"/>
        <v>#REF!</v>
      </c>
      <c r="I1016" s="219" t="e">
        <f t="shared" si="111"/>
        <v>#REF!</v>
      </c>
      <c r="J1016" s="219" t="e">
        <f>IF(I1016="","",VLOOKUP(LEFT(C1016,1),dadosexternosBMF_1!$L$2:$M$13,2,FALSE))</f>
        <v>#REF!</v>
      </c>
      <c r="K1016" s="219" t="e">
        <f t="shared" si="112"/>
        <v>#REF!</v>
      </c>
      <c r="L1016" s="422" t="e">
        <f t="shared" si="113"/>
        <v>#REF!</v>
      </c>
      <c r="M1016" s="422" t="e">
        <f>IF(I1016="","",WORKDAY(L1016-1,1,FERIADOS!$A$2:$A$831))</f>
        <v>#REF!</v>
      </c>
      <c r="N1016" s="219" t="e">
        <f>IF(I1016="","",NETWORKDAYS(Curva!$M$2,M1016,FERIADOS!$A$2:$A$831)-1)</f>
        <v>#REF!</v>
      </c>
      <c r="O1016" s="423" t="e">
        <f>IF(C1016&lt;&gt;"",IF(ISERROR((100000/E1016)^(252/N1016)-1),Curva!$B$2,((100000/E1016)^(252/N1016)-1)),"")</f>
        <v>#REF!</v>
      </c>
      <c r="P1016" s="219" t="e">
        <f>IF(OR(G1016=1,G1016=2),dadosexternosBMF_1!B1019,"")</f>
        <v>#REF!</v>
      </c>
      <c r="Q1016" s="219" t="e">
        <f>IF(OR(G1016=1,G1016=2),dadosexternosBMF_1!D1019,"")</f>
        <v>#REF!</v>
      </c>
    </row>
    <row r="1017" spans="1:17" x14ac:dyDescent="0.2">
      <c r="A1017" s="222" t="e">
        <f t="shared" si="108"/>
        <v>#REF!</v>
      </c>
      <c r="B1017" s="222" t="str">
        <f>IF(dadosexternosBMF_1!A1020="DI1 - DI de 1 dia","DI1 - DI de 1 dia","")</f>
        <v/>
      </c>
      <c r="C1017" s="222" t="e">
        <f>IF(dadosexternosBMF_1!A1020="DOL - Dólar comercial","",IF(C1016&lt;&gt;"",dadosexternosBMF_1!B1020,IF(dadosexternosBMF_1!A1020="DI1 - DI de 1 dia",dadosexternosBMF_1!B1020,"")))</f>
        <v>#REF!</v>
      </c>
      <c r="D1017" s="222" t="e">
        <f>IF(C1017&lt;&gt;"",dadosexternosBMF_1!C1020,"")</f>
        <v>#REF!</v>
      </c>
      <c r="E1017" s="222" t="e">
        <f>IF(C1017&lt;&gt;"",dadosexternosBMF_1!D1020,"")</f>
        <v>#REF!</v>
      </c>
      <c r="G1017" s="219" t="e">
        <f t="shared" si="109"/>
        <v>#REF!</v>
      </c>
      <c r="H1017" s="219" t="e">
        <f t="shared" si="110"/>
        <v>#REF!</v>
      </c>
      <c r="I1017" s="219" t="e">
        <f t="shared" si="111"/>
        <v>#REF!</v>
      </c>
      <c r="J1017" s="219" t="e">
        <f>IF(I1017="","",VLOOKUP(LEFT(C1017,1),dadosexternosBMF_1!$L$2:$M$13,2,FALSE))</f>
        <v>#REF!</v>
      </c>
      <c r="K1017" s="219" t="e">
        <f t="shared" si="112"/>
        <v>#REF!</v>
      </c>
      <c r="L1017" s="422" t="e">
        <f t="shared" si="113"/>
        <v>#REF!</v>
      </c>
      <c r="M1017" s="422" t="e">
        <f>IF(I1017="","",WORKDAY(L1017-1,1,FERIADOS!$A$2:$A$831))</f>
        <v>#REF!</v>
      </c>
      <c r="N1017" s="219" t="e">
        <f>IF(I1017="","",NETWORKDAYS(Curva!$M$2,M1017,FERIADOS!$A$2:$A$831)-1)</f>
        <v>#REF!</v>
      </c>
      <c r="O1017" s="423" t="e">
        <f>IF(C1017&lt;&gt;"",IF(ISERROR((100000/E1017)^(252/N1017)-1),Curva!$B$2,((100000/E1017)^(252/N1017)-1)),"")</f>
        <v>#REF!</v>
      </c>
      <c r="P1017" s="219" t="e">
        <f>IF(OR(G1017=1,G1017=2),dadosexternosBMF_1!B1020,"")</f>
        <v>#REF!</v>
      </c>
      <c r="Q1017" s="219" t="e">
        <f>IF(OR(G1017=1,G1017=2),dadosexternosBMF_1!D1020,"")</f>
        <v>#REF!</v>
      </c>
    </row>
    <row r="1018" spans="1:17" x14ac:dyDescent="0.2">
      <c r="A1018" s="222" t="e">
        <f t="shared" si="108"/>
        <v>#REF!</v>
      </c>
      <c r="B1018" s="222" t="str">
        <f>IF(dadosexternosBMF_1!A1021="DI1 - DI de 1 dia","DI1 - DI de 1 dia","")</f>
        <v/>
      </c>
      <c r="C1018" s="222" t="e">
        <f>IF(dadosexternosBMF_1!A1021="DOL - Dólar comercial","",IF(C1017&lt;&gt;"",dadosexternosBMF_1!B1021,IF(dadosexternosBMF_1!A1021="DI1 - DI de 1 dia",dadosexternosBMF_1!B1021,"")))</f>
        <v>#REF!</v>
      </c>
      <c r="D1018" s="222" t="e">
        <f>IF(C1018&lt;&gt;"",dadosexternosBMF_1!C1021,"")</f>
        <v>#REF!</v>
      </c>
      <c r="E1018" s="222" t="e">
        <f>IF(C1018&lt;&gt;"",dadosexternosBMF_1!D1021,"")</f>
        <v>#REF!</v>
      </c>
      <c r="G1018" s="219" t="e">
        <f t="shared" si="109"/>
        <v>#REF!</v>
      </c>
      <c r="H1018" s="219" t="e">
        <f t="shared" si="110"/>
        <v>#REF!</v>
      </c>
      <c r="I1018" s="219" t="e">
        <f t="shared" si="111"/>
        <v>#REF!</v>
      </c>
      <c r="J1018" s="219" t="e">
        <f>IF(I1018="","",VLOOKUP(LEFT(C1018,1),dadosexternosBMF_1!$L$2:$M$13,2,FALSE))</f>
        <v>#REF!</v>
      </c>
      <c r="K1018" s="219" t="e">
        <f t="shared" si="112"/>
        <v>#REF!</v>
      </c>
      <c r="L1018" s="422" t="e">
        <f t="shared" si="113"/>
        <v>#REF!</v>
      </c>
      <c r="M1018" s="422" t="e">
        <f>IF(I1018="","",WORKDAY(L1018-1,1,FERIADOS!$A$2:$A$831))</f>
        <v>#REF!</v>
      </c>
      <c r="N1018" s="219" t="e">
        <f>IF(I1018="","",NETWORKDAYS(Curva!$M$2,M1018,FERIADOS!$A$2:$A$831)-1)</f>
        <v>#REF!</v>
      </c>
      <c r="O1018" s="423" t="e">
        <f>IF(C1018&lt;&gt;"",IF(ISERROR((100000/E1018)^(252/N1018)-1),Curva!$B$2,((100000/E1018)^(252/N1018)-1)),"")</f>
        <v>#REF!</v>
      </c>
      <c r="P1018" s="219" t="e">
        <f>IF(OR(G1018=1,G1018=2),dadosexternosBMF_1!B1021,"")</f>
        <v>#REF!</v>
      </c>
      <c r="Q1018" s="219" t="e">
        <f>IF(OR(G1018=1,G1018=2),dadosexternosBMF_1!D1021,"")</f>
        <v>#REF!</v>
      </c>
    </row>
    <row r="1019" spans="1:17" x14ac:dyDescent="0.2">
      <c r="A1019" s="222" t="e">
        <f t="shared" si="108"/>
        <v>#REF!</v>
      </c>
      <c r="B1019" s="222" t="str">
        <f>IF(dadosexternosBMF_1!A1022="DI1 - DI de 1 dia","DI1 - DI de 1 dia","")</f>
        <v/>
      </c>
      <c r="C1019" s="222" t="e">
        <f>IF(dadosexternosBMF_1!A1022="DOL - Dólar comercial","",IF(C1018&lt;&gt;"",dadosexternosBMF_1!B1022,IF(dadosexternosBMF_1!A1022="DI1 - DI de 1 dia",dadosexternosBMF_1!B1022,"")))</f>
        <v>#REF!</v>
      </c>
      <c r="D1019" s="222" t="e">
        <f>IF(C1019&lt;&gt;"",dadosexternosBMF_1!C1022,"")</f>
        <v>#REF!</v>
      </c>
      <c r="E1019" s="222" t="e">
        <f>IF(C1019&lt;&gt;"",dadosexternosBMF_1!D1022,"")</f>
        <v>#REF!</v>
      </c>
      <c r="G1019" s="219" t="e">
        <f t="shared" si="109"/>
        <v>#REF!</v>
      </c>
      <c r="H1019" s="219" t="e">
        <f t="shared" si="110"/>
        <v>#REF!</v>
      </c>
      <c r="I1019" s="219" t="e">
        <f t="shared" si="111"/>
        <v>#REF!</v>
      </c>
      <c r="J1019" s="219" t="e">
        <f>IF(I1019="","",VLOOKUP(LEFT(C1019,1),dadosexternosBMF_1!$L$2:$M$13,2,FALSE))</f>
        <v>#REF!</v>
      </c>
      <c r="K1019" s="219" t="e">
        <f t="shared" si="112"/>
        <v>#REF!</v>
      </c>
      <c r="L1019" s="422" t="e">
        <f t="shared" si="113"/>
        <v>#REF!</v>
      </c>
      <c r="M1019" s="422" t="e">
        <f>IF(I1019="","",WORKDAY(L1019-1,1,FERIADOS!$A$2:$A$831))</f>
        <v>#REF!</v>
      </c>
      <c r="N1019" s="219" t="e">
        <f>IF(I1019="","",NETWORKDAYS(Curva!$M$2,M1019,FERIADOS!$A$2:$A$831)-1)</f>
        <v>#REF!</v>
      </c>
      <c r="O1019" s="423" t="e">
        <f>IF(C1019&lt;&gt;"",IF(ISERROR((100000/E1019)^(252/N1019)-1),Curva!$B$2,((100000/E1019)^(252/N1019)-1)),"")</f>
        <v>#REF!</v>
      </c>
      <c r="P1019" s="219" t="e">
        <f>IF(OR(G1019=1,G1019=2),dadosexternosBMF_1!B1022,"")</f>
        <v>#REF!</v>
      </c>
      <c r="Q1019" s="219" t="e">
        <f>IF(OR(G1019=1,G1019=2),dadosexternosBMF_1!D1022,"")</f>
        <v>#REF!</v>
      </c>
    </row>
    <row r="1020" spans="1:17" x14ac:dyDescent="0.2">
      <c r="A1020" s="222" t="e">
        <f t="shared" si="108"/>
        <v>#REF!</v>
      </c>
      <c r="B1020" s="222" t="str">
        <f>IF(dadosexternosBMF_1!A1023="DI1 - DI de 1 dia","DI1 - DI de 1 dia","")</f>
        <v/>
      </c>
      <c r="C1020" s="222" t="e">
        <f>IF(dadosexternosBMF_1!A1023="DOL - Dólar comercial","",IF(C1019&lt;&gt;"",dadosexternosBMF_1!B1023,IF(dadosexternosBMF_1!A1023="DI1 - DI de 1 dia",dadosexternosBMF_1!B1023,"")))</f>
        <v>#REF!</v>
      </c>
      <c r="D1020" s="222" t="e">
        <f>IF(C1020&lt;&gt;"",dadosexternosBMF_1!C1023,"")</f>
        <v>#REF!</v>
      </c>
      <c r="E1020" s="222" t="e">
        <f>IF(C1020&lt;&gt;"",dadosexternosBMF_1!D1023,"")</f>
        <v>#REF!</v>
      </c>
      <c r="G1020" s="219" t="e">
        <f t="shared" si="109"/>
        <v>#REF!</v>
      </c>
      <c r="H1020" s="219" t="e">
        <f t="shared" si="110"/>
        <v>#REF!</v>
      </c>
      <c r="I1020" s="219" t="e">
        <f t="shared" si="111"/>
        <v>#REF!</v>
      </c>
      <c r="J1020" s="219" t="e">
        <f>IF(I1020="","",VLOOKUP(LEFT(C1020,1),dadosexternosBMF_1!$L$2:$M$13,2,FALSE))</f>
        <v>#REF!</v>
      </c>
      <c r="K1020" s="219" t="e">
        <f t="shared" si="112"/>
        <v>#REF!</v>
      </c>
      <c r="L1020" s="422" t="e">
        <f t="shared" si="113"/>
        <v>#REF!</v>
      </c>
      <c r="M1020" s="422" t="e">
        <f>IF(I1020="","",WORKDAY(L1020-1,1,FERIADOS!$A$2:$A$831))</f>
        <v>#REF!</v>
      </c>
      <c r="N1020" s="219" t="e">
        <f>IF(I1020="","",NETWORKDAYS(Curva!$M$2,M1020,FERIADOS!$A$2:$A$831)-1)</f>
        <v>#REF!</v>
      </c>
      <c r="O1020" s="423" t="e">
        <f>IF(C1020&lt;&gt;"",IF(ISERROR((100000/E1020)^(252/N1020)-1),Curva!$B$2,((100000/E1020)^(252/N1020)-1)),"")</f>
        <v>#REF!</v>
      </c>
      <c r="P1020" s="219" t="e">
        <f>IF(OR(G1020=1,G1020=2),dadosexternosBMF_1!B1023,"")</f>
        <v>#REF!</v>
      </c>
      <c r="Q1020" s="219" t="e">
        <f>IF(OR(G1020=1,G1020=2),dadosexternosBMF_1!D1023,"")</f>
        <v>#REF!</v>
      </c>
    </row>
    <row r="1021" spans="1:17" x14ac:dyDescent="0.2">
      <c r="A1021" s="222" t="e">
        <f t="shared" si="108"/>
        <v>#REF!</v>
      </c>
      <c r="B1021" s="222" t="str">
        <f>IF(dadosexternosBMF_1!A1024="DI1 - DI de 1 dia","DI1 - DI de 1 dia","")</f>
        <v/>
      </c>
      <c r="C1021" s="222" t="e">
        <f>IF(dadosexternosBMF_1!A1024="DOL - Dólar comercial","",IF(C1020&lt;&gt;"",dadosexternosBMF_1!B1024,IF(dadosexternosBMF_1!A1024="DI1 - DI de 1 dia",dadosexternosBMF_1!B1024,"")))</f>
        <v>#REF!</v>
      </c>
      <c r="D1021" s="222" t="e">
        <f>IF(C1021&lt;&gt;"",dadosexternosBMF_1!C1024,"")</f>
        <v>#REF!</v>
      </c>
      <c r="E1021" s="222" t="e">
        <f>IF(C1021&lt;&gt;"",dadosexternosBMF_1!D1024,"")</f>
        <v>#REF!</v>
      </c>
      <c r="G1021" s="219" t="e">
        <f t="shared" si="109"/>
        <v>#REF!</v>
      </c>
      <c r="H1021" s="219" t="e">
        <f t="shared" si="110"/>
        <v>#REF!</v>
      </c>
      <c r="I1021" s="219" t="e">
        <f t="shared" si="111"/>
        <v>#REF!</v>
      </c>
      <c r="J1021" s="219" t="e">
        <f>IF(I1021="","",VLOOKUP(LEFT(C1021,1),dadosexternosBMF_1!$L$2:$M$13,2,FALSE))</f>
        <v>#REF!</v>
      </c>
      <c r="K1021" s="219" t="e">
        <f t="shared" si="112"/>
        <v>#REF!</v>
      </c>
      <c r="L1021" s="422" t="e">
        <f t="shared" si="113"/>
        <v>#REF!</v>
      </c>
      <c r="M1021" s="422" t="e">
        <f>IF(I1021="","",WORKDAY(L1021-1,1,FERIADOS!$A$2:$A$831))</f>
        <v>#REF!</v>
      </c>
      <c r="N1021" s="219" t="e">
        <f>IF(I1021="","",NETWORKDAYS(Curva!$M$2,M1021,FERIADOS!$A$2:$A$831)-1)</f>
        <v>#REF!</v>
      </c>
      <c r="O1021" s="423" t="e">
        <f>IF(C1021&lt;&gt;"",IF(ISERROR((100000/E1021)^(252/N1021)-1),Curva!$B$2,((100000/E1021)^(252/N1021)-1)),"")</f>
        <v>#REF!</v>
      </c>
      <c r="P1021" s="219" t="e">
        <f>IF(OR(G1021=1,G1021=2),dadosexternosBMF_1!B1024,"")</f>
        <v>#REF!</v>
      </c>
      <c r="Q1021" s="219" t="e">
        <f>IF(OR(G1021=1,G1021=2),dadosexternosBMF_1!D1024,"")</f>
        <v>#REF!</v>
      </c>
    </row>
    <row r="1022" spans="1:17" x14ac:dyDescent="0.2">
      <c r="A1022" s="222" t="e">
        <f t="shared" si="108"/>
        <v>#REF!</v>
      </c>
      <c r="B1022" s="222" t="str">
        <f>IF(dadosexternosBMF_1!A1025="DI1 - DI de 1 dia","DI1 - DI de 1 dia","")</f>
        <v/>
      </c>
      <c r="C1022" s="222" t="e">
        <f>IF(dadosexternosBMF_1!A1025="DOL - Dólar comercial","",IF(C1021&lt;&gt;"",dadosexternosBMF_1!B1025,IF(dadosexternosBMF_1!A1025="DI1 - DI de 1 dia",dadosexternosBMF_1!B1025,"")))</f>
        <v>#REF!</v>
      </c>
      <c r="D1022" s="222" t="e">
        <f>IF(C1022&lt;&gt;"",dadosexternosBMF_1!C1025,"")</f>
        <v>#REF!</v>
      </c>
      <c r="E1022" s="222" t="e">
        <f>IF(C1022&lt;&gt;"",dadosexternosBMF_1!D1025,"")</f>
        <v>#REF!</v>
      </c>
      <c r="G1022" s="219" t="e">
        <f t="shared" si="109"/>
        <v>#REF!</v>
      </c>
      <c r="H1022" s="219" t="e">
        <f t="shared" si="110"/>
        <v>#REF!</v>
      </c>
      <c r="I1022" s="219" t="e">
        <f t="shared" si="111"/>
        <v>#REF!</v>
      </c>
      <c r="J1022" s="219" t="e">
        <f>IF(I1022="","",VLOOKUP(LEFT(C1022,1),dadosexternosBMF_1!$L$2:$M$13,2,FALSE))</f>
        <v>#REF!</v>
      </c>
      <c r="K1022" s="219" t="e">
        <f t="shared" si="112"/>
        <v>#REF!</v>
      </c>
      <c r="L1022" s="422" t="e">
        <f t="shared" si="113"/>
        <v>#REF!</v>
      </c>
      <c r="M1022" s="422" t="e">
        <f>IF(I1022="","",WORKDAY(L1022-1,1,FERIADOS!$A$2:$A$831))</f>
        <v>#REF!</v>
      </c>
      <c r="N1022" s="219" t="e">
        <f>IF(I1022="","",NETWORKDAYS(Curva!$M$2,M1022,FERIADOS!$A$2:$A$831)-1)</f>
        <v>#REF!</v>
      </c>
      <c r="O1022" s="423" t="e">
        <f>IF(C1022&lt;&gt;"",IF(ISERROR((100000/E1022)^(252/N1022)-1),Curva!$B$2,((100000/E1022)^(252/N1022)-1)),"")</f>
        <v>#REF!</v>
      </c>
      <c r="P1022" s="219" t="e">
        <f>IF(OR(G1022=1,G1022=2),dadosexternosBMF_1!B1025,"")</f>
        <v>#REF!</v>
      </c>
      <c r="Q1022" s="219" t="e">
        <f>IF(OR(G1022=1,G1022=2),dadosexternosBMF_1!D1025,"")</f>
        <v>#REF!</v>
      </c>
    </row>
    <row r="1023" spans="1:17" x14ac:dyDescent="0.2">
      <c r="A1023" s="222" t="e">
        <f t="shared" si="108"/>
        <v>#REF!</v>
      </c>
      <c r="B1023" s="222" t="str">
        <f>IF(dadosexternosBMF_1!A1026="DI1 - DI de 1 dia","DI1 - DI de 1 dia","")</f>
        <v/>
      </c>
      <c r="C1023" s="222" t="e">
        <f>IF(dadosexternosBMF_1!A1026="DOL - Dólar comercial","",IF(C1022&lt;&gt;"",dadosexternosBMF_1!B1026,IF(dadosexternosBMF_1!A1026="DI1 - DI de 1 dia",dadosexternosBMF_1!B1026,"")))</f>
        <v>#REF!</v>
      </c>
      <c r="D1023" s="222" t="e">
        <f>IF(C1023&lt;&gt;"",dadosexternosBMF_1!C1026,"")</f>
        <v>#REF!</v>
      </c>
      <c r="E1023" s="222" t="e">
        <f>IF(C1023&lt;&gt;"",dadosexternosBMF_1!D1026,"")</f>
        <v>#REF!</v>
      </c>
      <c r="G1023" s="219" t="e">
        <f t="shared" si="109"/>
        <v>#REF!</v>
      </c>
      <c r="H1023" s="219" t="e">
        <f t="shared" si="110"/>
        <v>#REF!</v>
      </c>
      <c r="I1023" s="219" t="e">
        <f t="shared" si="111"/>
        <v>#REF!</v>
      </c>
      <c r="J1023" s="219" t="e">
        <f>IF(I1023="","",VLOOKUP(LEFT(C1023,1),dadosexternosBMF_1!$L$2:$M$13,2,FALSE))</f>
        <v>#REF!</v>
      </c>
      <c r="K1023" s="219" t="e">
        <f t="shared" si="112"/>
        <v>#REF!</v>
      </c>
      <c r="L1023" s="422" t="e">
        <f t="shared" si="113"/>
        <v>#REF!</v>
      </c>
      <c r="M1023" s="422" t="e">
        <f>IF(I1023="","",WORKDAY(L1023-1,1,FERIADOS!$A$2:$A$831))</f>
        <v>#REF!</v>
      </c>
      <c r="N1023" s="219" t="e">
        <f>IF(I1023="","",NETWORKDAYS(Curva!$M$2,M1023,FERIADOS!$A$2:$A$831)-1)</f>
        <v>#REF!</v>
      </c>
      <c r="O1023" s="423" t="e">
        <f>IF(C1023&lt;&gt;"",IF(ISERROR((100000/E1023)^(252/N1023)-1),Curva!$B$2,((100000/E1023)^(252/N1023)-1)),"")</f>
        <v>#REF!</v>
      </c>
      <c r="P1023" s="219" t="e">
        <f>IF(OR(G1023=1,G1023=2),dadosexternosBMF_1!B1026,"")</f>
        <v>#REF!</v>
      </c>
      <c r="Q1023" s="219" t="e">
        <f>IF(OR(G1023=1,G1023=2),dadosexternosBMF_1!D1026,"")</f>
        <v>#REF!</v>
      </c>
    </row>
    <row r="1024" spans="1:17" x14ac:dyDescent="0.2">
      <c r="A1024" s="222" t="e">
        <f t="shared" si="108"/>
        <v>#REF!</v>
      </c>
      <c r="B1024" s="222" t="str">
        <f>IF(dadosexternosBMF_1!A1027="DI1 - DI de 1 dia","DI1 - DI de 1 dia","")</f>
        <v/>
      </c>
      <c r="C1024" s="222" t="e">
        <f>IF(dadosexternosBMF_1!A1027="DOL - Dólar comercial","",IF(C1023&lt;&gt;"",dadosexternosBMF_1!B1027,IF(dadosexternosBMF_1!A1027="DI1 - DI de 1 dia",dadosexternosBMF_1!B1027,"")))</f>
        <v>#REF!</v>
      </c>
      <c r="D1024" s="222" t="e">
        <f>IF(C1024&lt;&gt;"",dadosexternosBMF_1!C1027,"")</f>
        <v>#REF!</v>
      </c>
      <c r="E1024" s="222" t="e">
        <f>IF(C1024&lt;&gt;"",dadosexternosBMF_1!D1027,"")</f>
        <v>#REF!</v>
      </c>
      <c r="G1024" s="219" t="e">
        <f t="shared" si="109"/>
        <v>#REF!</v>
      </c>
      <c r="H1024" s="219" t="e">
        <f t="shared" si="110"/>
        <v>#REF!</v>
      </c>
      <c r="I1024" s="219" t="e">
        <f t="shared" si="111"/>
        <v>#REF!</v>
      </c>
      <c r="J1024" s="219" t="e">
        <f>IF(I1024="","",VLOOKUP(LEFT(C1024,1),dadosexternosBMF_1!$L$2:$M$13,2,FALSE))</f>
        <v>#REF!</v>
      </c>
      <c r="K1024" s="219" t="e">
        <f t="shared" si="112"/>
        <v>#REF!</v>
      </c>
      <c r="L1024" s="422" t="e">
        <f t="shared" si="113"/>
        <v>#REF!</v>
      </c>
      <c r="M1024" s="422" t="e">
        <f>IF(I1024="","",WORKDAY(L1024-1,1,FERIADOS!$A$2:$A$831))</f>
        <v>#REF!</v>
      </c>
      <c r="N1024" s="219" t="e">
        <f>IF(I1024="","",NETWORKDAYS(Curva!$M$2,M1024,FERIADOS!$A$2:$A$831)-1)</f>
        <v>#REF!</v>
      </c>
      <c r="O1024" s="423" t="e">
        <f>IF(C1024&lt;&gt;"",IF(ISERROR((100000/E1024)^(252/N1024)-1),Curva!$B$2,((100000/E1024)^(252/N1024)-1)),"")</f>
        <v>#REF!</v>
      </c>
      <c r="P1024" s="219" t="e">
        <f>IF(OR(G1024=1,G1024=2),dadosexternosBMF_1!B1027,"")</f>
        <v>#REF!</v>
      </c>
      <c r="Q1024" s="219" t="e">
        <f>IF(OR(G1024=1,G1024=2),dadosexternosBMF_1!D1027,"")</f>
        <v>#REF!</v>
      </c>
    </row>
    <row r="1025" spans="1:17" x14ac:dyDescent="0.2">
      <c r="A1025" s="222" t="e">
        <f t="shared" si="108"/>
        <v>#REF!</v>
      </c>
      <c r="B1025" s="222" t="str">
        <f>IF(dadosexternosBMF_1!A1028="DI1 - DI de 1 dia","DI1 - DI de 1 dia","")</f>
        <v/>
      </c>
      <c r="C1025" s="222" t="e">
        <f>IF(dadosexternosBMF_1!A1028="DOL - Dólar comercial","",IF(C1024&lt;&gt;"",dadosexternosBMF_1!B1028,IF(dadosexternosBMF_1!A1028="DI1 - DI de 1 dia",dadosexternosBMF_1!B1028,"")))</f>
        <v>#REF!</v>
      </c>
      <c r="D1025" s="222" t="e">
        <f>IF(C1025&lt;&gt;"",dadosexternosBMF_1!C1028,"")</f>
        <v>#REF!</v>
      </c>
      <c r="E1025" s="222" t="e">
        <f>IF(C1025&lt;&gt;"",dadosexternosBMF_1!D1028,"")</f>
        <v>#REF!</v>
      </c>
      <c r="G1025" s="219" t="e">
        <f t="shared" si="109"/>
        <v>#REF!</v>
      </c>
      <c r="H1025" s="219" t="e">
        <f t="shared" si="110"/>
        <v>#REF!</v>
      </c>
      <c r="I1025" s="219" t="e">
        <f t="shared" si="111"/>
        <v>#REF!</v>
      </c>
      <c r="J1025" s="219" t="e">
        <f>IF(I1025="","",VLOOKUP(LEFT(C1025,1),dadosexternosBMF_1!$L$2:$M$13,2,FALSE))</f>
        <v>#REF!</v>
      </c>
      <c r="K1025" s="219" t="e">
        <f t="shared" si="112"/>
        <v>#REF!</v>
      </c>
      <c r="L1025" s="422" t="e">
        <f t="shared" si="113"/>
        <v>#REF!</v>
      </c>
      <c r="M1025" s="422" t="e">
        <f>IF(I1025="","",WORKDAY(L1025-1,1,FERIADOS!$A$2:$A$831))</f>
        <v>#REF!</v>
      </c>
      <c r="N1025" s="219" t="e">
        <f>IF(I1025="","",NETWORKDAYS(Curva!$M$2,M1025,FERIADOS!$A$2:$A$831)-1)</f>
        <v>#REF!</v>
      </c>
      <c r="O1025" s="423" t="e">
        <f>IF(C1025&lt;&gt;"",IF(ISERROR((100000/E1025)^(252/N1025)-1),Curva!$B$2,((100000/E1025)^(252/N1025)-1)),"")</f>
        <v>#REF!</v>
      </c>
      <c r="P1025" s="219" t="e">
        <f>IF(OR(G1025=1,G1025=2),dadosexternosBMF_1!B1028,"")</f>
        <v>#REF!</v>
      </c>
      <c r="Q1025" s="219" t="e">
        <f>IF(OR(G1025=1,G1025=2),dadosexternosBMF_1!D1028,"")</f>
        <v>#REF!</v>
      </c>
    </row>
    <row r="1026" spans="1:17" x14ac:dyDescent="0.2">
      <c r="A1026" s="222" t="e">
        <f t="shared" si="108"/>
        <v>#REF!</v>
      </c>
      <c r="B1026" s="222" t="str">
        <f>IF(dadosexternosBMF_1!A1029="DI1 - DI de 1 dia","DI1 - DI de 1 dia","")</f>
        <v/>
      </c>
      <c r="C1026" s="222" t="e">
        <f>IF(dadosexternosBMF_1!A1029="DOL - Dólar comercial","",IF(C1025&lt;&gt;"",dadosexternosBMF_1!B1029,IF(dadosexternosBMF_1!A1029="DI1 - DI de 1 dia",dadosexternosBMF_1!B1029,"")))</f>
        <v>#REF!</v>
      </c>
      <c r="D1026" s="222" t="e">
        <f>IF(C1026&lt;&gt;"",dadosexternosBMF_1!C1029,"")</f>
        <v>#REF!</v>
      </c>
      <c r="E1026" s="222" t="e">
        <f>IF(C1026&lt;&gt;"",dadosexternosBMF_1!D1029,"")</f>
        <v>#REF!</v>
      </c>
      <c r="G1026" s="219" t="e">
        <f t="shared" si="109"/>
        <v>#REF!</v>
      </c>
      <c r="H1026" s="219" t="e">
        <f t="shared" si="110"/>
        <v>#REF!</v>
      </c>
      <c r="I1026" s="219" t="e">
        <f t="shared" si="111"/>
        <v>#REF!</v>
      </c>
      <c r="J1026" s="219" t="e">
        <f>IF(I1026="","",VLOOKUP(LEFT(C1026,1),dadosexternosBMF_1!$L$2:$M$13,2,FALSE))</f>
        <v>#REF!</v>
      </c>
      <c r="K1026" s="219" t="e">
        <f t="shared" si="112"/>
        <v>#REF!</v>
      </c>
      <c r="L1026" s="422" t="e">
        <f t="shared" si="113"/>
        <v>#REF!</v>
      </c>
      <c r="M1026" s="422" t="e">
        <f>IF(I1026="","",WORKDAY(L1026-1,1,FERIADOS!$A$2:$A$831))</f>
        <v>#REF!</v>
      </c>
      <c r="N1026" s="219" t="e">
        <f>IF(I1026="","",NETWORKDAYS(Curva!$M$2,M1026,FERIADOS!$A$2:$A$831)-1)</f>
        <v>#REF!</v>
      </c>
      <c r="O1026" s="423" t="e">
        <f>IF(C1026&lt;&gt;"",IF(ISERROR((100000/E1026)^(252/N1026)-1),Curva!$B$2,((100000/E1026)^(252/N1026)-1)),"")</f>
        <v>#REF!</v>
      </c>
      <c r="P1026" s="219" t="e">
        <f>IF(OR(G1026=1,G1026=2),dadosexternosBMF_1!B1029,"")</f>
        <v>#REF!</v>
      </c>
      <c r="Q1026" s="219" t="e">
        <f>IF(OR(G1026=1,G1026=2),dadosexternosBMF_1!D1029,"")</f>
        <v>#REF!</v>
      </c>
    </row>
    <row r="1027" spans="1:17" x14ac:dyDescent="0.2">
      <c r="A1027" s="222" t="e">
        <f t="shared" si="108"/>
        <v>#REF!</v>
      </c>
      <c r="B1027" s="222" t="str">
        <f>IF(dadosexternosBMF_1!A1030="DI1 - DI de 1 dia","DI1 - DI de 1 dia","")</f>
        <v/>
      </c>
      <c r="C1027" s="222" t="e">
        <f>IF(dadosexternosBMF_1!A1030="DOL - Dólar comercial","",IF(C1026&lt;&gt;"",dadosexternosBMF_1!B1030,IF(dadosexternosBMF_1!A1030="DI1 - DI de 1 dia",dadosexternosBMF_1!B1030,"")))</f>
        <v>#REF!</v>
      </c>
      <c r="D1027" s="222" t="e">
        <f>IF(C1027&lt;&gt;"",dadosexternosBMF_1!C1030,"")</f>
        <v>#REF!</v>
      </c>
      <c r="E1027" s="222" t="e">
        <f>IF(C1027&lt;&gt;"",dadosexternosBMF_1!D1030,"")</f>
        <v>#REF!</v>
      </c>
      <c r="G1027" s="219" t="e">
        <f t="shared" si="109"/>
        <v>#REF!</v>
      </c>
      <c r="H1027" s="219" t="e">
        <f t="shared" si="110"/>
        <v>#REF!</v>
      </c>
      <c r="I1027" s="219" t="e">
        <f t="shared" si="111"/>
        <v>#REF!</v>
      </c>
      <c r="J1027" s="219" t="e">
        <f>IF(I1027="","",VLOOKUP(LEFT(C1027,1),dadosexternosBMF_1!$L$2:$M$13,2,FALSE))</f>
        <v>#REF!</v>
      </c>
      <c r="K1027" s="219" t="e">
        <f t="shared" si="112"/>
        <v>#REF!</v>
      </c>
      <c r="L1027" s="422" t="e">
        <f t="shared" si="113"/>
        <v>#REF!</v>
      </c>
      <c r="M1027" s="422" t="e">
        <f>IF(I1027="","",WORKDAY(L1027-1,1,FERIADOS!$A$2:$A$831))</f>
        <v>#REF!</v>
      </c>
      <c r="N1027" s="219" t="e">
        <f>IF(I1027="","",NETWORKDAYS(Curva!$M$2,M1027,FERIADOS!$A$2:$A$831)-1)</f>
        <v>#REF!</v>
      </c>
      <c r="O1027" s="423" t="e">
        <f>IF(C1027&lt;&gt;"",IF(ISERROR((100000/E1027)^(252/N1027)-1),Curva!$B$2,((100000/E1027)^(252/N1027)-1)),"")</f>
        <v>#REF!</v>
      </c>
      <c r="P1027" s="219" t="e">
        <f>IF(OR(G1027=1,G1027=2),dadosexternosBMF_1!B1030,"")</f>
        <v>#REF!</v>
      </c>
      <c r="Q1027" s="219" t="e">
        <f>IF(OR(G1027=1,G1027=2),dadosexternosBMF_1!D1030,"")</f>
        <v>#REF!</v>
      </c>
    </row>
    <row r="1028" spans="1:17" x14ac:dyDescent="0.2">
      <c r="A1028" s="222" t="e">
        <f t="shared" si="108"/>
        <v>#REF!</v>
      </c>
      <c r="B1028" s="222" t="str">
        <f>IF(dadosexternosBMF_1!A1031="DI1 - DI de 1 dia","DI1 - DI de 1 dia","")</f>
        <v/>
      </c>
      <c r="C1028" s="222" t="e">
        <f>IF(dadosexternosBMF_1!A1031="DOL - Dólar comercial","",IF(C1027&lt;&gt;"",dadosexternosBMF_1!B1031,IF(dadosexternosBMF_1!A1031="DI1 - DI de 1 dia",dadosexternosBMF_1!B1031,"")))</f>
        <v>#REF!</v>
      </c>
      <c r="D1028" s="222" t="e">
        <f>IF(C1028&lt;&gt;"",dadosexternosBMF_1!C1031,"")</f>
        <v>#REF!</v>
      </c>
      <c r="E1028" s="222" t="e">
        <f>IF(C1028&lt;&gt;"",dadosexternosBMF_1!D1031,"")</f>
        <v>#REF!</v>
      </c>
      <c r="G1028" s="219" t="e">
        <f t="shared" si="109"/>
        <v>#REF!</v>
      </c>
      <c r="H1028" s="219" t="e">
        <f t="shared" si="110"/>
        <v>#REF!</v>
      </c>
      <c r="I1028" s="219" t="e">
        <f t="shared" si="111"/>
        <v>#REF!</v>
      </c>
      <c r="J1028" s="219" t="e">
        <f>IF(I1028="","",VLOOKUP(LEFT(C1028,1),dadosexternosBMF_1!$L$2:$M$13,2,FALSE))</f>
        <v>#REF!</v>
      </c>
      <c r="K1028" s="219" t="e">
        <f t="shared" si="112"/>
        <v>#REF!</v>
      </c>
      <c r="L1028" s="422" t="e">
        <f t="shared" si="113"/>
        <v>#REF!</v>
      </c>
      <c r="M1028" s="422" t="e">
        <f>IF(I1028="","",WORKDAY(L1028-1,1,FERIADOS!$A$2:$A$831))</f>
        <v>#REF!</v>
      </c>
      <c r="N1028" s="219" t="e">
        <f>IF(I1028="","",NETWORKDAYS(Curva!$M$2,M1028,FERIADOS!$A$2:$A$831)-1)</f>
        <v>#REF!</v>
      </c>
      <c r="O1028" s="423" t="e">
        <f>IF(C1028&lt;&gt;"",IF(ISERROR((100000/E1028)^(252/N1028)-1),Curva!$B$2,((100000/E1028)^(252/N1028)-1)),"")</f>
        <v>#REF!</v>
      </c>
      <c r="P1028" s="219" t="e">
        <f>IF(OR(G1028=1,G1028=2),dadosexternosBMF_1!B1031,"")</f>
        <v>#REF!</v>
      </c>
      <c r="Q1028" s="219" t="e">
        <f>IF(OR(G1028=1,G1028=2),dadosexternosBMF_1!D1031,"")</f>
        <v>#REF!</v>
      </c>
    </row>
    <row r="1029" spans="1:17" x14ac:dyDescent="0.2">
      <c r="A1029" s="222" t="e">
        <f t="shared" si="108"/>
        <v>#REF!</v>
      </c>
      <c r="B1029" s="222" t="str">
        <f>IF(dadosexternosBMF_1!A1032="DI1 - DI de 1 dia","DI1 - DI de 1 dia","")</f>
        <v/>
      </c>
      <c r="C1029" s="222" t="e">
        <f>IF(dadosexternosBMF_1!A1032="DOL - Dólar comercial","",IF(C1028&lt;&gt;"",dadosexternosBMF_1!B1032,IF(dadosexternosBMF_1!A1032="DI1 - DI de 1 dia",dadosexternosBMF_1!B1032,"")))</f>
        <v>#REF!</v>
      </c>
      <c r="D1029" s="222" t="e">
        <f>IF(C1029&lt;&gt;"",dadosexternosBMF_1!C1032,"")</f>
        <v>#REF!</v>
      </c>
      <c r="E1029" s="222" t="e">
        <f>IF(C1029&lt;&gt;"",dadosexternosBMF_1!D1032,"")</f>
        <v>#REF!</v>
      </c>
      <c r="G1029" s="219" t="e">
        <f t="shared" si="109"/>
        <v>#REF!</v>
      </c>
      <c r="H1029" s="219" t="e">
        <f t="shared" si="110"/>
        <v>#REF!</v>
      </c>
      <c r="I1029" s="219" t="e">
        <f t="shared" si="111"/>
        <v>#REF!</v>
      </c>
      <c r="J1029" s="219" t="e">
        <f>IF(I1029="","",VLOOKUP(LEFT(C1029,1),dadosexternosBMF_1!$L$2:$M$13,2,FALSE))</f>
        <v>#REF!</v>
      </c>
      <c r="K1029" s="219" t="e">
        <f t="shared" si="112"/>
        <v>#REF!</v>
      </c>
      <c r="L1029" s="422" t="e">
        <f t="shared" si="113"/>
        <v>#REF!</v>
      </c>
      <c r="M1029" s="422" t="e">
        <f>IF(I1029="","",WORKDAY(L1029-1,1,FERIADOS!$A$2:$A$831))</f>
        <v>#REF!</v>
      </c>
      <c r="N1029" s="219" t="e">
        <f>IF(I1029="","",NETWORKDAYS(Curva!$M$2,M1029,FERIADOS!$A$2:$A$831)-1)</f>
        <v>#REF!</v>
      </c>
      <c r="O1029" s="423" t="e">
        <f>IF(C1029&lt;&gt;"",IF(ISERROR((100000/E1029)^(252/N1029)-1),Curva!$B$2,((100000/E1029)^(252/N1029)-1)),"")</f>
        <v>#REF!</v>
      </c>
      <c r="P1029" s="219" t="e">
        <f>IF(OR(G1029=1,G1029=2),dadosexternosBMF_1!B1032,"")</f>
        <v>#REF!</v>
      </c>
      <c r="Q1029" s="219" t="e">
        <f>IF(OR(G1029=1,G1029=2),dadosexternosBMF_1!D1032,"")</f>
        <v>#REF!</v>
      </c>
    </row>
    <row r="1030" spans="1:17" x14ac:dyDescent="0.2">
      <c r="A1030" s="222" t="e">
        <f t="shared" si="108"/>
        <v>#REF!</v>
      </c>
      <c r="B1030" s="222" t="str">
        <f>IF(dadosexternosBMF_1!A1033="DI1 - DI de 1 dia","DI1 - DI de 1 dia","")</f>
        <v/>
      </c>
      <c r="C1030" s="222" t="e">
        <f>IF(dadosexternosBMF_1!A1033="DOL - Dólar comercial","",IF(C1029&lt;&gt;"",dadosexternosBMF_1!B1033,IF(dadosexternosBMF_1!A1033="DI1 - DI de 1 dia",dadosexternosBMF_1!B1033,"")))</f>
        <v>#REF!</v>
      </c>
      <c r="D1030" s="222" t="e">
        <f>IF(C1030&lt;&gt;"",dadosexternosBMF_1!C1033,"")</f>
        <v>#REF!</v>
      </c>
      <c r="E1030" s="222" t="e">
        <f>IF(C1030&lt;&gt;"",dadosexternosBMF_1!D1033,"")</f>
        <v>#REF!</v>
      </c>
      <c r="G1030" s="219" t="e">
        <f t="shared" si="109"/>
        <v>#REF!</v>
      </c>
      <c r="H1030" s="219" t="e">
        <f t="shared" si="110"/>
        <v>#REF!</v>
      </c>
      <c r="I1030" s="219" t="e">
        <f t="shared" si="111"/>
        <v>#REF!</v>
      </c>
      <c r="J1030" s="219" t="e">
        <f>IF(I1030="","",VLOOKUP(LEFT(C1030,1),dadosexternosBMF_1!$L$2:$M$13,2,FALSE))</f>
        <v>#REF!</v>
      </c>
      <c r="K1030" s="219" t="e">
        <f t="shared" si="112"/>
        <v>#REF!</v>
      </c>
      <c r="L1030" s="422" t="e">
        <f t="shared" si="113"/>
        <v>#REF!</v>
      </c>
      <c r="M1030" s="422" t="e">
        <f>IF(I1030="","",WORKDAY(L1030-1,1,FERIADOS!$A$2:$A$831))</f>
        <v>#REF!</v>
      </c>
      <c r="N1030" s="219" t="e">
        <f>IF(I1030="","",NETWORKDAYS(Curva!$M$2,M1030,FERIADOS!$A$2:$A$831)-1)</f>
        <v>#REF!</v>
      </c>
      <c r="O1030" s="423" t="e">
        <f>IF(C1030&lt;&gt;"",IF(ISERROR((100000/E1030)^(252/N1030)-1),Curva!$B$2,((100000/E1030)^(252/N1030)-1)),"")</f>
        <v>#REF!</v>
      </c>
      <c r="P1030" s="219" t="e">
        <f>IF(OR(G1030=1,G1030=2),dadosexternosBMF_1!B1033,"")</f>
        <v>#REF!</v>
      </c>
      <c r="Q1030" s="219" t="e">
        <f>IF(OR(G1030=1,G1030=2),dadosexternosBMF_1!D1033,"")</f>
        <v>#REF!</v>
      </c>
    </row>
    <row r="1031" spans="1:17" x14ac:dyDescent="0.2">
      <c r="A1031" s="222" t="e">
        <f t="shared" si="108"/>
        <v>#REF!</v>
      </c>
      <c r="B1031" s="222" t="str">
        <f>IF(dadosexternosBMF_1!A1034="DI1 - DI de 1 dia","DI1 - DI de 1 dia","")</f>
        <v/>
      </c>
      <c r="C1031" s="222" t="e">
        <f>IF(dadosexternosBMF_1!A1034="DOL - Dólar comercial","",IF(C1030&lt;&gt;"",dadosexternosBMF_1!B1034,IF(dadosexternosBMF_1!A1034="DI1 - DI de 1 dia",dadosexternosBMF_1!B1034,"")))</f>
        <v>#REF!</v>
      </c>
      <c r="D1031" s="222" t="e">
        <f>IF(C1031&lt;&gt;"",dadosexternosBMF_1!C1034,"")</f>
        <v>#REF!</v>
      </c>
      <c r="E1031" s="222" t="e">
        <f>IF(C1031&lt;&gt;"",dadosexternosBMF_1!D1034,"")</f>
        <v>#REF!</v>
      </c>
      <c r="G1031" s="219" t="e">
        <f t="shared" si="109"/>
        <v>#REF!</v>
      </c>
      <c r="H1031" s="219" t="e">
        <f t="shared" si="110"/>
        <v>#REF!</v>
      </c>
      <c r="I1031" s="219" t="e">
        <f t="shared" si="111"/>
        <v>#REF!</v>
      </c>
      <c r="J1031" s="219" t="e">
        <f>IF(I1031="","",VLOOKUP(LEFT(C1031,1),dadosexternosBMF_1!$L$2:$M$13,2,FALSE))</f>
        <v>#REF!</v>
      </c>
      <c r="K1031" s="219" t="e">
        <f t="shared" si="112"/>
        <v>#REF!</v>
      </c>
      <c r="L1031" s="422" t="e">
        <f t="shared" si="113"/>
        <v>#REF!</v>
      </c>
      <c r="M1031" s="422" t="e">
        <f>IF(I1031="","",WORKDAY(L1031-1,1,FERIADOS!$A$2:$A$831))</f>
        <v>#REF!</v>
      </c>
      <c r="N1031" s="219" t="e">
        <f>IF(I1031="","",NETWORKDAYS(Curva!$M$2,M1031,FERIADOS!$A$2:$A$831)-1)</f>
        <v>#REF!</v>
      </c>
      <c r="O1031" s="423" t="e">
        <f>IF(C1031&lt;&gt;"",IF(ISERROR((100000/E1031)^(252/N1031)-1),Curva!$B$2,((100000/E1031)^(252/N1031)-1)),"")</f>
        <v>#REF!</v>
      </c>
      <c r="P1031" s="219" t="e">
        <f>IF(OR(G1031=1,G1031=2),dadosexternosBMF_1!B1034,"")</f>
        <v>#REF!</v>
      </c>
      <c r="Q1031" s="219" t="e">
        <f>IF(OR(G1031=1,G1031=2),dadosexternosBMF_1!D1034,"")</f>
        <v>#REF!</v>
      </c>
    </row>
    <row r="1032" spans="1:17" x14ac:dyDescent="0.2">
      <c r="A1032" s="222" t="e">
        <f t="shared" si="108"/>
        <v>#REF!</v>
      </c>
      <c r="B1032" s="222" t="str">
        <f>IF(dadosexternosBMF_1!A1035="DI1 - DI de 1 dia","DI1 - DI de 1 dia","")</f>
        <v/>
      </c>
      <c r="C1032" s="222" t="e">
        <f>IF(dadosexternosBMF_1!A1035="DOL - Dólar comercial","",IF(C1031&lt;&gt;"",dadosexternosBMF_1!B1035,IF(dadosexternosBMF_1!A1035="DI1 - DI de 1 dia",dadosexternosBMF_1!B1035,"")))</f>
        <v>#REF!</v>
      </c>
      <c r="D1032" s="222" t="e">
        <f>IF(C1032&lt;&gt;"",dadosexternosBMF_1!C1035,"")</f>
        <v>#REF!</v>
      </c>
      <c r="E1032" s="222" t="e">
        <f>IF(C1032&lt;&gt;"",dadosexternosBMF_1!D1035,"")</f>
        <v>#REF!</v>
      </c>
      <c r="G1032" s="219" t="e">
        <f t="shared" si="109"/>
        <v>#REF!</v>
      </c>
      <c r="H1032" s="219" t="e">
        <f t="shared" si="110"/>
        <v>#REF!</v>
      </c>
      <c r="I1032" s="219" t="e">
        <f t="shared" si="111"/>
        <v>#REF!</v>
      </c>
      <c r="J1032" s="219" t="e">
        <f>IF(I1032="","",VLOOKUP(LEFT(C1032,1),dadosexternosBMF_1!$L$2:$M$13,2,FALSE))</f>
        <v>#REF!</v>
      </c>
      <c r="K1032" s="219" t="e">
        <f t="shared" si="112"/>
        <v>#REF!</v>
      </c>
      <c r="L1032" s="422" t="e">
        <f t="shared" si="113"/>
        <v>#REF!</v>
      </c>
      <c r="M1032" s="422" t="e">
        <f>IF(I1032="","",WORKDAY(L1032-1,1,FERIADOS!$A$2:$A$831))</f>
        <v>#REF!</v>
      </c>
      <c r="N1032" s="219" t="e">
        <f>IF(I1032="","",NETWORKDAYS(Curva!$M$2,M1032,FERIADOS!$A$2:$A$831)-1)</f>
        <v>#REF!</v>
      </c>
      <c r="O1032" s="423" t="e">
        <f>IF(C1032&lt;&gt;"",IF(ISERROR((100000/E1032)^(252/N1032)-1),Curva!$B$2,((100000/E1032)^(252/N1032)-1)),"")</f>
        <v>#REF!</v>
      </c>
      <c r="P1032" s="219" t="e">
        <f>IF(OR(G1032=1,G1032=2),dadosexternosBMF_1!B1035,"")</f>
        <v>#REF!</v>
      </c>
      <c r="Q1032" s="219" t="e">
        <f>IF(OR(G1032=1,G1032=2),dadosexternosBMF_1!D1035,"")</f>
        <v>#REF!</v>
      </c>
    </row>
    <row r="1033" spans="1:17" x14ac:dyDescent="0.2">
      <c r="A1033" s="222" t="e">
        <f t="shared" si="108"/>
        <v>#REF!</v>
      </c>
      <c r="B1033" s="222" t="str">
        <f>IF(dadosexternosBMF_1!A1036="DI1 - DI de 1 dia","DI1 - DI de 1 dia","")</f>
        <v/>
      </c>
      <c r="C1033" s="222" t="e">
        <f>IF(dadosexternosBMF_1!A1036="DOL - Dólar comercial","",IF(C1032&lt;&gt;"",dadosexternosBMF_1!B1036,IF(dadosexternosBMF_1!A1036="DI1 - DI de 1 dia",dadosexternosBMF_1!B1036,"")))</f>
        <v>#REF!</v>
      </c>
      <c r="D1033" s="222" t="e">
        <f>IF(C1033&lt;&gt;"",dadosexternosBMF_1!C1036,"")</f>
        <v>#REF!</v>
      </c>
      <c r="E1033" s="222" t="e">
        <f>IF(C1033&lt;&gt;"",dadosexternosBMF_1!D1036,"")</f>
        <v>#REF!</v>
      </c>
      <c r="G1033" s="219" t="e">
        <f t="shared" si="109"/>
        <v>#REF!</v>
      </c>
      <c r="H1033" s="219" t="e">
        <f t="shared" si="110"/>
        <v>#REF!</v>
      </c>
      <c r="I1033" s="219" t="e">
        <f t="shared" si="111"/>
        <v>#REF!</v>
      </c>
      <c r="J1033" s="219" t="e">
        <f>IF(I1033="","",VLOOKUP(LEFT(C1033,1),dadosexternosBMF_1!$L$2:$M$13,2,FALSE))</f>
        <v>#REF!</v>
      </c>
      <c r="K1033" s="219" t="e">
        <f t="shared" si="112"/>
        <v>#REF!</v>
      </c>
      <c r="L1033" s="422" t="e">
        <f t="shared" si="113"/>
        <v>#REF!</v>
      </c>
      <c r="M1033" s="422" t="e">
        <f>IF(I1033="","",WORKDAY(L1033-1,1,FERIADOS!$A$2:$A$831))</f>
        <v>#REF!</v>
      </c>
      <c r="N1033" s="219" t="e">
        <f>IF(I1033="","",NETWORKDAYS(Curva!$M$2,M1033,FERIADOS!$A$2:$A$831)-1)</f>
        <v>#REF!</v>
      </c>
      <c r="O1033" s="423" t="e">
        <f>IF(C1033&lt;&gt;"",IF(ISERROR((100000/E1033)^(252/N1033)-1),Curva!$B$2,((100000/E1033)^(252/N1033)-1)),"")</f>
        <v>#REF!</v>
      </c>
      <c r="P1033" s="219" t="e">
        <f>IF(OR(G1033=1,G1033=2),dadosexternosBMF_1!B1036,"")</f>
        <v>#REF!</v>
      </c>
      <c r="Q1033" s="219" t="e">
        <f>IF(OR(G1033=1,G1033=2),dadosexternosBMF_1!D1036,"")</f>
        <v>#REF!</v>
      </c>
    </row>
    <row r="1034" spans="1:17" x14ac:dyDescent="0.2">
      <c r="A1034" s="222" t="e">
        <f t="shared" si="108"/>
        <v>#REF!</v>
      </c>
      <c r="B1034" s="222" t="str">
        <f>IF(dadosexternosBMF_1!A1037="DI1 - DI de 1 dia","DI1 - DI de 1 dia","")</f>
        <v/>
      </c>
      <c r="C1034" s="222" t="e">
        <f>IF(dadosexternosBMF_1!A1037="DOL - Dólar comercial","",IF(C1033&lt;&gt;"",dadosexternosBMF_1!B1037,IF(dadosexternosBMF_1!A1037="DI1 - DI de 1 dia",dadosexternosBMF_1!B1037,"")))</f>
        <v>#REF!</v>
      </c>
      <c r="D1034" s="222" t="e">
        <f>IF(C1034&lt;&gt;"",dadosexternosBMF_1!C1037,"")</f>
        <v>#REF!</v>
      </c>
      <c r="E1034" s="222" t="e">
        <f>IF(C1034&lt;&gt;"",dadosexternosBMF_1!D1037,"")</f>
        <v>#REF!</v>
      </c>
      <c r="G1034" s="219" t="e">
        <f t="shared" si="109"/>
        <v>#REF!</v>
      </c>
      <c r="H1034" s="219" t="e">
        <f t="shared" si="110"/>
        <v>#REF!</v>
      </c>
      <c r="I1034" s="219" t="e">
        <f t="shared" si="111"/>
        <v>#REF!</v>
      </c>
      <c r="J1034" s="219" t="e">
        <f>IF(I1034="","",VLOOKUP(LEFT(C1034,1),dadosexternosBMF_1!$L$2:$M$13,2,FALSE))</f>
        <v>#REF!</v>
      </c>
      <c r="K1034" s="219" t="e">
        <f t="shared" si="112"/>
        <v>#REF!</v>
      </c>
      <c r="L1034" s="422" t="e">
        <f t="shared" si="113"/>
        <v>#REF!</v>
      </c>
      <c r="M1034" s="422" t="e">
        <f>IF(I1034="","",WORKDAY(L1034-1,1,FERIADOS!$A$2:$A$831))</f>
        <v>#REF!</v>
      </c>
      <c r="N1034" s="219" t="e">
        <f>IF(I1034="","",NETWORKDAYS(Curva!$M$2,M1034,FERIADOS!$A$2:$A$831)-1)</f>
        <v>#REF!</v>
      </c>
      <c r="O1034" s="423" t="e">
        <f>IF(C1034&lt;&gt;"",IF(ISERROR((100000/E1034)^(252/N1034)-1),Curva!$B$2,((100000/E1034)^(252/N1034)-1)),"")</f>
        <v>#REF!</v>
      </c>
      <c r="P1034" s="219" t="e">
        <f>IF(OR(G1034=1,G1034=2),dadosexternosBMF_1!B1037,"")</f>
        <v>#REF!</v>
      </c>
      <c r="Q1034" s="219" t="e">
        <f>IF(OR(G1034=1,G1034=2),dadosexternosBMF_1!D1037,"")</f>
        <v>#REF!</v>
      </c>
    </row>
    <row r="1035" spans="1:17" x14ac:dyDescent="0.2">
      <c r="A1035" s="222" t="e">
        <f t="shared" si="108"/>
        <v>#REF!</v>
      </c>
      <c r="B1035" s="222" t="str">
        <f>IF(dadosexternosBMF_1!A1038="DI1 - DI de 1 dia","DI1 - DI de 1 dia","")</f>
        <v/>
      </c>
      <c r="C1035" s="222" t="e">
        <f>IF(dadosexternosBMF_1!A1038="DOL - Dólar comercial","",IF(C1034&lt;&gt;"",dadosexternosBMF_1!B1038,IF(dadosexternosBMF_1!A1038="DI1 - DI de 1 dia",dadosexternosBMF_1!B1038,"")))</f>
        <v>#REF!</v>
      </c>
      <c r="D1035" s="222" t="e">
        <f>IF(C1035&lt;&gt;"",dadosexternosBMF_1!C1038,"")</f>
        <v>#REF!</v>
      </c>
      <c r="E1035" s="222" t="e">
        <f>IF(C1035&lt;&gt;"",dadosexternosBMF_1!D1038,"")</f>
        <v>#REF!</v>
      </c>
      <c r="G1035" s="219" t="e">
        <f t="shared" si="109"/>
        <v>#REF!</v>
      </c>
      <c r="H1035" s="219" t="e">
        <f t="shared" si="110"/>
        <v>#REF!</v>
      </c>
      <c r="I1035" s="219" t="e">
        <f t="shared" si="111"/>
        <v>#REF!</v>
      </c>
      <c r="J1035" s="219" t="e">
        <f>IF(I1035="","",VLOOKUP(LEFT(C1035,1),dadosexternosBMF_1!$L$2:$M$13,2,FALSE))</f>
        <v>#REF!</v>
      </c>
      <c r="K1035" s="219" t="e">
        <f t="shared" si="112"/>
        <v>#REF!</v>
      </c>
      <c r="L1035" s="422" t="e">
        <f t="shared" si="113"/>
        <v>#REF!</v>
      </c>
      <c r="M1035" s="422" t="e">
        <f>IF(I1035="","",WORKDAY(L1035-1,1,FERIADOS!$A$2:$A$831))</f>
        <v>#REF!</v>
      </c>
      <c r="N1035" s="219" t="e">
        <f>IF(I1035="","",NETWORKDAYS(Curva!$M$2,M1035,FERIADOS!$A$2:$A$831)-1)</f>
        <v>#REF!</v>
      </c>
      <c r="O1035" s="423" t="e">
        <f>IF(C1035&lt;&gt;"",IF(ISERROR((100000/E1035)^(252/N1035)-1),Curva!$B$2,((100000/E1035)^(252/N1035)-1)),"")</f>
        <v>#REF!</v>
      </c>
      <c r="P1035" s="219" t="e">
        <f>IF(OR(G1035=1,G1035=2),dadosexternosBMF_1!B1038,"")</f>
        <v>#REF!</v>
      </c>
      <c r="Q1035" s="219" t="e">
        <f>IF(OR(G1035=1,G1035=2),dadosexternosBMF_1!D1038,"")</f>
        <v>#REF!</v>
      </c>
    </row>
    <row r="1036" spans="1:17" x14ac:dyDescent="0.2">
      <c r="A1036" s="222" t="e">
        <f t="shared" si="108"/>
        <v>#REF!</v>
      </c>
      <c r="B1036" s="222" t="str">
        <f>IF(dadosexternosBMF_1!A1039="DI1 - DI de 1 dia","DI1 - DI de 1 dia","")</f>
        <v/>
      </c>
      <c r="C1036" s="222" t="e">
        <f>IF(dadosexternosBMF_1!A1039="DOL - Dólar comercial","",IF(C1035&lt;&gt;"",dadosexternosBMF_1!B1039,IF(dadosexternosBMF_1!A1039="DI1 - DI de 1 dia",dadosexternosBMF_1!B1039,"")))</f>
        <v>#REF!</v>
      </c>
      <c r="D1036" s="222" t="e">
        <f>IF(C1036&lt;&gt;"",dadosexternosBMF_1!C1039,"")</f>
        <v>#REF!</v>
      </c>
      <c r="E1036" s="222" t="e">
        <f>IF(C1036&lt;&gt;"",dadosexternosBMF_1!D1039,"")</f>
        <v>#REF!</v>
      </c>
      <c r="G1036" s="219" t="e">
        <f t="shared" si="109"/>
        <v>#REF!</v>
      </c>
      <c r="H1036" s="219" t="e">
        <f t="shared" si="110"/>
        <v>#REF!</v>
      </c>
      <c r="I1036" s="219" t="e">
        <f t="shared" si="111"/>
        <v>#REF!</v>
      </c>
      <c r="J1036" s="219" t="e">
        <f>IF(I1036="","",VLOOKUP(LEFT(C1036,1),dadosexternosBMF_1!$L$2:$M$13,2,FALSE))</f>
        <v>#REF!</v>
      </c>
      <c r="K1036" s="219" t="e">
        <f t="shared" si="112"/>
        <v>#REF!</v>
      </c>
      <c r="L1036" s="422" t="e">
        <f t="shared" si="113"/>
        <v>#REF!</v>
      </c>
      <c r="M1036" s="422" t="e">
        <f>IF(I1036="","",WORKDAY(L1036-1,1,FERIADOS!$A$2:$A$831))</f>
        <v>#REF!</v>
      </c>
      <c r="N1036" s="219" t="e">
        <f>IF(I1036="","",NETWORKDAYS(Curva!$M$2,M1036,FERIADOS!$A$2:$A$831)-1)</f>
        <v>#REF!</v>
      </c>
      <c r="O1036" s="423" t="e">
        <f>IF(C1036&lt;&gt;"",IF(ISERROR((100000/E1036)^(252/N1036)-1),Curva!$B$2,((100000/E1036)^(252/N1036)-1)),"")</f>
        <v>#REF!</v>
      </c>
      <c r="P1036" s="219" t="e">
        <f>IF(OR(G1036=1,G1036=2),dadosexternosBMF_1!B1039,"")</f>
        <v>#REF!</v>
      </c>
      <c r="Q1036" s="219" t="e">
        <f>IF(OR(G1036=1,G1036=2),dadosexternosBMF_1!D1039,"")</f>
        <v>#REF!</v>
      </c>
    </row>
    <row r="1037" spans="1:17" x14ac:dyDescent="0.2">
      <c r="A1037" s="222" t="e">
        <f t="shared" si="108"/>
        <v>#REF!</v>
      </c>
      <c r="B1037" s="222" t="str">
        <f>IF(dadosexternosBMF_1!A1040="DI1 - DI de 1 dia","DI1 - DI de 1 dia","")</f>
        <v/>
      </c>
      <c r="C1037" s="222" t="e">
        <f>IF(dadosexternosBMF_1!A1040="DOL - Dólar comercial","",IF(C1036&lt;&gt;"",dadosexternosBMF_1!B1040,IF(dadosexternosBMF_1!A1040="DI1 - DI de 1 dia",dadosexternosBMF_1!B1040,"")))</f>
        <v>#REF!</v>
      </c>
      <c r="D1037" s="222" t="e">
        <f>IF(C1037&lt;&gt;"",dadosexternosBMF_1!C1040,"")</f>
        <v>#REF!</v>
      </c>
      <c r="E1037" s="222" t="e">
        <f>IF(C1037&lt;&gt;"",dadosexternosBMF_1!D1040,"")</f>
        <v>#REF!</v>
      </c>
      <c r="G1037" s="219" t="e">
        <f t="shared" si="109"/>
        <v>#REF!</v>
      </c>
      <c r="H1037" s="219" t="e">
        <f t="shared" si="110"/>
        <v>#REF!</v>
      </c>
      <c r="I1037" s="219" t="e">
        <f t="shared" si="111"/>
        <v>#REF!</v>
      </c>
      <c r="J1037" s="219" t="e">
        <f>IF(I1037="","",VLOOKUP(LEFT(C1037,1),dadosexternosBMF_1!$L$2:$M$13,2,FALSE))</f>
        <v>#REF!</v>
      </c>
      <c r="K1037" s="219" t="e">
        <f t="shared" si="112"/>
        <v>#REF!</v>
      </c>
      <c r="L1037" s="422" t="e">
        <f t="shared" si="113"/>
        <v>#REF!</v>
      </c>
      <c r="M1037" s="422" t="e">
        <f>IF(I1037="","",WORKDAY(L1037-1,1,FERIADOS!$A$2:$A$831))</f>
        <v>#REF!</v>
      </c>
      <c r="N1037" s="219" t="e">
        <f>IF(I1037="","",NETWORKDAYS(Curva!$M$2,M1037,FERIADOS!$A$2:$A$831)-1)</f>
        <v>#REF!</v>
      </c>
      <c r="O1037" s="423" t="e">
        <f>IF(C1037&lt;&gt;"",IF(ISERROR((100000/E1037)^(252/N1037)-1),Curva!$B$2,((100000/E1037)^(252/N1037)-1)),"")</f>
        <v>#REF!</v>
      </c>
      <c r="P1037" s="219" t="e">
        <f>IF(OR(G1037=1,G1037=2),dadosexternosBMF_1!B1040,"")</f>
        <v>#REF!</v>
      </c>
      <c r="Q1037" s="219" t="e">
        <f>IF(OR(G1037=1,G1037=2),dadosexternosBMF_1!D1040,"")</f>
        <v>#REF!</v>
      </c>
    </row>
    <row r="1038" spans="1:17" x14ac:dyDescent="0.2">
      <c r="A1038" s="222" t="e">
        <f t="shared" si="108"/>
        <v>#REF!</v>
      </c>
      <c r="B1038" s="222" t="str">
        <f>IF(dadosexternosBMF_1!A1041="DI1 - DI de 1 dia","DI1 - DI de 1 dia","")</f>
        <v/>
      </c>
      <c r="C1038" s="222" t="e">
        <f>IF(dadosexternosBMF_1!A1041="DOL - Dólar comercial","",IF(C1037&lt;&gt;"",dadosexternosBMF_1!B1041,IF(dadosexternosBMF_1!A1041="DI1 - DI de 1 dia",dadosexternosBMF_1!B1041,"")))</f>
        <v>#REF!</v>
      </c>
      <c r="D1038" s="222" t="e">
        <f>IF(C1038&lt;&gt;"",dadosexternosBMF_1!C1041,"")</f>
        <v>#REF!</v>
      </c>
      <c r="E1038" s="222" t="e">
        <f>IF(C1038&lt;&gt;"",dadosexternosBMF_1!D1041,"")</f>
        <v>#REF!</v>
      </c>
      <c r="G1038" s="219" t="e">
        <f t="shared" si="109"/>
        <v>#REF!</v>
      </c>
      <c r="H1038" s="219" t="e">
        <f t="shared" si="110"/>
        <v>#REF!</v>
      </c>
      <c r="I1038" s="219" t="e">
        <f t="shared" si="111"/>
        <v>#REF!</v>
      </c>
      <c r="J1038" s="219" t="e">
        <f>IF(I1038="","",VLOOKUP(LEFT(C1038,1),dadosexternosBMF_1!$L$2:$M$13,2,FALSE))</f>
        <v>#REF!</v>
      </c>
      <c r="K1038" s="219" t="e">
        <f t="shared" si="112"/>
        <v>#REF!</v>
      </c>
      <c r="L1038" s="422" t="e">
        <f t="shared" si="113"/>
        <v>#REF!</v>
      </c>
      <c r="M1038" s="422" t="e">
        <f>IF(I1038="","",WORKDAY(L1038-1,1,FERIADOS!$A$2:$A$831))</f>
        <v>#REF!</v>
      </c>
      <c r="N1038" s="219" t="e">
        <f>IF(I1038="","",NETWORKDAYS(Curva!$M$2,M1038,FERIADOS!$A$2:$A$831)-1)</f>
        <v>#REF!</v>
      </c>
      <c r="O1038" s="423" t="e">
        <f>IF(C1038&lt;&gt;"",IF(ISERROR((100000/E1038)^(252/N1038)-1),Curva!$B$2,((100000/E1038)^(252/N1038)-1)),"")</f>
        <v>#REF!</v>
      </c>
      <c r="P1038" s="219" t="e">
        <f>IF(OR(G1038=1,G1038=2),dadosexternosBMF_1!B1041,"")</f>
        <v>#REF!</v>
      </c>
      <c r="Q1038" s="219" t="e">
        <f>IF(OR(G1038=1,G1038=2),dadosexternosBMF_1!D1041,"")</f>
        <v>#REF!</v>
      </c>
    </row>
    <row r="1039" spans="1:17" x14ac:dyDescent="0.2">
      <c r="A1039" s="222" t="e">
        <f t="shared" si="108"/>
        <v>#REF!</v>
      </c>
      <c r="B1039" s="222" t="str">
        <f>IF(dadosexternosBMF_1!A1042="DI1 - DI de 1 dia","DI1 - DI de 1 dia","")</f>
        <v/>
      </c>
      <c r="C1039" s="222" t="e">
        <f>IF(dadosexternosBMF_1!A1042="DOL - Dólar comercial","",IF(C1038&lt;&gt;"",dadosexternosBMF_1!B1042,IF(dadosexternosBMF_1!A1042="DI1 - DI de 1 dia",dadosexternosBMF_1!B1042,"")))</f>
        <v>#REF!</v>
      </c>
      <c r="D1039" s="222" t="e">
        <f>IF(C1039&lt;&gt;"",dadosexternosBMF_1!C1042,"")</f>
        <v>#REF!</v>
      </c>
      <c r="E1039" s="222" t="e">
        <f>IF(C1039&lt;&gt;"",dadosexternosBMF_1!D1042,"")</f>
        <v>#REF!</v>
      </c>
      <c r="G1039" s="219" t="e">
        <f t="shared" si="109"/>
        <v>#REF!</v>
      </c>
      <c r="H1039" s="219" t="e">
        <f t="shared" si="110"/>
        <v>#REF!</v>
      </c>
      <c r="I1039" s="219" t="e">
        <f t="shared" si="111"/>
        <v>#REF!</v>
      </c>
      <c r="J1039" s="219" t="e">
        <f>IF(I1039="","",VLOOKUP(LEFT(C1039,1),dadosexternosBMF_1!$L$2:$M$13,2,FALSE))</f>
        <v>#REF!</v>
      </c>
      <c r="K1039" s="219" t="e">
        <f t="shared" si="112"/>
        <v>#REF!</v>
      </c>
      <c r="L1039" s="422" t="e">
        <f t="shared" si="113"/>
        <v>#REF!</v>
      </c>
      <c r="M1039" s="422" t="e">
        <f>IF(I1039="","",WORKDAY(L1039-1,1,FERIADOS!$A$2:$A$831))</f>
        <v>#REF!</v>
      </c>
      <c r="N1039" s="219" t="e">
        <f>IF(I1039="","",NETWORKDAYS(Curva!$M$2,M1039,FERIADOS!$A$2:$A$831)-1)</f>
        <v>#REF!</v>
      </c>
      <c r="O1039" s="423" t="e">
        <f>IF(C1039&lt;&gt;"",IF(ISERROR((100000/E1039)^(252/N1039)-1),Curva!$B$2,((100000/E1039)^(252/N1039)-1)),"")</f>
        <v>#REF!</v>
      </c>
      <c r="P1039" s="219" t="e">
        <f>IF(OR(G1039=1,G1039=2),dadosexternosBMF_1!B1042,"")</f>
        <v>#REF!</v>
      </c>
      <c r="Q1039" s="219" t="e">
        <f>IF(OR(G1039=1,G1039=2),dadosexternosBMF_1!D1042,"")</f>
        <v>#REF!</v>
      </c>
    </row>
    <row r="1040" spans="1:17" x14ac:dyDescent="0.2">
      <c r="A1040" s="222" t="e">
        <f t="shared" si="108"/>
        <v>#REF!</v>
      </c>
      <c r="B1040" s="222" t="str">
        <f>IF(dadosexternosBMF_1!A1043="DI1 - DI de 1 dia","DI1 - DI de 1 dia","")</f>
        <v/>
      </c>
      <c r="C1040" s="222" t="e">
        <f>IF(dadosexternosBMF_1!A1043="DOL - Dólar comercial","",IF(C1039&lt;&gt;"",dadosexternosBMF_1!B1043,IF(dadosexternosBMF_1!A1043="DI1 - DI de 1 dia",dadosexternosBMF_1!B1043,"")))</f>
        <v>#REF!</v>
      </c>
      <c r="D1040" s="222" t="e">
        <f>IF(C1040&lt;&gt;"",dadosexternosBMF_1!C1043,"")</f>
        <v>#REF!</v>
      </c>
      <c r="E1040" s="222" t="e">
        <f>IF(C1040&lt;&gt;"",dadosexternosBMF_1!D1043,"")</f>
        <v>#REF!</v>
      </c>
      <c r="G1040" s="219" t="e">
        <f t="shared" si="109"/>
        <v>#REF!</v>
      </c>
      <c r="H1040" s="219" t="e">
        <f t="shared" si="110"/>
        <v>#REF!</v>
      </c>
      <c r="I1040" s="219" t="e">
        <f t="shared" si="111"/>
        <v>#REF!</v>
      </c>
      <c r="J1040" s="219" t="e">
        <f>IF(I1040="","",VLOOKUP(LEFT(C1040,1),dadosexternosBMF_1!$L$2:$M$13,2,FALSE))</f>
        <v>#REF!</v>
      </c>
      <c r="K1040" s="219" t="e">
        <f t="shared" si="112"/>
        <v>#REF!</v>
      </c>
      <c r="L1040" s="422" t="e">
        <f t="shared" si="113"/>
        <v>#REF!</v>
      </c>
      <c r="M1040" s="422" t="e">
        <f>IF(I1040="","",WORKDAY(L1040-1,1,FERIADOS!$A$2:$A$831))</f>
        <v>#REF!</v>
      </c>
      <c r="N1040" s="219" t="e">
        <f>IF(I1040="","",NETWORKDAYS(Curva!$M$2,M1040,FERIADOS!$A$2:$A$831)-1)</f>
        <v>#REF!</v>
      </c>
      <c r="O1040" s="423" t="e">
        <f>IF(C1040&lt;&gt;"",IF(ISERROR((100000/E1040)^(252/N1040)-1),Curva!$B$2,((100000/E1040)^(252/N1040)-1)),"")</f>
        <v>#REF!</v>
      </c>
      <c r="P1040" s="219" t="e">
        <f>IF(OR(G1040=1,G1040=2),dadosexternosBMF_1!B1043,"")</f>
        <v>#REF!</v>
      </c>
      <c r="Q1040" s="219" t="e">
        <f>IF(OR(G1040=1,G1040=2),dadosexternosBMF_1!D1043,"")</f>
        <v>#REF!</v>
      </c>
    </row>
    <row r="1041" spans="1:17" x14ac:dyDescent="0.2">
      <c r="A1041" s="222" t="e">
        <f t="shared" si="108"/>
        <v>#REF!</v>
      </c>
      <c r="B1041" s="222" t="str">
        <f>IF(dadosexternosBMF_1!A1044="DI1 - DI de 1 dia","DI1 - DI de 1 dia","")</f>
        <v/>
      </c>
      <c r="C1041" s="222" t="e">
        <f>IF(dadosexternosBMF_1!A1044="DOL - Dólar comercial","",IF(C1040&lt;&gt;"",dadosexternosBMF_1!B1044,IF(dadosexternosBMF_1!A1044="DI1 - DI de 1 dia",dadosexternosBMF_1!B1044,"")))</f>
        <v>#REF!</v>
      </c>
      <c r="D1041" s="222" t="e">
        <f>IF(C1041&lt;&gt;"",dadosexternosBMF_1!C1044,"")</f>
        <v>#REF!</v>
      </c>
      <c r="E1041" s="222" t="e">
        <f>IF(C1041&lt;&gt;"",dadosexternosBMF_1!D1044,"")</f>
        <v>#REF!</v>
      </c>
      <c r="G1041" s="219" t="e">
        <f t="shared" si="109"/>
        <v>#REF!</v>
      </c>
      <c r="H1041" s="219" t="e">
        <f t="shared" si="110"/>
        <v>#REF!</v>
      </c>
      <c r="I1041" s="219" t="e">
        <f t="shared" si="111"/>
        <v>#REF!</v>
      </c>
      <c r="J1041" s="219" t="e">
        <f>IF(I1041="","",VLOOKUP(LEFT(C1041,1),dadosexternosBMF_1!$L$2:$M$13,2,FALSE))</f>
        <v>#REF!</v>
      </c>
      <c r="K1041" s="219" t="e">
        <f t="shared" si="112"/>
        <v>#REF!</v>
      </c>
      <c r="L1041" s="422" t="e">
        <f t="shared" si="113"/>
        <v>#REF!</v>
      </c>
      <c r="M1041" s="422" t="e">
        <f>IF(I1041="","",WORKDAY(L1041-1,1,FERIADOS!$A$2:$A$831))</f>
        <v>#REF!</v>
      </c>
      <c r="N1041" s="219" t="e">
        <f>IF(I1041="","",NETWORKDAYS(Curva!$M$2,M1041,FERIADOS!$A$2:$A$831)-1)</f>
        <v>#REF!</v>
      </c>
      <c r="O1041" s="423" t="e">
        <f>IF(C1041&lt;&gt;"",IF(ISERROR((100000/E1041)^(252/N1041)-1),Curva!$B$2,((100000/E1041)^(252/N1041)-1)),"")</f>
        <v>#REF!</v>
      </c>
      <c r="P1041" s="219" t="e">
        <f>IF(OR(G1041=1,G1041=2),dadosexternosBMF_1!B1044,"")</f>
        <v>#REF!</v>
      </c>
      <c r="Q1041" s="219" t="e">
        <f>IF(OR(G1041=1,G1041=2),dadosexternosBMF_1!D1044,"")</f>
        <v>#REF!</v>
      </c>
    </row>
    <row r="1042" spans="1:17" x14ac:dyDescent="0.2">
      <c r="A1042" s="222" t="e">
        <f t="shared" si="108"/>
        <v>#REF!</v>
      </c>
      <c r="B1042" s="222" t="str">
        <f>IF(dadosexternosBMF_1!A1045="DI1 - DI de 1 dia","DI1 - DI de 1 dia","")</f>
        <v/>
      </c>
      <c r="C1042" s="222" t="e">
        <f>IF(dadosexternosBMF_1!A1045="DOL - Dólar comercial","",IF(C1041&lt;&gt;"",dadosexternosBMF_1!B1045,IF(dadosexternosBMF_1!A1045="DI1 - DI de 1 dia",dadosexternosBMF_1!B1045,"")))</f>
        <v>#REF!</v>
      </c>
      <c r="D1042" s="222" t="e">
        <f>IF(C1042&lt;&gt;"",dadosexternosBMF_1!C1045,"")</f>
        <v>#REF!</v>
      </c>
      <c r="E1042" s="222" t="e">
        <f>IF(C1042&lt;&gt;"",dadosexternosBMF_1!D1045,"")</f>
        <v>#REF!</v>
      </c>
      <c r="G1042" s="219" t="e">
        <f t="shared" si="109"/>
        <v>#REF!</v>
      </c>
      <c r="H1042" s="219" t="e">
        <f t="shared" si="110"/>
        <v>#REF!</v>
      </c>
      <c r="I1042" s="219" t="e">
        <f t="shared" si="111"/>
        <v>#REF!</v>
      </c>
      <c r="J1042" s="219" t="e">
        <f>IF(I1042="","",VLOOKUP(LEFT(C1042,1),dadosexternosBMF_1!$L$2:$M$13,2,FALSE))</f>
        <v>#REF!</v>
      </c>
      <c r="K1042" s="219" t="e">
        <f t="shared" si="112"/>
        <v>#REF!</v>
      </c>
      <c r="L1042" s="422" t="e">
        <f t="shared" si="113"/>
        <v>#REF!</v>
      </c>
      <c r="M1042" s="422" t="e">
        <f>IF(I1042="","",WORKDAY(L1042-1,1,FERIADOS!$A$2:$A$831))</f>
        <v>#REF!</v>
      </c>
      <c r="N1042" s="219" t="e">
        <f>IF(I1042="","",NETWORKDAYS(Curva!$M$2,M1042,FERIADOS!$A$2:$A$831)-1)</f>
        <v>#REF!</v>
      </c>
      <c r="O1042" s="423" t="e">
        <f>IF(C1042&lt;&gt;"",IF(ISERROR((100000/E1042)^(252/N1042)-1),Curva!$B$2,((100000/E1042)^(252/N1042)-1)),"")</f>
        <v>#REF!</v>
      </c>
      <c r="P1042" s="219" t="e">
        <f>IF(OR(G1042=1,G1042=2),dadosexternosBMF_1!B1045,"")</f>
        <v>#REF!</v>
      </c>
      <c r="Q1042" s="219" t="e">
        <f>IF(OR(G1042=1,G1042=2),dadosexternosBMF_1!D1045,"")</f>
        <v>#REF!</v>
      </c>
    </row>
    <row r="1043" spans="1:17" x14ac:dyDescent="0.2">
      <c r="A1043" s="222" t="e">
        <f t="shared" si="108"/>
        <v>#REF!</v>
      </c>
      <c r="B1043" s="222" t="str">
        <f>IF(dadosexternosBMF_1!A1046="DI1 - DI de 1 dia","DI1 - DI de 1 dia","")</f>
        <v/>
      </c>
      <c r="C1043" s="222" t="e">
        <f>IF(dadosexternosBMF_1!A1046="DOL - Dólar comercial","",IF(C1042&lt;&gt;"",dadosexternosBMF_1!B1046,IF(dadosexternosBMF_1!A1046="DI1 - DI de 1 dia",dadosexternosBMF_1!B1046,"")))</f>
        <v>#REF!</v>
      </c>
      <c r="D1043" s="222" t="e">
        <f>IF(C1043&lt;&gt;"",dadosexternosBMF_1!C1046,"")</f>
        <v>#REF!</v>
      </c>
      <c r="E1043" s="222" t="e">
        <f>IF(C1043&lt;&gt;"",dadosexternosBMF_1!D1046,"")</f>
        <v>#REF!</v>
      </c>
      <c r="G1043" s="219" t="e">
        <f t="shared" si="109"/>
        <v>#REF!</v>
      </c>
      <c r="H1043" s="219" t="e">
        <f t="shared" si="110"/>
        <v>#REF!</v>
      </c>
      <c r="I1043" s="219" t="e">
        <f t="shared" si="111"/>
        <v>#REF!</v>
      </c>
      <c r="J1043" s="219" t="e">
        <f>IF(I1043="","",VLOOKUP(LEFT(C1043,1),dadosexternosBMF_1!$L$2:$M$13,2,FALSE))</f>
        <v>#REF!</v>
      </c>
      <c r="K1043" s="219" t="e">
        <f t="shared" si="112"/>
        <v>#REF!</v>
      </c>
      <c r="L1043" s="422" t="e">
        <f t="shared" si="113"/>
        <v>#REF!</v>
      </c>
      <c r="M1043" s="422" t="e">
        <f>IF(I1043="","",WORKDAY(L1043-1,1,FERIADOS!$A$2:$A$831))</f>
        <v>#REF!</v>
      </c>
      <c r="N1043" s="219" t="e">
        <f>IF(I1043="","",NETWORKDAYS(Curva!$M$2,M1043,FERIADOS!$A$2:$A$831)-1)</f>
        <v>#REF!</v>
      </c>
      <c r="O1043" s="423" t="e">
        <f>IF(C1043&lt;&gt;"",IF(ISERROR((100000/E1043)^(252/N1043)-1),Curva!$B$2,((100000/E1043)^(252/N1043)-1)),"")</f>
        <v>#REF!</v>
      </c>
      <c r="P1043" s="219" t="e">
        <f>IF(OR(G1043=1,G1043=2),dadosexternosBMF_1!B1046,"")</f>
        <v>#REF!</v>
      </c>
      <c r="Q1043" s="219" t="e">
        <f>IF(OR(G1043=1,G1043=2),dadosexternosBMF_1!D1046,"")</f>
        <v>#REF!</v>
      </c>
    </row>
    <row r="1044" spans="1:17" x14ac:dyDescent="0.2">
      <c r="A1044" s="222" t="e">
        <f t="shared" si="108"/>
        <v>#REF!</v>
      </c>
      <c r="B1044" s="222" t="str">
        <f>IF(dadosexternosBMF_1!A1047="DI1 - DI de 1 dia","DI1 - DI de 1 dia","")</f>
        <v/>
      </c>
      <c r="C1044" s="222" t="e">
        <f>IF(dadosexternosBMF_1!A1047="DOL - Dólar comercial","",IF(C1043&lt;&gt;"",dadosexternosBMF_1!B1047,IF(dadosexternosBMF_1!A1047="DI1 - DI de 1 dia",dadosexternosBMF_1!B1047,"")))</f>
        <v>#REF!</v>
      </c>
      <c r="D1044" s="222" t="e">
        <f>IF(C1044&lt;&gt;"",dadosexternosBMF_1!C1047,"")</f>
        <v>#REF!</v>
      </c>
      <c r="E1044" s="222" t="e">
        <f>IF(C1044&lt;&gt;"",dadosexternosBMF_1!D1047,"")</f>
        <v>#REF!</v>
      </c>
      <c r="G1044" s="219" t="e">
        <f t="shared" si="109"/>
        <v>#REF!</v>
      </c>
      <c r="H1044" s="219" t="e">
        <f t="shared" si="110"/>
        <v>#REF!</v>
      </c>
      <c r="I1044" s="219" t="e">
        <f t="shared" si="111"/>
        <v>#REF!</v>
      </c>
      <c r="J1044" s="219" t="e">
        <f>IF(I1044="","",VLOOKUP(LEFT(C1044,1),dadosexternosBMF_1!$L$2:$M$13,2,FALSE))</f>
        <v>#REF!</v>
      </c>
      <c r="K1044" s="219" t="e">
        <f t="shared" si="112"/>
        <v>#REF!</v>
      </c>
      <c r="L1044" s="422" t="e">
        <f t="shared" si="113"/>
        <v>#REF!</v>
      </c>
      <c r="M1044" s="422" t="e">
        <f>IF(I1044="","",WORKDAY(L1044-1,1,FERIADOS!$A$2:$A$831))</f>
        <v>#REF!</v>
      </c>
      <c r="N1044" s="219" t="e">
        <f>IF(I1044="","",NETWORKDAYS(Curva!$M$2,M1044,FERIADOS!$A$2:$A$831)-1)</f>
        <v>#REF!</v>
      </c>
      <c r="O1044" s="423" t="e">
        <f>IF(C1044&lt;&gt;"",IF(ISERROR((100000/E1044)^(252/N1044)-1),Curva!$B$2,((100000/E1044)^(252/N1044)-1)),"")</f>
        <v>#REF!</v>
      </c>
      <c r="P1044" s="219" t="e">
        <f>IF(OR(G1044=1,G1044=2),dadosexternosBMF_1!B1047,"")</f>
        <v>#REF!</v>
      </c>
      <c r="Q1044" s="219" t="e">
        <f>IF(OR(G1044=1,G1044=2),dadosexternosBMF_1!D1047,"")</f>
        <v>#REF!</v>
      </c>
    </row>
    <row r="1045" spans="1:17" x14ac:dyDescent="0.2">
      <c r="A1045" s="222" t="e">
        <f t="shared" si="108"/>
        <v>#REF!</v>
      </c>
      <c r="B1045" s="222" t="str">
        <f>IF(dadosexternosBMF_1!A1048="DI1 - DI de 1 dia","DI1 - DI de 1 dia","")</f>
        <v/>
      </c>
      <c r="C1045" s="222" t="e">
        <f>IF(dadosexternosBMF_1!A1048="DOL - Dólar comercial","",IF(C1044&lt;&gt;"",dadosexternosBMF_1!B1048,IF(dadosexternosBMF_1!A1048="DI1 - DI de 1 dia",dadosexternosBMF_1!B1048,"")))</f>
        <v>#REF!</v>
      </c>
      <c r="D1045" s="222" t="e">
        <f>IF(C1045&lt;&gt;"",dadosexternosBMF_1!C1048,"")</f>
        <v>#REF!</v>
      </c>
      <c r="E1045" s="222" t="e">
        <f>IF(C1045&lt;&gt;"",dadosexternosBMF_1!D1048,"")</f>
        <v>#REF!</v>
      </c>
      <c r="G1045" s="219" t="e">
        <f t="shared" si="109"/>
        <v>#REF!</v>
      </c>
      <c r="H1045" s="219" t="e">
        <f t="shared" si="110"/>
        <v>#REF!</v>
      </c>
      <c r="I1045" s="219" t="e">
        <f t="shared" si="111"/>
        <v>#REF!</v>
      </c>
      <c r="J1045" s="219" t="e">
        <f>IF(I1045="","",VLOOKUP(LEFT(C1045,1),dadosexternosBMF_1!$L$2:$M$13,2,FALSE))</f>
        <v>#REF!</v>
      </c>
      <c r="K1045" s="219" t="e">
        <f t="shared" si="112"/>
        <v>#REF!</v>
      </c>
      <c r="L1045" s="422" t="e">
        <f t="shared" si="113"/>
        <v>#REF!</v>
      </c>
      <c r="M1045" s="422" t="e">
        <f>IF(I1045="","",WORKDAY(L1045-1,1,FERIADOS!$A$2:$A$831))</f>
        <v>#REF!</v>
      </c>
      <c r="N1045" s="219" t="e">
        <f>IF(I1045="","",NETWORKDAYS(Curva!$M$2,M1045,FERIADOS!$A$2:$A$831)-1)</f>
        <v>#REF!</v>
      </c>
      <c r="O1045" s="423" t="e">
        <f>IF(C1045&lt;&gt;"",IF(ISERROR((100000/E1045)^(252/N1045)-1),Curva!$B$2,((100000/E1045)^(252/N1045)-1)),"")</f>
        <v>#REF!</v>
      </c>
      <c r="P1045" s="219" t="e">
        <f>IF(OR(G1045=1,G1045=2),dadosexternosBMF_1!B1048,"")</f>
        <v>#REF!</v>
      </c>
      <c r="Q1045" s="219" t="e">
        <f>IF(OR(G1045=1,G1045=2),dadosexternosBMF_1!D1048,"")</f>
        <v>#REF!</v>
      </c>
    </row>
    <row r="1046" spans="1:17" x14ac:dyDescent="0.2">
      <c r="A1046" s="222" t="e">
        <f t="shared" si="108"/>
        <v>#REF!</v>
      </c>
      <c r="B1046" s="222" t="str">
        <f>IF(dadosexternosBMF_1!A1049="DI1 - DI de 1 dia","DI1 - DI de 1 dia","")</f>
        <v/>
      </c>
      <c r="C1046" s="222" t="e">
        <f>IF(dadosexternosBMF_1!A1049="DOL - Dólar comercial","",IF(C1045&lt;&gt;"",dadosexternosBMF_1!B1049,IF(dadosexternosBMF_1!A1049="DI1 - DI de 1 dia",dadosexternosBMF_1!B1049,"")))</f>
        <v>#REF!</v>
      </c>
      <c r="D1046" s="222" t="e">
        <f>IF(C1046&lt;&gt;"",dadosexternosBMF_1!C1049,"")</f>
        <v>#REF!</v>
      </c>
      <c r="E1046" s="222" t="e">
        <f>IF(C1046&lt;&gt;"",dadosexternosBMF_1!D1049,"")</f>
        <v>#REF!</v>
      </c>
      <c r="G1046" s="219" t="e">
        <f t="shared" si="109"/>
        <v>#REF!</v>
      </c>
      <c r="H1046" s="219" t="e">
        <f t="shared" si="110"/>
        <v>#REF!</v>
      </c>
      <c r="I1046" s="219" t="e">
        <f t="shared" si="111"/>
        <v>#REF!</v>
      </c>
      <c r="J1046" s="219" t="e">
        <f>IF(I1046="","",VLOOKUP(LEFT(C1046,1),dadosexternosBMF_1!$L$2:$M$13,2,FALSE))</f>
        <v>#REF!</v>
      </c>
      <c r="K1046" s="219" t="e">
        <f t="shared" si="112"/>
        <v>#REF!</v>
      </c>
      <c r="L1046" s="422" t="e">
        <f t="shared" si="113"/>
        <v>#REF!</v>
      </c>
      <c r="M1046" s="422" t="e">
        <f>IF(I1046="","",WORKDAY(L1046-1,1,FERIADOS!$A$2:$A$831))</f>
        <v>#REF!</v>
      </c>
      <c r="N1046" s="219" t="e">
        <f>IF(I1046="","",NETWORKDAYS(Curva!$M$2,M1046,FERIADOS!$A$2:$A$831)-1)</f>
        <v>#REF!</v>
      </c>
      <c r="O1046" s="423" t="e">
        <f>IF(C1046&lt;&gt;"",IF(ISERROR((100000/E1046)^(252/N1046)-1),Curva!$B$2,((100000/E1046)^(252/N1046)-1)),"")</f>
        <v>#REF!</v>
      </c>
      <c r="P1046" s="219" t="e">
        <f>IF(OR(G1046=1,G1046=2),dadosexternosBMF_1!B1049,"")</f>
        <v>#REF!</v>
      </c>
      <c r="Q1046" s="219" t="e">
        <f>IF(OR(G1046=1,G1046=2),dadosexternosBMF_1!D1049,"")</f>
        <v>#REF!</v>
      </c>
    </row>
    <row r="1047" spans="1:17" x14ac:dyDescent="0.2">
      <c r="A1047" s="222" t="e">
        <f t="shared" si="108"/>
        <v>#REF!</v>
      </c>
      <c r="B1047" s="222" t="str">
        <f>IF(dadosexternosBMF_1!A1050="DI1 - DI de 1 dia","DI1 - DI de 1 dia","")</f>
        <v/>
      </c>
      <c r="C1047" s="222" t="e">
        <f>IF(dadosexternosBMF_1!A1050="DOL - Dólar comercial","",IF(C1046&lt;&gt;"",dadosexternosBMF_1!B1050,IF(dadosexternosBMF_1!A1050="DI1 - DI de 1 dia",dadosexternosBMF_1!B1050,"")))</f>
        <v>#REF!</v>
      </c>
      <c r="D1047" s="222" t="e">
        <f>IF(C1047&lt;&gt;"",dadosexternosBMF_1!C1050,"")</f>
        <v>#REF!</v>
      </c>
      <c r="E1047" s="222" t="e">
        <f>IF(C1047&lt;&gt;"",dadosexternosBMF_1!D1050,"")</f>
        <v>#REF!</v>
      </c>
      <c r="G1047" s="219" t="e">
        <f t="shared" si="109"/>
        <v>#REF!</v>
      </c>
      <c r="H1047" s="219" t="e">
        <f t="shared" si="110"/>
        <v>#REF!</v>
      </c>
      <c r="I1047" s="219" t="e">
        <f t="shared" si="111"/>
        <v>#REF!</v>
      </c>
      <c r="J1047" s="219" t="e">
        <f>IF(I1047="","",VLOOKUP(LEFT(C1047,1),dadosexternosBMF_1!$L$2:$M$13,2,FALSE))</f>
        <v>#REF!</v>
      </c>
      <c r="K1047" s="219" t="e">
        <f t="shared" si="112"/>
        <v>#REF!</v>
      </c>
      <c r="L1047" s="422" t="e">
        <f t="shared" si="113"/>
        <v>#REF!</v>
      </c>
      <c r="M1047" s="422" t="e">
        <f>IF(I1047="","",WORKDAY(L1047-1,1,FERIADOS!$A$2:$A$831))</f>
        <v>#REF!</v>
      </c>
      <c r="N1047" s="219" t="e">
        <f>IF(I1047="","",NETWORKDAYS(Curva!$M$2,M1047,FERIADOS!$A$2:$A$831)-1)</f>
        <v>#REF!</v>
      </c>
      <c r="O1047" s="423" t="e">
        <f>IF(C1047&lt;&gt;"",IF(ISERROR((100000/E1047)^(252/N1047)-1),Curva!$B$2,((100000/E1047)^(252/N1047)-1)),"")</f>
        <v>#REF!</v>
      </c>
      <c r="P1047" s="219" t="e">
        <f>IF(OR(G1047=1,G1047=2),dadosexternosBMF_1!B1050,"")</f>
        <v>#REF!</v>
      </c>
      <c r="Q1047" s="219" t="e">
        <f>IF(OR(G1047=1,G1047=2),dadosexternosBMF_1!D1050,"")</f>
        <v>#REF!</v>
      </c>
    </row>
    <row r="1048" spans="1:17" x14ac:dyDescent="0.2">
      <c r="A1048" s="222" t="e">
        <f t="shared" si="108"/>
        <v>#REF!</v>
      </c>
      <c r="B1048" s="222" t="str">
        <f>IF(dadosexternosBMF_1!A1051="DI1 - DI de 1 dia","DI1 - DI de 1 dia","")</f>
        <v/>
      </c>
      <c r="C1048" s="222" t="e">
        <f>IF(dadosexternosBMF_1!A1051="DOL - Dólar comercial","",IF(C1047&lt;&gt;"",dadosexternosBMF_1!B1051,IF(dadosexternosBMF_1!A1051="DI1 - DI de 1 dia",dadosexternosBMF_1!B1051,"")))</f>
        <v>#REF!</v>
      </c>
      <c r="D1048" s="222" t="e">
        <f>IF(C1048&lt;&gt;"",dadosexternosBMF_1!C1051,"")</f>
        <v>#REF!</v>
      </c>
      <c r="E1048" s="222" t="e">
        <f>IF(C1048&lt;&gt;"",dadosexternosBMF_1!D1051,"")</f>
        <v>#REF!</v>
      </c>
      <c r="G1048" s="219" t="e">
        <f t="shared" si="109"/>
        <v>#REF!</v>
      </c>
      <c r="H1048" s="219" t="e">
        <f t="shared" si="110"/>
        <v>#REF!</v>
      </c>
      <c r="I1048" s="219" t="e">
        <f t="shared" si="111"/>
        <v>#REF!</v>
      </c>
      <c r="J1048" s="219" t="e">
        <f>IF(I1048="","",VLOOKUP(LEFT(C1048,1),dadosexternosBMF_1!$L$2:$M$13,2,FALSE))</f>
        <v>#REF!</v>
      </c>
      <c r="K1048" s="219" t="e">
        <f t="shared" si="112"/>
        <v>#REF!</v>
      </c>
      <c r="L1048" s="422" t="e">
        <f t="shared" si="113"/>
        <v>#REF!</v>
      </c>
      <c r="M1048" s="422" t="e">
        <f>IF(I1048="","",WORKDAY(L1048-1,1,FERIADOS!$A$2:$A$831))</f>
        <v>#REF!</v>
      </c>
      <c r="N1048" s="219" t="e">
        <f>IF(I1048="","",NETWORKDAYS(Curva!$M$2,M1048,FERIADOS!$A$2:$A$831)-1)</f>
        <v>#REF!</v>
      </c>
      <c r="O1048" s="423" t="e">
        <f>IF(C1048&lt;&gt;"",IF(ISERROR((100000/E1048)^(252/N1048)-1),Curva!$B$2,((100000/E1048)^(252/N1048)-1)),"")</f>
        <v>#REF!</v>
      </c>
      <c r="P1048" s="219" t="e">
        <f>IF(OR(G1048=1,G1048=2),dadosexternosBMF_1!B1051,"")</f>
        <v>#REF!</v>
      </c>
      <c r="Q1048" s="219" t="e">
        <f>IF(OR(G1048=1,G1048=2),dadosexternosBMF_1!D1051,"")</f>
        <v>#REF!</v>
      </c>
    </row>
    <row r="1049" spans="1:17" x14ac:dyDescent="0.2">
      <c r="A1049" s="222" t="e">
        <f t="shared" si="108"/>
        <v>#REF!</v>
      </c>
      <c r="B1049" s="222" t="str">
        <f>IF(dadosexternosBMF_1!A1052="DI1 - DI de 1 dia","DI1 - DI de 1 dia","")</f>
        <v/>
      </c>
      <c r="C1049" s="222" t="e">
        <f>IF(dadosexternosBMF_1!A1052="DOL - Dólar comercial","",IF(C1048&lt;&gt;"",dadosexternosBMF_1!B1052,IF(dadosexternosBMF_1!A1052="DI1 - DI de 1 dia",dadosexternosBMF_1!B1052,"")))</f>
        <v>#REF!</v>
      </c>
      <c r="D1049" s="222" t="e">
        <f>IF(C1049&lt;&gt;"",dadosexternosBMF_1!C1052,"")</f>
        <v>#REF!</v>
      </c>
      <c r="E1049" s="222" t="e">
        <f>IF(C1049&lt;&gt;"",dadosexternosBMF_1!D1052,"")</f>
        <v>#REF!</v>
      </c>
      <c r="G1049" s="219" t="e">
        <f t="shared" si="109"/>
        <v>#REF!</v>
      </c>
      <c r="H1049" s="219" t="e">
        <f t="shared" si="110"/>
        <v>#REF!</v>
      </c>
      <c r="I1049" s="219" t="e">
        <f t="shared" si="111"/>
        <v>#REF!</v>
      </c>
      <c r="J1049" s="219" t="e">
        <f>IF(I1049="","",VLOOKUP(LEFT(C1049,1),dadosexternosBMF_1!$L$2:$M$13,2,FALSE))</f>
        <v>#REF!</v>
      </c>
      <c r="K1049" s="219" t="e">
        <f t="shared" si="112"/>
        <v>#REF!</v>
      </c>
      <c r="L1049" s="422" t="e">
        <f t="shared" si="113"/>
        <v>#REF!</v>
      </c>
      <c r="M1049" s="422" t="e">
        <f>IF(I1049="","",WORKDAY(L1049-1,1,FERIADOS!$A$2:$A$831))</f>
        <v>#REF!</v>
      </c>
      <c r="N1049" s="219" t="e">
        <f>IF(I1049="","",NETWORKDAYS(Curva!$M$2,M1049,FERIADOS!$A$2:$A$831)-1)</f>
        <v>#REF!</v>
      </c>
      <c r="O1049" s="423" t="e">
        <f>IF(C1049&lt;&gt;"",IF(ISERROR((100000/E1049)^(252/N1049)-1),Curva!$B$2,((100000/E1049)^(252/N1049)-1)),"")</f>
        <v>#REF!</v>
      </c>
      <c r="P1049" s="219" t="e">
        <f>IF(OR(G1049=1,G1049=2),dadosexternosBMF_1!B1052,"")</f>
        <v>#REF!</v>
      </c>
      <c r="Q1049" s="219" t="e">
        <f>IF(OR(G1049=1,G1049=2),dadosexternosBMF_1!D1052,"")</f>
        <v>#REF!</v>
      </c>
    </row>
    <row r="1050" spans="1:17" x14ac:dyDescent="0.2">
      <c r="A1050" s="222" t="e">
        <f t="shared" si="108"/>
        <v>#REF!</v>
      </c>
      <c r="B1050" s="222" t="str">
        <f>IF(dadosexternosBMF_1!A1053="DI1 - DI de 1 dia","DI1 - DI de 1 dia","")</f>
        <v/>
      </c>
      <c r="C1050" s="222" t="e">
        <f>IF(dadosexternosBMF_1!A1053="DOL - Dólar comercial","",IF(C1049&lt;&gt;"",dadosexternosBMF_1!B1053,IF(dadosexternosBMF_1!A1053="DI1 - DI de 1 dia",dadosexternosBMF_1!B1053,"")))</f>
        <v>#REF!</v>
      </c>
      <c r="D1050" s="222" t="e">
        <f>IF(C1050&lt;&gt;"",dadosexternosBMF_1!C1053,"")</f>
        <v>#REF!</v>
      </c>
      <c r="E1050" s="222" t="e">
        <f>IF(C1050&lt;&gt;"",dadosexternosBMF_1!D1053,"")</f>
        <v>#REF!</v>
      </c>
      <c r="G1050" s="219" t="e">
        <f t="shared" si="109"/>
        <v>#REF!</v>
      </c>
      <c r="H1050" s="219" t="e">
        <f t="shared" si="110"/>
        <v>#REF!</v>
      </c>
      <c r="I1050" s="219" t="e">
        <f t="shared" si="111"/>
        <v>#REF!</v>
      </c>
      <c r="J1050" s="219" t="e">
        <f>IF(I1050="","",VLOOKUP(LEFT(C1050,1),dadosexternosBMF_1!$L$2:$M$13,2,FALSE))</f>
        <v>#REF!</v>
      </c>
      <c r="K1050" s="219" t="e">
        <f t="shared" si="112"/>
        <v>#REF!</v>
      </c>
      <c r="L1050" s="422" t="e">
        <f t="shared" si="113"/>
        <v>#REF!</v>
      </c>
      <c r="M1050" s="422" t="e">
        <f>IF(I1050="","",WORKDAY(L1050-1,1,FERIADOS!$A$2:$A$831))</f>
        <v>#REF!</v>
      </c>
      <c r="N1050" s="219" t="e">
        <f>IF(I1050="","",NETWORKDAYS(Curva!$M$2,M1050,FERIADOS!$A$2:$A$831)-1)</f>
        <v>#REF!</v>
      </c>
      <c r="O1050" s="423" t="e">
        <f>IF(C1050&lt;&gt;"",IF(ISERROR((100000/E1050)^(252/N1050)-1),Curva!$B$2,((100000/E1050)^(252/N1050)-1)),"")</f>
        <v>#REF!</v>
      </c>
      <c r="P1050" s="219" t="e">
        <f>IF(OR(G1050=1,G1050=2),dadosexternosBMF_1!B1053,"")</f>
        <v>#REF!</v>
      </c>
      <c r="Q1050" s="219" t="e">
        <f>IF(OR(G1050=1,G1050=2),dadosexternosBMF_1!D1053,"")</f>
        <v>#REF!</v>
      </c>
    </row>
    <row r="1051" spans="1:17" x14ac:dyDescent="0.2">
      <c r="A1051" s="222" t="e">
        <f t="shared" ref="A1051:A1114" si="114">IF(AND(A1050&lt;&gt;"",C1051&lt;&gt;""),A1050+1,IF(B1051="DI1 - DI de 1 dia",1,""))</f>
        <v>#REF!</v>
      </c>
      <c r="B1051" s="222" t="str">
        <f>IF(dadosexternosBMF_1!A1054="DI1 - DI de 1 dia","DI1 - DI de 1 dia","")</f>
        <v/>
      </c>
      <c r="C1051" s="222" t="e">
        <f>IF(dadosexternosBMF_1!A1054="DOL - Dólar comercial","",IF(C1050&lt;&gt;"",dadosexternosBMF_1!B1054,IF(dadosexternosBMF_1!A1054="DI1 - DI de 1 dia",dadosexternosBMF_1!B1054,"")))</f>
        <v>#REF!</v>
      </c>
      <c r="D1051" s="222" t="e">
        <f>IF(C1051&lt;&gt;"",dadosexternosBMF_1!C1054,"")</f>
        <v>#REF!</v>
      </c>
      <c r="E1051" s="222" t="e">
        <f>IF(C1051&lt;&gt;"",dadosexternosBMF_1!D1054,"")</f>
        <v>#REF!</v>
      </c>
      <c r="G1051" s="219" t="e">
        <f t="shared" ref="G1051:G1114" si="115">IF(G1050=1,2,IF(AND(H1051="",H1050&lt;&gt;""),1,""))</f>
        <v>#REF!</v>
      </c>
      <c r="H1051" s="219" t="e">
        <f t="shared" ref="H1051:H1114" si="116">IF(A1051&lt;&gt;"",A1051,"")</f>
        <v>#REF!</v>
      </c>
      <c r="I1051" s="219" t="e">
        <f t="shared" ref="I1051:I1114" si="117">IF(A1051&lt;&gt;"",(CONCATENATE("DI1",C1051)),"")</f>
        <v>#REF!</v>
      </c>
      <c r="J1051" s="219" t="e">
        <f>IF(I1051="","",VLOOKUP(LEFT(C1051,1),dadosexternosBMF_1!$L$2:$M$13,2,FALSE))</f>
        <v>#REF!</v>
      </c>
      <c r="K1051" s="219" t="e">
        <f t="shared" ref="K1051:K1114" si="118">IF(I1051="","",1+CONCATENATE(20,RIGHT(C1051,2))-1)</f>
        <v>#REF!</v>
      </c>
      <c r="L1051" s="422" t="e">
        <f t="shared" ref="L1051:L1114" si="119">IF(I1051="","",CONCATENATE(1,"/",J1051,"/",K1051)+1-1)</f>
        <v>#REF!</v>
      </c>
      <c r="M1051" s="422" t="e">
        <f>IF(I1051="","",WORKDAY(L1051-1,1,FERIADOS!$A$2:$A$831))</f>
        <v>#REF!</v>
      </c>
      <c r="N1051" s="219" t="e">
        <f>IF(I1051="","",NETWORKDAYS(Curva!$M$2,M1051,FERIADOS!$A$2:$A$831)-1)</f>
        <v>#REF!</v>
      </c>
      <c r="O1051" s="423" t="e">
        <f>IF(C1051&lt;&gt;"",IF(ISERROR((100000/E1051)^(252/N1051)-1),Curva!$B$2,((100000/E1051)^(252/N1051)-1)),"")</f>
        <v>#REF!</v>
      </c>
      <c r="P1051" s="219" t="e">
        <f>IF(OR(G1051=1,G1051=2),dadosexternosBMF_1!B1054,"")</f>
        <v>#REF!</v>
      </c>
      <c r="Q1051" s="219" t="e">
        <f>IF(OR(G1051=1,G1051=2),dadosexternosBMF_1!D1054,"")</f>
        <v>#REF!</v>
      </c>
    </row>
    <row r="1052" spans="1:17" x14ac:dyDescent="0.2">
      <c r="A1052" s="222" t="e">
        <f t="shared" si="114"/>
        <v>#REF!</v>
      </c>
      <c r="B1052" s="222" t="str">
        <f>IF(dadosexternosBMF_1!A1055="DI1 - DI de 1 dia","DI1 - DI de 1 dia","")</f>
        <v/>
      </c>
      <c r="C1052" s="222" t="e">
        <f>IF(dadosexternosBMF_1!A1055="DOL - Dólar comercial","",IF(C1051&lt;&gt;"",dadosexternosBMF_1!B1055,IF(dadosexternosBMF_1!A1055="DI1 - DI de 1 dia",dadosexternosBMF_1!B1055,"")))</f>
        <v>#REF!</v>
      </c>
      <c r="D1052" s="222" t="e">
        <f>IF(C1052&lt;&gt;"",dadosexternosBMF_1!C1055,"")</f>
        <v>#REF!</v>
      </c>
      <c r="E1052" s="222" t="e">
        <f>IF(C1052&lt;&gt;"",dadosexternosBMF_1!D1055,"")</f>
        <v>#REF!</v>
      </c>
      <c r="G1052" s="219" t="e">
        <f t="shared" si="115"/>
        <v>#REF!</v>
      </c>
      <c r="H1052" s="219" t="e">
        <f t="shared" si="116"/>
        <v>#REF!</v>
      </c>
      <c r="I1052" s="219" t="e">
        <f t="shared" si="117"/>
        <v>#REF!</v>
      </c>
      <c r="J1052" s="219" t="e">
        <f>IF(I1052="","",VLOOKUP(LEFT(C1052,1),dadosexternosBMF_1!$L$2:$M$13,2,FALSE))</f>
        <v>#REF!</v>
      </c>
      <c r="K1052" s="219" t="e">
        <f t="shared" si="118"/>
        <v>#REF!</v>
      </c>
      <c r="L1052" s="422" t="e">
        <f t="shared" si="119"/>
        <v>#REF!</v>
      </c>
      <c r="M1052" s="422" t="e">
        <f>IF(I1052="","",WORKDAY(L1052-1,1,FERIADOS!$A$2:$A$831))</f>
        <v>#REF!</v>
      </c>
      <c r="N1052" s="219" t="e">
        <f>IF(I1052="","",NETWORKDAYS(Curva!$M$2,M1052,FERIADOS!$A$2:$A$831)-1)</f>
        <v>#REF!</v>
      </c>
      <c r="O1052" s="423" t="e">
        <f>IF(C1052&lt;&gt;"",IF(ISERROR((100000/E1052)^(252/N1052)-1),Curva!$B$2,((100000/E1052)^(252/N1052)-1)),"")</f>
        <v>#REF!</v>
      </c>
      <c r="P1052" s="219" t="e">
        <f>IF(OR(G1052=1,G1052=2),dadosexternosBMF_1!B1055,"")</f>
        <v>#REF!</v>
      </c>
      <c r="Q1052" s="219" t="e">
        <f>IF(OR(G1052=1,G1052=2),dadosexternosBMF_1!D1055,"")</f>
        <v>#REF!</v>
      </c>
    </row>
    <row r="1053" spans="1:17" x14ac:dyDescent="0.2">
      <c r="A1053" s="222" t="e">
        <f t="shared" si="114"/>
        <v>#REF!</v>
      </c>
      <c r="B1053" s="222" t="str">
        <f>IF(dadosexternosBMF_1!A1056="DI1 - DI de 1 dia","DI1 - DI de 1 dia","")</f>
        <v/>
      </c>
      <c r="C1053" s="222" t="e">
        <f>IF(dadosexternosBMF_1!A1056="DOL - Dólar comercial","",IF(C1052&lt;&gt;"",dadosexternosBMF_1!B1056,IF(dadosexternosBMF_1!A1056="DI1 - DI de 1 dia",dadosexternosBMF_1!B1056,"")))</f>
        <v>#REF!</v>
      </c>
      <c r="D1053" s="222" t="e">
        <f>IF(C1053&lt;&gt;"",dadosexternosBMF_1!C1056,"")</f>
        <v>#REF!</v>
      </c>
      <c r="E1053" s="222" t="e">
        <f>IF(C1053&lt;&gt;"",dadosexternosBMF_1!D1056,"")</f>
        <v>#REF!</v>
      </c>
      <c r="G1053" s="219" t="e">
        <f t="shared" si="115"/>
        <v>#REF!</v>
      </c>
      <c r="H1053" s="219" t="e">
        <f t="shared" si="116"/>
        <v>#REF!</v>
      </c>
      <c r="I1053" s="219" t="e">
        <f t="shared" si="117"/>
        <v>#REF!</v>
      </c>
      <c r="J1053" s="219" t="e">
        <f>IF(I1053="","",VLOOKUP(LEFT(C1053,1),dadosexternosBMF_1!$L$2:$M$13,2,FALSE))</f>
        <v>#REF!</v>
      </c>
      <c r="K1053" s="219" t="e">
        <f t="shared" si="118"/>
        <v>#REF!</v>
      </c>
      <c r="L1053" s="422" t="e">
        <f t="shared" si="119"/>
        <v>#REF!</v>
      </c>
      <c r="M1053" s="422" t="e">
        <f>IF(I1053="","",WORKDAY(L1053-1,1,FERIADOS!$A$2:$A$831))</f>
        <v>#REF!</v>
      </c>
      <c r="N1053" s="219" t="e">
        <f>IF(I1053="","",NETWORKDAYS(Curva!$M$2,M1053,FERIADOS!$A$2:$A$831)-1)</f>
        <v>#REF!</v>
      </c>
      <c r="O1053" s="423" t="e">
        <f>IF(C1053&lt;&gt;"",IF(ISERROR((100000/E1053)^(252/N1053)-1),Curva!$B$2,((100000/E1053)^(252/N1053)-1)),"")</f>
        <v>#REF!</v>
      </c>
      <c r="P1053" s="219" t="e">
        <f>IF(OR(G1053=1,G1053=2),dadosexternosBMF_1!B1056,"")</f>
        <v>#REF!</v>
      </c>
      <c r="Q1053" s="219" t="e">
        <f>IF(OR(G1053=1,G1053=2),dadosexternosBMF_1!D1056,"")</f>
        <v>#REF!</v>
      </c>
    </row>
    <row r="1054" spans="1:17" x14ac:dyDescent="0.2">
      <c r="A1054" s="222" t="e">
        <f t="shared" si="114"/>
        <v>#REF!</v>
      </c>
      <c r="B1054" s="222" t="str">
        <f>IF(dadosexternosBMF_1!A1057="DI1 - DI de 1 dia","DI1 - DI de 1 dia","")</f>
        <v/>
      </c>
      <c r="C1054" s="222" t="e">
        <f>IF(dadosexternosBMF_1!A1057="DOL - Dólar comercial","",IF(C1053&lt;&gt;"",dadosexternosBMF_1!B1057,IF(dadosexternosBMF_1!A1057="DI1 - DI de 1 dia",dadosexternosBMF_1!B1057,"")))</f>
        <v>#REF!</v>
      </c>
      <c r="D1054" s="222" t="e">
        <f>IF(C1054&lt;&gt;"",dadosexternosBMF_1!C1057,"")</f>
        <v>#REF!</v>
      </c>
      <c r="E1054" s="222" t="e">
        <f>IF(C1054&lt;&gt;"",dadosexternosBMF_1!D1057,"")</f>
        <v>#REF!</v>
      </c>
      <c r="G1054" s="219" t="e">
        <f t="shared" si="115"/>
        <v>#REF!</v>
      </c>
      <c r="H1054" s="219" t="e">
        <f t="shared" si="116"/>
        <v>#REF!</v>
      </c>
      <c r="I1054" s="219" t="e">
        <f t="shared" si="117"/>
        <v>#REF!</v>
      </c>
      <c r="J1054" s="219" t="e">
        <f>IF(I1054="","",VLOOKUP(LEFT(C1054,1),dadosexternosBMF_1!$L$2:$M$13,2,FALSE))</f>
        <v>#REF!</v>
      </c>
      <c r="K1054" s="219" t="e">
        <f t="shared" si="118"/>
        <v>#REF!</v>
      </c>
      <c r="L1054" s="422" t="e">
        <f t="shared" si="119"/>
        <v>#REF!</v>
      </c>
      <c r="M1054" s="422" t="e">
        <f>IF(I1054="","",WORKDAY(L1054-1,1,FERIADOS!$A$2:$A$831))</f>
        <v>#REF!</v>
      </c>
      <c r="N1054" s="219" t="e">
        <f>IF(I1054="","",NETWORKDAYS(Curva!$M$2,M1054,FERIADOS!$A$2:$A$831)-1)</f>
        <v>#REF!</v>
      </c>
      <c r="O1054" s="423" t="e">
        <f>IF(C1054&lt;&gt;"",IF(ISERROR((100000/E1054)^(252/N1054)-1),Curva!$B$2,((100000/E1054)^(252/N1054)-1)),"")</f>
        <v>#REF!</v>
      </c>
      <c r="P1054" s="219" t="e">
        <f>IF(OR(G1054=1,G1054=2),dadosexternosBMF_1!B1057,"")</f>
        <v>#REF!</v>
      </c>
      <c r="Q1054" s="219" t="e">
        <f>IF(OR(G1054=1,G1054=2),dadosexternosBMF_1!D1057,"")</f>
        <v>#REF!</v>
      </c>
    </row>
    <row r="1055" spans="1:17" x14ac:dyDescent="0.2">
      <c r="A1055" s="222" t="e">
        <f t="shared" si="114"/>
        <v>#REF!</v>
      </c>
      <c r="B1055" s="222" t="str">
        <f>IF(dadosexternosBMF_1!A1058="DI1 - DI de 1 dia","DI1 - DI de 1 dia","")</f>
        <v/>
      </c>
      <c r="C1055" s="222" t="e">
        <f>IF(dadosexternosBMF_1!A1058="DOL - Dólar comercial","",IF(C1054&lt;&gt;"",dadosexternosBMF_1!B1058,IF(dadosexternosBMF_1!A1058="DI1 - DI de 1 dia",dadosexternosBMF_1!B1058,"")))</f>
        <v>#REF!</v>
      </c>
      <c r="D1055" s="222" t="e">
        <f>IF(C1055&lt;&gt;"",dadosexternosBMF_1!C1058,"")</f>
        <v>#REF!</v>
      </c>
      <c r="E1055" s="222" t="e">
        <f>IF(C1055&lt;&gt;"",dadosexternosBMF_1!D1058,"")</f>
        <v>#REF!</v>
      </c>
      <c r="G1055" s="219" t="e">
        <f t="shared" si="115"/>
        <v>#REF!</v>
      </c>
      <c r="H1055" s="219" t="e">
        <f t="shared" si="116"/>
        <v>#REF!</v>
      </c>
      <c r="I1055" s="219" t="e">
        <f t="shared" si="117"/>
        <v>#REF!</v>
      </c>
      <c r="J1055" s="219" t="e">
        <f>IF(I1055="","",VLOOKUP(LEFT(C1055,1),dadosexternosBMF_1!$L$2:$M$13,2,FALSE))</f>
        <v>#REF!</v>
      </c>
      <c r="K1055" s="219" t="e">
        <f t="shared" si="118"/>
        <v>#REF!</v>
      </c>
      <c r="L1055" s="422" t="e">
        <f t="shared" si="119"/>
        <v>#REF!</v>
      </c>
      <c r="M1055" s="422" t="e">
        <f>IF(I1055="","",WORKDAY(L1055-1,1,FERIADOS!$A$2:$A$831))</f>
        <v>#REF!</v>
      </c>
      <c r="N1055" s="219" t="e">
        <f>IF(I1055="","",NETWORKDAYS(Curva!$M$2,M1055,FERIADOS!$A$2:$A$831)-1)</f>
        <v>#REF!</v>
      </c>
      <c r="O1055" s="423" t="e">
        <f>IF(C1055&lt;&gt;"",IF(ISERROR((100000/E1055)^(252/N1055)-1),Curva!$B$2,((100000/E1055)^(252/N1055)-1)),"")</f>
        <v>#REF!</v>
      </c>
      <c r="P1055" s="219" t="e">
        <f>IF(OR(G1055=1,G1055=2),dadosexternosBMF_1!B1058,"")</f>
        <v>#REF!</v>
      </c>
      <c r="Q1055" s="219" t="e">
        <f>IF(OR(G1055=1,G1055=2),dadosexternosBMF_1!D1058,"")</f>
        <v>#REF!</v>
      </c>
    </row>
    <row r="1056" spans="1:17" x14ac:dyDescent="0.2">
      <c r="A1056" s="222" t="e">
        <f t="shared" si="114"/>
        <v>#REF!</v>
      </c>
      <c r="B1056" s="222" t="str">
        <f>IF(dadosexternosBMF_1!A1059="DI1 - DI de 1 dia","DI1 - DI de 1 dia","")</f>
        <v/>
      </c>
      <c r="C1056" s="222" t="e">
        <f>IF(dadosexternosBMF_1!A1059="DOL - Dólar comercial","",IF(C1055&lt;&gt;"",dadosexternosBMF_1!B1059,IF(dadosexternosBMF_1!A1059="DI1 - DI de 1 dia",dadosexternosBMF_1!B1059,"")))</f>
        <v>#REF!</v>
      </c>
      <c r="D1056" s="222" t="e">
        <f>IF(C1056&lt;&gt;"",dadosexternosBMF_1!C1059,"")</f>
        <v>#REF!</v>
      </c>
      <c r="E1056" s="222" t="e">
        <f>IF(C1056&lt;&gt;"",dadosexternosBMF_1!D1059,"")</f>
        <v>#REF!</v>
      </c>
      <c r="G1056" s="219" t="e">
        <f t="shared" si="115"/>
        <v>#REF!</v>
      </c>
      <c r="H1056" s="219" t="e">
        <f t="shared" si="116"/>
        <v>#REF!</v>
      </c>
      <c r="I1056" s="219" t="e">
        <f t="shared" si="117"/>
        <v>#REF!</v>
      </c>
      <c r="J1056" s="219" t="e">
        <f>IF(I1056="","",VLOOKUP(LEFT(C1056,1),dadosexternosBMF_1!$L$2:$M$13,2,FALSE))</f>
        <v>#REF!</v>
      </c>
      <c r="K1056" s="219" t="e">
        <f t="shared" si="118"/>
        <v>#REF!</v>
      </c>
      <c r="L1056" s="422" t="e">
        <f t="shared" si="119"/>
        <v>#REF!</v>
      </c>
      <c r="M1056" s="422" t="e">
        <f>IF(I1056="","",WORKDAY(L1056-1,1,FERIADOS!$A$2:$A$831))</f>
        <v>#REF!</v>
      </c>
      <c r="N1056" s="219" t="e">
        <f>IF(I1056="","",NETWORKDAYS(Curva!$M$2,M1056,FERIADOS!$A$2:$A$831)-1)</f>
        <v>#REF!</v>
      </c>
      <c r="O1056" s="423" t="e">
        <f>IF(C1056&lt;&gt;"",IF(ISERROR((100000/E1056)^(252/N1056)-1),Curva!$B$2,((100000/E1056)^(252/N1056)-1)),"")</f>
        <v>#REF!</v>
      </c>
      <c r="P1056" s="219" t="e">
        <f>IF(OR(G1056=1,G1056=2),dadosexternosBMF_1!B1059,"")</f>
        <v>#REF!</v>
      </c>
      <c r="Q1056" s="219" t="e">
        <f>IF(OR(G1056=1,G1056=2),dadosexternosBMF_1!D1059,"")</f>
        <v>#REF!</v>
      </c>
    </row>
    <row r="1057" spans="1:17" x14ac:dyDescent="0.2">
      <c r="A1057" s="222" t="e">
        <f t="shared" si="114"/>
        <v>#REF!</v>
      </c>
      <c r="B1057" s="222" t="str">
        <f>IF(dadosexternosBMF_1!A1060="DI1 - DI de 1 dia","DI1 - DI de 1 dia","")</f>
        <v/>
      </c>
      <c r="C1057" s="222" t="e">
        <f>IF(dadosexternosBMF_1!A1060="DOL - Dólar comercial","",IF(C1056&lt;&gt;"",dadosexternosBMF_1!B1060,IF(dadosexternosBMF_1!A1060="DI1 - DI de 1 dia",dadosexternosBMF_1!B1060,"")))</f>
        <v>#REF!</v>
      </c>
      <c r="D1057" s="222" t="e">
        <f>IF(C1057&lt;&gt;"",dadosexternosBMF_1!C1060,"")</f>
        <v>#REF!</v>
      </c>
      <c r="E1057" s="222" t="e">
        <f>IF(C1057&lt;&gt;"",dadosexternosBMF_1!D1060,"")</f>
        <v>#REF!</v>
      </c>
      <c r="G1057" s="219" t="e">
        <f t="shared" si="115"/>
        <v>#REF!</v>
      </c>
      <c r="H1057" s="219" t="e">
        <f t="shared" si="116"/>
        <v>#REF!</v>
      </c>
      <c r="I1057" s="219" t="e">
        <f t="shared" si="117"/>
        <v>#REF!</v>
      </c>
      <c r="J1057" s="219" t="e">
        <f>IF(I1057="","",VLOOKUP(LEFT(C1057,1),dadosexternosBMF_1!$L$2:$M$13,2,FALSE))</f>
        <v>#REF!</v>
      </c>
      <c r="K1057" s="219" t="e">
        <f t="shared" si="118"/>
        <v>#REF!</v>
      </c>
      <c r="L1057" s="422" t="e">
        <f t="shared" si="119"/>
        <v>#REF!</v>
      </c>
      <c r="M1057" s="422" t="e">
        <f>IF(I1057="","",WORKDAY(L1057-1,1,FERIADOS!$A$2:$A$831))</f>
        <v>#REF!</v>
      </c>
      <c r="N1057" s="219" t="e">
        <f>IF(I1057="","",NETWORKDAYS(Curva!$M$2,M1057,FERIADOS!$A$2:$A$831)-1)</f>
        <v>#REF!</v>
      </c>
      <c r="O1057" s="423" t="e">
        <f>IF(C1057&lt;&gt;"",IF(ISERROR((100000/E1057)^(252/N1057)-1),Curva!$B$2,((100000/E1057)^(252/N1057)-1)),"")</f>
        <v>#REF!</v>
      </c>
      <c r="P1057" s="219" t="e">
        <f>IF(OR(G1057=1,G1057=2),dadosexternosBMF_1!B1060,"")</f>
        <v>#REF!</v>
      </c>
      <c r="Q1057" s="219" t="e">
        <f>IF(OR(G1057=1,G1057=2),dadosexternosBMF_1!D1060,"")</f>
        <v>#REF!</v>
      </c>
    </row>
    <row r="1058" spans="1:17" x14ac:dyDescent="0.2">
      <c r="A1058" s="222" t="e">
        <f t="shared" si="114"/>
        <v>#REF!</v>
      </c>
      <c r="B1058" s="222" t="str">
        <f>IF(dadosexternosBMF_1!A1061="DI1 - DI de 1 dia","DI1 - DI de 1 dia","")</f>
        <v/>
      </c>
      <c r="C1058" s="222" t="e">
        <f>IF(dadosexternosBMF_1!A1061="DOL - Dólar comercial","",IF(C1057&lt;&gt;"",dadosexternosBMF_1!B1061,IF(dadosexternosBMF_1!A1061="DI1 - DI de 1 dia",dadosexternosBMF_1!B1061,"")))</f>
        <v>#REF!</v>
      </c>
      <c r="D1058" s="222" t="e">
        <f>IF(C1058&lt;&gt;"",dadosexternosBMF_1!C1061,"")</f>
        <v>#REF!</v>
      </c>
      <c r="E1058" s="222" t="e">
        <f>IF(C1058&lt;&gt;"",dadosexternosBMF_1!D1061,"")</f>
        <v>#REF!</v>
      </c>
      <c r="G1058" s="219" t="e">
        <f t="shared" si="115"/>
        <v>#REF!</v>
      </c>
      <c r="H1058" s="219" t="e">
        <f t="shared" si="116"/>
        <v>#REF!</v>
      </c>
      <c r="I1058" s="219" t="e">
        <f t="shared" si="117"/>
        <v>#REF!</v>
      </c>
      <c r="J1058" s="219" t="e">
        <f>IF(I1058="","",VLOOKUP(LEFT(C1058,1),dadosexternosBMF_1!$L$2:$M$13,2,FALSE))</f>
        <v>#REF!</v>
      </c>
      <c r="K1058" s="219" t="e">
        <f t="shared" si="118"/>
        <v>#REF!</v>
      </c>
      <c r="L1058" s="422" t="e">
        <f t="shared" si="119"/>
        <v>#REF!</v>
      </c>
      <c r="M1058" s="422" t="e">
        <f>IF(I1058="","",WORKDAY(L1058-1,1,FERIADOS!$A$2:$A$831))</f>
        <v>#REF!</v>
      </c>
      <c r="N1058" s="219" t="e">
        <f>IF(I1058="","",NETWORKDAYS(Curva!$M$2,M1058,FERIADOS!$A$2:$A$831)-1)</f>
        <v>#REF!</v>
      </c>
      <c r="O1058" s="423" t="e">
        <f>IF(C1058&lt;&gt;"",IF(ISERROR((100000/E1058)^(252/N1058)-1),Curva!$B$2,((100000/E1058)^(252/N1058)-1)),"")</f>
        <v>#REF!</v>
      </c>
      <c r="P1058" s="219" t="e">
        <f>IF(OR(G1058=1,G1058=2),dadosexternosBMF_1!B1061,"")</f>
        <v>#REF!</v>
      </c>
      <c r="Q1058" s="219" t="e">
        <f>IF(OR(G1058=1,G1058=2),dadosexternosBMF_1!D1061,"")</f>
        <v>#REF!</v>
      </c>
    </row>
    <row r="1059" spans="1:17" x14ac:dyDescent="0.2">
      <c r="A1059" s="222" t="e">
        <f t="shared" si="114"/>
        <v>#REF!</v>
      </c>
      <c r="B1059" s="222" t="str">
        <f>IF(dadosexternosBMF_1!A1062="DI1 - DI de 1 dia","DI1 - DI de 1 dia","")</f>
        <v/>
      </c>
      <c r="C1059" s="222" t="e">
        <f>IF(dadosexternosBMF_1!A1062="DOL - Dólar comercial","",IF(C1058&lt;&gt;"",dadosexternosBMF_1!B1062,IF(dadosexternosBMF_1!A1062="DI1 - DI de 1 dia",dadosexternosBMF_1!B1062,"")))</f>
        <v>#REF!</v>
      </c>
      <c r="D1059" s="222" t="e">
        <f>IF(C1059&lt;&gt;"",dadosexternosBMF_1!C1062,"")</f>
        <v>#REF!</v>
      </c>
      <c r="E1059" s="222" t="e">
        <f>IF(C1059&lt;&gt;"",dadosexternosBMF_1!D1062,"")</f>
        <v>#REF!</v>
      </c>
      <c r="G1059" s="219" t="e">
        <f t="shared" si="115"/>
        <v>#REF!</v>
      </c>
      <c r="H1059" s="219" t="e">
        <f t="shared" si="116"/>
        <v>#REF!</v>
      </c>
      <c r="I1059" s="219" t="e">
        <f t="shared" si="117"/>
        <v>#REF!</v>
      </c>
      <c r="J1059" s="219" t="e">
        <f>IF(I1059="","",VLOOKUP(LEFT(C1059,1),dadosexternosBMF_1!$L$2:$M$13,2,FALSE))</f>
        <v>#REF!</v>
      </c>
      <c r="K1059" s="219" t="e">
        <f t="shared" si="118"/>
        <v>#REF!</v>
      </c>
      <c r="L1059" s="422" t="e">
        <f t="shared" si="119"/>
        <v>#REF!</v>
      </c>
      <c r="M1059" s="422" t="e">
        <f>IF(I1059="","",WORKDAY(L1059-1,1,FERIADOS!$A$2:$A$831))</f>
        <v>#REF!</v>
      </c>
      <c r="N1059" s="219" t="e">
        <f>IF(I1059="","",NETWORKDAYS(Curva!$M$2,M1059,FERIADOS!$A$2:$A$831)-1)</f>
        <v>#REF!</v>
      </c>
      <c r="O1059" s="423" t="e">
        <f>IF(C1059&lt;&gt;"",IF(ISERROR((100000/E1059)^(252/N1059)-1),Curva!$B$2,((100000/E1059)^(252/N1059)-1)),"")</f>
        <v>#REF!</v>
      </c>
      <c r="P1059" s="219" t="e">
        <f>IF(OR(G1059=1,G1059=2),dadosexternosBMF_1!B1062,"")</f>
        <v>#REF!</v>
      </c>
      <c r="Q1059" s="219" t="e">
        <f>IF(OR(G1059=1,G1059=2),dadosexternosBMF_1!D1062,"")</f>
        <v>#REF!</v>
      </c>
    </row>
    <row r="1060" spans="1:17" x14ac:dyDescent="0.2">
      <c r="A1060" s="222" t="e">
        <f t="shared" si="114"/>
        <v>#REF!</v>
      </c>
      <c r="B1060" s="222" t="str">
        <f>IF(dadosexternosBMF_1!A1063="DI1 - DI de 1 dia","DI1 - DI de 1 dia","")</f>
        <v/>
      </c>
      <c r="C1060" s="222" t="e">
        <f>IF(dadosexternosBMF_1!A1063="DOL - Dólar comercial","",IF(C1059&lt;&gt;"",dadosexternosBMF_1!B1063,IF(dadosexternosBMF_1!A1063="DI1 - DI de 1 dia",dadosexternosBMF_1!B1063,"")))</f>
        <v>#REF!</v>
      </c>
      <c r="D1060" s="222" t="e">
        <f>IF(C1060&lt;&gt;"",dadosexternosBMF_1!C1063,"")</f>
        <v>#REF!</v>
      </c>
      <c r="E1060" s="222" t="e">
        <f>IF(C1060&lt;&gt;"",dadosexternosBMF_1!D1063,"")</f>
        <v>#REF!</v>
      </c>
      <c r="G1060" s="219" t="e">
        <f t="shared" si="115"/>
        <v>#REF!</v>
      </c>
      <c r="H1060" s="219" t="e">
        <f t="shared" si="116"/>
        <v>#REF!</v>
      </c>
      <c r="I1060" s="219" t="e">
        <f t="shared" si="117"/>
        <v>#REF!</v>
      </c>
      <c r="J1060" s="219" t="e">
        <f>IF(I1060="","",VLOOKUP(LEFT(C1060,1),dadosexternosBMF_1!$L$2:$M$13,2,FALSE))</f>
        <v>#REF!</v>
      </c>
      <c r="K1060" s="219" t="e">
        <f t="shared" si="118"/>
        <v>#REF!</v>
      </c>
      <c r="L1060" s="422" t="e">
        <f t="shared" si="119"/>
        <v>#REF!</v>
      </c>
      <c r="M1060" s="422" t="e">
        <f>IF(I1060="","",WORKDAY(L1060-1,1,FERIADOS!$A$2:$A$831))</f>
        <v>#REF!</v>
      </c>
      <c r="N1060" s="219" t="e">
        <f>IF(I1060="","",NETWORKDAYS(Curva!$M$2,M1060,FERIADOS!$A$2:$A$831)-1)</f>
        <v>#REF!</v>
      </c>
      <c r="O1060" s="423" t="e">
        <f>IF(C1060&lt;&gt;"",IF(ISERROR((100000/E1060)^(252/N1060)-1),Curva!$B$2,((100000/E1060)^(252/N1060)-1)),"")</f>
        <v>#REF!</v>
      </c>
      <c r="P1060" s="219" t="e">
        <f>IF(OR(G1060=1,G1060=2),dadosexternosBMF_1!B1063,"")</f>
        <v>#REF!</v>
      </c>
      <c r="Q1060" s="219" t="e">
        <f>IF(OR(G1060=1,G1060=2),dadosexternosBMF_1!D1063,"")</f>
        <v>#REF!</v>
      </c>
    </row>
    <row r="1061" spans="1:17" x14ac:dyDescent="0.2">
      <c r="A1061" s="222" t="e">
        <f t="shared" si="114"/>
        <v>#REF!</v>
      </c>
      <c r="B1061" s="222" t="str">
        <f>IF(dadosexternosBMF_1!A1064="DI1 - DI de 1 dia","DI1 - DI de 1 dia","")</f>
        <v/>
      </c>
      <c r="C1061" s="222" t="e">
        <f>IF(dadosexternosBMF_1!A1064="DOL - Dólar comercial","",IF(C1060&lt;&gt;"",dadosexternosBMF_1!B1064,IF(dadosexternosBMF_1!A1064="DI1 - DI de 1 dia",dadosexternosBMF_1!B1064,"")))</f>
        <v>#REF!</v>
      </c>
      <c r="D1061" s="222" t="e">
        <f>IF(C1061&lt;&gt;"",dadosexternosBMF_1!C1064,"")</f>
        <v>#REF!</v>
      </c>
      <c r="E1061" s="222" t="e">
        <f>IF(C1061&lt;&gt;"",dadosexternosBMF_1!D1064,"")</f>
        <v>#REF!</v>
      </c>
      <c r="G1061" s="219" t="e">
        <f t="shared" si="115"/>
        <v>#REF!</v>
      </c>
      <c r="H1061" s="219" t="e">
        <f t="shared" si="116"/>
        <v>#REF!</v>
      </c>
      <c r="I1061" s="219" t="e">
        <f t="shared" si="117"/>
        <v>#REF!</v>
      </c>
      <c r="J1061" s="219" t="e">
        <f>IF(I1061="","",VLOOKUP(LEFT(C1061,1),dadosexternosBMF_1!$L$2:$M$13,2,FALSE))</f>
        <v>#REF!</v>
      </c>
      <c r="K1061" s="219" t="e">
        <f t="shared" si="118"/>
        <v>#REF!</v>
      </c>
      <c r="L1061" s="422" t="e">
        <f t="shared" si="119"/>
        <v>#REF!</v>
      </c>
      <c r="M1061" s="422" t="e">
        <f>IF(I1061="","",WORKDAY(L1061-1,1,FERIADOS!$A$2:$A$831))</f>
        <v>#REF!</v>
      </c>
      <c r="N1061" s="219" t="e">
        <f>IF(I1061="","",NETWORKDAYS(Curva!$M$2,M1061,FERIADOS!$A$2:$A$831)-1)</f>
        <v>#REF!</v>
      </c>
      <c r="O1061" s="423" t="e">
        <f>IF(C1061&lt;&gt;"",IF(ISERROR((100000/E1061)^(252/N1061)-1),Curva!$B$2,((100000/E1061)^(252/N1061)-1)),"")</f>
        <v>#REF!</v>
      </c>
      <c r="P1061" s="219" t="e">
        <f>IF(OR(G1061=1,G1061=2),dadosexternosBMF_1!B1064,"")</f>
        <v>#REF!</v>
      </c>
      <c r="Q1061" s="219" t="e">
        <f>IF(OR(G1061=1,G1061=2),dadosexternosBMF_1!D1064,"")</f>
        <v>#REF!</v>
      </c>
    </row>
    <row r="1062" spans="1:17" x14ac:dyDescent="0.2">
      <c r="A1062" s="222" t="e">
        <f t="shared" si="114"/>
        <v>#REF!</v>
      </c>
      <c r="B1062" s="222" t="str">
        <f>IF(dadosexternosBMF_1!A1065="DI1 - DI de 1 dia","DI1 - DI de 1 dia","")</f>
        <v/>
      </c>
      <c r="C1062" s="222" t="e">
        <f>IF(dadosexternosBMF_1!A1065="DOL - Dólar comercial","",IF(C1061&lt;&gt;"",dadosexternosBMF_1!B1065,IF(dadosexternosBMF_1!A1065="DI1 - DI de 1 dia",dadosexternosBMF_1!B1065,"")))</f>
        <v>#REF!</v>
      </c>
      <c r="D1062" s="222" t="e">
        <f>IF(C1062&lt;&gt;"",dadosexternosBMF_1!C1065,"")</f>
        <v>#REF!</v>
      </c>
      <c r="E1062" s="222" t="e">
        <f>IF(C1062&lt;&gt;"",dadosexternosBMF_1!D1065,"")</f>
        <v>#REF!</v>
      </c>
      <c r="G1062" s="219" t="e">
        <f t="shared" si="115"/>
        <v>#REF!</v>
      </c>
      <c r="H1062" s="219" t="e">
        <f t="shared" si="116"/>
        <v>#REF!</v>
      </c>
      <c r="I1062" s="219" t="e">
        <f t="shared" si="117"/>
        <v>#REF!</v>
      </c>
      <c r="J1062" s="219" t="e">
        <f>IF(I1062="","",VLOOKUP(LEFT(C1062,1),dadosexternosBMF_1!$L$2:$M$13,2,FALSE))</f>
        <v>#REF!</v>
      </c>
      <c r="K1062" s="219" t="e">
        <f t="shared" si="118"/>
        <v>#REF!</v>
      </c>
      <c r="L1062" s="422" t="e">
        <f t="shared" si="119"/>
        <v>#REF!</v>
      </c>
      <c r="M1062" s="422" t="e">
        <f>IF(I1062="","",WORKDAY(L1062-1,1,FERIADOS!$A$2:$A$831))</f>
        <v>#REF!</v>
      </c>
      <c r="N1062" s="219" t="e">
        <f>IF(I1062="","",NETWORKDAYS(Curva!$M$2,M1062,FERIADOS!$A$2:$A$831)-1)</f>
        <v>#REF!</v>
      </c>
      <c r="O1062" s="423" t="e">
        <f>IF(C1062&lt;&gt;"",IF(ISERROR((100000/E1062)^(252/N1062)-1),Curva!$B$2,((100000/E1062)^(252/N1062)-1)),"")</f>
        <v>#REF!</v>
      </c>
      <c r="P1062" s="219" t="e">
        <f>IF(OR(G1062=1,G1062=2),dadosexternosBMF_1!B1065,"")</f>
        <v>#REF!</v>
      </c>
      <c r="Q1062" s="219" t="e">
        <f>IF(OR(G1062=1,G1062=2),dadosexternosBMF_1!D1065,"")</f>
        <v>#REF!</v>
      </c>
    </row>
    <row r="1063" spans="1:17" x14ac:dyDescent="0.2">
      <c r="A1063" s="222" t="e">
        <f t="shared" si="114"/>
        <v>#REF!</v>
      </c>
      <c r="B1063" s="222" t="str">
        <f>IF(dadosexternosBMF_1!A1066="DI1 - DI de 1 dia","DI1 - DI de 1 dia","")</f>
        <v/>
      </c>
      <c r="C1063" s="222" t="e">
        <f>IF(dadosexternosBMF_1!A1066="DOL - Dólar comercial","",IF(C1062&lt;&gt;"",dadosexternosBMF_1!B1066,IF(dadosexternosBMF_1!A1066="DI1 - DI de 1 dia",dadosexternosBMF_1!B1066,"")))</f>
        <v>#REF!</v>
      </c>
      <c r="D1063" s="222" t="e">
        <f>IF(C1063&lt;&gt;"",dadosexternosBMF_1!C1066,"")</f>
        <v>#REF!</v>
      </c>
      <c r="E1063" s="222" t="e">
        <f>IF(C1063&lt;&gt;"",dadosexternosBMF_1!D1066,"")</f>
        <v>#REF!</v>
      </c>
      <c r="G1063" s="219" t="e">
        <f t="shared" si="115"/>
        <v>#REF!</v>
      </c>
      <c r="H1063" s="219" t="e">
        <f t="shared" si="116"/>
        <v>#REF!</v>
      </c>
      <c r="I1063" s="219" t="e">
        <f t="shared" si="117"/>
        <v>#REF!</v>
      </c>
      <c r="J1063" s="219" t="e">
        <f>IF(I1063="","",VLOOKUP(LEFT(C1063,1),dadosexternosBMF_1!$L$2:$M$13,2,FALSE))</f>
        <v>#REF!</v>
      </c>
      <c r="K1063" s="219" t="e">
        <f t="shared" si="118"/>
        <v>#REF!</v>
      </c>
      <c r="L1063" s="422" t="e">
        <f t="shared" si="119"/>
        <v>#REF!</v>
      </c>
      <c r="M1063" s="422" t="e">
        <f>IF(I1063="","",WORKDAY(L1063-1,1,FERIADOS!$A$2:$A$831))</f>
        <v>#REF!</v>
      </c>
      <c r="N1063" s="219" t="e">
        <f>IF(I1063="","",NETWORKDAYS(Curva!$M$2,M1063,FERIADOS!$A$2:$A$831)-1)</f>
        <v>#REF!</v>
      </c>
      <c r="O1063" s="423" t="e">
        <f>IF(C1063&lt;&gt;"",IF(ISERROR((100000/E1063)^(252/N1063)-1),Curva!$B$2,((100000/E1063)^(252/N1063)-1)),"")</f>
        <v>#REF!</v>
      </c>
      <c r="P1063" s="219" t="e">
        <f>IF(OR(G1063=1,G1063=2),dadosexternosBMF_1!B1066,"")</f>
        <v>#REF!</v>
      </c>
      <c r="Q1063" s="219" t="e">
        <f>IF(OR(G1063=1,G1063=2),dadosexternosBMF_1!D1066,"")</f>
        <v>#REF!</v>
      </c>
    </row>
    <row r="1064" spans="1:17" x14ac:dyDescent="0.2">
      <c r="A1064" s="222" t="e">
        <f t="shared" si="114"/>
        <v>#REF!</v>
      </c>
      <c r="B1064" s="222" t="str">
        <f>IF(dadosexternosBMF_1!A1067="DI1 - DI de 1 dia","DI1 - DI de 1 dia","")</f>
        <v/>
      </c>
      <c r="C1064" s="222" t="e">
        <f>IF(dadosexternosBMF_1!A1067="DOL - Dólar comercial","",IF(C1063&lt;&gt;"",dadosexternosBMF_1!B1067,IF(dadosexternosBMF_1!A1067="DI1 - DI de 1 dia",dadosexternosBMF_1!B1067,"")))</f>
        <v>#REF!</v>
      </c>
      <c r="D1064" s="222" t="e">
        <f>IF(C1064&lt;&gt;"",dadosexternosBMF_1!C1067,"")</f>
        <v>#REF!</v>
      </c>
      <c r="E1064" s="222" t="e">
        <f>IF(C1064&lt;&gt;"",dadosexternosBMF_1!D1067,"")</f>
        <v>#REF!</v>
      </c>
      <c r="G1064" s="219" t="e">
        <f t="shared" si="115"/>
        <v>#REF!</v>
      </c>
      <c r="H1064" s="219" t="e">
        <f t="shared" si="116"/>
        <v>#REF!</v>
      </c>
      <c r="I1064" s="219" t="e">
        <f t="shared" si="117"/>
        <v>#REF!</v>
      </c>
      <c r="J1064" s="219" t="e">
        <f>IF(I1064="","",VLOOKUP(LEFT(C1064,1),dadosexternosBMF_1!$L$2:$M$13,2,FALSE))</f>
        <v>#REF!</v>
      </c>
      <c r="K1064" s="219" t="e">
        <f t="shared" si="118"/>
        <v>#REF!</v>
      </c>
      <c r="L1064" s="422" t="e">
        <f t="shared" si="119"/>
        <v>#REF!</v>
      </c>
      <c r="M1064" s="422" t="e">
        <f>IF(I1064="","",WORKDAY(L1064-1,1,FERIADOS!$A$2:$A$831))</f>
        <v>#REF!</v>
      </c>
      <c r="N1064" s="219" t="e">
        <f>IF(I1064="","",NETWORKDAYS(Curva!$M$2,M1064,FERIADOS!$A$2:$A$831)-1)</f>
        <v>#REF!</v>
      </c>
      <c r="O1064" s="423" t="e">
        <f>IF(C1064&lt;&gt;"",IF(ISERROR((100000/E1064)^(252/N1064)-1),Curva!$B$2,((100000/E1064)^(252/N1064)-1)),"")</f>
        <v>#REF!</v>
      </c>
      <c r="P1064" s="219" t="e">
        <f>IF(OR(G1064=1,G1064=2),dadosexternosBMF_1!B1067,"")</f>
        <v>#REF!</v>
      </c>
      <c r="Q1064" s="219" t="e">
        <f>IF(OR(G1064=1,G1064=2),dadosexternosBMF_1!D1067,"")</f>
        <v>#REF!</v>
      </c>
    </row>
    <row r="1065" spans="1:17" x14ac:dyDescent="0.2">
      <c r="A1065" s="222" t="e">
        <f t="shared" si="114"/>
        <v>#REF!</v>
      </c>
      <c r="B1065" s="222" t="str">
        <f>IF(dadosexternosBMF_1!A1068="DI1 - DI de 1 dia","DI1 - DI de 1 dia","")</f>
        <v/>
      </c>
      <c r="C1065" s="222" t="e">
        <f>IF(dadosexternosBMF_1!A1068="DOL - Dólar comercial","",IF(C1064&lt;&gt;"",dadosexternosBMF_1!B1068,IF(dadosexternosBMF_1!A1068="DI1 - DI de 1 dia",dadosexternosBMF_1!B1068,"")))</f>
        <v>#REF!</v>
      </c>
      <c r="D1065" s="222" t="e">
        <f>IF(C1065&lt;&gt;"",dadosexternosBMF_1!C1068,"")</f>
        <v>#REF!</v>
      </c>
      <c r="E1065" s="222" t="e">
        <f>IF(C1065&lt;&gt;"",dadosexternosBMF_1!D1068,"")</f>
        <v>#REF!</v>
      </c>
      <c r="G1065" s="219" t="e">
        <f t="shared" si="115"/>
        <v>#REF!</v>
      </c>
      <c r="H1065" s="219" t="e">
        <f t="shared" si="116"/>
        <v>#REF!</v>
      </c>
      <c r="I1065" s="219" t="e">
        <f t="shared" si="117"/>
        <v>#REF!</v>
      </c>
      <c r="J1065" s="219" t="e">
        <f>IF(I1065="","",VLOOKUP(LEFT(C1065,1),dadosexternosBMF_1!$L$2:$M$13,2,FALSE))</f>
        <v>#REF!</v>
      </c>
      <c r="K1065" s="219" t="e">
        <f t="shared" si="118"/>
        <v>#REF!</v>
      </c>
      <c r="L1065" s="422" t="e">
        <f t="shared" si="119"/>
        <v>#REF!</v>
      </c>
      <c r="M1065" s="422" t="e">
        <f>IF(I1065="","",WORKDAY(L1065-1,1,FERIADOS!$A$2:$A$831))</f>
        <v>#REF!</v>
      </c>
      <c r="N1065" s="219" t="e">
        <f>IF(I1065="","",NETWORKDAYS(Curva!$M$2,M1065,FERIADOS!$A$2:$A$831)-1)</f>
        <v>#REF!</v>
      </c>
      <c r="O1065" s="423" t="e">
        <f>IF(C1065&lt;&gt;"",IF(ISERROR((100000/E1065)^(252/N1065)-1),Curva!$B$2,((100000/E1065)^(252/N1065)-1)),"")</f>
        <v>#REF!</v>
      </c>
      <c r="P1065" s="219" t="e">
        <f>IF(OR(G1065=1,G1065=2),dadosexternosBMF_1!B1068,"")</f>
        <v>#REF!</v>
      </c>
      <c r="Q1065" s="219" t="e">
        <f>IF(OR(G1065=1,G1065=2),dadosexternosBMF_1!D1068,"")</f>
        <v>#REF!</v>
      </c>
    </row>
    <row r="1066" spans="1:17" x14ac:dyDescent="0.2">
      <c r="A1066" s="222" t="e">
        <f t="shared" si="114"/>
        <v>#REF!</v>
      </c>
      <c r="B1066" s="222" t="str">
        <f>IF(dadosexternosBMF_1!A1069="DI1 - DI de 1 dia","DI1 - DI de 1 dia","")</f>
        <v/>
      </c>
      <c r="C1066" s="222" t="e">
        <f>IF(dadosexternosBMF_1!A1069="DOL - Dólar comercial","",IF(C1065&lt;&gt;"",dadosexternosBMF_1!B1069,IF(dadosexternosBMF_1!A1069="DI1 - DI de 1 dia",dadosexternosBMF_1!B1069,"")))</f>
        <v>#REF!</v>
      </c>
      <c r="D1066" s="222" t="e">
        <f>IF(C1066&lt;&gt;"",dadosexternosBMF_1!C1069,"")</f>
        <v>#REF!</v>
      </c>
      <c r="E1066" s="222" t="e">
        <f>IF(C1066&lt;&gt;"",dadosexternosBMF_1!D1069,"")</f>
        <v>#REF!</v>
      </c>
      <c r="G1066" s="219" t="e">
        <f t="shared" si="115"/>
        <v>#REF!</v>
      </c>
      <c r="H1066" s="219" t="e">
        <f t="shared" si="116"/>
        <v>#REF!</v>
      </c>
      <c r="I1066" s="219" t="e">
        <f t="shared" si="117"/>
        <v>#REF!</v>
      </c>
      <c r="J1066" s="219" t="e">
        <f>IF(I1066="","",VLOOKUP(LEFT(C1066,1),dadosexternosBMF_1!$L$2:$M$13,2,FALSE))</f>
        <v>#REF!</v>
      </c>
      <c r="K1066" s="219" t="e">
        <f t="shared" si="118"/>
        <v>#REF!</v>
      </c>
      <c r="L1066" s="422" t="e">
        <f t="shared" si="119"/>
        <v>#REF!</v>
      </c>
      <c r="M1066" s="422" t="e">
        <f>IF(I1066="","",WORKDAY(L1066-1,1,FERIADOS!$A$2:$A$831))</f>
        <v>#REF!</v>
      </c>
      <c r="N1066" s="219" t="e">
        <f>IF(I1066="","",NETWORKDAYS(Curva!$M$2,M1066,FERIADOS!$A$2:$A$831)-1)</f>
        <v>#REF!</v>
      </c>
      <c r="O1066" s="423" t="e">
        <f>IF(C1066&lt;&gt;"",IF(ISERROR((100000/E1066)^(252/N1066)-1),Curva!$B$2,((100000/E1066)^(252/N1066)-1)),"")</f>
        <v>#REF!</v>
      </c>
      <c r="P1066" s="219" t="e">
        <f>IF(OR(G1066=1,G1066=2),dadosexternosBMF_1!B1069,"")</f>
        <v>#REF!</v>
      </c>
      <c r="Q1066" s="219" t="e">
        <f>IF(OR(G1066=1,G1066=2),dadosexternosBMF_1!D1069,"")</f>
        <v>#REF!</v>
      </c>
    </row>
    <row r="1067" spans="1:17" x14ac:dyDescent="0.2">
      <c r="A1067" s="222" t="e">
        <f t="shared" si="114"/>
        <v>#REF!</v>
      </c>
      <c r="B1067" s="222" t="str">
        <f>IF(dadosexternosBMF_1!A1070="DI1 - DI de 1 dia","DI1 - DI de 1 dia","")</f>
        <v/>
      </c>
      <c r="C1067" s="222" t="e">
        <f>IF(dadosexternosBMF_1!A1070="DOL - Dólar comercial","",IF(C1066&lt;&gt;"",dadosexternosBMF_1!B1070,IF(dadosexternosBMF_1!A1070="DI1 - DI de 1 dia",dadosexternosBMF_1!B1070,"")))</f>
        <v>#REF!</v>
      </c>
      <c r="D1067" s="222" t="e">
        <f>IF(C1067&lt;&gt;"",dadosexternosBMF_1!C1070,"")</f>
        <v>#REF!</v>
      </c>
      <c r="E1067" s="222" t="e">
        <f>IF(C1067&lt;&gt;"",dadosexternosBMF_1!D1070,"")</f>
        <v>#REF!</v>
      </c>
      <c r="G1067" s="219" t="e">
        <f t="shared" si="115"/>
        <v>#REF!</v>
      </c>
      <c r="H1067" s="219" t="e">
        <f t="shared" si="116"/>
        <v>#REF!</v>
      </c>
      <c r="I1067" s="219" t="e">
        <f t="shared" si="117"/>
        <v>#REF!</v>
      </c>
      <c r="J1067" s="219" t="e">
        <f>IF(I1067="","",VLOOKUP(LEFT(C1067,1),dadosexternosBMF_1!$L$2:$M$13,2,FALSE))</f>
        <v>#REF!</v>
      </c>
      <c r="K1067" s="219" t="e">
        <f t="shared" si="118"/>
        <v>#REF!</v>
      </c>
      <c r="L1067" s="422" t="e">
        <f t="shared" si="119"/>
        <v>#REF!</v>
      </c>
      <c r="M1067" s="422" t="e">
        <f>IF(I1067="","",WORKDAY(L1067-1,1,FERIADOS!$A$2:$A$831))</f>
        <v>#REF!</v>
      </c>
      <c r="N1067" s="219" t="e">
        <f>IF(I1067="","",NETWORKDAYS(Curva!$M$2,M1067,FERIADOS!$A$2:$A$831)-1)</f>
        <v>#REF!</v>
      </c>
      <c r="O1067" s="423" t="e">
        <f>IF(C1067&lt;&gt;"",IF(ISERROR((100000/E1067)^(252/N1067)-1),Curva!$B$2,((100000/E1067)^(252/N1067)-1)),"")</f>
        <v>#REF!</v>
      </c>
      <c r="P1067" s="219" t="e">
        <f>IF(OR(G1067=1,G1067=2),dadosexternosBMF_1!B1070,"")</f>
        <v>#REF!</v>
      </c>
      <c r="Q1067" s="219" t="e">
        <f>IF(OR(G1067=1,G1067=2),dadosexternosBMF_1!D1070,"")</f>
        <v>#REF!</v>
      </c>
    </row>
    <row r="1068" spans="1:17" x14ac:dyDescent="0.2">
      <c r="A1068" s="222" t="e">
        <f t="shared" si="114"/>
        <v>#REF!</v>
      </c>
      <c r="B1068" s="222" t="str">
        <f>IF(dadosexternosBMF_1!A1071="DI1 - DI de 1 dia","DI1 - DI de 1 dia","")</f>
        <v/>
      </c>
      <c r="C1068" s="222" t="e">
        <f>IF(dadosexternosBMF_1!A1071="DOL - Dólar comercial","",IF(C1067&lt;&gt;"",dadosexternosBMF_1!B1071,IF(dadosexternosBMF_1!A1071="DI1 - DI de 1 dia",dadosexternosBMF_1!B1071,"")))</f>
        <v>#REF!</v>
      </c>
      <c r="D1068" s="222" t="e">
        <f>IF(C1068&lt;&gt;"",dadosexternosBMF_1!C1071,"")</f>
        <v>#REF!</v>
      </c>
      <c r="E1068" s="222" t="e">
        <f>IF(C1068&lt;&gt;"",dadosexternosBMF_1!D1071,"")</f>
        <v>#REF!</v>
      </c>
      <c r="G1068" s="219" t="e">
        <f t="shared" si="115"/>
        <v>#REF!</v>
      </c>
      <c r="H1068" s="219" t="e">
        <f t="shared" si="116"/>
        <v>#REF!</v>
      </c>
      <c r="I1068" s="219" t="e">
        <f t="shared" si="117"/>
        <v>#REF!</v>
      </c>
      <c r="J1068" s="219" t="e">
        <f>IF(I1068="","",VLOOKUP(LEFT(C1068,1),dadosexternosBMF_1!$L$2:$M$13,2,FALSE))</f>
        <v>#REF!</v>
      </c>
      <c r="K1068" s="219" t="e">
        <f t="shared" si="118"/>
        <v>#REF!</v>
      </c>
      <c r="L1068" s="422" t="e">
        <f t="shared" si="119"/>
        <v>#REF!</v>
      </c>
      <c r="M1068" s="422" t="e">
        <f>IF(I1068="","",WORKDAY(L1068-1,1,FERIADOS!$A$2:$A$831))</f>
        <v>#REF!</v>
      </c>
      <c r="N1068" s="219" t="e">
        <f>IF(I1068="","",NETWORKDAYS(Curva!$M$2,M1068,FERIADOS!$A$2:$A$831)-1)</f>
        <v>#REF!</v>
      </c>
      <c r="O1068" s="423" t="e">
        <f>IF(C1068&lt;&gt;"",IF(ISERROR((100000/E1068)^(252/N1068)-1),Curva!$B$2,((100000/E1068)^(252/N1068)-1)),"")</f>
        <v>#REF!</v>
      </c>
      <c r="P1068" s="219" t="e">
        <f>IF(OR(G1068=1,G1068=2),dadosexternosBMF_1!B1071,"")</f>
        <v>#REF!</v>
      </c>
      <c r="Q1068" s="219" t="e">
        <f>IF(OR(G1068=1,G1068=2),dadosexternosBMF_1!D1071,"")</f>
        <v>#REF!</v>
      </c>
    </row>
    <row r="1069" spans="1:17" x14ac:dyDescent="0.2">
      <c r="A1069" s="222" t="e">
        <f t="shared" si="114"/>
        <v>#REF!</v>
      </c>
      <c r="B1069" s="222" t="str">
        <f>IF(dadosexternosBMF_1!A1072="DI1 - DI de 1 dia","DI1 - DI de 1 dia","")</f>
        <v/>
      </c>
      <c r="C1069" s="222" t="e">
        <f>IF(dadosexternosBMF_1!A1072="DOL - Dólar comercial","",IF(C1068&lt;&gt;"",dadosexternosBMF_1!B1072,IF(dadosexternosBMF_1!A1072="DI1 - DI de 1 dia",dadosexternosBMF_1!B1072,"")))</f>
        <v>#REF!</v>
      </c>
      <c r="D1069" s="222" t="e">
        <f>IF(C1069&lt;&gt;"",dadosexternosBMF_1!C1072,"")</f>
        <v>#REF!</v>
      </c>
      <c r="E1069" s="222" t="e">
        <f>IF(C1069&lt;&gt;"",dadosexternosBMF_1!D1072,"")</f>
        <v>#REF!</v>
      </c>
      <c r="G1069" s="219" t="e">
        <f t="shared" si="115"/>
        <v>#REF!</v>
      </c>
      <c r="H1069" s="219" t="e">
        <f t="shared" si="116"/>
        <v>#REF!</v>
      </c>
      <c r="I1069" s="219" t="e">
        <f t="shared" si="117"/>
        <v>#REF!</v>
      </c>
      <c r="J1069" s="219" t="e">
        <f>IF(I1069="","",VLOOKUP(LEFT(C1069,1),dadosexternosBMF_1!$L$2:$M$13,2,FALSE))</f>
        <v>#REF!</v>
      </c>
      <c r="K1069" s="219" t="e">
        <f t="shared" si="118"/>
        <v>#REF!</v>
      </c>
      <c r="L1069" s="422" t="e">
        <f t="shared" si="119"/>
        <v>#REF!</v>
      </c>
      <c r="M1069" s="422" t="e">
        <f>IF(I1069="","",WORKDAY(L1069-1,1,FERIADOS!$A$2:$A$831))</f>
        <v>#REF!</v>
      </c>
      <c r="N1069" s="219" t="e">
        <f>IF(I1069="","",NETWORKDAYS(Curva!$M$2,M1069,FERIADOS!$A$2:$A$831)-1)</f>
        <v>#REF!</v>
      </c>
      <c r="O1069" s="423" t="e">
        <f>IF(C1069&lt;&gt;"",IF(ISERROR((100000/E1069)^(252/N1069)-1),Curva!$B$2,((100000/E1069)^(252/N1069)-1)),"")</f>
        <v>#REF!</v>
      </c>
      <c r="P1069" s="219" t="e">
        <f>IF(OR(G1069=1,G1069=2),dadosexternosBMF_1!B1072,"")</f>
        <v>#REF!</v>
      </c>
      <c r="Q1069" s="219" t="e">
        <f>IF(OR(G1069=1,G1069=2),dadosexternosBMF_1!D1072,"")</f>
        <v>#REF!</v>
      </c>
    </row>
    <row r="1070" spans="1:17" x14ac:dyDescent="0.2">
      <c r="A1070" s="222" t="e">
        <f t="shared" si="114"/>
        <v>#REF!</v>
      </c>
      <c r="B1070" s="222" t="str">
        <f>IF(dadosexternosBMF_1!A1073="DI1 - DI de 1 dia","DI1 - DI de 1 dia","")</f>
        <v/>
      </c>
      <c r="C1070" s="222" t="e">
        <f>IF(dadosexternosBMF_1!A1073="DOL - Dólar comercial","",IF(C1069&lt;&gt;"",dadosexternosBMF_1!B1073,IF(dadosexternosBMF_1!A1073="DI1 - DI de 1 dia",dadosexternosBMF_1!B1073,"")))</f>
        <v>#REF!</v>
      </c>
      <c r="D1070" s="222" t="e">
        <f>IF(C1070&lt;&gt;"",dadosexternosBMF_1!C1073,"")</f>
        <v>#REF!</v>
      </c>
      <c r="E1070" s="222" t="e">
        <f>IF(C1070&lt;&gt;"",dadosexternosBMF_1!D1073,"")</f>
        <v>#REF!</v>
      </c>
      <c r="G1070" s="219" t="e">
        <f t="shared" si="115"/>
        <v>#REF!</v>
      </c>
      <c r="H1070" s="219" t="e">
        <f t="shared" si="116"/>
        <v>#REF!</v>
      </c>
      <c r="I1070" s="219" t="e">
        <f t="shared" si="117"/>
        <v>#REF!</v>
      </c>
      <c r="J1070" s="219" t="e">
        <f>IF(I1070="","",VLOOKUP(LEFT(C1070,1),dadosexternosBMF_1!$L$2:$M$13,2,FALSE))</f>
        <v>#REF!</v>
      </c>
      <c r="K1070" s="219" t="e">
        <f t="shared" si="118"/>
        <v>#REF!</v>
      </c>
      <c r="L1070" s="422" t="e">
        <f t="shared" si="119"/>
        <v>#REF!</v>
      </c>
      <c r="M1070" s="422" t="e">
        <f>IF(I1070="","",WORKDAY(L1070-1,1,FERIADOS!$A$2:$A$831))</f>
        <v>#REF!</v>
      </c>
      <c r="N1070" s="219" t="e">
        <f>IF(I1070="","",NETWORKDAYS(Curva!$M$2,M1070,FERIADOS!$A$2:$A$831)-1)</f>
        <v>#REF!</v>
      </c>
      <c r="O1070" s="423" t="e">
        <f>IF(C1070&lt;&gt;"",IF(ISERROR((100000/E1070)^(252/N1070)-1),Curva!$B$2,((100000/E1070)^(252/N1070)-1)),"")</f>
        <v>#REF!</v>
      </c>
      <c r="P1070" s="219" t="e">
        <f>IF(OR(G1070=1,G1070=2),dadosexternosBMF_1!B1073,"")</f>
        <v>#REF!</v>
      </c>
      <c r="Q1070" s="219" t="e">
        <f>IF(OR(G1070=1,G1070=2),dadosexternosBMF_1!D1073,"")</f>
        <v>#REF!</v>
      </c>
    </row>
    <row r="1071" spans="1:17" x14ac:dyDescent="0.2">
      <c r="A1071" s="222" t="e">
        <f t="shared" si="114"/>
        <v>#REF!</v>
      </c>
      <c r="B1071" s="222" t="str">
        <f>IF(dadosexternosBMF_1!A1074="DI1 - DI de 1 dia","DI1 - DI de 1 dia","")</f>
        <v/>
      </c>
      <c r="C1071" s="222" t="e">
        <f>IF(dadosexternosBMF_1!A1074="DOL - Dólar comercial","",IF(C1070&lt;&gt;"",dadosexternosBMF_1!B1074,IF(dadosexternosBMF_1!A1074="DI1 - DI de 1 dia",dadosexternosBMF_1!B1074,"")))</f>
        <v>#REF!</v>
      </c>
      <c r="D1071" s="222" t="e">
        <f>IF(C1071&lt;&gt;"",dadosexternosBMF_1!C1074,"")</f>
        <v>#REF!</v>
      </c>
      <c r="E1071" s="222" t="e">
        <f>IF(C1071&lt;&gt;"",dadosexternosBMF_1!D1074,"")</f>
        <v>#REF!</v>
      </c>
      <c r="G1071" s="219" t="e">
        <f t="shared" si="115"/>
        <v>#REF!</v>
      </c>
      <c r="H1071" s="219" t="e">
        <f t="shared" si="116"/>
        <v>#REF!</v>
      </c>
      <c r="I1071" s="219" t="e">
        <f t="shared" si="117"/>
        <v>#REF!</v>
      </c>
      <c r="J1071" s="219" t="e">
        <f>IF(I1071="","",VLOOKUP(LEFT(C1071,1),dadosexternosBMF_1!$L$2:$M$13,2,FALSE))</f>
        <v>#REF!</v>
      </c>
      <c r="K1071" s="219" t="e">
        <f t="shared" si="118"/>
        <v>#REF!</v>
      </c>
      <c r="L1071" s="422" t="e">
        <f t="shared" si="119"/>
        <v>#REF!</v>
      </c>
      <c r="M1071" s="422" t="e">
        <f>IF(I1071="","",WORKDAY(L1071-1,1,FERIADOS!$A$2:$A$831))</f>
        <v>#REF!</v>
      </c>
      <c r="N1071" s="219" t="e">
        <f>IF(I1071="","",NETWORKDAYS(Curva!$M$2,M1071,FERIADOS!$A$2:$A$831)-1)</f>
        <v>#REF!</v>
      </c>
      <c r="O1071" s="423" t="e">
        <f>IF(C1071&lt;&gt;"",IF(ISERROR((100000/E1071)^(252/N1071)-1),Curva!$B$2,((100000/E1071)^(252/N1071)-1)),"")</f>
        <v>#REF!</v>
      </c>
      <c r="P1071" s="219" t="e">
        <f>IF(OR(G1071=1,G1071=2),dadosexternosBMF_1!B1074,"")</f>
        <v>#REF!</v>
      </c>
      <c r="Q1071" s="219" t="e">
        <f>IF(OR(G1071=1,G1071=2),dadosexternosBMF_1!D1074,"")</f>
        <v>#REF!</v>
      </c>
    </row>
    <row r="1072" spans="1:17" x14ac:dyDescent="0.2">
      <c r="A1072" s="222" t="e">
        <f t="shared" si="114"/>
        <v>#REF!</v>
      </c>
      <c r="B1072" s="222" t="str">
        <f>IF(dadosexternosBMF_1!A1075="DI1 - DI de 1 dia","DI1 - DI de 1 dia","")</f>
        <v/>
      </c>
      <c r="C1072" s="222" t="e">
        <f>IF(dadosexternosBMF_1!A1075="DOL - Dólar comercial","",IF(C1071&lt;&gt;"",dadosexternosBMF_1!B1075,IF(dadosexternosBMF_1!A1075="DI1 - DI de 1 dia",dadosexternosBMF_1!B1075,"")))</f>
        <v>#REF!</v>
      </c>
      <c r="D1072" s="222" t="e">
        <f>IF(C1072&lt;&gt;"",dadosexternosBMF_1!C1075,"")</f>
        <v>#REF!</v>
      </c>
      <c r="E1072" s="222" t="e">
        <f>IF(C1072&lt;&gt;"",dadosexternosBMF_1!D1075,"")</f>
        <v>#REF!</v>
      </c>
      <c r="G1072" s="219" t="e">
        <f t="shared" si="115"/>
        <v>#REF!</v>
      </c>
      <c r="H1072" s="219" t="e">
        <f t="shared" si="116"/>
        <v>#REF!</v>
      </c>
      <c r="I1072" s="219" t="e">
        <f t="shared" si="117"/>
        <v>#REF!</v>
      </c>
      <c r="J1072" s="219" t="e">
        <f>IF(I1072="","",VLOOKUP(LEFT(C1072,1),dadosexternosBMF_1!$L$2:$M$13,2,FALSE))</f>
        <v>#REF!</v>
      </c>
      <c r="K1072" s="219" t="e">
        <f t="shared" si="118"/>
        <v>#REF!</v>
      </c>
      <c r="L1072" s="422" t="e">
        <f t="shared" si="119"/>
        <v>#REF!</v>
      </c>
      <c r="M1072" s="422" t="e">
        <f>IF(I1072="","",WORKDAY(L1072-1,1,FERIADOS!$A$2:$A$831))</f>
        <v>#REF!</v>
      </c>
      <c r="N1072" s="219" t="e">
        <f>IF(I1072="","",NETWORKDAYS(Curva!$M$2,M1072,FERIADOS!$A$2:$A$831)-1)</f>
        <v>#REF!</v>
      </c>
      <c r="O1072" s="423" t="e">
        <f>IF(C1072&lt;&gt;"",IF(ISERROR((100000/E1072)^(252/N1072)-1),Curva!$B$2,((100000/E1072)^(252/N1072)-1)),"")</f>
        <v>#REF!</v>
      </c>
      <c r="P1072" s="219" t="e">
        <f>IF(OR(G1072=1,G1072=2),dadosexternosBMF_1!B1075,"")</f>
        <v>#REF!</v>
      </c>
      <c r="Q1072" s="219" t="e">
        <f>IF(OR(G1072=1,G1072=2),dadosexternosBMF_1!D1075,"")</f>
        <v>#REF!</v>
      </c>
    </row>
    <row r="1073" spans="1:17" x14ac:dyDescent="0.2">
      <c r="A1073" s="222" t="e">
        <f t="shared" si="114"/>
        <v>#REF!</v>
      </c>
      <c r="B1073" s="222" t="str">
        <f>IF(dadosexternosBMF_1!A1076="DI1 - DI de 1 dia","DI1 - DI de 1 dia","")</f>
        <v/>
      </c>
      <c r="C1073" s="222" t="e">
        <f>IF(dadosexternosBMF_1!A1076="DOL - Dólar comercial","",IF(C1072&lt;&gt;"",dadosexternosBMF_1!B1076,IF(dadosexternosBMF_1!A1076="DI1 - DI de 1 dia",dadosexternosBMF_1!B1076,"")))</f>
        <v>#REF!</v>
      </c>
      <c r="D1073" s="222" t="e">
        <f>IF(C1073&lt;&gt;"",dadosexternosBMF_1!C1076,"")</f>
        <v>#REF!</v>
      </c>
      <c r="E1073" s="222" t="e">
        <f>IF(C1073&lt;&gt;"",dadosexternosBMF_1!D1076,"")</f>
        <v>#REF!</v>
      </c>
      <c r="G1073" s="219" t="e">
        <f t="shared" si="115"/>
        <v>#REF!</v>
      </c>
      <c r="H1073" s="219" t="e">
        <f t="shared" si="116"/>
        <v>#REF!</v>
      </c>
      <c r="I1073" s="219" t="e">
        <f t="shared" si="117"/>
        <v>#REF!</v>
      </c>
      <c r="J1073" s="219" t="e">
        <f>IF(I1073="","",VLOOKUP(LEFT(C1073,1),dadosexternosBMF_1!$L$2:$M$13,2,FALSE))</f>
        <v>#REF!</v>
      </c>
      <c r="K1073" s="219" t="e">
        <f t="shared" si="118"/>
        <v>#REF!</v>
      </c>
      <c r="L1073" s="422" t="e">
        <f t="shared" si="119"/>
        <v>#REF!</v>
      </c>
      <c r="M1073" s="422" t="e">
        <f>IF(I1073="","",WORKDAY(L1073-1,1,FERIADOS!$A$2:$A$831))</f>
        <v>#REF!</v>
      </c>
      <c r="N1073" s="219" t="e">
        <f>IF(I1073="","",NETWORKDAYS(Curva!$M$2,M1073,FERIADOS!$A$2:$A$831)-1)</f>
        <v>#REF!</v>
      </c>
      <c r="O1073" s="423" t="e">
        <f>IF(C1073&lt;&gt;"",IF(ISERROR((100000/E1073)^(252/N1073)-1),Curva!$B$2,((100000/E1073)^(252/N1073)-1)),"")</f>
        <v>#REF!</v>
      </c>
      <c r="P1073" s="219" t="e">
        <f>IF(OR(G1073=1,G1073=2),dadosexternosBMF_1!B1076,"")</f>
        <v>#REF!</v>
      </c>
      <c r="Q1073" s="219" t="e">
        <f>IF(OR(G1073=1,G1073=2),dadosexternosBMF_1!D1076,"")</f>
        <v>#REF!</v>
      </c>
    </row>
    <row r="1074" spans="1:17" x14ac:dyDescent="0.2">
      <c r="A1074" s="222" t="e">
        <f t="shared" si="114"/>
        <v>#REF!</v>
      </c>
      <c r="B1074" s="222" t="str">
        <f>IF(dadosexternosBMF_1!A1077="DI1 - DI de 1 dia","DI1 - DI de 1 dia","")</f>
        <v/>
      </c>
      <c r="C1074" s="222" t="e">
        <f>IF(dadosexternosBMF_1!A1077="DOL - Dólar comercial","",IF(C1073&lt;&gt;"",dadosexternosBMF_1!B1077,IF(dadosexternosBMF_1!A1077="DI1 - DI de 1 dia",dadosexternosBMF_1!B1077,"")))</f>
        <v>#REF!</v>
      </c>
      <c r="D1074" s="222" t="e">
        <f>IF(C1074&lt;&gt;"",dadosexternosBMF_1!C1077,"")</f>
        <v>#REF!</v>
      </c>
      <c r="E1074" s="222" t="e">
        <f>IF(C1074&lt;&gt;"",dadosexternosBMF_1!D1077,"")</f>
        <v>#REF!</v>
      </c>
      <c r="G1074" s="219" t="e">
        <f t="shared" si="115"/>
        <v>#REF!</v>
      </c>
      <c r="H1074" s="219" t="e">
        <f t="shared" si="116"/>
        <v>#REF!</v>
      </c>
      <c r="I1074" s="219" t="e">
        <f t="shared" si="117"/>
        <v>#REF!</v>
      </c>
      <c r="J1074" s="219" t="e">
        <f>IF(I1074="","",VLOOKUP(LEFT(C1074,1),dadosexternosBMF_1!$L$2:$M$13,2,FALSE))</f>
        <v>#REF!</v>
      </c>
      <c r="K1074" s="219" t="e">
        <f t="shared" si="118"/>
        <v>#REF!</v>
      </c>
      <c r="L1074" s="422" t="e">
        <f t="shared" si="119"/>
        <v>#REF!</v>
      </c>
      <c r="M1074" s="422" t="e">
        <f>IF(I1074="","",WORKDAY(L1074-1,1,FERIADOS!$A$2:$A$831))</f>
        <v>#REF!</v>
      </c>
      <c r="N1074" s="219" t="e">
        <f>IF(I1074="","",NETWORKDAYS(Curva!$M$2,M1074,FERIADOS!$A$2:$A$831)-1)</f>
        <v>#REF!</v>
      </c>
      <c r="O1074" s="423" t="e">
        <f>IF(C1074&lt;&gt;"",IF(ISERROR((100000/E1074)^(252/N1074)-1),Curva!$B$2,((100000/E1074)^(252/N1074)-1)),"")</f>
        <v>#REF!</v>
      </c>
      <c r="P1074" s="219" t="e">
        <f>IF(OR(G1074=1,G1074=2),dadosexternosBMF_1!B1077,"")</f>
        <v>#REF!</v>
      </c>
      <c r="Q1074" s="219" t="e">
        <f>IF(OR(G1074=1,G1074=2),dadosexternosBMF_1!D1077,"")</f>
        <v>#REF!</v>
      </c>
    </row>
    <row r="1075" spans="1:17" x14ac:dyDescent="0.2">
      <c r="A1075" s="222" t="e">
        <f t="shared" si="114"/>
        <v>#REF!</v>
      </c>
      <c r="B1075" s="222" t="str">
        <f>IF(dadosexternosBMF_1!A1078="DI1 - DI de 1 dia","DI1 - DI de 1 dia","")</f>
        <v/>
      </c>
      <c r="C1075" s="222" t="e">
        <f>IF(dadosexternosBMF_1!A1078="DOL - Dólar comercial","",IF(C1074&lt;&gt;"",dadosexternosBMF_1!B1078,IF(dadosexternosBMF_1!A1078="DI1 - DI de 1 dia",dadosexternosBMF_1!B1078,"")))</f>
        <v>#REF!</v>
      </c>
      <c r="D1075" s="222" t="e">
        <f>IF(C1075&lt;&gt;"",dadosexternosBMF_1!C1078,"")</f>
        <v>#REF!</v>
      </c>
      <c r="E1075" s="222" t="e">
        <f>IF(C1075&lt;&gt;"",dadosexternosBMF_1!D1078,"")</f>
        <v>#REF!</v>
      </c>
      <c r="G1075" s="219" t="e">
        <f t="shared" si="115"/>
        <v>#REF!</v>
      </c>
      <c r="H1075" s="219" t="e">
        <f t="shared" si="116"/>
        <v>#REF!</v>
      </c>
      <c r="I1075" s="219" t="e">
        <f t="shared" si="117"/>
        <v>#REF!</v>
      </c>
      <c r="J1075" s="219" t="e">
        <f>IF(I1075="","",VLOOKUP(LEFT(C1075,1),dadosexternosBMF_1!$L$2:$M$13,2,FALSE))</f>
        <v>#REF!</v>
      </c>
      <c r="K1075" s="219" t="e">
        <f t="shared" si="118"/>
        <v>#REF!</v>
      </c>
      <c r="L1075" s="422" t="e">
        <f t="shared" si="119"/>
        <v>#REF!</v>
      </c>
      <c r="M1075" s="422" t="e">
        <f>IF(I1075="","",WORKDAY(L1075-1,1,FERIADOS!$A$2:$A$831))</f>
        <v>#REF!</v>
      </c>
      <c r="N1075" s="219" t="e">
        <f>IF(I1075="","",NETWORKDAYS(Curva!$M$2,M1075,FERIADOS!$A$2:$A$831)-1)</f>
        <v>#REF!</v>
      </c>
      <c r="O1075" s="423" t="e">
        <f>IF(C1075&lt;&gt;"",IF(ISERROR((100000/E1075)^(252/N1075)-1),Curva!$B$2,((100000/E1075)^(252/N1075)-1)),"")</f>
        <v>#REF!</v>
      </c>
      <c r="P1075" s="219" t="e">
        <f>IF(OR(G1075=1,G1075=2),dadosexternosBMF_1!B1078,"")</f>
        <v>#REF!</v>
      </c>
      <c r="Q1075" s="219" t="e">
        <f>IF(OR(G1075=1,G1075=2),dadosexternosBMF_1!D1078,"")</f>
        <v>#REF!</v>
      </c>
    </row>
    <row r="1076" spans="1:17" x14ac:dyDescent="0.2">
      <c r="A1076" s="222" t="e">
        <f t="shared" si="114"/>
        <v>#REF!</v>
      </c>
      <c r="B1076" s="222" t="str">
        <f>IF(dadosexternosBMF_1!A1079="DI1 - DI de 1 dia","DI1 - DI de 1 dia","")</f>
        <v/>
      </c>
      <c r="C1076" s="222" t="e">
        <f>IF(dadosexternosBMF_1!A1079="DOL - Dólar comercial","",IF(C1075&lt;&gt;"",dadosexternosBMF_1!B1079,IF(dadosexternosBMF_1!A1079="DI1 - DI de 1 dia",dadosexternosBMF_1!B1079,"")))</f>
        <v>#REF!</v>
      </c>
      <c r="D1076" s="222" t="e">
        <f>IF(C1076&lt;&gt;"",dadosexternosBMF_1!C1079,"")</f>
        <v>#REF!</v>
      </c>
      <c r="E1076" s="222" t="e">
        <f>IF(C1076&lt;&gt;"",dadosexternosBMF_1!D1079,"")</f>
        <v>#REF!</v>
      </c>
      <c r="G1076" s="219" t="e">
        <f t="shared" si="115"/>
        <v>#REF!</v>
      </c>
      <c r="H1076" s="219" t="e">
        <f t="shared" si="116"/>
        <v>#REF!</v>
      </c>
      <c r="I1076" s="219" t="e">
        <f t="shared" si="117"/>
        <v>#REF!</v>
      </c>
      <c r="J1076" s="219" t="e">
        <f>IF(I1076="","",VLOOKUP(LEFT(C1076,1),dadosexternosBMF_1!$L$2:$M$13,2,FALSE))</f>
        <v>#REF!</v>
      </c>
      <c r="K1076" s="219" t="e">
        <f t="shared" si="118"/>
        <v>#REF!</v>
      </c>
      <c r="L1076" s="422" t="e">
        <f t="shared" si="119"/>
        <v>#REF!</v>
      </c>
      <c r="M1076" s="422" t="e">
        <f>IF(I1076="","",WORKDAY(L1076-1,1,FERIADOS!$A$2:$A$831))</f>
        <v>#REF!</v>
      </c>
      <c r="N1076" s="219" t="e">
        <f>IF(I1076="","",NETWORKDAYS(Curva!$M$2,M1076,FERIADOS!$A$2:$A$831)-1)</f>
        <v>#REF!</v>
      </c>
      <c r="O1076" s="423" t="e">
        <f>IF(C1076&lt;&gt;"",IF(ISERROR((100000/E1076)^(252/N1076)-1),Curva!$B$2,((100000/E1076)^(252/N1076)-1)),"")</f>
        <v>#REF!</v>
      </c>
      <c r="P1076" s="219" t="e">
        <f>IF(OR(G1076=1,G1076=2),dadosexternosBMF_1!B1079,"")</f>
        <v>#REF!</v>
      </c>
      <c r="Q1076" s="219" t="e">
        <f>IF(OR(G1076=1,G1076=2),dadosexternosBMF_1!D1079,"")</f>
        <v>#REF!</v>
      </c>
    </row>
    <row r="1077" spans="1:17" x14ac:dyDescent="0.2">
      <c r="A1077" s="222" t="e">
        <f t="shared" si="114"/>
        <v>#REF!</v>
      </c>
      <c r="B1077" s="222" t="str">
        <f>IF(dadosexternosBMF_1!A1080="DI1 - DI de 1 dia","DI1 - DI de 1 dia","")</f>
        <v/>
      </c>
      <c r="C1077" s="222" t="e">
        <f>IF(dadosexternosBMF_1!A1080="DOL - Dólar comercial","",IF(C1076&lt;&gt;"",dadosexternosBMF_1!B1080,IF(dadosexternosBMF_1!A1080="DI1 - DI de 1 dia",dadosexternosBMF_1!B1080,"")))</f>
        <v>#REF!</v>
      </c>
      <c r="D1077" s="222" t="e">
        <f>IF(C1077&lt;&gt;"",dadosexternosBMF_1!C1080,"")</f>
        <v>#REF!</v>
      </c>
      <c r="E1077" s="222" t="e">
        <f>IF(C1077&lt;&gt;"",dadosexternosBMF_1!D1080,"")</f>
        <v>#REF!</v>
      </c>
      <c r="G1077" s="219" t="e">
        <f t="shared" si="115"/>
        <v>#REF!</v>
      </c>
      <c r="H1077" s="219" t="e">
        <f t="shared" si="116"/>
        <v>#REF!</v>
      </c>
      <c r="I1077" s="219" t="e">
        <f t="shared" si="117"/>
        <v>#REF!</v>
      </c>
      <c r="J1077" s="219" t="e">
        <f>IF(I1077="","",VLOOKUP(LEFT(C1077,1),dadosexternosBMF_1!$L$2:$M$13,2,FALSE))</f>
        <v>#REF!</v>
      </c>
      <c r="K1077" s="219" t="e">
        <f t="shared" si="118"/>
        <v>#REF!</v>
      </c>
      <c r="L1077" s="422" t="e">
        <f t="shared" si="119"/>
        <v>#REF!</v>
      </c>
      <c r="M1077" s="422" t="e">
        <f>IF(I1077="","",WORKDAY(L1077-1,1,FERIADOS!$A$2:$A$831))</f>
        <v>#REF!</v>
      </c>
      <c r="N1077" s="219" t="e">
        <f>IF(I1077="","",NETWORKDAYS(Curva!$M$2,M1077,FERIADOS!$A$2:$A$831)-1)</f>
        <v>#REF!</v>
      </c>
      <c r="O1077" s="423" t="e">
        <f>IF(C1077&lt;&gt;"",IF(ISERROR((100000/E1077)^(252/N1077)-1),Curva!$B$2,((100000/E1077)^(252/N1077)-1)),"")</f>
        <v>#REF!</v>
      </c>
      <c r="P1077" s="219" t="e">
        <f>IF(OR(G1077=1,G1077=2),dadosexternosBMF_1!B1080,"")</f>
        <v>#REF!</v>
      </c>
      <c r="Q1077" s="219" t="e">
        <f>IF(OR(G1077=1,G1077=2),dadosexternosBMF_1!D1080,"")</f>
        <v>#REF!</v>
      </c>
    </row>
    <row r="1078" spans="1:17" x14ac:dyDescent="0.2">
      <c r="A1078" s="222" t="e">
        <f t="shared" si="114"/>
        <v>#REF!</v>
      </c>
      <c r="B1078" s="222" t="str">
        <f>IF(dadosexternosBMF_1!A1081="DI1 - DI de 1 dia","DI1 - DI de 1 dia","")</f>
        <v/>
      </c>
      <c r="C1078" s="222" t="e">
        <f>IF(dadosexternosBMF_1!A1081="DOL - Dólar comercial","",IF(C1077&lt;&gt;"",dadosexternosBMF_1!B1081,IF(dadosexternosBMF_1!A1081="DI1 - DI de 1 dia",dadosexternosBMF_1!B1081,"")))</f>
        <v>#REF!</v>
      </c>
      <c r="D1078" s="222" t="e">
        <f>IF(C1078&lt;&gt;"",dadosexternosBMF_1!C1081,"")</f>
        <v>#REF!</v>
      </c>
      <c r="E1078" s="222" t="e">
        <f>IF(C1078&lt;&gt;"",dadosexternosBMF_1!D1081,"")</f>
        <v>#REF!</v>
      </c>
      <c r="G1078" s="219" t="e">
        <f t="shared" si="115"/>
        <v>#REF!</v>
      </c>
      <c r="H1078" s="219" t="e">
        <f t="shared" si="116"/>
        <v>#REF!</v>
      </c>
      <c r="I1078" s="219" t="e">
        <f t="shared" si="117"/>
        <v>#REF!</v>
      </c>
      <c r="J1078" s="219" t="e">
        <f>IF(I1078="","",VLOOKUP(LEFT(C1078,1),dadosexternosBMF_1!$L$2:$M$13,2,FALSE))</f>
        <v>#REF!</v>
      </c>
      <c r="K1078" s="219" t="e">
        <f t="shared" si="118"/>
        <v>#REF!</v>
      </c>
      <c r="L1078" s="422" t="e">
        <f t="shared" si="119"/>
        <v>#REF!</v>
      </c>
      <c r="M1078" s="422" t="e">
        <f>IF(I1078="","",WORKDAY(L1078-1,1,FERIADOS!$A$2:$A$831))</f>
        <v>#REF!</v>
      </c>
      <c r="N1078" s="219" t="e">
        <f>IF(I1078="","",NETWORKDAYS(Curva!$M$2,M1078,FERIADOS!$A$2:$A$831)-1)</f>
        <v>#REF!</v>
      </c>
      <c r="O1078" s="423" t="e">
        <f>IF(C1078&lt;&gt;"",IF(ISERROR((100000/E1078)^(252/N1078)-1),Curva!$B$2,((100000/E1078)^(252/N1078)-1)),"")</f>
        <v>#REF!</v>
      </c>
      <c r="P1078" s="219" t="e">
        <f>IF(OR(G1078=1,G1078=2),dadosexternosBMF_1!B1081,"")</f>
        <v>#REF!</v>
      </c>
      <c r="Q1078" s="219" t="e">
        <f>IF(OR(G1078=1,G1078=2),dadosexternosBMF_1!D1081,"")</f>
        <v>#REF!</v>
      </c>
    </row>
    <row r="1079" spans="1:17" x14ac:dyDescent="0.2">
      <c r="A1079" s="222" t="e">
        <f t="shared" si="114"/>
        <v>#REF!</v>
      </c>
      <c r="B1079" s="222" t="str">
        <f>IF(dadosexternosBMF_1!A1082="DI1 - DI de 1 dia","DI1 - DI de 1 dia","")</f>
        <v/>
      </c>
      <c r="C1079" s="222" t="e">
        <f>IF(dadosexternosBMF_1!A1082="DOL - Dólar comercial","",IF(C1078&lt;&gt;"",dadosexternosBMF_1!B1082,IF(dadosexternosBMF_1!A1082="DI1 - DI de 1 dia",dadosexternosBMF_1!B1082,"")))</f>
        <v>#REF!</v>
      </c>
      <c r="D1079" s="222" t="e">
        <f>IF(C1079&lt;&gt;"",dadosexternosBMF_1!C1082,"")</f>
        <v>#REF!</v>
      </c>
      <c r="E1079" s="222" t="e">
        <f>IF(C1079&lt;&gt;"",dadosexternosBMF_1!D1082,"")</f>
        <v>#REF!</v>
      </c>
      <c r="G1079" s="219" t="e">
        <f t="shared" si="115"/>
        <v>#REF!</v>
      </c>
      <c r="H1079" s="219" t="e">
        <f t="shared" si="116"/>
        <v>#REF!</v>
      </c>
      <c r="I1079" s="219" t="e">
        <f t="shared" si="117"/>
        <v>#REF!</v>
      </c>
      <c r="J1079" s="219" t="e">
        <f>IF(I1079="","",VLOOKUP(LEFT(C1079,1),dadosexternosBMF_1!$L$2:$M$13,2,FALSE))</f>
        <v>#REF!</v>
      </c>
      <c r="K1079" s="219" t="e">
        <f t="shared" si="118"/>
        <v>#REF!</v>
      </c>
      <c r="L1079" s="422" t="e">
        <f t="shared" si="119"/>
        <v>#REF!</v>
      </c>
      <c r="M1079" s="422" t="e">
        <f>IF(I1079="","",WORKDAY(L1079-1,1,FERIADOS!$A$2:$A$831))</f>
        <v>#REF!</v>
      </c>
      <c r="N1079" s="219" t="e">
        <f>IF(I1079="","",NETWORKDAYS(Curva!$M$2,M1079,FERIADOS!$A$2:$A$831)-1)</f>
        <v>#REF!</v>
      </c>
      <c r="O1079" s="423" t="e">
        <f>IF(C1079&lt;&gt;"",IF(ISERROR((100000/E1079)^(252/N1079)-1),Curva!$B$2,((100000/E1079)^(252/N1079)-1)),"")</f>
        <v>#REF!</v>
      </c>
      <c r="P1079" s="219" t="e">
        <f>IF(OR(G1079=1,G1079=2),dadosexternosBMF_1!B1082,"")</f>
        <v>#REF!</v>
      </c>
      <c r="Q1079" s="219" t="e">
        <f>IF(OR(G1079=1,G1079=2),dadosexternosBMF_1!D1082,"")</f>
        <v>#REF!</v>
      </c>
    </row>
    <row r="1080" spans="1:17" x14ac:dyDescent="0.2">
      <c r="A1080" s="222" t="e">
        <f t="shared" si="114"/>
        <v>#REF!</v>
      </c>
      <c r="B1080" s="222" t="str">
        <f>IF(dadosexternosBMF_1!A1083="DI1 - DI de 1 dia","DI1 - DI de 1 dia","")</f>
        <v/>
      </c>
      <c r="C1080" s="222" t="e">
        <f>IF(dadosexternosBMF_1!A1083="DOL - Dólar comercial","",IF(C1079&lt;&gt;"",dadosexternosBMF_1!B1083,IF(dadosexternosBMF_1!A1083="DI1 - DI de 1 dia",dadosexternosBMF_1!B1083,"")))</f>
        <v>#REF!</v>
      </c>
      <c r="D1080" s="222" t="e">
        <f>IF(C1080&lt;&gt;"",dadosexternosBMF_1!C1083,"")</f>
        <v>#REF!</v>
      </c>
      <c r="E1080" s="222" t="e">
        <f>IF(C1080&lt;&gt;"",dadosexternosBMF_1!D1083,"")</f>
        <v>#REF!</v>
      </c>
      <c r="G1080" s="219" t="e">
        <f t="shared" si="115"/>
        <v>#REF!</v>
      </c>
      <c r="H1080" s="219" t="e">
        <f t="shared" si="116"/>
        <v>#REF!</v>
      </c>
      <c r="I1080" s="219" t="e">
        <f t="shared" si="117"/>
        <v>#REF!</v>
      </c>
      <c r="J1080" s="219" t="e">
        <f>IF(I1080="","",VLOOKUP(LEFT(C1080,1),dadosexternosBMF_1!$L$2:$M$13,2,FALSE))</f>
        <v>#REF!</v>
      </c>
      <c r="K1080" s="219" t="e">
        <f t="shared" si="118"/>
        <v>#REF!</v>
      </c>
      <c r="L1080" s="422" t="e">
        <f t="shared" si="119"/>
        <v>#REF!</v>
      </c>
      <c r="M1080" s="422" t="e">
        <f>IF(I1080="","",WORKDAY(L1080-1,1,FERIADOS!$A$2:$A$831))</f>
        <v>#REF!</v>
      </c>
      <c r="N1080" s="219" t="e">
        <f>IF(I1080="","",NETWORKDAYS(Curva!$M$2,M1080,FERIADOS!$A$2:$A$831)-1)</f>
        <v>#REF!</v>
      </c>
      <c r="O1080" s="423" t="e">
        <f>IF(C1080&lt;&gt;"",IF(ISERROR((100000/E1080)^(252/N1080)-1),Curva!$B$2,((100000/E1080)^(252/N1080)-1)),"")</f>
        <v>#REF!</v>
      </c>
      <c r="P1080" s="219" t="e">
        <f>IF(OR(G1080=1,G1080=2),dadosexternosBMF_1!B1083,"")</f>
        <v>#REF!</v>
      </c>
      <c r="Q1080" s="219" t="e">
        <f>IF(OR(G1080=1,G1080=2),dadosexternosBMF_1!D1083,"")</f>
        <v>#REF!</v>
      </c>
    </row>
    <row r="1081" spans="1:17" x14ac:dyDescent="0.2">
      <c r="A1081" s="222" t="e">
        <f t="shared" si="114"/>
        <v>#REF!</v>
      </c>
      <c r="B1081" s="222" t="str">
        <f>IF(dadosexternosBMF_1!A1084="DI1 - DI de 1 dia","DI1 - DI de 1 dia","")</f>
        <v/>
      </c>
      <c r="C1081" s="222" t="e">
        <f>IF(dadosexternosBMF_1!A1084="DOL - Dólar comercial","",IF(C1080&lt;&gt;"",dadosexternosBMF_1!B1084,IF(dadosexternosBMF_1!A1084="DI1 - DI de 1 dia",dadosexternosBMF_1!B1084,"")))</f>
        <v>#REF!</v>
      </c>
      <c r="D1081" s="222" t="e">
        <f>IF(C1081&lt;&gt;"",dadosexternosBMF_1!C1084,"")</f>
        <v>#REF!</v>
      </c>
      <c r="E1081" s="222" t="e">
        <f>IF(C1081&lt;&gt;"",dadosexternosBMF_1!D1084,"")</f>
        <v>#REF!</v>
      </c>
      <c r="G1081" s="219" t="e">
        <f t="shared" si="115"/>
        <v>#REF!</v>
      </c>
      <c r="H1081" s="219" t="e">
        <f t="shared" si="116"/>
        <v>#REF!</v>
      </c>
      <c r="I1081" s="219" t="e">
        <f t="shared" si="117"/>
        <v>#REF!</v>
      </c>
      <c r="J1081" s="219" t="e">
        <f>IF(I1081="","",VLOOKUP(LEFT(C1081,1),dadosexternosBMF_1!$L$2:$M$13,2,FALSE))</f>
        <v>#REF!</v>
      </c>
      <c r="K1081" s="219" t="e">
        <f t="shared" si="118"/>
        <v>#REF!</v>
      </c>
      <c r="L1081" s="422" t="e">
        <f t="shared" si="119"/>
        <v>#REF!</v>
      </c>
      <c r="M1081" s="422" t="e">
        <f>IF(I1081="","",WORKDAY(L1081-1,1,FERIADOS!$A$2:$A$831))</f>
        <v>#REF!</v>
      </c>
      <c r="N1081" s="219" t="e">
        <f>IF(I1081="","",NETWORKDAYS(Curva!$M$2,M1081,FERIADOS!$A$2:$A$831)-1)</f>
        <v>#REF!</v>
      </c>
      <c r="O1081" s="423" t="e">
        <f>IF(C1081&lt;&gt;"",IF(ISERROR((100000/E1081)^(252/N1081)-1),Curva!$B$2,((100000/E1081)^(252/N1081)-1)),"")</f>
        <v>#REF!</v>
      </c>
      <c r="P1081" s="219" t="e">
        <f>IF(OR(G1081=1,G1081=2),dadosexternosBMF_1!B1084,"")</f>
        <v>#REF!</v>
      </c>
      <c r="Q1081" s="219" t="e">
        <f>IF(OR(G1081=1,G1081=2),dadosexternosBMF_1!D1084,"")</f>
        <v>#REF!</v>
      </c>
    </row>
    <row r="1082" spans="1:17" x14ac:dyDescent="0.2">
      <c r="A1082" s="222" t="e">
        <f t="shared" si="114"/>
        <v>#REF!</v>
      </c>
      <c r="B1082" s="222" t="str">
        <f>IF(dadosexternosBMF_1!A1085="DI1 - DI de 1 dia","DI1 - DI de 1 dia","")</f>
        <v/>
      </c>
      <c r="C1082" s="222" t="e">
        <f>IF(dadosexternosBMF_1!A1085="DOL - Dólar comercial","",IF(C1081&lt;&gt;"",dadosexternosBMF_1!B1085,IF(dadosexternosBMF_1!A1085="DI1 - DI de 1 dia",dadosexternosBMF_1!B1085,"")))</f>
        <v>#REF!</v>
      </c>
      <c r="D1082" s="222" t="e">
        <f>IF(C1082&lt;&gt;"",dadosexternosBMF_1!C1085,"")</f>
        <v>#REF!</v>
      </c>
      <c r="E1082" s="222" t="e">
        <f>IF(C1082&lt;&gt;"",dadosexternosBMF_1!D1085,"")</f>
        <v>#REF!</v>
      </c>
      <c r="G1082" s="219" t="e">
        <f t="shared" si="115"/>
        <v>#REF!</v>
      </c>
      <c r="H1082" s="219" t="e">
        <f t="shared" si="116"/>
        <v>#REF!</v>
      </c>
      <c r="I1082" s="219" t="e">
        <f t="shared" si="117"/>
        <v>#REF!</v>
      </c>
      <c r="J1082" s="219" t="e">
        <f>IF(I1082="","",VLOOKUP(LEFT(C1082,1),dadosexternosBMF_1!$L$2:$M$13,2,FALSE))</f>
        <v>#REF!</v>
      </c>
      <c r="K1082" s="219" t="e">
        <f t="shared" si="118"/>
        <v>#REF!</v>
      </c>
      <c r="L1082" s="422" t="e">
        <f t="shared" si="119"/>
        <v>#REF!</v>
      </c>
      <c r="M1082" s="422" t="e">
        <f>IF(I1082="","",WORKDAY(L1082-1,1,FERIADOS!$A$2:$A$831))</f>
        <v>#REF!</v>
      </c>
      <c r="N1082" s="219" t="e">
        <f>IF(I1082="","",NETWORKDAYS(Curva!$M$2,M1082,FERIADOS!$A$2:$A$831)-1)</f>
        <v>#REF!</v>
      </c>
      <c r="O1082" s="423" t="e">
        <f>IF(C1082&lt;&gt;"",IF(ISERROR((100000/E1082)^(252/N1082)-1),Curva!$B$2,((100000/E1082)^(252/N1082)-1)),"")</f>
        <v>#REF!</v>
      </c>
      <c r="P1082" s="219" t="e">
        <f>IF(OR(G1082=1,G1082=2),dadosexternosBMF_1!B1085,"")</f>
        <v>#REF!</v>
      </c>
      <c r="Q1082" s="219" t="e">
        <f>IF(OR(G1082=1,G1082=2),dadosexternosBMF_1!D1085,"")</f>
        <v>#REF!</v>
      </c>
    </row>
    <row r="1083" spans="1:17" x14ac:dyDescent="0.2">
      <c r="A1083" s="222" t="e">
        <f t="shared" si="114"/>
        <v>#REF!</v>
      </c>
      <c r="B1083" s="222" t="str">
        <f>IF(dadosexternosBMF_1!A1086="DI1 - DI de 1 dia","DI1 - DI de 1 dia","")</f>
        <v/>
      </c>
      <c r="C1083" s="222" t="e">
        <f>IF(dadosexternosBMF_1!A1086="DOL - Dólar comercial","",IF(C1082&lt;&gt;"",dadosexternosBMF_1!B1086,IF(dadosexternosBMF_1!A1086="DI1 - DI de 1 dia",dadosexternosBMF_1!B1086,"")))</f>
        <v>#REF!</v>
      </c>
      <c r="D1083" s="222" t="e">
        <f>IF(C1083&lt;&gt;"",dadosexternosBMF_1!C1086,"")</f>
        <v>#REF!</v>
      </c>
      <c r="E1083" s="222" t="e">
        <f>IF(C1083&lt;&gt;"",dadosexternosBMF_1!D1086,"")</f>
        <v>#REF!</v>
      </c>
      <c r="G1083" s="219" t="e">
        <f t="shared" si="115"/>
        <v>#REF!</v>
      </c>
      <c r="H1083" s="219" t="e">
        <f t="shared" si="116"/>
        <v>#REF!</v>
      </c>
      <c r="I1083" s="219" t="e">
        <f t="shared" si="117"/>
        <v>#REF!</v>
      </c>
      <c r="J1083" s="219" t="e">
        <f>IF(I1083="","",VLOOKUP(LEFT(C1083,1),dadosexternosBMF_1!$L$2:$M$13,2,FALSE))</f>
        <v>#REF!</v>
      </c>
      <c r="K1083" s="219" t="e">
        <f t="shared" si="118"/>
        <v>#REF!</v>
      </c>
      <c r="L1083" s="422" t="e">
        <f t="shared" si="119"/>
        <v>#REF!</v>
      </c>
      <c r="M1083" s="422" t="e">
        <f>IF(I1083="","",WORKDAY(L1083-1,1,FERIADOS!$A$2:$A$831))</f>
        <v>#REF!</v>
      </c>
      <c r="N1083" s="219" t="e">
        <f>IF(I1083="","",NETWORKDAYS(Curva!$M$2,M1083,FERIADOS!$A$2:$A$831)-1)</f>
        <v>#REF!</v>
      </c>
      <c r="O1083" s="423" t="e">
        <f>IF(C1083&lt;&gt;"",IF(ISERROR((100000/E1083)^(252/N1083)-1),Curva!$B$2,((100000/E1083)^(252/N1083)-1)),"")</f>
        <v>#REF!</v>
      </c>
      <c r="P1083" s="219" t="e">
        <f>IF(OR(G1083=1,G1083=2),dadosexternosBMF_1!B1086,"")</f>
        <v>#REF!</v>
      </c>
      <c r="Q1083" s="219" t="e">
        <f>IF(OR(G1083=1,G1083=2),dadosexternosBMF_1!D1086,"")</f>
        <v>#REF!</v>
      </c>
    </row>
    <row r="1084" spans="1:17" x14ac:dyDescent="0.2">
      <c r="A1084" s="222" t="e">
        <f t="shared" si="114"/>
        <v>#REF!</v>
      </c>
      <c r="B1084" s="222" t="str">
        <f>IF(dadosexternosBMF_1!A1087="DI1 - DI de 1 dia","DI1 - DI de 1 dia","")</f>
        <v/>
      </c>
      <c r="C1084" s="222" t="e">
        <f>IF(dadosexternosBMF_1!A1087="DOL - Dólar comercial","",IF(C1083&lt;&gt;"",dadosexternosBMF_1!B1087,IF(dadosexternosBMF_1!A1087="DI1 - DI de 1 dia",dadosexternosBMF_1!B1087,"")))</f>
        <v>#REF!</v>
      </c>
      <c r="D1084" s="222" t="e">
        <f>IF(C1084&lt;&gt;"",dadosexternosBMF_1!C1087,"")</f>
        <v>#REF!</v>
      </c>
      <c r="E1084" s="222" t="e">
        <f>IF(C1084&lt;&gt;"",dadosexternosBMF_1!D1087,"")</f>
        <v>#REF!</v>
      </c>
      <c r="G1084" s="219" t="e">
        <f t="shared" si="115"/>
        <v>#REF!</v>
      </c>
      <c r="H1084" s="219" t="e">
        <f t="shared" si="116"/>
        <v>#REF!</v>
      </c>
      <c r="I1084" s="219" t="e">
        <f t="shared" si="117"/>
        <v>#REF!</v>
      </c>
      <c r="J1084" s="219" t="e">
        <f>IF(I1084="","",VLOOKUP(LEFT(C1084,1),dadosexternosBMF_1!$L$2:$M$13,2,FALSE))</f>
        <v>#REF!</v>
      </c>
      <c r="K1084" s="219" t="e">
        <f t="shared" si="118"/>
        <v>#REF!</v>
      </c>
      <c r="L1084" s="422" t="e">
        <f t="shared" si="119"/>
        <v>#REF!</v>
      </c>
      <c r="M1084" s="422" t="e">
        <f>IF(I1084="","",WORKDAY(L1084-1,1,FERIADOS!$A$2:$A$831))</f>
        <v>#REF!</v>
      </c>
      <c r="N1084" s="219" t="e">
        <f>IF(I1084="","",NETWORKDAYS(Curva!$M$2,M1084,FERIADOS!$A$2:$A$831)-1)</f>
        <v>#REF!</v>
      </c>
      <c r="O1084" s="423" t="e">
        <f>IF(C1084&lt;&gt;"",IF(ISERROR((100000/E1084)^(252/N1084)-1),Curva!$B$2,((100000/E1084)^(252/N1084)-1)),"")</f>
        <v>#REF!</v>
      </c>
      <c r="P1084" s="219" t="e">
        <f>IF(OR(G1084=1,G1084=2),dadosexternosBMF_1!B1087,"")</f>
        <v>#REF!</v>
      </c>
      <c r="Q1084" s="219" t="e">
        <f>IF(OR(G1084=1,G1084=2),dadosexternosBMF_1!D1087,"")</f>
        <v>#REF!</v>
      </c>
    </row>
    <row r="1085" spans="1:17" x14ac:dyDescent="0.2">
      <c r="A1085" s="222" t="e">
        <f t="shared" si="114"/>
        <v>#REF!</v>
      </c>
      <c r="B1085" s="222" t="str">
        <f>IF(dadosexternosBMF_1!A1088="DI1 - DI de 1 dia","DI1 - DI de 1 dia","")</f>
        <v/>
      </c>
      <c r="C1085" s="222" t="e">
        <f>IF(dadosexternosBMF_1!A1088="DOL - Dólar comercial","",IF(C1084&lt;&gt;"",dadosexternosBMF_1!B1088,IF(dadosexternosBMF_1!A1088="DI1 - DI de 1 dia",dadosexternosBMF_1!B1088,"")))</f>
        <v>#REF!</v>
      </c>
      <c r="D1085" s="222" t="e">
        <f>IF(C1085&lt;&gt;"",dadosexternosBMF_1!C1088,"")</f>
        <v>#REF!</v>
      </c>
      <c r="E1085" s="222" t="e">
        <f>IF(C1085&lt;&gt;"",dadosexternosBMF_1!D1088,"")</f>
        <v>#REF!</v>
      </c>
      <c r="G1085" s="219" t="e">
        <f t="shared" si="115"/>
        <v>#REF!</v>
      </c>
      <c r="H1085" s="219" t="e">
        <f t="shared" si="116"/>
        <v>#REF!</v>
      </c>
      <c r="I1085" s="219" t="e">
        <f t="shared" si="117"/>
        <v>#REF!</v>
      </c>
      <c r="J1085" s="219" t="e">
        <f>IF(I1085="","",VLOOKUP(LEFT(C1085,1),dadosexternosBMF_1!$L$2:$M$13,2,FALSE))</f>
        <v>#REF!</v>
      </c>
      <c r="K1085" s="219" t="e">
        <f t="shared" si="118"/>
        <v>#REF!</v>
      </c>
      <c r="L1085" s="422" t="e">
        <f t="shared" si="119"/>
        <v>#REF!</v>
      </c>
      <c r="M1085" s="422" t="e">
        <f>IF(I1085="","",WORKDAY(L1085-1,1,FERIADOS!$A$2:$A$831))</f>
        <v>#REF!</v>
      </c>
      <c r="N1085" s="219" t="e">
        <f>IF(I1085="","",NETWORKDAYS(Curva!$M$2,M1085,FERIADOS!$A$2:$A$831)-1)</f>
        <v>#REF!</v>
      </c>
      <c r="O1085" s="423" t="e">
        <f>IF(C1085&lt;&gt;"",IF(ISERROR((100000/E1085)^(252/N1085)-1),Curva!$B$2,((100000/E1085)^(252/N1085)-1)),"")</f>
        <v>#REF!</v>
      </c>
      <c r="P1085" s="219" t="e">
        <f>IF(OR(G1085=1,G1085=2),dadosexternosBMF_1!B1088,"")</f>
        <v>#REF!</v>
      </c>
      <c r="Q1085" s="219" t="e">
        <f>IF(OR(G1085=1,G1085=2),dadosexternosBMF_1!D1088,"")</f>
        <v>#REF!</v>
      </c>
    </row>
    <row r="1086" spans="1:17" x14ac:dyDescent="0.2">
      <c r="A1086" s="222" t="e">
        <f t="shared" si="114"/>
        <v>#REF!</v>
      </c>
      <c r="B1086" s="222" t="str">
        <f>IF(dadosexternosBMF_1!A1089="DI1 - DI de 1 dia","DI1 - DI de 1 dia","")</f>
        <v/>
      </c>
      <c r="C1086" s="222" t="e">
        <f>IF(dadosexternosBMF_1!A1089="DOL - Dólar comercial","",IF(C1085&lt;&gt;"",dadosexternosBMF_1!B1089,IF(dadosexternosBMF_1!A1089="DI1 - DI de 1 dia",dadosexternosBMF_1!B1089,"")))</f>
        <v>#REF!</v>
      </c>
      <c r="D1086" s="222" t="e">
        <f>IF(C1086&lt;&gt;"",dadosexternosBMF_1!C1089,"")</f>
        <v>#REF!</v>
      </c>
      <c r="E1086" s="222" t="e">
        <f>IF(C1086&lt;&gt;"",dadosexternosBMF_1!D1089,"")</f>
        <v>#REF!</v>
      </c>
      <c r="G1086" s="219" t="e">
        <f t="shared" si="115"/>
        <v>#REF!</v>
      </c>
      <c r="H1086" s="219" t="e">
        <f t="shared" si="116"/>
        <v>#REF!</v>
      </c>
      <c r="I1086" s="219" t="e">
        <f t="shared" si="117"/>
        <v>#REF!</v>
      </c>
      <c r="J1086" s="219" t="e">
        <f>IF(I1086="","",VLOOKUP(LEFT(C1086,1),dadosexternosBMF_1!$L$2:$M$13,2,FALSE))</f>
        <v>#REF!</v>
      </c>
      <c r="K1086" s="219" t="e">
        <f t="shared" si="118"/>
        <v>#REF!</v>
      </c>
      <c r="L1086" s="422" t="e">
        <f t="shared" si="119"/>
        <v>#REF!</v>
      </c>
      <c r="M1086" s="422" t="e">
        <f>IF(I1086="","",WORKDAY(L1086-1,1,FERIADOS!$A$2:$A$831))</f>
        <v>#REF!</v>
      </c>
      <c r="N1086" s="219" t="e">
        <f>IF(I1086="","",NETWORKDAYS(Curva!$M$2,M1086,FERIADOS!$A$2:$A$831)-1)</f>
        <v>#REF!</v>
      </c>
      <c r="O1086" s="423" t="e">
        <f>IF(C1086&lt;&gt;"",IF(ISERROR((100000/E1086)^(252/N1086)-1),Curva!$B$2,((100000/E1086)^(252/N1086)-1)),"")</f>
        <v>#REF!</v>
      </c>
      <c r="P1086" s="219" t="e">
        <f>IF(OR(G1086=1,G1086=2),dadosexternosBMF_1!B1089,"")</f>
        <v>#REF!</v>
      </c>
      <c r="Q1086" s="219" t="e">
        <f>IF(OR(G1086=1,G1086=2),dadosexternosBMF_1!D1089,"")</f>
        <v>#REF!</v>
      </c>
    </row>
    <row r="1087" spans="1:17" x14ac:dyDescent="0.2">
      <c r="A1087" s="222" t="e">
        <f t="shared" si="114"/>
        <v>#REF!</v>
      </c>
      <c r="B1087" s="222" t="str">
        <f>IF(dadosexternosBMF_1!A1090="DI1 - DI de 1 dia","DI1 - DI de 1 dia","")</f>
        <v/>
      </c>
      <c r="C1087" s="222" t="e">
        <f>IF(dadosexternosBMF_1!A1090="DOL - Dólar comercial","",IF(C1086&lt;&gt;"",dadosexternosBMF_1!B1090,IF(dadosexternosBMF_1!A1090="DI1 - DI de 1 dia",dadosexternosBMF_1!B1090,"")))</f>
        <v>#REF!</v>
      </c>
      <c r="D1087" s="222" t="e">
        <f>IF(C1087&lt;&gt;"",dadosexternosBMF_1!C1090,"")</f>
        <v>#REF!</v>
      </c>
      <c r="E1087" s="222" t="e">
        <f>IF(C1087&lt;&gt;"",dadosexternosBMF_1!D1090,"")</f>
        <v>#REF!</v>
      </c>
      <c r="G1087" s="219" t="e">
        <f t="shared" si="115"/>
        <v>#REF!</v>
      </c>
      <c r="H1087" s="219" t="e">
        <f t="shared" si="116"/>
        <v>#REF!</v>
      </c>
      <c r="I1087" s="219" t="e">
        <f t="shared" si="117"/>
        <v>#REF!</v>
      </c>
      <c r="J1087" s="219" t="e">
        <f>IF(I1087="","",VLOOKUP(LEFT(C1087,1),dadosexternosBMF_1!$L$2:$M$13,2,FALSE))</f>
        <v>#REF!</v>
      </c>
      <c r="K1087" s="219" t="e">
        <f t="shared" si="118"/>
        <v>#REF!</v>
      </c>
      <c r="L1087" s="422" t="e">
        <f t="shared" si="119"/>
        <v>#REF!</v>
      </c>
      <c r="M1087" s="422" t="e">
        <f>IF(I1087="","",WORKDAY(L1087-1,1,FERIADOS!$A$2:$A$831))</f>
        <v>#REF!</v>
      </c>
      <c r="N1087" s="219" t="e">
        <f>IF(I1087="","",NETWORKDAYS(Curva!$M$2,M1087,FERIADOS!$A$2:$A$831)-1)</f>
        <v>#REF!</v>
      </c>
      <c r="O1087" s="423" t="e">
        <f>IF(C1087&lt;&gt;"",IF(ISERROR((100000/E1087)^(252/N1087)-1),Curva!$B$2,((100000/E1087)^(252/N1087)-1)),"")</f>
        <v>#REF!</v>
      </c>
      <c r="P1087" s="219" t="e">
        <f>IF(OR(G1087=1,G1087=2),dadosexternosBMF_1!B1090,"")</f>
        <v>#REF!</v>
      </c>
      <c r="Q1087" s="219" t="e">
        <f>IF(OR(G1087=1,G1087=2),dadosexternosBMF_1!D1090,"")</f>
        <v>#REF!</v>
      </c>
    </row>
    <row r="1088" spans="1:17" x14ac:dyDescent="0.2">
      <c r="A1088" s="222" t="e">
        <f t="shared" si="114"/>
        <v>#REF!</v>
      </c>
      <c r="B1088" s="222" t="str">
        <f>IF(dadosexternosBMF_1!A1091="DI1 - DI de 1 dia","DI1 - DI de 1 dia","")</f>
        <v/>
      </c>
      <c r="C1088" s="222" t="e">
        <f>IF(dadosexternosBMF_1!A1091="DOL - Dólar comercial","",IF(C1087&lt;&gt;"",dadosexternosBMF_1!B1091,IF(dadosexternosBMF_1!A1091="DI1 - DI de 1 dia",dadosexternosBMF_1!B1091,"")))</f>
        <v>#REF!</v>
      </c>
      <c r="D1088" s="222" t="e">
        <f>IF(C1088&lt;&gt;"",dadosexternosBMF_1!C1091,"")</f>
        <v>#REF!</v>
      </c>
      <c r="E1088" s="222" t="e">
        <f>IF(C1088&lt;&gt;"",dadosexternosBMF_1!D1091,"")</f>
        <v>#REF!</v>
      </c>
      <c r="G1088" s="219" t="e">
        <f t="shared" si="115"/>
        <v>#REF!</v>
      </c>
      <c r="H1088" s="219" t="e">
        <f t="shared" si="116"/>
        <v>#REF!</v>
      </c>
      <c r="I1088" s="219" t="e">
        <f t="shared" si="117"/>
        <v>#REF!</v>
      </c>
      <c r="J1088" s="219" t="e">
        <f>IF(I1088="","",VLOOKUP(LEFT(C1088,1),dadosexternosBMF_1!$L$2:$M$13,2,FALSE))</f>
        <v>#REF!</v>
      </c>
      <c r="K1088" s="219" t="e">
        <f t="shared" si="118"/>
        <v>#REF!</v>
      </c>
      <c r="L1088" s="422" t="e">
        <f t="shared" si="119"/>
        <v>#REF!</v>
      </c>
      <c r="M1088" s="422" t="e">
        <f>IF(I1088="","",WORKDAY(L1088-1,1,FERIADOS!$A$2:$A$831))</f>
        <v>#REF!</v>
      </c>
      <c r="N1088" s="219" t="e">
        <f>IF(I1088="","",NETWORKDAYS(Curva!$M$2,M1088,FERIADOS!$A$2:$A$831)-1)</f>
        <v>#REF!</v>
      </c>
      <c r="O1088" s="423" t="e">
        <f>IF(C1088&lt;&gt;"",IF(ISERROR((100000/E1088)^(252/N1088)-1),Curva!$B$2,((100000/E1088)^(252/N1088)-1)),"")</f>
        <v>#REF!</v>
      </c>
      <c r="P1088" s="219" t="e">
        <f>IF(OR(G1088=1,G1088=2),dadosexternosBMF_1!B1091,"")</f>
        <v>#REF!</v>
      </c>
      <c r="Q1088" s="219" t="e">
        <f>IF(OR(G1088=1,G1088=2),dadosexternosBMF_1!D1091,"")</f>
        <v>#REF!</v>
      </c>
    </row>
    <row r="1089" spans="1:17" x14ac:dyDescent="0.2">
      <c r="A1089" s="222" t="e">
        <f t="shared" si="114"/>
        <v>#REF!</v>
      </c>
      <c r="B1089" s="222" t="str">
        <f>IF(dadosexternosBMF_1!A1092="DI1 - DI de 1 dia","DI1 - DI de 1 dia","")</f>
        <v/>
      </c>
      <c r="C1089" s="222" t="e">
        <f>IF(dadosexternosBMF_1!A1092="DOL - Dólar comercial","",IF(C1088&lt;&gt;"",dadosexternosBMF_1!B1092,IF(dadosexternosBMF_1!A1092="DI1 - DI de 1 dia",dadosexternosBMF_1!B1092,"")))</f>
        <v>#REF!</v>
      </c>
      <c r="D1089" s="222" t="e">
        <f>IF(C1089&lt;&gt;"",dadosexternosBMF_1!C1092,"")</f>
        <v>#REF!</v>
      </c>
      <c r="E1089" s="222" t="e">
        <f>IF(C1089&lt;&gt;"",dadosexternosBMF_1!D1092,"")</f>
        <v>#REF!</v>
      </c>
      <c r="G1089" s="219" t="e">
        <f t="shared" si="115"/>
        <v>#REF!</v>
      </c>
      <c r="H1089" s="219" t="e">
        <f t="shared" si="116"/>
        <v>#REF!</v>
      </c>
      <c r="I1089" s="219" t="e">
        <f t="shared" si="117"/>
        <v>#REF!</v>
      </c>
      <c r="J1089" s="219" t="e">
        <f>IF(I1089="","",VLOOKUP(LEFT(C1089,1),dadosexternosBMF_1!$L$2:$M$13,2,FALSE))</f>
        <v>#REF!</v>
      </c>
      <c r="K1089" s="219" t="e">
        <f t="shared" si="118"/>
        <v>#REF!</v>
      </c>
      <c r="L1089" s="422" t="e">
        <f t="shared" si="119"/>
        <v>#REF!</v>
      </c>
      <c r="M1089" s="422" t="e">
        <f>IF(I1089="","",WORKDAY(L1089-1,1,FERIADOS!$A$2:$A$831))</f>
        <v>#REF!</v>
      </c>
      <c r="N1089" s="219" t="e">
        <f>IF(I1089="","",NETWORKDAYS(Curva!$M$2,M1089,FERIADOS!$A$2:$A$831)-1)</f>
        <v>#REF!</v>
      </c>
      <c r="O1089" s="423" t="e">
        <f>IF(C1089&lt;&gt;"",IF(ISERROR((100000/E1089)^(252/N1089)-1),Curva!$B$2,((100000/E1089)^(252/N1089)-1)),"")</f>
        <v>#REF!</v>
      </c>
      <c r="P1089" s="219" t="e">
        <f>IF(OR(G1089=1,G1089=2),dadosexternosBMF_1!B1092,"")</f>
        <v>#REF!</v>
      </c>
      <c r="Q1089" s="219" t="e">
        <f>IF(OR(G1089=1,G1089=2),dadosexternosBMF_1!D1092,"")</f>
        <v>#REF!</v>
      </c>
    </row>
    <row r="1090" spans="1:17" x14ac:dyDescent="0.2">
      <c r="A1090" s="222" t="e">
        <f t="shared" si="114"/>
        <v>#REF!</v>
      </c>
      <c r="B1090" s="222" t="str">
        <f>IF(dadosexternosBMF_1!A1093="DI1 - DI de 1 dia","DI1 - DI de 1 dia","")</f>
        <v/>
      </c>
      <c r="C1090" s="222" t="e">
        <f>IF(dadosexternosBMF_1!A1093="DOL - Dólar comercial","",IF(C1089&lt;&gt;"",dadosexternosBMF_1!B1093,IF(dadosexternosBMF_1!A1093="DI1 - DI de 1 dia",dadosexternosBMF_1!B1093,"")))</f>
        <v>#REF!</v>
      </c>
      <c r="D1090" s="222" t="e">
        <f>IF(C1090&lt;&gt;"",dadosexternosBMF_1!C1093,"")</f>
        <v>#REF!</v>
      </c>
      <c r="E1090" s="222" t="e">
        <f>IF(C1090&lt;&gt;"",dadosexternosBMF_1!D1093,"")</f>
        <v>#REF!</v>
      </c>
      <c r="G1090" s="219" t="e">
        <f t="shared" si="115"/>
        <v>#REF!</v>
      </c>
      <c r="H1090" s="219" t="e">
        <f t="shared" si="116"/>
        <v>#REF!</v>
      </c>
      <c r="I1090" s="219" t="e">
        <f t="shared" si="117"/>
        <v>#REF!</v>
      </c>
      <c r="J1090" s="219" t="e">
        <f>IF(I1090="","",VLOOKUP(LEFT(C1090,1),dadosexternosBMF_1!$L$2:$M$13,2,FALSE))</f>
        <v>#REF!</v>
      </c>
      <c r="K1090" s="219" t="e">
        <f t="shared" si="118"/>
        <v>#REF!</v>
      </c>
      <c r="L1090" s="422" t="e">
        <f t="shared" si="119"/>
        <v>#REF!</v>
      </c>
      <c r="M1090" s="422" t="e">
        <f>IF(I1090="","",WORKDAY(L1090-1,1,FERIADOS!$A$2:$A$831))</f>
        <v>#REF!</v>
      </c>
      <c r="N1090" s="219" t="e">
        <f>IF(I1090="","",NETWORKDAYS(Curva!$M$2,M1090,FERIADOS!$A$2:$A$831)-1)</f>
        <v>#REF!</v>
      </c>
      <c r="O1090" s="423" t="e">
        <f>IF(C1090&lt;&gt;"",IF(ISERROR((100000/E1090)^(252/N1090)-1),Curva!$B$2,((100000/E1090)^(252/N1090)-1)),"")</f>
        <v>#REF!</v>
      </c>
      <c r="P1090" s="219" t="e">
        <f>IF(OR(G1090=1,G1090=2),dadosexternosBMF_1!B1093,"")</f>
        <v>#REF!</v>
      </c>
      <c r="Q1090" s="219" t="e">
        <f>IF(OR(G1090=1,G1090=2),dadosexternosBMF_1!D1093,"")</f>
        <v>#REF!</v>
      </c>
    </row>
    <row r="1091" spans="1:17" x14ac:dyDescent="0.2">
      <c r="A1091" s="222" t="e">
        <f t="shared" si="114"/>
        <v>#REF!</v>
      </c>
      <c r="B1091" s="222" t="str">
        <f>IF(dadosexternosBMF_1!A1094="DI1 - DI de 1 dia","DI1 - DI de 1 dia","")</f>
        <v/>
      </c>
      <c r="C1091" s="222" t="e">
        <f>IF(dadosexternosBMF_1!A1094="DOL - Dólar comercial","",IF(C1090&lt;&gt;"",dadosexternosBMF_1!B1094,IF(dadosexternosBMF_1!A1094="DI1 - DI de 1 dia",dadosexternosBMF_1!B1094,"")))</f>
        <v>#REF!</v>
      </c>
      <c r="D1091" s="222" t="e">
        <f>IF(C1091&lt;&gt;"",dadosexternosBMF_1!C1094,"")</f>
        <v>#REF!</v>
      </c>
      <c r="E1091" s="222" t="e">
        <f>IF(C1091&lt;&gt;"",dadosexternosBMF_1!D1094,"")</f>
        <v>#REF!</v>
      </c>
      <c r="G1091" s="219" t="e">
        <f t="shared" si="115"/>
        <v>#REF!</v>
      </c>
      <c r="H1091" s="219" t="e">
        <f t="shared" si="116"/>
        <v>#REF!</v>
      </c>
      <c r="I1091" s="219" t="e">
        <f t="shared" si="117"/>
        <v>#REF!</v>
      </c>
      <c r="J1091" s="219" t="e">
        <f>IF(I1091="","",VLOOKUP(LEFT(C1091,1),dadosexternosBMF_1!$L$2:$M$13,2,FALSE))</f>
        <v>#REF!</v>
      </c>
      <c r="K1091" s="219" t="e">
        <f t="shared" si="118"/>
        <v>#REF!</v>
      </c>
      <c r="L1091" s="422" t="e">
        <f t="shared" si="119"/>
        <v>#REF!</v>
      </c>
      <c r="M1091" s="422" t="e">
        <f>IF(I1091="","",WORKDAY(L1091-1,1,FERIADOS!$A$2:$A$831))</f>
        <v>#REF!</v>
      </c>
      <c r="N1091" s="219" t="e">
        <f>IF(I1091="","",NETWORKDAYS(Curva!$M$2,M1091,FERIADOS!$A$2:$A$831)-1)</f>
        <v>#REF!</v>
      </c>
      <c r="O1091" s="423" t="e">
        <f>IF(C1091&lt;&gt;"",IF(ISERROR((100000/E1091)^(252/N1091)-1),Curva!$B$2,((100000/E1091)^(252/N1091)-1)),"")</f>
        <v>#REF!</v>
      </c>
      <c r="P1091" s="219" t="e">
        <f>IF(OR(G1091=1,G1091=2),dadosexternosBMF_1!B1094,"")</f>
        <v>#REF!</v>
      </c>
      <c r="Q1091" s="219" t="e">
        <f>IF(OR(G1091=1,G1091=2),dadosexternosBMF_1!D1094,"")</f>
        <v>#REF!</v>
      </c>
    </row>
    <row r="1092" spans="1:17" x14ac:dyDescent="0.2">
      <c r="A1092" s="222" t="e">
        <f t="shared" si="114"/>
        <v>#REF!</v>
      </c>
      <c r="B1092" s="222" t="str">
        <f>IF(dadosexternosBMF_1!A1095="DI1 - DI de 1 dia","DI1 - DI de 1 dia","")</f>
        <v/>
      </c>
      <c r="C1092" s="222" t="e">
        <f>IF(dadosexternosBMF_1!A1095="DOL - Dólar comercial","",IF(C1091&lt;&gt;"",dadosexternosBMF_1!B1095,IF(dadosexternosBMF_1!A1095="DI1 - DI de 1 dia",dadosexternosBMF_1!B1095,"")))</f>
        <v>#REF!</v>
      </c>
      <c r="D1092" s="222" t="e">
        <f>IF(C1092&lt;&gt;"",dadosexternosBMF_1!C1095,"")</f>
        <v>#REF!</v>
      </c>
      <c r="E1092" s="222" t="e">
        <f>IF(C1092&lt;&gt;"",dadosexternosBMF_1!D1095,"")</f>
        <v>#REF!</v>
      </c>
      <c r="G1092" s="219" t="e">
        <f t="shared" si="115"/>
        <v>#REF!</v>
      </c>
      <c r="H1092" s="219" t="e">
        <f t="shared" si="116"/>
        <v>#REF!</v>
      </c>
      <c r="I1092" s="219" t="e">
        <f t="shared" si="117"/>
        <v>#REF!</v>
      </c>
      <c r="J1092" s="219" t="e">
        <f>IF(I1092="","",VLOOKUP(LEFT(C1092,1),dadosexternosBMF_1!$L$2:$M$13,2,FALSE))</f>
        <v>#REF!</v>
      </c>
      <c r="K1092" s="219" t="e">
        <f t="shared" si="118"/>
        <v>#REF!</v>
      </c>
      <c r="L1092" s="422" t="e">
        <f t="shared" si="119"/>
        <v>#REF!</v>
      </c>
      <c r="M1092" s="422" t="e">
        <f>IF(I1092="","",WORKDAY(L1092-1,1,FERIADOS!$A$2:$A$831))</f>
        <v>#REF!</v>
      </c>
      <c r="N1092" s="219" t="e">
        <f>IF(I1092="","",NETWORKDAYS(Curva!$M$2,M1092,FERIADOS!$A$2:$A$831)-1)</f>
        <v>#REF!</v>
      </c>
      <c r="O1092" s="423" t="e">
        <f>IF(C1092&lt;&gt;"",IF(ISERROR((100000/E1092)^(252/N1092)-1),Curva!$B$2,((100000/E1092)^(252/N1092)-1)),"")</f>
        <v>#REF!</v>
      </c>
      <c r="P1092" s="219" t="e">
        <f>IF(OR(G1092=1,G1092=2),dadosexternosBMF_1!B1095,"")</f>
        <v>#REF!</v>
      </c>
      <c r="Q1092" s="219" t="e">
        <f>IF(OR(G1092=1,G1092=2),dadosexternosBMF_1!D1095,"")</f>
        <v>#REF!</v>
      </c>
    </row>
    <row r="1093" spans="1:17" x14ac:dyDescent="0.2">
      <c r="A1093" s="222" t="e">
        <f t="shared" si="114"/>
        <v>#REF!</v>
      </c>
      <c r="B1093" s="222" t="str">
        <f>IF(dadosexternosBMF_1!A1096="DI1 - DI de 1 dia","DI1 - DI de 1 dia","")</f>
        <v/>
      </c>
      <c r="C1093" s="222" t="e">
        <f>IF(dadosexternosBMF_1!A1096="DOL - Dólar comercial","",IF(C1092&lt;&gt;"",dadosexternosBMF_1!B1096,IF(dadosexternosBMF_1!A1096="DI1 - DI de 1 dia",dadosexternosBMF_1!B1096,"")))</f>
        <v>#REF!</v>
      </c>
      <c r="D1093" s="222" t="e">
        <f>IF(C1093&lt;&gt;"",dadosexternosBMF_1!C1096,"")</f>
        <v>#REF!</v>
      </c>
      <c r="E1093" s="222" t="e">
        <f>IF(C1093&lt;&gt;"",dadosexternosBMF_1!D1096,"")</f>
        <v>#REF!</v>
      </c>
      <c r="G1093" s="219" t="e">
        <f t="shared" si="115"/>
        <v>#REF!</v>
      </c>
      <c r="H1093" s="219" t="e">
        <f t="shared" si="116"/>
        <v>#REF!</v>
      </c>
      <c r="I1093" s="219" t="e">
        <f t="shared" si="117"/>
        <v>#REF!</v>
      </c>
      <c r="J1093" s="219" t="e">
        <f>IF(I1093="","",VLOOKUP(LEFT(C1093,1),dadosexternosBMF_1!$L$2:$M$13,2,FALSE))</f>
        <v>#REF!</v>
      </c>
      <c r="K1093" s="219" t="e">
        <f t="shared" si="118"/>
        <v>#REF!</v>
      </c>
      <c r="L1093" s="422" t="e">
        <f t="shared" si="119"/>
        <v>#REF!</v>
      </c>
      <c r="M1093" s="422" t="e">
        <f>IF(I1093="","",WORKDAY(L1093-1,1,FERIADOS!$A$2:$A$831))</f>
        <v>#REF!</v>
      </c>
      <c r="N1093" s="219" t="e">
        <f>IF(I1093="","",NETWORKDAYS(Curva!$M$2,M1093,FERIADOS!$A$2:$A$831)-1)</f>
        <v>#REF!</v>
      </c>
      <c r="O1093" s="423" t="e">
        <f>IF(C1093&lt;&gt;"",IF(ISERROR((100000/E1093)^(252/N1093)-1),Curva!$B$2,((100000/E1093)^(252/N1093)-1)),"")</f>
        <v>#REF!</v>
      </c>
      <c r="P1093" s="219" t="e">
        <f>IF(OR(G1093=1,G1093=2),dadosexternosBMF_1!B1096,"")</f>
        <v>#REF!</v>
      </c>
      <c r="Q1093" s="219" t="e">
        <f>IF(OR(G1093=1,G1093=2),dadosexternosBMF_1!D1096,"")</f>
        <v>#REF!</v>
      </c>
    </row>
    <row r="1094" spans="1:17" x14ac:dyDescent="0.2">
      <c r="A1094" s="222" t="e">
        <f t="shared" si="114"/>
        <v>#REF!</v>
      </c>
      <c r="B1094" s="222" t="str">
        <f>IF(dadosexternosBMF_1!A1097="DI1 - DI de 1 dia","DI1 - DI de 1 dia","")</f>
        <v/>
      </c>
      <c r="C1094" s="222" t="e">
        <f>IF(dadosexternosBMF_1!A1097="DOL - Dólar comercial","",IF(C1093&lt;&gt;"",dadosexternosBMF_1!B1097,IF(dadosexternosBMF_1!A1097="DI1 - DI de 1 dia",dadosexternosBMF_1!B1097,"")))</f>
        <v>#REF!</v>
      </c>
      <c r="D1094" s="222" t="e">
        <f>IF(C1094&lt;&gt;"",dadosexternosBMF_1!C1097,"")</f>
        <v>#REF!</v>
      </c>
      <c r="E1094" s="222" t="e">
        <f>IF(C1094&lt;&gt;"",dadosexternosBMF_1!D1097,"")</f>
        <v>#REF!</v>
      </c>
      <c r="G1094" s="219" t="e">
        <f t="shared" si="115"/>
        <v>#REF!</v>
      </c>
      <c r="H1094" s="219" t="e">
        <f t="shared" si="116"/>
        <v>#REF!</v>
      </c>
      <c r="I1094" s="219" t="e">
        <f t="shared" si="117"/>
        <v>#REF!</v>
      </c>
      <c r="J1094" s="219" t="e">
        <f>IF(I1094="","",VLOOKUP(LEFT(C1094,1),dadosexternosBMF_1!$L$2:$M$13,2,FALSE))</f>
        <v>#REF!</v>
      </c>
      <c r="K1094" s="219" t="e">
        <f t="shared" si="118"/>
        <v>#REF!</v>
      </c>
      <c r="L1094" s="422" t="e">
        <f t="shared" si="119"/>
        <v>#REF!</v>
      </c>
      <c r="M1094" s="422" t="e">
        <f>IF(I1094="","",WORKDAY(L1094-1,1,FERIADOS!$A$2:$A$831))</f>
        <v>#REF!</v>
      </c>
      <c r="N1094" s="219" t="e">
        <f>IF(I1094="","",NETWORKDAYS(Curva!$M$2,M1094,FERIADOS!$A$2:$A$831)-1)</f>
        <v>#REF!</v>
      </c>
      <c r="O1094" s="423" t="e">
        <f>IF(C1094&lt;&gt;"",IF(ISERROR((100000/E1094)^(252/N1094)-1),Curva!$B$2,((100000/E1094)^(252/N1094)-1)),"")</f>
        <v>#REF!</v>
      </c>
      <c r="P1094" s="219" t="e">
        <f>IF(OR(G1094=1,G1094=2),dadosexternosBMF_1!B1097,"")</f>
        <v>#REF!</v>
      </c>
      <c r="Q1094" s="219" t="e">
        <f>IF(OR(G1094=1,G1094=2),dadosexternosBMF_1!D1097,"")</f>
        <v>#REF!</v>
      </c>
    </row>
    <row r="1095" spans="1:17" x14ac:dyDescent="0.2">
      <c r="A1095" s="222" t="e">
        <f t="shared" si="114"/>
        <v>#REF!</v>
      </c>
      <c r="B1095" s="222" t="str">
        <f>IF(dadosexternosBMF_1!A1098="DI1 - DI de 1 dia","DI1 - DI de 1 dia","")</f>
        <v/>
      </c>
      <c r="C1095" s="222" t="e">
        <f>IF(dadosexternosBMF_1!A1098="DOL - Dólar comercial","",IF(C1094&lt;&gt;"",dadosexternosBMF_1!B1098,IF(dadosexternosBMF_1!A1098="DI1 - DI de 1 dia",dadosexternosBMF_1!B1098,"")))</f>
        <v>#REF!</v>
      </c>
      <c r="D1095" s="222" t="e">
        <f>IF(C1095&lt;&gt;"",dadosexternosBMF_1!C1098,"")</f>
        <v>#REF!</v>
      </c>
      <c r="E1095" s="222" t="e">
        <f>IF(C1095&lt;&gt;"",dadosexternosBMF_1!D1098,"")</f>
        <v>#REF!</v>
      </c>
      <c r="G1095" s="219" t="e">
        <f t="shared" si="115"/>
        <v>#REF!</v>
      </c>
      <c r="H1095" s="219" t="e">
        <f t="shared" si="116"/>
        <v>#REF!</v>
      </c>
      <c r="I1095" s="219" t="e">
        <f t="shared" si="117"/>
        <v>#REF!</v>
      </c>
      <c r="J1095" s="219" t="e">
        <f>IF(I1095="","",VLOOKUP(LEFT(C1095,1),dadosexternosBMF_1!$L$2:$M$13,2,FALSE))</f>
        <v>#REF!</v>
      </c>
      <c r="K1095" s="219" t="e">
        <f t="shared" si="118"/>
        <v>#REF!</v>
      </c>
      <c r="L1095" s="422" t="e">
        <f t="shared" si="119"/>
        <v>#REF!</v>
      </c>
      <c r="M1095" s="422" t="e">
        <f>IF(I1095="","",WORKDAY(L1095-1,1,FERIADOS!$A$2:$A$831))</f>
        <v>#REF!</v>
      </c>
      <c r="N1095" s="219" t="e">
        <f>IF(I1095="","",NETWORKDAYS(Curva!$M$2,M1095,FERIADOS!$A$2:$A$831)-1)</f>
        <v>#REF!</v>
      </c>
      <c r="O1095" s="423" t="e">
        <f>IF(C1095&lt;&gt;"",IF(ISERROR((100000/E1095)^(252/N1095)-1),Curva!$B$2,((100000/E1095)^(252/N1095)-1)),"")</f>
        <v>#REF!</v>
      </c>
      <c r="P1095" s="219" t="e">
        <f>IF(OR(G1095=1,G1095=2),dadosexternosBMF_1!B1098,"")</f>
        <v>#REF!</v>
      </c>
      <c r="Q1095" s="219" t="e">
        <f>IF(OR(G1095=1,G1095=2),dadosexternosBMF_1!D1098,"")</f>
        <v>#REF!</v>
      </c>
    </row>
    <row r="1096" spans="1:17" x14ac:dyDescent="0.2">
      <c r="A1096" s="222" t="e">
        <f t="shared" si="114"/>
        <v>#REF!</v>
      </c>
      <c r="B1096" s="222" t="str">
        <f>IF(dadosexternosBMF_1!A1099="DI1 - DI de 1 dia","DI1 - DI de 1 dia","")</f>
        <v/>
      </c>
      <c r="C1096" s="222" t="e">
        <f>IF(dadosexternosBMF_1!A1099="DOL - Dólar comercial","",IF(C1095&lt;&gt;"",dadosexternosBMF_1!B1099,IF(dadosexternosBMF_1!A1099="DI1 - DI de 1 dia",dadosexternosBMF_1!B1099,"")))</f>
        <v>#REF!</v>
      </c>
      <c r="D1096" s="222" t="e">
        <f>IF(C1096&lt;&gt;"",dadosexternosBMF_1!C1099,"")</f>
        <v>#REF!</v>
      </c>
      <c r="E1096" s="222" t="e">
        <f>IF(C1096&lt;&gt;"",dadosexternosBMF_1!D1099,"")</f>
        <v>#REF!</v>
      </c>
      <c r="G1096" s="219" t="e">
        <f t="shared" si="115"/>
        <v>#REF!</v>
      </c>
      <c r="H1096" s="219" t="e">
        <f t="shared" si="116"/>
        <v>#REF!</v>
      </c>
      <c r="I1096" s="219" t="e">
        <f t="shared" si="117"/>
        <v>#REF!</v>
      </c>
      <c r="J1096" s="219" t="e">
        <f>IF(I1096="","",VLOOKUP(LEFT(C1096,1),dadosexternosBMF_1!$L$2:$M$13,2,FALSE))</f>
        <v>#REF!</v>
      </c>
      <c r="K1096" s="219" t="e">
        <f t="shared" si="118"/>
        <v>#REF!</v>
      </c>
      <c r="L1096" s="422" t="e">
        <f t="shared" si="119"/>
        <v>#REF!</v>
      </c>
      <c r="M1096" s="422" t="e">
        <f>IF(I1096="","",WORKDAY(L1096-1,1,FERIADOS!$A$2:$A$831))</f>
        <v>#REF!</v>
      </c>
      <c r="N1096" s="219" t="e">
        <f>IF(I1096="","",NETWORKDAYS(Curva!$M$2,M1096,FERIADOS!$A$2:$A$831)-1)</f>
        <v>#REF!</v>
      </c>
      <c r="O1096" s="423" t="e">
        <f>IF(C1096&lt;&gt;"",IF(ISERROR((100000/E1096)^(252/N1096)-1),Curva!$B$2,((100000/E1096)^(252/N1096)-1)),"")</f>
        <v>#REF!</v>
      </c>
      <c r="P1096" s="219" t="e">
        <f>IF(OR(G1096=1,G1096=2),dadosexternosBMF_1!B1099,"")</f>
        <v>#REF!</v>
      </c>
      <c r="Q1096" s="219" t="e">
        <f>IF(OR(G1096=1,G1096=2),dadosexternosBMF_1!D1099,"")</f>
        <v>#REF!</v>
      </c>
    </row>
    <row r="1097" spans="1:17" x14ac:dyDescent="0.2">
      <c r="A1097" s="222" t="e">
        <f t="shared" si="114"/>
        <v>#REF!</v>
      </c>
      <c r="B1097" s="222" t="str">
        <f>IF(dadosexternosBMF_1!A1100="DI1 - DI de 1 dia","DI1 - DI de 1 dia","")</f>
        <v/>
      </c>
      <c r="C1097" s="222" t="e">
        <f>IF(dadosexternosBMF_1!A1100="DOL - Dólar comercial","",IF(C1096&lt;&gt;"",dadosexternosBMF_1!B1100,IF(dadosexternosBMF_1!A1100="DI1 - DI de 1 dia",dadosexternosBMF_1!B1100,"")))</f>
        <v>#REF!</v>
      </c>
      <c r="D1097" s="222" t="e">
        <f>IF(C1097&lt;&gt;"",dadosexternosBMF_1!C1100,"")</f>
        <v>#REF!</v>
      </c>
      <c r="E1097" s="222" t="e">
        <f>IF(C1097&lt;&gt;"",dadosexternosBMF_1!D1100,"")</f>
        <v>#REF!</v>
      </c>
      <c r="G1097" s="219" t="e">
        <f t="shared" si="115"/>
        <v>#REF!</v>
      </c>
      <c r="H1097" s="219" t="e">
        <f t="shared" si="116"/>
        <v>#REF!</v>
      </c>
      <c r="I1097" s="219" t="e">
        <f t="shared" si="117"/>
        <v>#REF!</v>
      </c>
      <c r="J1097" s="219" t="e">
        <f>IF(I1097="","",VLOOKUP(LEFT(C1097,1),dadosexternosBMF_1!$L$2:$M$13,2,FALSE))</f>
        <v>#REF!</v>
      </c>
      <c r="K1097" s="219" t="e">
        <f t="shared" si="118"/>
        <v>#REF!</v>
      </c>
      <c r="L1097" s="422" t="e">
        <f t="shared" si="119"/>
        <v>#REF!</v>
      </c>
      <c r="M1097" s="422" t="e">
        <f>IF(I1097="","",WORKDAY(L1097-1,1,FERIADOS!$A$2:$A$831))</f>
        <v>#REF!</v>
      </c>
      <c r="N1097" s="219" t="e">
        <f>IF(I1097="","",NETWORKDAYS(Curva!$M$2,M1097,FERIADOS!$A$2:$A$831)-1)</f>
        <v>#REF!</v>
      </c>
      <c r="O1097" s="423" t="e">
        <f>IF(C1097&lt;&gt;"",IF(ISERROR((100000/E1097)^(252/N1097)-1),Curva!$B$2,((100000/E1097)^(252/N1097)-1)),"")</f>
        <v>#REF!</v>
      </c>
      <c r="P1097" s="219" t="e">
        <f>IF(OR(G1097=1,G1097=2),dadosexternosBMF_1!B1100,"")</f>
        <v>#REF!</v>
      </c>
      <c r="Q1097" s="219" t="e">
        <f>IF(OR(G1097=1,G1097=2),dadosexternosBMF_1!D1100,"")</f>
        <v>#REF!</v>
      </c>
    </row>
    <row r="1098" spans="1:17" x14ac:dyDescent="0.2">
      <c r="A1098" s="222" t="e">
        <f t="shared" si="114"/>
        <v>#REF!</v>
      </c>
      <c r="B1098" s="222" t="str">
        <f>IF(dadosexternosBMF_1!A1101="DI1 - DI de 1 dia","DI1 - DI de 1 dia","")</f>
        <v/>
      </c>
      <c r="C1098" s="222" t="e">
        <f>IF(dadosexternosBMF_1!A1101="DOL - Dólar comercial","",IF(C1097&lt;&gt;"",dadosexternosBMF_1!B1101,IF(dadosexternosBMF_1!A1101="DI1 - DI de 1 dia",dadosexternosBMF_1!B1101,"")))</f>
        <v>#REF!</v>
      </c>
      <c r="D1098" s="222" t="e">
        <f>IF(C1098&lt;&gt;"",dadosexternosBMF_1!C1101,"")</f>
        <v>#REF!</v>
      </c>
      <c r="E1098" s="222" t="e">
        <f>IF(C1098&lt;&gt;"",dadosexternosBMF_1!D1101,"")</f>
        <v>#REF!</v>
      </c>
      <c r="G1098" s="219" t="e">
        <f t="shared" si="115"/>
        <v>#REF!</v>
      </c>
      <c r="H1098" s="219" t="e">
        <f t="shared" si="116"/>
        <v>#REF!</v>
      </c>
      <c r="I1098" s="219" t="e">
        <f t="shared" si="117"/>
        <v>#REF!</v>
      </c>
      <c r="J1098" s="219" t="e">
        <f>IF(I1098="","",VLOOKUP(LEFT(C1098,1),dadosexternosBMF_1!$L$2:$M$13,2,FALSE))</f>
        <v>#REF!</v>
      </c>
      <c r="K1098" s="219" t="e">
        <f t="shared" si="118"/>
        <v>#REF!</v>
      </c>
      <c r="L1098" s="422" t="e">
        <f t="shared" si="119"/>
        <v>#REF!</v>
      </c>
      <c r="M1098" s="422" t="e">
        <f>IF(I1098="","",WORKDAY(L1098-1,1,FERIADOS!$A$2:$A$831))</f>
        <v>#REF!</v>
      </c>
      <c r="N1098" s="219" t="e">
        <f>IF(I1098="","",NETWORKDAYS(Curva!$M$2,M1098,FERIADOS!$A$2:$A$831)-1)</f>
        <v>#REF!</v>
      </c>
      <c r="O1098" s="423" t="e">
        <f>IF(C1098&lt;&gt;"",IF(ISERROR((100000/E1098)^(252/N1098)-1),Curva!$B$2,((100000/E1098)^(252/N1098)-1)),"")</f>
        <v>#REF!</v>
      </c>
      <c r="P1098" s="219" t="e">
        <f>IF(OR(G1098=1,G1098=2),dadosexternosBMF_1!B1101,"")</f>
        <v>#REF!</v>
      </c>
      <c r="Q1098" s="219" t="e">
        <f>IF(OR(G1098=1,G1098=2),dadosexternosBMF_1!D1101,"")</f>
        <v>#REF!</v>
      </c>
    </row>
    <row r="1099" spans="1:17" x14ac:dyDescent="0.2">
      <c r="A1099" s="222" t="e">
        <f t="shared" si="114"/>
        <v>#REF!</v>
      </c>
      <c r="B1099" s="222" t="str">
        <f>IF(dadosexternosBMF_1!A1102="DI1 - DI de 1 dia","DI1 - DI de 1 dia","")</f>
        <v/>
      </c>
      <c r="C1099" s="222" t="e">
        <f>IF(dadosexternosBMF_1!A1102="DOL - Dólar comercial","",IF(C1098&lt;&gt;"",dadosexternosBMF_1!B1102,IF(dadosexternosBMF_1!A1102="DI1 - DI de 1 dia",dadosexternosBMF_1!B1102,"")))</f>
        <v>#REF!</v>
      </c>
      <c r="D1099" s="222" t="e">
        <f>IF(C1099&lt;&gt;"",dadosexternosBMF_1!C1102,"")</f>
        <v>#REF!</v>
      </c>
      <c r="E1099" s="222" t="e">
        <f>IF(C1099&lt;&gt;"",dadosexternosBMF_1!D1102,"")</f>
        <v>#REF!</v>
      </c>
      <c r="G1099" s="219" t="e">
        <f t="shared" si="115"/>
        <v>#REF!</v>
      </c>
      <c r="H1099" s="219" t="e">
        <f t="shared" si="116"/>
        <v>#REF!</v>
      </c>
      <c r="I1099" s="219" t="e">
        <f t="shared" si="117"/>
        <v>#REF!</v>
      </c>
      <c r="J1099" s="219" t="e">
        <f>IF(I1099="","",VLOOKUP(LEFT(C1099,1),dadosexternosBMF_1!$L$2:$M$13,2,FALSE))</f>
        <v>#REF!</v>
      </c>
      <c r="K1099" s="219" t="e">
        <f t="shared" si="118"/>
        <v>#REF!</v>
      </c>
      <c r="L1099" s="422" t="e">
        <f t="shared" si="119"/>
        <v>#REF!</v>
      </c>
      <c r="M1099" s="422" t="e">
        <f>IF(I1099="","",WORKDAY(L1099-1,1,FERIADOS!$A$2:$A$831))</f>
        <v>#REF!</v>
      </c>
      <c r="N1099" s="219" t="e">
        <f>IF(I1099="","",NETWORKDAYS(Curva!$M$2,M1099,FERIADOS!$A$2:$A$831)-1)</f>
        <v>#REF!</v>
      </c>
      <c r="O1099" s="423" t="e">
        <f>IF(C1099&lt;&gt;"",IF(ISERROR((100000/E1099)^(252/N1099)-1),Curva!$B$2,((100000/E1099)^(252/N1099)-1)),"")</f>
        <v>#REF!</v>
      </c>
      <c r="P1099" s="219" t="e">
        <f>IF(OR(G1099=1,G1099=2),dadosexternosBMF_1!B1102,"")</f>
        <v>#REF!</v>
      </c>
      <c r="Q1099" s="219" t="e">
        <f>IF(OR(G1099=1,G1099=2),dadosexternosBMF_1!D1102,"")</f>
        <v>#REF!</v>
      </c>
    </row>
    <row r="1100" spans="1:17" x14ac:dyDescent="0.2">
      <c r="A1100" s="222" t="e">
        <f t="shared" si="114"/>
        <v>#REF!</v>
      </c>
      <c r="B1100" s="222" t="str">
        <f>IF(dadosexternosBMF_1!A1103="DI1 - DI de 1 dia","DI1 - DI de 1 dia","")</f>
        <v/>
      </c>
      <c r="C1100" s="222" t="e">
        <f>IF(dadosexternosBMF_1!A1103="DOL - Dólar comercial","",IF(C1099&lt;&gt;"",dadosexternosBMF_1!B1103,IF(dadosexternosBMF_1!A1103="DI1 - DI de 1 dia",dadosexternosBMF_1!B1103,"")))</f>
        <v>#REF!</v>
      </c>
      <c r="D1100" s="222" t="e">
        <f>IF(C1100&lt;&gt;"",dadosexternosBMF_1!C1103,"")</f>
        <v>#REF!</v>
      </c>
      <c r="E1100" s="222" t="e">
        <f>IF(C1100&lt;&gt;"",dadosexternosBMF_1!D1103,"")</f>
        <v>#REF!</v>
      </c>
      <c r="G1100" s="219" t="e">
        <f t="shared" si="115"/>
        <v>#REF!</v>
      </c>
      <c r="H1100" s="219" t="e">
        <f t="shared" si="116"/>
        <v>#REF!</v>
      </c>
      <c r="I1100" s="219" t="e">
        <f t="shared" si="117"/>
        <v>#REF!</v>
      </c>
      <c r="J1100" s="219" t="e">
        <f>IF(I1100="","",VLOOKUP(LEFT(C1100,1),dadosexternosBMF_1!$L$2:$M$13,2,FALSE))</f>
        <v>#REF!</v>
      </c>
      <c r="K1100" s="219" t="e">
        <f t="shared" si="118"/>
        <v>#REF!</v>
      </c>
      <c r="L1100" s="422" t="e">
        <f t="shared" si="119"/>
        <v>#REF!</v>
      </c>
      <c r="M1100" s="422" t="e">
        <f>IF(I1100="","",WORKDAY(L1100-1,1,FERIADOS!$A$2:$A$831))</f>
        <v>#REF!</v>
      </c>
      <c r="N1100" s="219" t="e">
        <f>IF(I1100="","",NETWORKDAYS(Curva!$M$2,M1100,FERIADOS!$A$2:$A$831)-1)</f>
        <v>#REF!</v>
      </c>
      <c r="O1100" s="423" t="e">
        <f>IF(C1100&lt;&gt;"",IF(ISERROR((100000/E1100)^(252/N1100)-1),Curva!$B$2,((100000/E1100)^(252/N1100)-1)),"")</f>
        <v>#REF!</v>
      </c>
      <c r="P1100" s="219" t="e">
        <f>IF(OR(G1100=1,G1100=2),dadosexternosBMF_1!B1103,"")</f>
        <v>#REF!</v>
      </c>
      <c r="Q1100" s="219" t="e">
        <f>IF(OR(G1100=1,G1100=2),dadosexternosBMF_1!D1103,"")</f>
        <v>#REF!</v>
      </c>
    </row>
    <row r="1101" spans="1:17" x14ac:dyDescent="0.2">
      <c r="A1101" s="222" t="e">
        <f t="shared" si="114"/>
        <v>#REF!</v>
      </c>
      <c r="B1101" s="222" t="str">
        <f>IF(dadosexternosBMF_1!A1104="DI1 - DI de 1 dia","DI1 - DI de 1 dia","")</f>
        <v/>
      </c>
      <c r="C1101" s="222" t="e">
        <f>IF(dadosexternosBMF_1!A1104="DOL - Dólar comercial","",IF(C1100&lt;&gt;"",dadosexternosBMF_1!B1104,IF(dadosexternosBMF_1!A1104="DI1 - DI de 1 dia",dadosexternosBMF_1!B1104,"")))</f>
        <v>#REF!</v>
      </c>
      <c r="D1101" s="222" t="e">
        <f>IF(C1101&lt;&gt;"",dadosexternosBMF_1!C1104,"")</f>
        <v>#REF!</v>
      </c>
      <c r="E1101" s="222" t="e">
        <f>IF(C1101&lt;&gt;"",dadosexternosBMF_1!D1104,"")</f>
        <v>#REF!</v>
      </c>
      <c r="G1101" s="219" t="e">
        <f t="shared" si="115"/>
        <v>#REF!</v>
      </c>
      <c r="H1101" s="219" t="e">
        <f t="shared" si="116"/>
        <v>#REF!</v>
      </c>
      <c r="I1101" s="219" t="e">
        <f t="shared" si="117"/>
        <v>#REF!</v>
      </c>
      <c r="J1101" s="219" t="e">
        <f>IF(I1101="","",VLOOKUP(LEFT(C1101,1),dadosexternosBMF_1!$L$2:$M$13,2,FALSE))</f>
        <v>#REF!</v>
      </c>
      <c r="K1101" s="219" t="e">
        <f t="shared" si="118"/>
        <v>#REF!</v>
      </c>
      <c r="L1101" s="422" t="e">
        <f t="shared" si="119"/>
        <v>#REF!</v>
      </c>
      <c r="M1101" s="422" t="e">
        <f>IF(I1101="","",WORKDAY(L1101-1,1,FERIADOS!$A$2:$A$831))</f>
        <v>#REF!</v>
      </c>
      <c r="N1101" s="219" t="e">
        <f>IF(I1101="","",NETWORKDAYS(Curva!$M$2,M1101,FERIADOS!$A$2:$A$831)-1)</f>
        <v>#REF!</v>
      </c>
      <c r="O1101" s="423" t="e">
        <f>IF(C1101&lt;&gt;"",IF(ISERROR((100000/E1101)^(252/N1101)-1),Curva!$B$2,((100000/E1101)^(252/N1101)-1)),"")</f>
        <v>#REF!</v>
      </c>
      <c r="P1101" s="219" t="e">
        <f>IF(OR(G1101=1,G1101=2),dadosexternosBMF_1!B1104,"")</f>
        <v>#REF!</v>
      </c>
      <c r="Q1101" s="219" t="e">
        <f>IF(OR(G1101=1,G1101=2),dadosexternosBMF_1!D1104,"")</f>
        <v>#REF!</v>
      </c>
    </row>
    <row r="1102" spans="1:17" x14ac:dyDescent="0.2">
      <c r="A1102" s="222" t="e">
        <f t="shared" si="114"/>
        <v>#REF!</v>
      </c>
      <c r="B1102" s="222" t="str">
        <f>IF(dadosexternosBMF_1!A1105="DI1 - DI de 1 dia","DI1 - DI de 1 dia","")</f>
        <v/>
      </c>
      <c r="C1102" s="222" t="e">
        <f>IF(dadosexternosBMF_1!A1105="DOL - Dólar comercial","",IF(C1101&lt;&gt;"",dadosexternosBMF_1!B1105,IF(dadosexternosBMF_1!A1105="DI1 - DI de 1 dia",dadosexternosBMF_1!B1105,"")))</f>
        <v>#REF!</v>
      </c>
      <c r="D1102" s="222" t="e">
        <f>IF(C1102&lt;&gt;"",dadosexternosBMF_1!C1105,"")</f>
        <v>#REF!</v>
      </c>
      <c r="E1102" s="222" t="e">
        <f>IF(C1102&lt;&gt;"",dadosexternosBMF_1!D1105,"")</f>
        <v>#REF!</v>
      </c>
      <c r="G1102" s="219" t="e">
        <f t="shared" si="115"/>
        <v>#REF!</v>
      </c>
      <c r="H1102" s="219" t="e">
        <f t="shared" si="116"/>
        <v>#REF!</v>
      </c>
      <c r="I1102" s="219" t="e">
        <f t="shared" si="117"/>
        <v>#REF!</v>
      </c>
      <c r="J1102" s="219" t="e">
        <f>IF(I1102="","",VLOOKUP(LEFT(C1102,1),dadosexternosBMF_1!$L$2:$M$13,2,FALSE))</f>
        <v>#REF!</v>
      </c>
      <c r="K1102" s="219" t="e">
        <f t="shared" si="118"/>
        <v>#REF!</v>
      </c>
      <c r="L1102" s="422" t="e">
        <f t="shared" si="119"/>
        <v>#REF!</v>
      </c>
      <c r="M1102" s="422" t="e">
        <f>IF(I1102="","",WORKDAY(L1102-1,1,FERIADOS!$A$2:$A$831))</f>
        <v>#REF!</v>
      </c>
      <c r="N1102" s="219" t="e">
        <f>IF(I1102="","",NETWORKDAYS(Curva!$M$2,M1102,FERIADOS!$A$2:$A$831)-1)</f>
        <v>#REF!</v>
      </c>
      <c r="O1102" s="423" t="e">
        <f>IF(C1102&lt;&gt;"",IF(ISERROR((100000/E1102)^(252/N1102)-1),Curva!$B$2,((100000/E1102)^(252/N1102)-1)),"")</f>
        <v>#REF!</v>
      </c>
      <c r="P1102" s="219" t="e">
        <f>IF(OR(G1102=1,G1102=2),dadosexternosBMF_1!B1105,"")</f>
        <v>#REF!</v>
      </c>
      <c r="Q1102" s="219" t="e">
        <f>IF(OR(G1102=1,G1102=2),dadosexternosBMF_1!D1105,"")</f>
        <v>#REF!</v>
      </c>
    </row>
    <row r="1103" spans="1:17" x14ac:dyDescent="0.2">
      <c r="A1103" s="222" t="e">
        <f t="shared" si="114"/>
        <v>#REF!</v>
      </c>
      <c r="B1103" s="222" t="str">
        <f>IF(dadosexternosBMF_1!A1106="DI1 - DI de 1 dia","DI1 - DI de 1 dia","")</f>
        <v/>
      </c>
      <c r="C1103" s="222" t="e">
        <f>IF(dadosexternosBMF_1!A1106="DOL - Dólar comercial","",IF(C1102&lt;&gt;"",dadosexternosBMF_1!B1106,IF(dadosexternosBMF_1!A1106="DI1 - DI de 1 dia",dadosexternosBMF_1!B1106,"")))</f>
        <v>#REF!</v>
      </c>
      <c r="D1103" s="222" t="e">
        <f>IF(C1103&lt;&gt;"",dadosexternosBMF_1!C1106,"")</f>
        <v>#REF!</v>
      </c>
      <c r="E1103" s="222" t="e">
        <f>IF(C1103&lt;&gt;"",dadosexternosBMF_1!D1106,"")</f>
        <v>#REF!</v>
      </c>
      <c r="G1103" s="219" t="e">
        <f t="shared" si="115"/>
        <v>#REF!</v>
      </c>
      <c r="H1103" s="219" t="e">
        <f t="shared" si="116"/>
        <v>#REF!</v>
      </c>
      <c r="I1103" s="219" t="e">
        <f t="shared" si="117"/>
        <v>#REF!</v>
      </c>
      <c r="J1103" s="219" t="e">
        <f>IF(I1103="","",VLOOKUP(LEFT(C1103,1),dadosexternosBMF_1!$L$2:$M$13,2,FALSE))</f>
        <v>#REF!</v>
      </c>
      <c r="K1103" s="219" t="e">
        <f t="shared" si="118"/>
        <v>#REF!</v>
      </c>
      <c r="L1103" s="422" t="e">
        <f t="shared" si="119"/>
        <v>#REF!</v>
      </c>
      <c r="M1103" s="422" t="e">
        <f>IF(I1103="","",WORKDAY(L1103-1,1,FERIADOS!$A$2:$A$831))</f>
        <v>#REF!</v>
      </c>
      <c r="N1103" s="219" t="e">
        <f>IF(I1103="","",NETWORKDAYS(Curva!$M$2,M1103,FERIADOS!$A$2:$A$831)-1)</f>
        <v>#REF!</v>
      </c>
      <c r="O1103" s="423" t="e">
        <f>IF(C1103&lt;&gt;"",IF(ISERROR((100000/E1103)^(252/N1103)-1),Curva!$B$2,((100000/E1103)^(252/N1103)-1)),"")</f>
        <v>#REF!</v>
      </c>
      <c r="P1103" s="219" t="e">
        <f>IF(OR(G1103=1,G1103=2),dadosexternosBMF_1!B1106,"")</f>
        <v>#REF!</v>
      </c>
      <c r="Q1103" s="219" t="e">
        <f>IF(OR(G1103=1,G1103=2),dadosexternosBMF_1!D1106,"")</f>
        <v>#REF!</v>
      </c>
    </row>
    <row r="1104" spans="1:17" x14ac:dyDescent="0.2">
      <c r="A1104" s="222" t="e">
        <f t="shared" si="114"/>
        <v>#REF!</v>
      </c>
      <c r="B1104" s="222" t="str">
        <f>IF(dadosexternosBMF_1!A1107="DI1 - DI de 1 dia","DI1 - DI de 1 dia","")</f>
        <v/>
      </c>
      <c r="C1104" s="222" t="e">
        <f>IF(dadosexternosBMF_1!A1107="DOL - Dólar comercial","",IF(C1103&lt;&gt;"",dadosexternosBMF_1!B1107,IF(dadosexternosBMF_1!A1107="DI1 - DI de 1 dia",dadosexternosBMF_1!B1107,"")))</f>
        <v>#REF!</v>
      </c>
      <c r="D1104" s="222" t="e">
        <f>IF(C1104&lt;&gt;"",dadosexternosBMF_1!C1107,"")</f>
        <v>#REF!</v>
      </c>
      <c r="E1104" s="222" t="e">
        <f>IF(C1104&lt;&gt;"",dadosexternosBMF_1!D1107,"")</f>
        <v>#REF!</v>
      </c>
      <c r="G1104" s="219" t="e">
        <f t="shared" si="115"/>
        <v>#REF!</v>
      </c>
      <c r="H1104" s="219" t="e">
        <f t="shared" si="116"/>
        <v>#REF!</v>
      </c>
      <c r="I1104" s="219" t="e">
        <f t="shared" si="117"/>
        <v>#REF!</v>
      </c>
      <c r="J1104" s="219" t="e">
        <f>IF(I1104="","",VLOOKUP(LEFT(C1104,1),dadosexternosBMF_1!$L$2:$M$13,2,FALSE))</f>
        <v>#REF!</v>
      </c>
      <c r="K1104" s="219" t="e">
        <f t="shared" si="118"/>
        <v>#REF!</v>
      </c>
      <c r="L1104" s="422" t="e">
        <f t="shared" si="119"/>
        <v>#REF!</v>
      </c>
      <c r="M1104" s="422" t="e">
        <f>IF(I1104="","",WORKDAY(L1104-1,1,FERIADOS!$A$2:$A$831))</f>
        <v>#REF!</v>
      </c>
      <c r="N1104" s="219" t="e">
        <f>IF(I1104="","",NETWORKDAYS(Curva!$M$2,M1104,FERIADOS!$A$2:$A$831)-1)</f>
        <v>#REF!</v>
      </c>
      <c r="O1104" s="423" t="e">
        <f>IF(C1104&lt;&gt;"",IF(ISERROR((100000/E1104)^(252/N1104)-1),Curva!$B$2,((100000/E1104)^(252/N1104)-1)),"")</f>
        <v>#REF!</v>
      </c>
      <c r="P1104" s="219" t="e">
        <f>IF(OR(G1104=1,G1104=2),dadosexternosBMF_1!B1107,"")</f>
        <v>#REF!</v>
      </c>
      <c r="Q1104" s="219" t="e">
        <f>IF(OR(G1104=1,G1104=2),dadosexternosBMF_1!D1107,"")</f>
        <v>#REF!</v>
      </c>
    </row>
    <row r="1105" spans="1:17" x14ac:dyDescent="0.2">
      <c r="A1105" s="222" t="e">
        <f t="shared" si="114"/>
        <v>#REF!</v>
      </c>
      <c r="B1105" s="222" t="str">
        <f>IF(dadosexternosBMF_1!A1108="DI1 - DI de 1 dia","DI1 - DI de 1 dia","")</f>
        <v/>
      </c>
      <c r="C1105" s="222" t="e">
        <f>IF(dadosexternosBMF_1!A1108="DOL - Dólar comercial","",IF(C1104&lt;&gt;"",dadosexternosBMF_1!B1108,IF(dadosexternosBMF_1!A1108="DI1 - DI de 1 dia",dadosexternosBMF_1!B1108,"")))</f>
        <v>#REF!</v>
      </c>
      <c r="D1105" s="222" t="e">
        <f>IF(C1105&lt;&gt;"",dadosexternosBMF_1!C1108,"")</f>
        <v>#REF!</v>
      </c>
      <c r="E1105" s="222" t="e">
        <f>IF(C1105&lt;&gt;"",dadosexternosBMF_1!D1108,"")</f>
        <v>#REF!</v>
      </c>
      <c r="G1105" s="219" t="e">
        <f t="shared" si="115"/>
        <v>#REF!</v>
      </c>
      <c r="H1105" s="219" t="e">
        <f t="shared" si="116"/>
        <v>#REF!</v>
      </c>
      <c r="I1105" s="219" t="e">
        <f t="shared" si="117"/>
        <v>#REF!</v>
      </c>
      <c r="J1105" s="219" t="e">
        <f>IF(I1105="","",VLOOKUP(LEFT(C1105,1),dadosexternosBMF_1!$L$2:$M$13,2,FALSE))</f>
        <v>#REF!</v>
      </c>
      <c r="K1105" s="219" t="e">
        <f t="shared" si="118"/>
        <v>#REF!</v>
      </c>
      <c r="L1105" s="422" t="e">
        <f t="shared" si="119"/>
        <v>#REF!</v>
      </c>
      <c r="M1105" s="422" t="e">
        <f>IF(I1105="","",WORKDAY(L1105-1,1,FERIADOS!$A$2:$A$831))</f>
        <v>#REF!</v>
      </c>
      <c r="N1105" s="219" t="e">
        <f>IF(I1105="","",NETWORKDAYS(Curva!$M$2,M1105,FERIADOS!$A$2:$A$831)-1)</f>
        <v>#REF!</v>
      </c>
      <c r="O1105" s="423" t="e">
        <f>IF(C1105&lt;&gt;"",IF(ISERROR((100000/E1105)^(252/N1105)-1),Curva!$B$2,((100000/E1105)^(252/N1105)-1)),"")</f>
        <v>#REF!</v>
      </c>
      <c r="P1105" s="219" t="e">
        <f>IF(OR(G1105=1,G1105=2),dadosexternosBMF_1!B1108,"")</f>
        <v>#REF!</v>
      </c>
      <c r="Q1105" s="219" t="e">
        <f>IF(OR(G1105=1,G1105=2),dadosexternosBMF_1!D1108,"")</f>
        <v>#REF!</v>
      </c>
    </row>
    <row r="1106" spans="1:17" x14ac:dyDescent="0.2">
      <c r="A1106" s="222" t="e">
        <f t="shared" si="114"/>
        <v>#REF!</v>
      </c>
      <c r="B1106" s="222" t="str">
        <f>IF(dadosexternosBMF_1!A1109="DI1 - DI de 1 dia","DI1 - DI de 1 dia","")</f>
        <v/>
      </c>
      <c r="C1106" s="222" t="e">
        <f>IF(dadosexternosBMF_1!A1109="DOL - Dólar comercial","",IF(C1105&lt;&gt;"",dadosexternosBMF_1!B1109,IF(dadosexternosBMF_1!A1109="DI1 - DI de 1 dia",dadosexternosBMF_1!B1109,"")))</f>
        <v>#REF!</v>
      </c>
      <c r="D1106" s="222" t="e">
        <f>IF(C1106&lt;&gt;"",dadosexternosBMF_1!C1109,"")</f>
        <v>#REF!</v>
      </c>
      <c r="E1106" s="222" t="e">
        <f>IF(C1106&lt;&gt;"",dadosexternosBMF_1!D1109,"")</f>
        <v>#REF!</v>
      </c>
      <c r="G1106" s="219" t="e">
        <f t="shared" si="115"/>
        <v>#REF!</v>
      </c>
      <c r="H1106" s="219" t="e">
        <f t="shared" si="116"/>
        <v>#REF!</v>
      </c>
      <c r="I1106" s="219" t="e">
        <f t="shared" si="117"/>
        <v>#REF!</v>
      </c>
      <c r="J1106" s="219" t="e">
        <f>IF(I1106="","",VLOOKUP(LEFT(C1106,1),dadosexternosBMF_1!$L$2:$M$13,2,FALSE))</f>
        <v>#REF!</v>
      </c>
      <c r="K1106" s="219" t="e">
        <f t="shared" si="118"/>
        <v>#REF!</v>
      </c>
      <c r="L1106" s="422" t="e">
        <f t="shared" si="119"/>
        <v>#REF!</v>
      </c>
      <c r="M1106" s="422" t="e">
        <f>IF(I1106="","",WORKDAY(L1106-1,1,FERIADOS!$A$2:$A$831))</f>
        <v>#REF!</v>
      </c>
      <c r="N1106" s="219" t="e">
        <f>IF(I1106="","",NETWORKDAYS(Curva!$M$2,M1106,FERIADOS!$A$2:$A$831)-1)</f>
        <v>#REF!</v>
      </c>
      <c r="O1106" s="423" t="e">
        <f>IF(C1106&lt;&gt;"",IF(ISERROR((100000/E1106)^(252/N1106)-1),Curva!$B$2,((100000/E1106)^(252/N1106)-1)),"")</f>
        <v>#REF!</v>
      </c>
      <c r="P1106" s="219" t="e">
        <f>IF(OR(G1106=1,G1106=2),dadosexternosBMF_1!B1109,"")</f>
        <v>#REF!</v>
      </c>
      <c r="Q1106" s="219" t="e">
        <f>IF(OR(G1106=1,G1106=2),dadosexternosBMF_1!D1109,"")</f>
        <v>#REF!</v>
      </c>
    </row>
    <row r="1107" spans="1:17" x14ac:dyDescent="0.2">
      <c r="A1107" s="222" t="e">
        <f t="shared" si="114"/>
        <v>#REF!</v>
      </c>
      <c r="B1107" s="222" t="str">
        <f>IF(dadosexternosBMF_1!A1110="DI1 - DI de 1 dia","DI1 - DI de 1 dia","")</f>
        <v/>
      </c>
      <c r="C1107" s="222" t="e">
        <f>IF(dadosexternosBMF_1!A1110="DOL - Dólar comercial","",IF(C1106&lt;&gt;"",dadosexternosBMF_1!B1110,IF(dadosexternosBMF_1!A1110="DI1 - DI de 1 dia",dadosexternosBMF_1!B1110,"")))</f>
        <v>#REF!</v>
      </c>
      <c r="D1107" s="222" t="e">
        <f>IF(C1107&lt;&gt;"",dadosexternosBMF_1!C1110,"")</f>
        <v>#REF!</v>
      </c>
      <c r="E1107" s="222" t="e">
        <f>IF(C1107&lt;&gt;"",dadosexternosBMF_1!D1110,"")</f>
        <v>#REF!</v>
      </c>
      <c r="G1107" s="219" t="e">
        <f t="shared" si="115"/>
        <v>#REF!</v>
      </c>
      <c r="H1107" s="219" t="e">
        <f t="shared" si="116"/>
        <v>#REF!</v>
      </c>
      <c r="I1107" s="219" t="e">
        <f t="shared" si="117"/>
        <v>#REF!</v>
      </c>
      <c r="J1107" s="219" t="e">
        <f>IF(I1107="","",VLOOKUP(LEFT(C1107,1),dadosexternosBMF_1!$L$2:$M$13,2,FALSE))</f>
        <v>#REF!</v>
      </c>
      <c r="K1107" s="219" t="e">
        <f t="shared" si="118"/>
        <v>#REF!</v>
      </c>
      <c r="L1107" s="422" t="e">
        <f t="shared" si="119"/>
        <v>#REF!</v>
      </c>
      <c r="M1107" s="422" t="e">
        <f>IF(I1107="","",WORKDAY(L1107-1,1,FERIADOS!$A$2:$A$831))</f>
        <v>#REF!</v>
      </c>
      <c r="N1107" s="219" t="e">
        <f>IF(I1107="","",NETWORKDAYS(Curva!$M$2,M1107,FERIADOS!$A$2:$A$831)-1)</f>
        <v>#REF!</v>
      </c>
      <c r="O1107" s="423" t="e">
        <f>IF(C1107&lt;&gt;"",IF(ISERROR((100000/E1107)^(252/N1107)-1),Curva!$B$2,((100000/E1107)^(252/N1107)-1)),"")</f>
        <v>#REF!</v>
      </c>
      <c r="P1107" s="219" t="e">
        <f>IF(OR(G1107=1,G1107=2),dadosexternosBMF_1!B1110,"")</f>
        <v>#REF!</v>
      </c>
      <c r="Q1107" s="219" t="e">
        <f>IF(OR(G1107=1,G1107=2),dadosexternosBMF_1!D1110,"")</f>
        <v>#REF!</v>
      </c>
    </row>
    <row r="1108" spans="1:17" x14ac:dyDescent="0.2">
      <c r="A1108" s="222" t="e">
        <f t="shared" si="114"/>
        <v>#REF!</v>
      </c>
      <c r="B1108" s="222" t="str">
        <f>IF(dadosexternosBMF_1!A1111="DI1 - DI de 1 dia","DI1 - DI de 1 dia","")</f>
        <v/>
      </c>
      <c r="C1108" s="222" t="e">
        <f>IF(dadosexternosBMF_1!A1111="DOL - Dólar comercial","",IF(C1107&lt;&gt;"",dadosexternosBMF_1!B1111,IF(dadosexternosBMF_1!A1111="DI1 - DI de 1 dia",dadosexternosBMF_1!B1111,"")))</f>
        <v>#REF!</v>
      </c>
      <c r="D1108" s="222" t="e">
        <f>IF(C1108&lt;&gt;"",dadosexternosBMF_1!C1111,"")</f>
        <v>#REF!</v>
      </c>
      <c r="E1108" s="222" t="e">
        <f>IF(C1108&lt;&gt;"",dadosexternosBMF_1!D1111,"")</f>
        <v>#REF!</v>
      </c>
      <c r="G1108" s="219" t="e">
        <f t="shared" si="115"/>
        <v>#REF!</v>
      </c>
      <c r="H1108" s="219" t="e">
        <f t="shared" si="116"/>
        <v>#REF!</v>
      </c>
      <c r="I1108" s="219" t="e">
        <f t="shared" si="117"/>
        <v>#REF!</v>
      </c>
      <c r="J1108" s="219" t="e">
        <f>IF(I1108="","",VLOOKUP(LEFT(C1108,1),dadosexternosBMF_1!$L$2:$M$13,2,FALSE))</f>
        <v>#REF!</v>
      </c>
      <c r="K1108" s="219" t="e">
        <f t="shared" si="118"/>
        <v>#REF!</v>
      </c>
      <c r="L1108" s="422" t="e">
        <f t="shared" si="119"/>
        <v>#REF!</v>
      </c>
      <c r="M1108" s="422" t="e">
        <f>IF(I1108="","",WORKDAY(L1108-1,1,FERIADOS!$A$2:$A$831))</f>
        <v>#REF!</v>
      </c>
      <c r="N1108" s="219" t="e">
        <f>IF(I1108="","",NETWORKDAYS(Curva!$M$2,M1108,FERIADOS!$A$2:$A$831)-1)</f>
        <v>#REF!</v>
      </c>
      <c r="O1108" s="423" t="e">
        <f>IF(C1108&lt;&gt;"",IF(ISERROR((100000/E1108)^(252/N1108)-1),Curva!$B$2,((100000/E1108)^(252/N1108)-1)),"")</f>
        <v>#REF!</v>
      </c>
      <c r="P1108" s="219" t="e">
        <f>IF(OR(G1108=1,G1108=2),dadosexternosBMF_1!B1111,"")</f>
        <v>#REF!</v>
      </c>
      <c r="Q1108" s="219" t="e">
        <f>IF(OR(G1108=1,G1108=2),dadosexternosBMF_1!D1111,"")</f>
        <v>#REF!</v>
      </c>
    </row>
    <row r="1109" spans="1:17" x14ac:dyDescent="0.2">
      <c r="A1109" s="222" t="e">
        <f t="shared" si="114"/>
        <v>#REF!</v>
      </c>
      <c r="B1109" s="222" t="str">
        <f>IF(dadosexternosBMF_1!A1112="DI1 - DI de 1 dia","DI1 - DI de 1 dia","")</f>
        <v/>
      </c>
      <c r="C1109" s="222" t="e">
        <f>IF(dadosexternosBMF_1!A1112="DOL - Dólar comercial","",IF(C1108&lt;&gt;"",dadosexternosBMF_1!B1112,IF(dadosexternosBMF_1!A1112="DI1 - DI de 1 dia",dadosexternosBMF_1!B1112,"")))</f>
        <v>#REF!</v>
      </c>
      <c r="D1109" s="222" t="e">
        <f>IF(C1109&lt;&gt;"",dadosexternosBMF_1!C1112,"")</f>
        <v>#REF!</v>
      </c>
      <c r="E1109" s="222" t="e">
        <f>IF(C1109&lt;&gt;"",dadosexternosBMF_1!D1112,"")</f>
        <v>#REF!</v>
      </c>
      <c r="G1109" s="219" t="e">
        <f t="shared" si="115"/>
        <v>#REF!</v>
      </c>
      <c r="H1109" s="219" t="e">
        <f t="shared" si="116"/>
        <v>#REF!</v>
      </c>
      <c r="I1109" s="219" t="e">
        <f t="shared" si="117"/>
        <v>#REF!</v>
      </c>
      <c r="J1109" s="219" t="e">
        <f>IF(I1109="","",VLOOKUP(LEFT(C1109,1),dadosexternosBMF_1!$L$2:$M$13,2,FALSE))</f>
        <v>#REF!</v>
      </c>
      <c r="K1109" s="219" t="e">
        <f t="shared" si="118"/>
        <v>#REF!</v>
      </c>
      <c r="L1109" s="422" t="e">
        <f t="shared" si="119"/>
        <v>#REF!</v>
      </c>
      <c r="M1109" s="422" t="e">
        <f>IF(I1109="","",WORKDAY(L1109-1,1,FERIADOS!$A$2:$A$831))</f>
        <v>#REF!</v>
      </c>
      <c r="N1109" s="219" t="e">
        <f>IF(I1109="","",NETWORKDAYS(Curva!$M$2,M1109,FERIADOS!$A$2:$A$831)-1)</f>
        <v>#REF!</v>
      </c>
      <c r="O1109" s="423" t="e">
        <f>IF(C1109&lt;&gt;"",IF(ISERROR((100000/E1109)^(252/N1109)-1),Curva!$B$2,((100000/E1109)^(252/N1109)-1)),"")</f>
        <v>#REF!</v>
      </c>
      <c r="P1109" s="219" t="e">
        <f>IF(OR(G1109=1,G1109=2),dadosexternosBMF_1!B1112,"")</f>
        <v>#REF!</v>
      </c>
      <c r="Q1109" s="219" t="e">
        <f>IF(OR(G1109=1,G1109=2),dadosexternosBMF_1!D1112,"")</f>
        <v>#REF!</v>
      </c>
    </row>
    <row r="1110" spans="1:17" x14ac:dyDescent="0.2">
      <c r="A1110" s="222" t="e">
        <f t="shared" si="114"/>
        <v>#REF!</v>
      </c>
      <c r="B1110" s="222" t="str">
        <f>IF(dadosexternosBMF_1!A1113="DI1 - DI de 1 dia","DI1 - DI de 1 dia","")</f>
        <v/>
      </c>
      <c r="C1110" s="222" t="e">
        <f>IF(dadosexternosBMF_1!A1113="DOL - Dólar comercial","",IF(C1109&lt;&gt;"",dadosexternosBMF_1!B1113,IF(dadosexternosBMF_1!A1113="DI1 - DI de 1 dia",dadosexternosBMF_1!B1113,"")))</f>
        <v>#REF!</v>
      </c>
      <c r="D1110" s="222" t="e">
        <f>IF(C1110&lt;&gt;"",dadosexternosBMF_1!C1113,"")</f>
        <v>#REF!</v>
      </c>
      <c r="E1110" s="222" t="e">
        <f>IF(C1110&lt;&gt;"",dadosexternosBMF_1!D1113,"")</f>
        <v>#REF!</v>
      </c>
      <c r="G1110" s="219" t="e">
        <f t="shared" si="115"/>
        <v>#REF!</v>
      </c>
      <c r="H1110" s="219" t="e">
        <f t="shared" si="116"/>
        <v>#REF!</v>
      </c>
      <c r="I1110" s="219" t="e">
        <f t="shared" si="117"/>
        <v>#REF!</v>
      </c>
      <c r="J1110" s="219" t="e">
        <f>IF(I1110="","",VLOOKUP(LEFT(C1110,1),dadosexternosBMF_1!$L$2:$M$13,2,FALSE))</f>
        <v>#REF!</v>
      </c>
      <c r="K1110" s="219" t="e">
        <f t="shared" si="118"/>
        <v>#REF!</v>
      </c>
      <c r="L1110" s="422" t="e">
        <f t="shared" si="119"/>
        <v>#REF!</v>
      </c>
      <c r="M1110" s="422" t="e">
        <f>IF(I1110="","",WORKDAY(L1110-1,1,FERIADOS!$A$2:$A$831))</f>
        <v>#REF!</v>
      </c>
      <c r="N1110" s="219" t="e">
        <f>IF(I1110="","",NETWORKDAYS(Curva!$M$2,M1110,FERIADOS!$A$2:$A$831)-1)</f>
        <v>#REF!</v>
      </c>
      <c r="O1110" s="423" t="e">
        <f>IF(C1110&lt;&gt;"",IF(ISERROR((100000/E1110)^(252/N1110)-1),Curva!$B$2,((100000/E1110)^(252/N1110)-1)),"")</f>
        <v>#REF!</v>
      </c>
      <c r="P1110" s="219" t="e">
        <f>IF(OR(G1110=1,G1110=2),dadosexternosBMF_1!B1113,"")</f>
        <v>#REF!</v>
      </c>
      <c r="Q1110" s="219" t="e">
        <f>IF(OR(G1110=1,G1110=2),dadosexternosBMF_1!D1113,"")</f>
        <v>#REF!</v>
      </c>
    </row>
    <row r="1111" spans="1:17" x14ac:dyDescent="0.2">
      <c r="A1111" s="222" t="e">
        <f t="shared" si="114"/>
        <v>#REF!</v>
      </c>
      <c r="B1111" s="222" t="str">
        <f>IF(dadosexternosBMF_1!A1114="DI1 - DI de 1 dia","DI1 - DI de 1 dia","")</f>
        <v/>
      </c>
      <c r="C1111" s="222" t="e">
        <f>IF(dadosexternosBMF_1!A1114="DOL - Dólar comercial","",IF(C1110&lt;&gt;"",dadosexternosBMF_1!B1114,IF(dadosexternosBMF_1!A1114="DI1 - DI de 1 dia",dadosexternosBMF_1!B1114,"")))</f>
        <v>#REF!</v>
      </c>
      <c r="D1111" s="222" t="e">
        <f>IF(C1111&lt;&gt;"",dadosexternosBMF_1!C1114,"")</f>
        <v>#REF!</v>
      </c>
      <c r="E1111" s="222" t="e">
        <f>IF(C1111&lt;&gt;"",dadosexternosBMF_1!D1114,"")</f>
        <v>#REF!</v>
      </c>
      <c r="G1111" s="219" t="e">
        <f t="shared" si="115"/>
        <v>#REF!</v>
      </c>
      <c r="H1111" s="219" t="e">
        <f t="shared" si="116"/>
        <v>#REF!</v>
      </c>
      <c r="I1111" s="219" t="e">
        <f t="shared" si="117"/>
        <v>#REF!</v>
      </c>
      <c r="J1111" s="219" t="e">
        <f>IF(I1111="","",VLOOKUP(LEFT(C1111,1),dadosexternosBMF_1!$L$2:$M$13,2,FALSE))</f>
        <v>#REF!</v>
      </c>
      <c r="K1111" s="219" t="e">
        <f t="shared" si="118"/>
        <v>#REF!</v>
      </c>
      <c r="L1111" s="422" t="e">
        <f t="shared" si="119"/>
        <v>#REF!</v>
      </c>
      <c r="M1111" s="422" t="e">
        <f>IF(I1111="","",WORKDAY(L1111-1,1,FERIADOS!$A$2:$A$831))</f>
        <v>#REF!</v>
      </c>
      <c r="N1111" s="219" t="e">
        <f>IF(I1111="","",NETWORKDAYS(Curva!$M$2,M1111,FERIADOS!$A$2:$A$831)-1)</f>
        <v>#REF!</v>
      </c>
      <c r="O1111" s="423" t="e">
        <f>IF(C1111&lt;&gt;"",IF(ISERROR((100000/E1111)^(252/N1111)-1),Curva!$B$2,((100000/E1111)^(252/N1111)-1)),"")</f>
        <v>#REF!</v>
      </c>
      <c r="P1111" s="219" t="e">
        <f>IF(OR(G1111=1,G1111=2),dadosexternosBMF_1!B1114,"")</f>
        <v>#REF!</v>
      </c>
      <c r="Q1111" s="219" t="e">
        <f>IF(OR(G1111=1,G1111=2),dadosexternosBMF_1!D1114,"")</f>
        <v>#REF!</v>
      </c>
    </row>
    <row r="1112" spans="1:17" x14ac:dyDescent="0.2">
      <c r="A1112" s="222" t="e">
        <f t="shared" si="114"/>
        <v>#REF!</v>
      </c>
      <c r="B1112" s="222" t="str">
        <f>IF(dadosexternosBMF_1!A1115="DI1 - DI de 1 dia","DI1 - DI de 1 dia","")</f>
        <v/>
      </c>
      <c r="C1112" s="222" t="e">
        <f>IF(dadosexternosBMF_1!A1115="DOL - Dólar comercial","",IF(C1111&lt;&gt;"",dadosexternosBMF_1!B1115,IF(dadosexternosBMF_1!A1115="DI1 - DI de 1 dia",dadosexternosBMF_1!B1115,"")))</f>
        <v>#REF!</v>
      </c>
      <c r="D1112" s="222" t="e">
        <f>IF(C1112&lt;&gt;"",dadosexternosBMF_1!C1115,"")</f>
        <v>#REF!</v>
      </c>
      <c r="E1112" s="222" t="e">
        <f>IF(C1112&lt;&gt;"",dadosexternosBMF_1!D1115,"")</f>
        <v>#REF!</v>
      </c>
      <c r="G1112" s="219" t="e">
        <f t="shared" si="115"/>
        <v>#REF!</v>
      </c>
      <c r="H1112" s="219" t="e">
        <f t="shared" si="116"/>
        <v>#REF!</v>
      </c>
      <c r="I1112" s="219" t="e">
        <f t="shared" si="117"/>
        <v>#REF!</v>
      </c>
      <c r="J1112" s="219" t="e">
        <f>IF(I1112="","",VLOOKUP(LEFT(C1112,1),dadosexternosBMF_1!$L$2:$M$13,2,FALSE))</f>
        <v>#REF!</v>
      </c>
      <c r="K1112" s="219" t="e">
        <f t="shared" si="118"/>
        <v>#REF!</v>
      </c>
      <c r="L1112" s="422" t="e">
        <f t="shared" si="119"/>
        <v>#REF!</v>
      </c>
      <c r="M1112" s="422" t="e">
        <f>IF(I1112="","",WORKDAY(L1112-1,1,FERIADOS!$A$2:$A$831))</f>
        <v>#REF!</v>
      </c>
      <c r="N1112" s="219" t="e">
        <f>IF(I1112="","",NETWORKDAYS(Curva!$M$2,M1112,FERIADOS!$A$2:$A$831)-1)</f>
        <v>#REF!</v>
      </c>
      <c r="O1112" s="423" t="e">
        <f>IF(C1112&lt;&gt;"",IF(ISERROR((100000/E1112)^(252/N1112)-1),Curva!$B$2,((100000/E1112)^(252/N1112)-1)),"")</f>
        <v>#REF!</v>
      </c>
      <c r="P1112" s="219" t="e">
        <f>IF(OR(G1112=1,G1112=2),dadosexternosBMF_1!B1115,"")</f>
        <v>#REF!</v>
      </c>
      <c r="Q1112" s="219" t="e">
        <f>IF(OR(G1112=1,G1112=2),dadosexternosBMF_1!D1115,"")</f>
        <v>#REF!</v>
      </c>
    </row>
    <row r="1113" spans="1:17" x14ac:dyDescent="0.2">
      <c r="A1113" s="222" t="e">
        <f t="shared" si="114"/>
        <v>#REF!</v>
      </c>
      <c r="B1113" s="222" t="str">
        <f>IF(dadosexternosBMF_1!A1116="DI1 - DI de 1 dia","DI1 - DI de 1 dia","")</f>
        <v/>
      </c>
      <c r="C1113" s="222" t="e">
        <f>IF(dadosexternosBMF_1!A1116="DOL - Dólar comercial","",IF(C1112&lt;&gt;"",dadosexternosBMF_1!B1116,IF(dadosexternosBMF_1!A1116="DI1 - DI de 1 dia",dadosexternosBMF_1!B1116,"")))</f>
        <v>#REF!</v>
      </c>
      <c r="D1113" s="222" t="e">
        <f>IF(C1113&lt;&gt;"",dadosexternosBMF_1!C1116,"")</f>
        <v>#REF!</v>
      </c>
      <c r="E1113" s="222" t="e">
        <f>IF(C1113&lt;&gt;"",dadosexternosBMF_1!D1116,"")</f>
        <v>#REF!</v>
      </c>
      <c r="G1113" s="219" t="e">
        <f t="shared" si="115"/>
        <v>#REF!</v>
      </c>
      <c r="H1113" s="219" t="e">
        <f t="shared" si="116"/>
        <v>#REF!</v>
      </c>
      <c r="I1113" s="219" t="e">
        <f t="shared" si="117"/>
        <v>#REF!</v>
      </c>
      <c r="J1113" s="219" t="e">
        <f>IF(I1113="","",VLOOKUP(LEFT(C1113,1),dadosexternosBMF_1!$L$2:$M$13,2,FALSE))</f>
        <v>#REF!</v>
      </c>
      <c r="K1113" s="219" t="e">
        <f t="shared" si="118"/>
        <v>#REF!</v>
      </c>
      <c r="L1113" s="422" t="e">
        <f t="shared" si="119"/>
        <v>#REF!</v>
      </c>
      <c r="M1113" s="422" t="e">
        <f>IF(I1113="","",WORKDAY(L1113-1,1,FERIADOS!$A$2:$A$831))</f>
        <v>#REF!</v>
      </c>
      <c r="N1113" s="219" t="e">
        <f>IF(I1113="","",NETWORKDAYS(Curva!$M$2,M1113,FERIADOS!$A$2:$A$831)-1)</f>
        <v>#REF!</v>
      </c>
      <c r="O1113" s="423" t="e">
        <f>IF(C1113&lt;&gt;"",IF(ISERROR((100000/E1113)^(252/N1113)-1),Curva!$B$2,((100000/E1113)^(252/N1113)-1)),"")</f>
        <v>#REF!</v>
      </c>
      <c r="P1113" s="219" t="e">
        <f>IF(OR(G1113=1,G1113=2),dadosexternosBMF_1!B1116,"")</f>
        <v>#REF!</v>
      </c>
      <c r="Q1113" s="219" t="e">
        <f>IF(OR(G1113=1,G1113=2),dadosexternosBMF_1!D1116,"")</f>
        <v>#REF!</v>
      </c>
    </row>
    <row r="1114" spans="1:17" x14ac:dyDescent="0.2">
      <c r="A1114" s="222" t="e">
        <f t="shared" si="114"/>
        <v>#REF!</v>
      </c>
      <c r="B1114" s="222" t="str">
        <f>IF(dadosexternosBMF_1!A1117="DI1 - DI de 1 dia","DI1 - DI de 1 dia","")</f>
        <v/>
      </c>
      <c r="C1114" s="222" t="e">
        <f>IF(dadosexternosBMF_1!A1117="DOL - Dólar comercial","",IF(C1113&lt;&gt;"",dadosexternosBMF_1!B1117,IF(dadosexternosBMF_1!A1117="DI1 - DI de 1 dia",dadosexternosBMF_1!B1117,"")))</f>
        <v>#REF!</v>
      </c>
      <c r="D1114" s="222" t="e">
        <f>IF(C1114&lt;&gt;"",dadosexternosBMF_1!C1117,"")</f>
        <v>#REF!</v>
      </c>
      <c r="E1114" s="222" t="e">
        <f>IF(C1114&lt;&gt;"",dadosexternosBMF_1!D1117,"")</f>
        <v>#REF!</v>
      </c>
      <c r="G1114" s="219" t="e">
        <f t="shared" si="115"/>
        <v>#REF!</v>
      </c>
      <c r="H1114" s="219" t="e">
        <f t="shared" si="116"/>
        <v>#REF!</v>
      </c>
      <c r="I1114" s="219" t="e">
        <f t="shared" si="117"/>
        <v>#REF!</v>
      </c>
      <c r="J1114" s="219" t="e">
        <f>IF(I1114="","",VLOOKUP(LEFT(C1114,1),dadosexternosBMF_1!$L$2:$M$13,2,FALSE))</f>
        <v>#REF!</v>
      </c>
      <c r="K1114" s="219" t="e">
        <f t="shared" si="118"/>
        <v>#REF!</v>
      </c>
      <c r="L1114" s="422" t="e">
        <f t="shared" si="119"/>
        <v>#REF!</v>
      </c>
      <c r="M1114" s="422" t="e">
        <f>IF(I1114="","",WORKDAY(L1114-1,1,FERIADOS!$A$2:$A$831))</f>
        <v>#REF!</v>
      </c>
      <c r="N1114" s="219" t="e">
        <f>IF(I1114="","",NETWORKDAYS(Curva!$M$2,M1114,FERIADOS!$A$2:$A$831)-1)</f>
        <v>#REF!</v>
      </c>
      <c r="O1114" s="423" t="e">
        <f>IF(C1114&lt;&gt;"",IF(ISERROR((100000/E1114)^(252/N1114)-1),Curva!$B$2,((100000/E1114)^(252/N1114)-1)),"")</f>
        <v>#REF!</v>
      </c>
      <c r="P1114" s="219" t="e">
        <f>IF(OR(G1114=1,G1114=2),dadosexternosBMF_1!B1117,"")</f>
        <v>#REF!</v>
      </c>
      <c r="Q1114" s="219" t="e">
        <f>IF(OR(G1114=1,G1114=2),dadosexternosBMF_1!D1117,"")</f>
        <v>#REF!</v>
      </c>
    </row>
    <row r="1115" spans="1:17" x14ac:dyDescent="0.2">
      <c r="A1115" s="222" t="e">
        <f t="shared" ref="A1115:A1178" si="120">IF(AND(A1114&lt;&gt;"",C1115&lt;&gt;""),A1114+1,IF(B1115="DI1 - DI de 1 dia",1,""))</f>
        <v>#REF!</v>
      </c>
      <c r="B1115" s="222" t="str">
        <f>IF(dadosexternosBMF_1!A1118="DI1 - DI de 1 dia","DI1 - DI de 1 dia","")</f>
        <v/>
      </c>
      <c r="C1115" s="222" t="e">
        <f>IF(dadosexternosBMF_1!A1118="DOL - Dólar comercial","",IF(C1114&lt;&gt;"",dadosexternosBMF_1!B1118,IF(dadosexternosBMF_1!A1118="DI1 - DI de 1 dia",dadosexternosBMF_1!B1118,"")))</f>
        <v>#REF!</v>
      </c>
      <c r="D1115" s="222" t="e">
        <f>IF(C1115&lt;&gt;"",dadosexternosBMF_1!C1118,"")</f>
        <v>#REF!</v>
      </c>
      <c r="E1115" s="222" t="e">
        <f>IF(C1115&lt;&gt;"",dadosexternosBMF_1!D1118,"")</f>
        <v>#REF!</v>
      </c>
      <c r="G1115" s="219" t="e">
        <f t="shared" ref="G1115:G1178" si="121">IF(G1114=1,2,IF(AND(H1115="",H1114&lt;&gt;""),1,""))</f>
        <v>#REF!</v>
      </c>
      <c r="H1115" s="219" t="e">
        <f t="shared" ref="H1115:H1178" si="122">IF(A1115&lt;&gt;"",A1115,"")</f>
        <v>#REF!</v>
      </c>
      <c r="I1115" s="219" t="e">
        <f t="shared" ref="I1115:I1178" si="123">IF(A1115&lt;&gt;"",(CONCATENATE("DI1",C1115)),"")</f>
        <v>#REF!</v>
      </c>
      <c r="J1115" s="219" t="e">
        <f>IF(I1115="","",VLOOKUP(LEFT(C1115,1),dadosexternosBMF_1!$L$2:$M$13,2,FALSE))</f>
        <v>#REF!</v>
      </c>
      <c r="K1115" s="219" t="e">
        <f t="shared" ref="K1115:K1178" si="124">IF(I1115="","",1+CONCATENATE(20,RIGHT(C1115,2))-1)</f>
        <v>#REF!</v>
      </c>
      <c r="L1115" s="422" t="e">
        <f t="shared" ref="L1115:L1178" si="125">IF(I1115="","",CONCATENATE(1,"/",J1115,"/",K1115)+1-1)</f>
        <v>#REF!</v>
      </c>
      <c r="M1115" s="422" t="e">
        <f>IF(I1115="","",WORKDAY(L1115-1,1,FERIADOS!$A$2:$A$831))</f>
        <v>#REF!</v>
      </c>
      <c r="N1115" s="219" t="e">
        <f>IF(I1115="","",NETWORKDAYS(Curva!$M$2,M1115,FERIADOS!$A$2:$A$831)-1)</f>
        <v>#REF!</v>
      </c>
      <c r="O1115" s="423" t="e">
        <f>IF(C1115&lt;&gt;"",IF(ISERROR((100000/E1115)^(252/N1115)-1),Curva!$B$2,((100000/E1115)^(252/N1115)-1)),"")</f>
        <v>#REF!</v>
      </c>
      <c r="P1115" s="219" t="e">
        <f>IF(OR(G1115=1,G1115=2),dadosexternosBMF_1!B1118,"")</f>
        <v>#REF!</v>
      </c>
      <c r="Q1115" s="219" t="e">
        <f>IF(OR(G1115=1,G1115=2),dadosexternosBMF_1!D1118,"")</f>
        <v>#REF!</v>
      </c>
    </row>
    <row r="1116" spans="1:17" x14ac:dyDescent="0.2">
      <c r="A1116" s="222" t="e">
        <f t="shared" si="120"/>
        <v>#REF!</v>
      </c>
      <c r="B1116" s="222" t="str">
        <f>IF(dadosexternosBMF_1!A1119="DI1 - DI de 1 dia","DI1 - DI de 1 dia","")</f>
        <v/>
      </c>
      <c r="C1116" s="222" t="e">
        <f>IF(dadosexternosBMF_1!A1119="DOL - Dólar comercial","",IF(C1115&lt;&gt;"",dadosexternosBMF_1!B1119,IF(dadosexternosBMF_1!A1119="DI1 - DI de 1 dia",dadosexternosBMF_1!B1119,"")))</f>
        <v>#REF!</v>
      </c>
      <c r="D1116" s="222" t="e">
        <f>IF(C1116&lt;&gt;"",dadosexternosBMF_1!C1119,"")</f>
        <v>#REF!</v>
      </c>
      <c r="E1116" s="222" t="e">
        <f>IF(C1116&lt;&gt;"",dadosexternosBMF_1!D1119,"")</f>
        <v>#REF!</v>
      </c>
      <c r="G1116" s="219" t="e">
        <f t="shared" si="121"/>
        <v>#REF!</v>
      </c>
      <c r="H1116" s="219" t="e">
        <f t="shared" si="122"/>
        <v>#REF!</v>
      </c>
      <c r="I1116" s="219" t="e">
        <f t="shared" si="123"/>
        <v>#REF!</v>
      </c>
      <c r="J1116" s="219" t="e">
        <f>IF(I1116="","",VLOOKUP(LEFT(C1116,1),dadosexternosBMF_1!$L$2:$M$13,2,FALSE))</f>
        <v>#REF!</v>
      </c>
      <c r="K1116" s="219" t="e">
        <f t="shared" si="124"/>
        <v>#REF!</v>
      </c>
      <c r="L1116" s="422" t="e">
        <f t="shared" si="125"/>
        <v>#REF!</v>
      </c>
      <c r="M1116" s="422" t="e">
        <f>IF(I1116="","",WORKDAY(L1116-1,1,FERIADOS!$A$2:$A$831))</f>
        <v>#REF!</v>
      </c>
      <c r="N1116" s="219" t="e">
        <f>IF(I1116="","",NETWORKDAYS(Curva!$M$2,M1116,FERIADOS!$A$2:$A$831)-1)</f>
        <v>#REF!</v>
      </c>
      <c r="O1116" s="423" t="e">
        <f>IF(C1116&lt;&gt;"",IF(ISERROR((100000/E1116)^(252/N1116)-1),Curva!$B$2,((100000/E1116)^(252/N1116)-1)),"")</f>
        <v>#REF!</v>
      </c>
      <c r="P1116" s="219" t="e">
        <f>IF(OR(G1116=1,G1116=2),dadosexternosBMF_1!B1119,"")</f>
        <v>#REF!</v>
      </c>
      <c r="Q1116" s="219" t="e">
        <f>IF(OR(G1116=1,G1116=2),dadosexternosBMF_1!D1119,"")</f>
        <v>#REF!</v>
      </c>
    </row>
    <row r="1117" spans="1:17" x14ac:dyDescent="0.2">
      <c r="A1117" s="222" t="e">
        <f t="shared" si="120"/>
        <v>#REF!</v>
      </c>
      <c r="B1117" s="222" t="str">
        <f>IF(dadosexternosBMF_1!A1120="DI1 - DI de 1 dia","DI1 - DI de 1 dia","")</f>
        <v/>
      </c>
      <c r="C1117" s="222" t="e">
        <f>IF(dadosexternosBMF_1!A1120="DOL - Dólar comercial","",IF(C1116&lt;&gt;"",dadosexternosBMF_1!B1120,IF(dadosexternosBMF_1!A1120="DI1 - DI de 1 dia",dadosexternosBMF_1!B1120,"")))</f>
        <v>#REF!</v>
      </c>
      <c r="D1117" s="222" t="e">
        <f>IF(C1117&lt;&gt;"",dadosexternosBMF_1!C1120,"")</f>
        <v>#REF!</v>
      </c>
      <c r="E1117" s="222" t="e">
        <f>IF(C1117&lt;&gt;"",dadosexternosBMF_1!D1120,"")</f>
        <v>#REF!</v>
      </c>
      <c r="G1117" s="219" t="e">
        <f t="shared" si="121"/>
        <v>#REF!</v>
      </c>
      <c r="H1117" s="219" t="e">
        <f t="shared" si="122"/>
        <v>#REF!</v>
      </c>
      <c r="I1117" s="219" t="e">
        <f t="shared" si="123"/>
        <v>#REF!</v>
      </c>
      <c r="J1117" s="219" t="e">
        <f>IF(I1117="","",VLOOKUP(LEFT(C1117,1),dadosexternosBMF_1!$L$2:$M$13,2,FALSE))</f>
        <v>#REF!</v>
      </c>
      <c r="K1117" s="219" t="e">
        <f t="shared" si="124"/>
        <v>#REF!</v>
      </c>
      <c r="L1117" s="422" t="e">
        <f t="shared" si="125"/>
        <v>#REF!</v>
      </c>
      <c r="M1117" s="422" t="e">
        <f>IF(I1117="","",WORKDAY(L1117-1,1,FERIADOS!$A$2:$A$831))</f>
        <v>#REF!</v>
      </c>
      <c r="N1117" s="219" t="e">
        <f>IF(I1117="","",NETWORKDAYS(Curva!$M$2,M1117,FERIADOS!$A$2:$A$831)-1)</f>
        <v>#REF!</v>
      </c>
      <c r="O1117" s="423" t="e">
        <f>IF(C1117&lt;&gt;"",IF(ISERROR((100000/E1117)^(252/N1117)-1),Curva!$B$2,((100000/E1117)^(252/N1117)-1)),"")</f>
        <v>#REF!</v>
      </c>
      <c r="P1117" s="219" t="e">
        <f>IF(OR(G1117=1,G1117=2),dadosexternosBMF_1!B1120,"")</f>
        <v>#REF!</v>
      </c>
      <c r="Q1117" s="219" t="e">
        <f>IF(OR(G1117=1,G1117=2),dadosexternosBMF_1!D1120,"")</f>
        <v>#REF!</v>
      </c>
    </row>
    <row r="1118" spans="1:17" x14ac:dyDescent="0.2">
      <c r="A1118" s="222" t="e">
        <f t="shared" si="120"/>
        <v>#REF!</v>
      </c>
      <c r="B1118" s="222" t="str">
        <f>IF(dadosexternosBMF_1!A1121="DI1 - DI de 1 dia","DI1 - DI de 1 dia","")</f>
        <v/>
      </c>
      <c r="C1118" s="222" t="e">
        <f>IF(dadosexternosBMF_1!A1121="DOL - Dólar comercial","",IF(C1117&lt;&gt;"",dadosexternosBMF_1!B1121,IF(dadosexternosBMF_1!A1121="DI1 - DI de 1 dia",dadosexternosBMF_1!B1121,"")))</f>
        <v>#REF!</v>
      </c>
      <c r="D1118" s="222" t="e">
        <f>IF(C1118&lt;&gt;"",dadosexternosBMF_1!C1121,"")</f>
        <v>#REF!</v>
      </c>
      <c r="E1118" s="222" t="e">
        <f>IF(C1118&lt;&gt;"",dadosexternosBMF_1!D1121,"")</f>
        <v>#REF!</v>
      </c>
      <c r="G1118" s="219" t="e">
        <f t="shared" si="121"/>
        <v>#REF!</v>
      </c>
      <c r="H1118" s="219" t="e">
        <f t="shared" si="122"/>
        <v>#REF!</v>
      </c>
      <c r="I1118" s="219" t="e">
        <f t="shared" si="123"/>
        <v>#REF!</v>
      </c>
      <c r="J1118" s="219" t="e">
        <f>IF(I1118="","",VLOOKUP(LEFT(C1118,1),dadosexternosBMF_1!$L$2:$M$13,2,FALSE))</f>
        <v>#REF!</v>
      </c>
      <c r="K1118" s="219" t="e">
        <f t="shared" si="124"/>
        <v>#REF!</v>
      </c>
      <c r="L1118" s="422" t="e">
        <f t="shared" si="125"/>
        <v>#REF!</v>
      </c>
      <c r="M1118" s="422" t="e">
        <f>IF(I1118="","",WORKDAY(L1118-1,1,FERIADOS!$A$2:$A$831))</f>
        <v>#REF!</v>
      </c>
      <c r="N1118" s="219" t="e">
        <f>IF(I1118="","",NETWORKDAYS(Curva!$M$2,M1118,FERIADOS!$A$2:$A$831)-1)</f>
        <v>#REF!</v>
      </c>
      <c r="O1118" s="423" t="e">
        <f>IF(C1118&lt;&gt;"",IF(ISERROR((100000/E1118)^(252/N1118)-1),Curva!$B$2,((100000/E1118)^(252/N1118)-1)),"")</f>
        <v>#REF!</v>
      </c>
      <c r="P1118" s="219" t="e">
        <f>IF(OR(G1118=1,G1118=2),dadosexternosBMF_1!B1121,"")</f>
        <v>#REF!</v>
      </c>
      <c r="Q1118" s="219" t="e">
        <f>IF(OR(G1118=1,G1118=2),dadosexternosBMF_1!D1121,"")</f>
        <v>#REF!</v>
      </c>
    </row>
    <row r="1119" spans="1:17" x14ac:dyDescent="0.2">
      <c r="A1119" s="222" t="e">
        <f t="shared" si="120"/>
        <v>#REF!</v>
      </c>
      <c r="B1119" s="222" t="str">
        <f>IF(dadosexternosBMF_1!A1122="DI1 - DI de 1 dia","DI1 - DI de 1 dia","")</f>
        <v/>
      </c>
      <c r="C1119" s="222" t="e">
        <f>IF(dadosexternosBMF_1!A1122="DOL - Dólar comercial","",IF(C1118&lt;&gt;"",dadosexternosBMF_1!B1122,IF(dadosexternosBMF_1!A1122="DI1 - DI de 1 dia",dadosexternosBMF_1!B1122,"")))</f>
        <v>#REF!</v>
      </c>
      <c r="D1119" s="222" t="e">
        <f>IF(C1119&lt;&gt;"",dadosexternosBMF_1!C1122,"")</f>
        <v>#REF!</v>
      </c>
      <c r="E1119" s="222" t="e">
        <f>IF(C1119&lt;&gt;"",dadosexternosBMF_1!D1122,"")</f>
        <v>#REF!</v>
      </c>
      <c r="G1119" s="219" t="e">
        <f t="shared" si="121"/>
        <v>#REF!</v>
      </c>
      <c r="H1119" s="219" t="e">
        <f t="shared" si="122"/>
        <v>#REF!</v>
      </c>
      <c r="I1119" s="219" t="e">
        <f t="shared" si="123"/>
        <v>#REF!</v>
      </c>
      <c r="J1119" s="219" t="e">
        <f>IF(I1119="","",VLOOKUP(LEFT(C1119,1),dadosexternosBMF_1!$L$2:$M$13,2,FALSE))</f>
        <v>#REF!</v>
      </c>
      <c r="K1119" s="219" t="e">
        <f t="shared" si="124"/>
        <v>#REF!</v>
      </c>
      <c r="L1119" s="422" t="e">
        <f t="shared" si="125"/>
        <v>#REF!</v>
      </c>
      <c r="M1119" s="422" t="e">
        <f>IF(I1119="","",WORKDAY(L1119-1,1,FERIADOS!$A$2:$A$831))</f>
        <v>#REF!</v>
      </c>
      <c r="N1119" s="219" t="e">
        <f>IF(I1119="","",NETWORKDAYS(Curva!$M$2,M1119,FERIADOS!$A$2:$A$831)-1)</f>
        <v>#REF!</v>
      </c>
      <c r="O1119" s="423" t="e">
        <f>IF(C1119&lt;&gt;"",IF(ISERROR((100000/E1119)^(252/N1119)-1),Curva!$B$2,((100000/E1119)^(252/N1119)-1)),"")</f>
        <v>#REF!</v>
      </c>
      <c r="P1119" s="219" t="e">
        <f>IF(OR(G1119=1,G1119=2),dadosexternosBMF_1!B1122,"")</f>
        <v>#REF!</v>
      </c>
      <c r="Q1119" s="219" t="e">
        <f>IF(OR(G1119=1,G1119=2),dadosexternosBMF_1!D1122,"")</f>
        <v>#REF!</v>
      </c>
    </row>
    <row r="1120" spans="1:17" x14ac:dyDescent="0.2">
      <c r="A1120" s="222" t="e">
        <f t="shared" si="120"/>
        <v>#REF!</v>
      </c>
      <c r="B1120" s="222" t="str">
        <f>IF(dadosexternosBMF_1!A1123="DI1 - DI de 1 dia","DI1 - DI de 1 dia","")</f>
        <v/>
      </c>
      <c r="C1120" s="222" t="e">
        <f>IF(dadosexternosBMF_1!A1123="DOL - Dólar comercial","",IF(C1119&lt;&gt;"",dadosexternosBMF_1!B1123,IF(dadosexternosBMF_1!A1123="DI1 - DI de 1 dia",dadosexternosBMF_1!B1123,"")))</f>
        <v>#REF!</v>
      </c>
      <c r="D1120" s="222" t="e">
        <f>IF(C1120&lt;&gt;"",dadosexternosBMF_1!C1123,"")</f>
        <v>#REF!</v>
      </c>
      <c r="E1120" s="222" t="e">
        <f>IF(C1120&lt;&gt;"",dadosexternosBMF_1!D1123,"")</f>
        <v>#REF!</v>
      </c>
      <c r="G1120" s="219" t="e">
        <f t="shared" si="121"/>
        <v>#REF!</v>
      </c>
      <c r="H1120" s="219" t="e">
        <f t="shared" si="122"/>
        <v>#REF!</v>
      </c>
      <c r="I1120" s="219" t="e">
        <f t="shared" si="123"/>
        <v>#REF!</v>
      </c>
      <c r="J1120" s="219" t="e">
        <f>IF(I1120="","",VLOOKUP(LEFT(C1120,1),dadosexternosBMF_1!$L$2:$M$13,2,FALSE))</f>
        <v>#REF!</v>
      </c>
      <c r="K1120" s="219" t="e">
        <f t="shared" si="124"/>
        <v>#REF!</v>
      </c>
      <c r="L1120" s="422" t="e">
        <f t="shared" si="125"/>
        <v>#REF!</v>
      </c>
      <c r="M1120" s="422" t="e">
        <f>IF(I1120="","",WORKDAY(L1120-1,1,FERIADOS!$A$2:$A$831))</f>
        <v>#REF!</v>
      </c>
      <c r="N1120" s="219" t="e">
        <f>IF(I1120="","",NETWORKDAYS(Curva!$M$2,M1120,FERIADOS!$A$2:$A$831)-1)</f>
        <v>#REF!</v>
      </c>
      <c r="O1120" s="423" t="e">
        <f>IF(C1120&lt;&gt;"",IF(ISERROR((100000/E1120)^(252/N1120)-1),Curva!$B$2,((100000/E1120)^(252/N1120)-1)),"")</f>
        <v>#REF!</v>
      </c>
      <c r="P1120" s="219" t="e">
        <f>IF(OR(G1120=1,G1120=2),dadosexternosBMF_1!B1123,"")</f>
        <v>#REF!</v>
      </c>
      <c r="Q1120" s="219" t="e">
        <f>IF(OR(G1120=1,G1120=2),dadosexternosBMF_1!D1123,"")</f>
        <v>#REF!</v>
      </c>
    </row>
    <row r="1121" spans="1:17" x14ac:dyDescent="0.2">
      <c r="A1121" s="222" t="e">
        <f t="shared" si="120"/>
        <v>#REF!</v>
      </c>
      <c r="B1121" s="222" t="str">
        <f>IF(dadosexternosBMF_1!A1124="DI1 - DI de 1 dia","DI1 - DI de 1 dia","")</f>
        <v/>
      </c>
      <c r="C1121" s="222" t="e">
        <f>IF(dadosexternosBMF_1!A1124="DOL - Dólar comercial","",IF(C1120&lt;&gt;"",dadosexternosBMF_1!B1124,IF(dadosexternosBMF_1!A1124="DI1 - DI de 1 dia",dadosexternosBMF_1!B1124,"")))</f>
        <v>#REF!</v>
      </c>
      <c r="D1121" s="222" t="e">
        <f>IF(C1121&lt;&gt;"",dadosexternosBMF_1!C1124,"")</f>
        <v>#REF!</v>
      </c>
      <c r="E1121" s="222" t="e">
        <f>IF(C1121&lt;&gt;"",dadosexternosBMF_1!D1124,"")</f>
        <v>#REF!</v>
      </c>
      <c r="G1121" s="219" t="e">
        <f t="shared" si="121"/>
        <v>#REF!</v>
      </c>
      <c r="H1121" s="219" t="e">
        <f t="shared" si="122"/>
        <v>#REF!</v>
      </c>
      <c r="I1121" s="219" t="e">
        <f t="shared" si="123"/>
        <v>#REF!</v>
      </c>
      <c r="J1121" s="219" t="e">
        <f>IF(I1121="","",VLOOKUP(LEFT(C1121,1),dadosexternosBMF_1!$L$2:$M$13,2,FALSE))</f>
        <v>#REF!</v>
      </c>
      <c r="K1121" s="219" t="e">
        <f t="shared" si="124"/>
        <v>#REF!</v>
      </c>
      <c r="L1121" s="422" t="e">
        <f t="shared" si="125"/>
        <v>#REF!</v>
      </c>
      <c r="M1121" s="422" t="e">
        <f>IF(I1121="","",WORKDAY(L1121-1,1,FERIADOS!$A$2:$A$831))</f>
        <v>#REF!</v>
      </c>
      <c r="N1121" s="219" t="e">
        <f>IF(I1121="","",NETWORKDAYS(Curva!$M$2,M1121,FERIADOS!$A$2:$A$831)-1)</f>
        <v>#REF!</v>
      </c>
      <c r="O1121" s="423" t="e">
        <f>IF(C1121&lt;&gt;"",IF(ISERROR((100000/E1121)^(252/N1121)-1),Curva!$B$2,((100000/E1121)^(252/N1121)-1)),"")</f>
        <v>#REF!</v>
      </c>
      <c r="P1121" s="219" t="e">
        <f>IF(OR(G1121=1,G1121=2),dadosexternosBMF_1!B1124,"")</f>
        <v>#REF!</v>
      </c>
      <c r="Q1121" s="219" t="e">
        <f>IF(OR(G1121=1,G1121=2),dadosexternosBMF_1!D1124,"")</f>
        <v>#REF!</v>
      </c>
    </row>
    <row r="1122" spans="1:17" x14ac:dyDescent="0.2">
      <c r="A1122" s="222" t="e">
        <f t="shared" si="120"/>
        <v>#REF!</v>
      </c>
      <c r="B1122" s="222" t="str">
        <f>IF(dadosexternosBMF_1!A1125="DI1 - DI de 1 dia","DI1 - DI de 1 dia","")</f>
        <v/>
      </c>
      <c r="C1122" s="222" t="e">
        <f>IF(dadosexternosBMF_1!A1125="DOL - Dólar comercial","",IF(C1121&lt;&gt;"",dadosexternosBMF_1!B1125,IF(dadosexternosBMF_1!A1125="DI1 - DI de 1 dia",dadosexternosBMF_1!B1125,"")))</f>
        <v>#REF!</v>
      </c>
      <c r="D1122" s="222" t="e">
        <f>IF(C1122&lt;&gt;"",dadosexternosBMF_1!C1125,"")</f>
        <v>#REF!</v>
      </c>
      <c r="E1122" s="222" t="e">
        <f>IF(C1122&lt;&gt;"",dadosexternosBMF_1!D1125,"")</f>
        <v>#REF!</v>
      </c>
      <c r="G1122" s="219" t="e">
        <f t="shared" si="121"/>
        <v>#REF!</v>
      </c>
      <c r="H1122" s="219" t="e">
        <f t="shared" si="122"/>
        <v>#REF!</v>
      </c>
      <c r="I1122" s="219" t="e">
        <f t="shared" si="123"/>
        <v>#REF!</v>
      </c>
      <c r="J1122" s="219" t="e">
        <f>IF(I1122="","",VLOOKUP(LEFT(C1122,1),dadosexternosBMF_1!$L$2:$M$13,2,FALSE))</f>
        <v>#REF!</v>
      </c>
      <c r="K1122" s="219" t="e">
        <f t="shared" si="124"/>
        <v>#REF!</v>
      </c>
      <c r="L1122" s="422" t="e">
        <f t="shared" si="125"/>
        <v>#REF!</v>
      </c>
      <c r="M1122" s="422" t="e">
        <f>IF(I1122="","",WORKDAY(L1122-1,1,FERIADOS!$A$2:$A$831))</f>
        <v>#REF!</v>
      </c>
      <c r="N1122" s="219" t="e">
        <f>IF(I1122="","",NETWORKDAYS(Curva!$M$2,M1122,FERIADOS!$A$2:$A$831)-1)</f>
        <v>#REF!</v>
      </c>
      <c r="O1122" s="423" t="e">
        <f>IF(C1122&lt;&gt;"",IF(ISERROR((100000/E1122)^(252/N1122)-1),Curva!$B$2,((100000/E1122)^(252/N1122)-1)),"")</f>
        <v>#REF!</v>
      </c>
      <c r="P1122" s="219" t="e">
        <f>IF(OR(G1122=1,G1122=2),dadosexternosBMF_1!B1125,"")</f>
        <v>#REF!</v>
      </c>
      <c r="Q1122" s="219" t="e">
        <f>IF(OR(G1122=1,G1122=2),dadosexternosBMF_1!D1125,"")</f>
        <v>#REF!</v>
      </c>
    </row>
    <row r="1123" spans="1:17" x14ac:dyDescent="0.2">
      <c r="A1123" s="222" t="e">
        <f t="shared" si="120"/>
        <v>#REF!</v>
      </c>
      <c r="B1123" s="222" t="str">
        <f>IF(dadosexternosBMF_1!A1126="DI1 - DI de 1 dia","DI1 - DI de 1 dia","")</f>
        <v/>
      </c>
      <c r="C1123" s="222" t="e">
        <f>IF(dadosexternosBMF_1!A1126="DOL - Dólar comercial","",IF(C1122&lt;&gt;"",dadosexternosBMF_1!B1126,IF(dadosexternosBMF_1!A1126="DI1 - DI de 1 dia",dadosexternosBMF_1!B1126,"")))</f>
        <v>#REF!</v>
      </c>
      <c r="D1123" s="222" t="e">
        <f>IF(C1123&lt;&gt;"",dadosexternosBMF_1!C1126,"")</f>
        <v>#REF!</v>
      </c>
      <c r="E1123" s="222" t="e">
        <f>IF(C1123&lt;&gt;"",dadosexternosBMF_1!D1126,"")</f>
        <v>#REF!</v>
      </c>
      <c r="G1123" s="219" t="e">
        <f t="shared" si="121"/>
        <v>#REF!</v>
      </c>
      <c r="H1123" s="219" t="e">
        <f t="shared" si="122"/>
        <v>#REF!</v>
      </c>
      <c r="I1123" s="219" t="e">
        <f t="shared" si="123"/>
        <v>#REF!</v>
      </c>
      <c r="J1123" s="219" t="e">
        <f>IF(I1123="","",VLOOKUP(LEFT(C1123,1),dadosexternosBMF_1!$L$2:$M$13,2,FALSE))</f>
        <v>#REF!</v>
      </c>
      <c r="K1123" s="219" t="e">
        <f t="shared" si="124"/>
        <v>#REF!</v>
      </c>
      <c r="L1123" s="422" t="e">
        <f t="shared" si="125"/>
        <v>#REF!</v>
      </c>
      <c r="M1123" s="422" t="e">
        <f>IF(I1123="","",WORKDAY(L1123-1,1,FERIADOS!$A$2:$A$831))</f>
        <v>#REF!</v>
      </c>
      <c r="N1123" s="219" t="e">
        <f>IF(I1123="","",NETWORKDAYS(Curva!$M$2,M1123,FERIADOS!$A$2:$A$831)-1)</f>
        <v>#REF!</v>
      </c>
      <c r="O1123" s="423" t="e">
        <f>IF(C1123&lt;&gt;"",IF(ISERROR((100000/E1123)^(252/N1123)-1),Curva!$B$2,((100000/E1123)^(252/N1123)-1)),"")</f>
        <v>#REF!</v>
      </c>
      <c r="P1123" s="219" t="e">
        <f>IF(OR(G1123=1,G1123=2),dadosexternosBMF_1!B1126,"")</f>
        <v>#REF!</v>
      </c>
      <c r="Q1123" s="219" t="e">
        <f>IF(OR(G1123=1,G1123=2),dadosexternosBMF_1!D1126,"")</f>
        <v>#REF!</v>
      </c>
    </row>
    <row r="1124" spans="1:17" x14ac:dyDescent="0.2">
      <c r="A1124" s="222" t="e">
        <f t="shared" si="120"/>
        <v>#REF!</v>
      </c>
      <c r="B1124" s="222" t="str">
        <f>IF(dadosexternosBMF_1!A1127="DI1 - DI de 1 dia","DI1 - DI de 1 dia","")</f>
        <v/>
      </c>
      <c r="C1124" s="222" t="e">
        <f>IF(dadosexternosBMF_1!A1127="DOL - Dólar comercial","",IF(C1123&lt;&gt;"",dadosexternosBMF_1!B1127,IF(dadosexternosBMF_1!A1127="DI1 - DI de 1 dia",dadosexternosBMF_1!B1127,"")))</f>
        <v>#REF!</v>
      </c>
      <c r="D1124" s="222" t="e">
        <f>IF(C1124&lt;&gt;"",dadosexternosBMF_1!C1127,"")</f>
        <v>#REF!</v>
      </c>
      <c r="E1124" s="222" t="e">
        <f>IF(C1124&lt;&gt;"",dadosexternosBMF_1!D1127,"")</f>
        <v>#REF!</v>
      </c>
      <c r="G1124" s="219" t="e">
        <f t="shared" si="121"/>
        <v>#REF!</v>
      </c>
      <c r="H1124" s="219" t="e">
        <f t="shared" si="122"/>
        <v>#REF!</v>
      </c>
      <c r="I1124" s="219" t="e">
        <f t="shared" si="123"/>
        <v>#REF!</v>
      </c>
      <c r="J1124" s="219" t="e">
        <f>IF(I1124="","",VLOOKUP(LEFT(C1124,1),dadosexternosBMF_1!$L$2:$M$13,2,FALSE))</f>
        <v>#REF!</v>
      </c>
      <c r="K1124" s="219" t="e">
        <f t="shared" si="124"/>
        <v>#REF!</v>
      </c>
      <c r="L1124" s="422" t="e">
        <f t="shared" si="125"/>
        <v>#REF!</v>
      </c>
      <c r="M1124" s="422" t="e">
        <f>IF(I1124="","",WORKDAY(L1124-1,1,FERIADOS!$A$2:$A$831))</f>
        <v>#REF!</v>
      </c>
      <c r="N1124" s="219" t="e">
        <f>IF(I1124="","",NETWORKDAYS(Curva!$M$2,M1124,FERIADOS!$A$2:$A$831)-1)</f>
        <v>#REF!</v>
      </c>
      <c r="O1124" s="423" t="e">
        <f>IF(C1124&lt;&gt;"",IF(ISERROR((100000/E1124)^(252/N1124)-1),Curva!$B$2,((100000/E1124)^(252/N1124)-1)),"")</f>
        <v>#REF!</v>
      </c>
      <c r="P1124" s="219" t="e">
        <f>IF(OR(G1124=1,G1124=2),dadosexternosBMF_1!B1127,"")</f>
        <v>#REF!</v>
      </c>
      <c r="Q1124" s="219" t="e">
        <f>IF(OR(G1124=1,G1124=2),dadosexternosBMF_1!D1127,"")</f>
        <v>#REF!</v>
      </c>
    </row>
    <row r="1125" spans="1:17" x14ac:dyDescent="0.2">
      <c r="A1125" s="222" t="e">
        <f t="shared" si="120"/>
        <v>#REF!</v>
      </c>
      <c r="B1125" s="222" t="str">
        <f>IF(dadosexternosBMF_1!A1128="DI1 - DI de 1 dia","DI1 - DI de 1 dia","")</f>
        <v/>
      </c>
      <c r="C1125" s="222" t="e">
        <f>IF(dadosexternosBMF_1!A1128="DOL - Dólar comercial","",IF(C1124&lt;&gt;"",dadosexternosBMF_1!B1128,IF(dadosexternosBMF_1!A1128="DI1 - DI de 1 dia",dadosexternosBMF_1!B1128,"")))</f>
        <v>#REF!</v>
      </c>
      <c r="D1125" s="222" t="e">
        <f>IF(C1125&lt;&gt;"",dadosexternosBMF_1!C1128,"")</f>
        <v>#REF!</v>
      </c>
      <c r="E1125" s="222" t="e">
        <f>IF(C1125&lt;&gt;"",dadosexternosBMF_1!D1128,"")</f>
        <v>#REF!</v>
      </c>
      <c r="G1125" s="219" t="e">
        <f t="shared" si="121"/>
        <v>#REF!</v>
      </c>
      <c r="H1125" s="219" t="e">
        <f t="shared" si="122"/>
        <v>#REF!</v>
      </c>
      <c r="I1125" s="219" t="e">
        <f t="shared" si="123"/>
        <v>#REF!</v>
      </c>
      <c r="J1125" s="219" t="e">
        <f>IF(I1125="","",VLOOKUP(LEFT(C1125,1),dadosexternosBMF_1!$L$2:$M$13,2,FALSE))</f>
        <v>#REF!</v>
      </c>
      <c r="K1125" s="219" t="e">
        <f t="shared" si="124"/>
        <v>#REF!</v>
      </c>
      <c r="L1125" s="422" t="e">
        <f t="shared" si="125"/>
        <v>#REF!</v>
      </c>
      <c r="M1125" s="422" t="e">
        <f>IF(I1125="","",WORKDAY(L1125-1,1,FERIADOS!$A$2:$A$831))</f>
        <v>#REF!</v>
      </c>
      <c r="N1125" s="219" t="e">
        <f>IF(I1125="","",NETWORKDAYS(Curva!$M$2,M1125,FERIADOS!$A$2:$A$831)-1)</f>
        <v>#REF!</v>
      </c>
      <c r="O1125" s="423" t="e">
        <f>IF(C1125&lt;&gt;"",IF(ISERROR((100000/E1125)^(252/N1125)-1),Curva!$B$2,((100000/E1125)^(252/N1125)-1)),"")</f>
        <v>#REF!</v>
      </c>
      <c r="P1125" s="219" t="e">
        <f>IF(OR(G1125=1,G1125=2),dadosexternosBMF_1!B1128,"")</f>
        <v>#REF!</v>
      </c>
      <c r="Q1125" s="219" t="e">
        <f>IF(OR(G1125=1,G1125=2),dadosexternosBMF_1!D1128,"")</f>
        <v>#REF!</v>
      </c>
    </row>
    <row r="1126" spans="1:17" x14ac:dyDescent="0.2">
      <c r="A1126" s="222" t="e">
        <f t="shared" si="120"/>
        <v>#REF!</v>
      </c>
      <c r="B1126" s="222" t="str">
        <f>IF(dadosexternosBMF_1!A1129="DI1 - DI de 1 dia","DI1 - DI de 1 dia","")</f>
        <v/>
      </c>
      <c r="C1126" s="222" t="e">
        <f>IF(dadosexternosBMF_1!A1129="DOL - Dólar comercial","",IF(C1125&lt;&gt;"",dadosexternosBMF_1!B1129,IF(dadosexternosBMF_1!A1129="DI1 - DI de 1 dia",dadosexternosBMF_1!B1129,"")))</f>
        <v>#REF!</v>
      </c>
      <c r="D1126" s="222" t="e">
        <f>IF(C1126&lt;&gt;"",dadosexternosBMF_1!C1129,"")</f>
        <v>#REF!</v>
      </c>
      <c r="E1126" s="222" t="e">
        <f>IF(C1126&lt;&gt;"",dadosexternosBMF_1!D1129,"")</f>
        <v>#REF!</v>
      </c>
      <c r="G1126" s="219" t="e">
        <f t="shared" si="121"/>
        <v>#REF!</v>
      </c>
      <c r="H1126" s="219" t="e">
        <f t="shared" si="122"/>
        <v>#REF!</v>
      </c>
      <c r="I1126" s="219" t="e">
        <f t="shared" si="123"/>
        <v>#REF!</v>
      </c>
      <c r="J1126" s="219" t="e">
        <f>IF(I1126="","",VLOOKUP(LEFT(C1126,1),dadosexternosBMF_1!$L$2:$M$13,2,FALSE))</f>
        <v>#REF!</v>
      </c>
      <c r="K1126" s="219" t="e">
        <f t="shared" si="124"/>
        <v>#REF!</v>
      </c>
      <c r="L1126" s="422" t="e">
        <f t="shared" si="125"/>
        <v>#REF!</v>
      </c>
      <c r="M1126" s="422" t="e">
        <f>IF(I1126="","",WORKDAY(L1126-1,1,FERIADOS!$A$2:$A$831))</f>
        <v>#REF!</v>
      </c>
      <c r="N1126" s="219" t="e">
        <f>IF(I1126="","",NETWORKDAYS(Curva!$M$2,M1126,FERIADOS!$A$2:$A$831)-1)</f>
        <v>#REF!</v>
      </c>
      <c r="O1126" s="423" t="e">
        <f>IF(C1126&lt;&gt;"",IF(ISERROR((100000/E1126)^(252/N1126)-1),Curva!$B$2,((100000/E1126)^(252/N1126)-1)),"")</f>
        <v>#REF!</v>
      </c>
      <c r="P1126" s="219" t="e">
        <f>IF(OR(G1126=1,G1126=2),dadosexternosBMF_1!B1129,"")</f>
        <v>#REF!</v>
      </c>
      <c r="Q1126" s="219" t="e">
        <f>IF(OR(G1126=1,G1126=2),dadosexternosBMF_1!D1129,"")</f>
        <v>#REF!</v>
      </c>
    </row>
    <row r="1127" spans="1:17" x14ac:dyDescent="0.2">
      <c r="A1127" s="222" t="e">
        <f t="shared" si="120"/>
        <v>#REF!</v>
      </c>
      <c r="B1127" s="222" t="str">
        <f>IF(dadosexternosBMF_1!A1130="DI1 - DI de 1 dia","DI1 - DI de 1 dia","")</f>
        <v/>
      </c>
      <c r="C1127" s="222" t="e">
        <f>IF(dadosexternosBMF_1!A1130="DOL - Dólar comercial","",IF(C1126&lt;&gt;"",dadosexternosBMF_1!B1130,IF(dadosexternosBMF_1!A1130="DI1 - DI de 1 dia",dadosexternosBMF_1!B1130,"")))</f>
        <v>#REF!</v>
      </c>
      <c r="D1127" s="222" t="e">
        <f>IF(C1127&lt;&gt;"",dadosexternosBMF_1!C1130,"")</f>
        <v>#REF!</v>
      </c>
      <c r="E1127" s="222" t="e">
        <f>IF(C1127&lt;&gt;"",dadosexternosBMF_1!D1130,"")</f>
        <v>#REF!</v>
      </c>
      <c r="G1127" s="219" t="e">
        <f t="shared" si="121"/>
        <v>#REF!</v>
      </c>
      <c r="H1127" s="219" t="e">
        <f t="shared" si="122"/>
        <v>#REF!</v>
      </c>
      <c r="I1127" s="219" t="e">
        <f t="shared" si="123"/>
        <v>#REF!</v>
      </c>
      <c r="J1127" s="219" t="e">
        <f>IF(I1127="","",VLOOKUP(LEFT(C1127,1),dadosexternosBMF_1!$L$2:$M$13,2,FALSE))</f>
        <v>#REF!</v>
      </c>
      <c r="K1127" s="219" t="e">
        <f t="shared" si="124"/>
        <v>#REF!</v>
      </c>
      <c r="L1127" s="422" t="e">
        <f t="shared" si="125"/>
        <v>#REF!</v>
      </c>
      <c r="M1127" s="422" t="e">
        <f>IF(I1127="","",WORKDAY(L1127-1,1,FERIADOS!$A$2:$A$831))</f>
        <v>#REF!</v>
      </c>
      <c r="N1127" s="219" t="e">
        <f>IF(I1127="","",NETWORKDAYS(Curva!$M$2,M1127,FERIADOS!$A$2:$A$831)-1)</f>
        <v>#REF!</v>
      </c>
      <c r="O1127" s="423" t="e">
        <f>IF(C1127&lt;&gt;"",IF(ISERROR((100000/E1127)^(252/N1127)-1),Curva!$B$2,((100000/E1127)^(252/N1127)-1)),"")</f>
        <v>#REF!</v>
      </c>
      <c r="P1127" s="219" t="e">
        <f>IF(OR(G1127=1,G1127=2),dadosexternosBMF_1!B1130,"")</f>
        <v>#REF!</v>
      </c>
      <c r="Q1127" s="219" t="e">
        <f>IF(OR(G1127=1,G1127=2),dadosexternosBMF_1!D1130,"")</f>
        <v>#REF!</v>
      </c>
    </row>
    <row r="1128" spans="1:17" x14ac:dyDescent="0.2">
      <c r="A1128" s="222" t="e">
        <f t="shared" si="120"/>
        <v>#REF!</v>
      </c>
      <c r="B1128" s="222" t="str">
        <f>IF(dadosexternosBMF_1!A1131="DI1 - DI de 1 dia","DI1 - DI de 1 dia","")</f>
        <v/>
      </c>
      <c r="C1128" s="222" t="e">
        <f>IF(dadosexternosBMF_1!A1131="DOL - Dólar comercial","",IF(C1127&lt;&gt;"",dadosexternosBMF_1!B1131,IF(dadosexternosBMF_1!A1131="DI1 - DI de 1 dia",dadosexternosBMF_1!B1131,"")))</f>
        <v>#REF!</v>
      </c>
      <c r="D1128" s="222" t="e">
        <f>IF(C1128&lt;&gt;"",dadosexternosBMF_1!C1131,"")</f>
        <v>#REF!</v>
      </c>
      <c r="E1128" s="222" t="e">
        <f>IF(C1128&lt;&gt;"",dadosexternosBMF_1!D1131,"")</f>
        <v>#REF!</v>
      </c>
      <c r="G1128" s="219" t="e">
        <f t="shared" si="121"/>
        <v>#REF!</v>
      </c>
      <c r="H1128" s="219" t="e">
        <f t="shared" si="122"/>
        <v>#REF!</v>
      </c>
      <c r="I1128" s="219" t="e">
        <f t="shared" si="123"/>
        <v>#REF!</v>
      </c>
      <c r="J1128" s="219" t="e">
        <f>IF(I1128="","",VLOOKUP(LEFT(C1128,1),dadosexternosBMF_1!$L$2:$M$13,2,FALSE))</f>
        <v>#REF!</v>
      </c>
      <c r="K1128" s="219" t="e">
        <f t="shared" si="124"/>
        <v>#REF!</v>
      </c>
      <c r="L1128" s="422" t="e">
        <f t="shared" si="125"/>
        <v>#REF!</v>
      </c>
      <c r="M1128" s="422" t="e">
        <f>IF(I1128="","",WORKDAY(L1128-1,1,FERIADOS!$A$2:$A$831))</f>
        <v>#REF!</v>
      </c>
      <c r="N1128" s="219" t="e">
        <f>IF(I1128="","",NETWORKDAYS(Curva!$M$2,M1128,FERIADOS!$A$2:$A$831)-1)</f>
        <v>#REF!</v>
      </c>
      <c r="O1128" s="423" t="e">
        <f>IF(C1128&lt;&gt;"",IF(ISERROR((100000/E1128)^(252/N1128)-1),Curva!$B$2,((100000/E1128)^(252/N1128)-1)),"")</f>
        <v>#REF!</v>
      </c>
      <c r="P1128" s="219" t="e">
        <f>IF(OR(G1128=1,G1128=2),dadosexternosBMF_1!B1131,"")</f>
        <v>#REF!</v>
      </c>
      <c r="Q1128" s="219" t="e">
        <f>IF(OR(G1128=1,G1128=2),dadosexternosBMF_1!D1131,"")</f>
        <v>#REF!</v>
      </c>
    </row>
    <row r="1129" spans="1:17" x14ac:dyDescent="0.2">
      <c r="A1129" s="222" t="e">
        <f t="shared" si="120"/>
        <v>#REF!</v>
      </c>
      <c r="B1129" s="222" t="str">
        <f>IF(dadosexternosBMF_1!A1132="DI1 - DI de 1 dia","DI1 - DI de 1 dia","")</f>
        <v/>
      </c>
      <c r="C1129" s="222" t="e">
        <f>IF(dadosexternosBMF_1!A1132="DOL - Dólar comercial","",IF(C1128&lt;&gt;"",dadosexternosBMF_1!B1132,IF(dadosexternosBMF_1!A1132="DI1 - DI de 1 dia",dadosexternosBMF_1!B1132,"")))</f>
        <v>#REF!</v>
      </c>
      <c r="D1129" s="222" t="e">
        <f>IF(C1129&lt;&gt;"",dadosexternosBMF_1!C1132,"")</f>
        <v>#REF!</v>
      </c>
      <c r="E1129" s="222" t="e">
        <f>IF(C1129&lt;&gt;"",dadosexternosBMF_1!D1132,"")</f>
        <v>#REF!</v>
      </c>
      <c r="G1129" s="219" t="e">
        <f t="shared" si="121"/>
        <v>#REF!</v>
      </c>
      <c r="H1129" s="219" t="e">
        <f t="shared" si="122"/>
        <v>#REF!</v>
      </c>
      <c r="I1129" s="219" t="e">
        <f t="shared" si="123"/>
        <v>#REF!</v>
      </c>
      <c r="J1129" s="219" t="e">
        <f>IF(I1129="","",VLOOKUP(LEFT(C1129,1),dadosexternosBMF_1!$L$2:$M$13,2,FALSE))</f>
        <v>#REF!</v>
      </c>
      <c r="K1129" s="219" t="e">
        <f t="shared" si="124"/>
        <v>#REF!</v>
      </c>
      <c r="L1129" s="422" t="e">
        <f t="shared" si="125"/>
        <v>#REF!</v>
      </c>
      <c r="M1129" s="422" t="e">
        <f>IF(I1129="","",WORKDAY(L1129-1,1,FERIADOS!$A$2:$A$831))</f>
        <v>#REF!</v>
      </c>
      <c r="N1129" s="219" t="e">
        <f>IF(I1129="","",NETWORKDAYS(Curva!$M$2,M1129,FERIADOS!$A$2:$A$831)-1)</f>
        <v>#REF!</v>
      </c>
      <c r="O1129" s="423" t="e">
        <f>IF(C1129&lt;&gt;"",IF(ISERROR((100000/E1129)^(252/N1129)-1),Curva!$B$2,((100000/E1129)^(252/N1129)-1)),"")</f>
        <v>#REF!</v>
      </c>
      <c r="P1129" s="219" t="e">
        <f>IF(OR(G1129=1,G1129=2),dadosexternosBMF_1!B1132,"")</f>
        <v>#REF!</v>
      </c>
      <c r="Q1129" s="219" t="e">
        <f>IF(OR(G1129=1,G1129=2),dadosexternosBMF_1!D1132,"")</f>
        <v>#REF!</v>
      </c>
    </row>
    <row r="1130" spans="1:17" x14ac:dyDescent="0.2">
      <c r="A1130" s="222" t="e">
        <f t="shared" si="120"/>
        <v>#REF!</v>
      </c>
      <c r="B1130" s="222" t="str">
        <f>IF(dadosexternosBMF_1!A1133="DI1 - DI de 1 dia","DI1 - DI de 1 dia","")</f>
        <v/>
      </c>
      <c r="C1130" s="222" t="e">
        <f>IF(dadosexternosBMF_1!A1133="DOL - Dólar comercial","",IF(C1129&lt;&gt;"",dadosexternosBMF_1!B1133,IF(dadosexternosBMF_1!A1133="DI1 - DI de 1 dia",dadosexternosBMF_1!B1133,"")))</f>
        <v>#REF!</v>
      </c>
      <c r="D1130" s="222" t="e">
        <f>IF(C1130&lt;&gt;"",dadosexternosBMF_1!C1133,"")</f>
        <v>#REF!</v>
      </c>
      <c r="E1130" s="222" t="e">
        <f>IF(C1130&lt;&gt;"",dadosexternosBMF_1!D1133,"")</f>
        <v>#REF!</v>
      </c>
      <c r="G1130" s="219" t="e">
        <f t="shared" si="121"/>
        <v>#REF!</v>
      </c>
      <c r="H1130" s="219" t="e">
        <f t="shared" si="122"/>
        <v>#REF!</v>
      </c>
      <c r="I1130" s="219" t="e">
        <f t="shared" si="123"/>
        <v>#REF!</v>
      </c>
      <c r="J1130" s="219" t="e">
        <f>IF(I1130="","",VLOOKUP(LEFT(C1130,1),dadosexternosBMF_1!$L$2:$M$13,2,FALSE))</f>
        <v>#REF!</v>
      </c>
      <c r="K1130" s="219" t="e">
        <f t="shared" si="124"/>
        <v>#REF!</v>
      </c>
      <c r="L1130" s="422" t="e">
        <f t="shared" si="125"/>
        <v>#REF!</v>
      </c>
      <c r="M1130" s="422" t="e">
        <f>IF(I1130="","",WORKDAY(L1130-1,1,FERIADOS!$A$2:$A$831))</f>
        <v>#REF!</v>
      </c>
      <c r="N1130" s="219" t="e">
        <f>IF(I1130="","",NETWORKDAYS(Curva!$M$2,M1130,FERIADOS!$A$2:$A$831)-1)</f>
        <v>#REF!</v>
      </c>
      <c r="O1130" s="423" t="e">
        <f>IF(C1130&lt;&gt;"",IF(ISERROR((100000/E1130)^(252/N1130)-1),Curva!$B$2,((100000/E1130)^(252/N1130)-1)),"")</f>
        <v>#REF!</v>
      </c>
      <c r="P1130" s="219" t="e">
        <f>IF(OR(G1130=1,G1130=2),dadosexternosBMF_1!B1133,"")</f>
        <v>#REF!</v>
      </c>
      <c r="Q1130" s="219" t="e">
        <f>IF(OR(G1130=1,G1130=2),dadosexternosBMF_1!D1133,"")</f>
        <v>#REF!</v>
      </c>
    </row>
    <row r="1131" spans="1:17" x14ac:dyDescent="0.2">
      <c r="A1131" s="222" t="e">
        <f t="shared" si="120"/>
        <v>#REF!</v>
      </c>
      <c r="B1131" s="222" t="str">
        <f>IF(dadosexternosBMF_1!A1134="DI1 - DI de 1 dia","DI1 - DI de 1 dia","")</f>
        <v/>
      </c>
      <c r="C1131" s="222" t="e">
        <f>IF(dadosexternosBMF_1!A1134="DOL - Dólar comercial","",IF(C1130&lt;&gt;"",dadosexternosBMF_1!B1134,IF(dadosexternosBMF_1!A1134="DI1 - DI de 1 dia",dadosexternosBMF_1!B1134,"")))</f>
        <v>#REF!</v>
      </c>
      <c r="D1131" s="222" t="e">
        <f>IF(C1131&lt;&gt;"",dadosexternosBMF_1!C1134,"")</f>
        <v>#REF!</v>
      </c>
      <c r="E1131" s="222" t="e">
        <f>IF(C1131&lt;&gt;"",dadosexternosBMF_1!D1134,"")</f>
        <v>#REF!</v>
      </c>
      <c r="G1131" s="219" t="e">
        <f t="shared" si="121"/>
        <v>#REF!</v>
      </c>
      <c r="H1131" s="219" t="e">
        <f t="shared" si="122"/>
        <v>#REF!</v>
      </c>
      <c r="I1131" s="219" t="e">
        <f t="shared" si="123"/>
        <v>#REF!</v>
      </c>
      <c r="J1131" s="219" t="e">
        <f>IF(I1131="","",VLOOKUP(LEFT(C1131,1),dadosexternosBMF_1!$L$2:$M$13,2,FALSE))</f>
        <v>#REF!</v>
      </c>
      <c r="K1131" s="219" t="e">
        <f t="shared" si="124"/>
        <v>#REF!</v>
      </c>
      <c r="L1131" s="422" t="e">
        <f t="shared" si="125"/>
        <v>#REF!</v>
      </c>
      <c r="M1131" s="422" t="e">
        <f>IF(I1131="","",WORKDAY(L1131-1,1,FERIADOS!$A$2:$A$831))</f>
        <v>#REF!</v>
      </c>
      <c r="N1131" s="219" t="e">
        <f>IF(I1131="","",NETWORKDAYS(Curva!$M$2,M1131,FERIADOS!$A$2:$A$831)-1)</f>
        <v>#REF!</v>
      </c>
      <c r="O1131" s="423" t="e">
        <f>IF(C1131&lt;&gt;"",IF(ISERROR((100000/E1131)^(252/N1131)-1),Curva!$B$2,((100000/E1131)^(252/N1131)-1)),"")</f>
        <v>#REF!</v>
      </c>
      <c r="P1131" s="219" t="e">
        <f>IF(OR(G1131=1,G1131=2),dadosexternosBMF_1!B1134,"")</f>
        <v>#REF!</v>
      </c>
      <c r="Q1131" s="219" t="e">
        <f>IF(OR(G1131=1,G1131=2),dadosexternosBMF_1!D1134,"")</f>
        <v>#REF!</v>
      </c>
    </row>
    <row r="1132" spans="1:17" x14ac:dyDescent="0.2">
      <c r="A1132" s="222" t="e">
        <f t="shared" si="120"/>
        <v>#REF!</v>
      </c>
      <c r="B1132" s="222" t="str">
        <f>IF(dadosexternosBMF_1!A1135="DI1 - DI de 1 dia","DI1 - DI de 1 dia","")</f>
        <v/>
      </c>
      <c r="C1132" s="222" t="e">
        <f>IF(dadosexternosBMF_1!A1135="DOL - Dólar comercial","",IF(C1131&lt;&gt;"",dadosexternosBMF_1!B1135,IF(dadosexternosBMF_1!A1135="DI1 - DI de 1 dia",dadosexternosBMF_1!B1135,"")))</f>
        <v>#REF!</v>
      </c>
      <c r="D1132" s="222" t="e">
        <f>IF(C1132&lt;&gt;"",dadosexternosBMF_1!C1135,"")</f>
        <v>#REF!</v>
      </c>
      <c r="E1132" s="222" t="e">
        <f>IF(C1132&lt;&gt;"",dadosexternosBMF_1!D1135,"")</f>
        <v>#REF!</v>
      </c>
      <c r="G1132" s="219" t="e">
        <f t="shared" si="121"/>
        <v>#REF!</v>
      </c>
      <c r="H1132" s="219" t="e">
        <f t="shared" si="122"/>
        <v>#REF!</v>
      </c>
      <c r="I1132" s="219" t="e">
        <f t="shared" si="123"/>
        <v>#REF!</v>
      </c>
      <c r="J1132" s="219" t="e">
        <f>IF(I1132="","",VLOOKUP(LEFT(C1132,1),dadosexternosBMF_1!$L$2:$M$13,2,FALSE))</f>
        <v>#REF!</v>
      </c>
      <c r="K1132" s="219" t="e">
        <f t="shared" si="124"/>
        <v>#REF!</v>
      </c>
      <c r="L1132" s="422" t="e">
        <f t="shared" si="125"/>
        <v>#REF!</v>
      </c>
      <c r="M1132" s="422" t="e">
        <f>IF(I1132="","",WORKDAY(L1132-1,1,FERIADOS!$A$2:$A$831))</f>
        <v>#REF!</v>
      </c>
      <c r="N1132" s="219" t="e">
        <f>IF(I1132="","",NETWORKDAYS(Curva!$M$2,M1132,FERIADOS!$A$2:$A$831)-1)</f>
        <v>#REF!</v>
      </c>
      <c r="O1132" s="423" t="e">
        <f>IF(C1132&lt;&gt;"",IF(ISERROR((100000/E1132)^(252/N1132)-1),Curva!$B$2,((100000/E1132)^(252/N1132)-1)),"")</f>
        <v>#REF!</v>
      </c>
      <c r="P1132" s="219" t="e">
        <f>IF(OR(G1132=1,G1132=2),dadosexternosBMF_1!B1135,"")</f>
        <v>#REF!</v>
      </c>
      <c r="Q1132" s="219" t="e">
        <f>IF(OR(G1132=1,G1132=2),dadosexternosBMF_1!D1135,"")</f>
        <v>#REF!</v>
      </c>
    </row>
    <row r="1133" spans="1:17" x14ac:dyDescent="0.2">
      <c r="A1133" s="222" t="e">
        <f t="shared" si="120"/>
        <v>#REF!</v>
      </c>
      <c r="B1133" s="222" t="str">
        <f>IF(dadosexternosBMF_1!A1136="DI1 - DI de 1 dia","DI1 - DI de 1 dia","")</f>
        <v/>
      </c>
      <c r="C1133" s="222" t="e">
        <f>IF(dadosexternosBMF_1!A1136="DOL - Dólar comercial","",IF(C1132&lt;&gt;"",dadosexternosBMF_1!B1136,IF(dadosexternosBMF_1!A1136="DI1 - DI de 1 dia",dadosexternosBMF_1!B1136,"")))</f>
        <v>#REF!</v>
      </c>
      <c r="D1133" s="222" t="e">
        <f>IF(C1133&lt;&gt;"",dadosexternosBMF_1!C1136,"")</f>
        <v>#REF!</v>
      </c>
      <c r="E1133" s="222" t="e">
        <f>IF(C1133&lt;&gt;"",dadosexternosBMF_1!D1136,"")</f>
        <v>#REF!</v>
      </c>
      <c r="G1133" s="219" t="e">
        <f t="shared" si="121"/>
        <v>#REF!</v>
      </c>
      <c r="H1133" s="219" t="e">
        <f t="shared" si="122"/>
        <v>#REF!</v>
      </c>
      <c r="I1133" s="219" t="e">
        <f t="shared" si="123"/>
        <v>#REF!</v>
      </c>
      <c r="J1133" s="219" t="e">
        <f>IF(I1133="","",VLOOKUP(LEFT(C1133,1),dadosexternosBMF_1!$L$2:$M$13,2,FALSE))</f>
        <v>#REF!</v>
      </c>
      <c r="K1133" s="219" t="e">
        <f t="shared" si="124"/>
        <v>#REF!</v>
      </c>
      <c r="L1133" s="422" t="e">
        <f t="shared" si="125"/>
        <v>#REF!</v>
      </c>
      <c r="M1133" s="422" t="e">
        <f>IF(I1133="","",WORKDAY(L1133-1,1,FERIADOS!$A$2:$A$831))</f>
        <v>#REF!</v>
      </c>
      <c r="N1133" s="219" t="e">
        <f>IF(I1133="","",NETWORKDAYS(Curva!$M$2,M1133,FERIADOS!$A$2:$A$831)-1)</f>
        <v>#REF!</v>
      </c>
      <c r="O1133" s="423" t="e">
        <f>IF(C1133&lt;&gt;"",IF(ISERROR((100000/E1133)^(252/N1133)-1),Curva!$B$2,((100000/E1133)^(252/N1133)-1)),"")</f>
        <v>#REF!</v>
      </c>
      <c r="P1133" s="219" t="e">
        <f>IF(OR(G1133=1,G1133=2),dadosexternosBMF_1!B1136,"")</f>
        <v>#REF!</v>
      </c>
      <c r="Q1133" s="219" t="e">
        <f>IF(OR(G1133=1,G1133=2),dadosexternosBMF_1!D1136,"")</f>
        <v>#REF!</v>
      </c>
    </row>
    <row r="1134" spans="1:17" x14ac:dyDescent="0.2">
      <c r="A1134" s="222" t="e">
        <f t="shared" si="120"/>
        <v>#REF!</v>
      </c>
      <c r="B1134" s="222" t="str">
        <f>IF(dadosexternosBMF_1!A1137="DI1 - DI de 1 dia","DI1 - DI de 1 dia","")</f>
        <v/>
      </c>
      <c r="C1134" s="222" t="e">
        <f>IF(dadosexternosBMF_1!A1137="DOL - Dólar comercial","",IF(C1133&lt;&gt;"",dadosexternosBMF_1!B1137,IF(dadosexternosBMF_1!A1137="DI1 - DI de 1 dia",dadosexternosBMF_1!B1137,"")))</f>
        <v>#REF!</v>
      </c>
      <c r="D1134" s="222" t="e">
        <f>IF(C1134&lt;&gt;"",dadosexternosBMF_1!C1137,"")</f>
        <v>#REF!</v>
      </c>
      <c r="E1134" s="222" t="e">
        <f>IF(C1134&lt;&gt;"",dadosexternosBMF_1!D1137,"")</f>
        <v>#REF!</v>
      </c>
      <c r="G1134" s="219" t="e">
        <f t="shared" si="121"/>
        <v>#REF!</v>
      </c>
      <c r="H1134" s="219" t="e">
        <f t="shared" si="122"/>
        <v>#REF!</v>
      </c>
      <c r="I1134" s="219" t="e">
        <f t="shared" si="123"/>
        <v>#REF!</v>
      </c>
      <c r="J1134" s="219" t="e">
        <f>IF(I1134="","",VLOOKUP(LEFT(C1134,1),dadosexternosBMF_1!$L$2:$M$13,2,FALSE))</f>
        <v>#REF!</v>
      </c>
      <c r="K1134" s="219" t="e">
        <f t="shared" si="124"/>
        <v>#REF!</v>
      </c>
      <c r="L1134" s="422" t="e">
        <f t="shared" si="125"/>
        <v>#REF!</v>
      </c>
      <c r="M1134" s="422" t="e">
        <f>IF(I1134="","",WORKDAY(L1134-1,1,FERIADOS!$A$2:$A$831))</f>
        <v>#REF!</v>
      </c>
      <c r="N1134" s="219" t="e">
        <f>IF(I1134="","",NETWORKDAYS(Curva!$M$2,M1134,FERIADOS!$A$2:$A$831)-1)</f>
        <v>#REF!</v>
      </c>
      <c r="O1134" s="423" t="e">
        <f>IF(C1134&lt;&gt;"",IF(ISERROR((100000/E1134)^(252/N1134)-1),Curva!$B$2,((100000/E1134)^(252/N1134)-1)),"")</f>
        <v>#REF!</v>
      </c>
      <c r="P1134" s="219" t="e">
        <f>IF(OR(G1134=1,G1134=2),dadosexternosBMF_1!B1137,"")</f>
        <v>#REF!</v>
      </c>
      <c r="Q1134" s="219" t="e">
        <f>IF(OR(G1134=1,G1134=2),dadosexternosBMF_1!D1137,"")</f>
        <v>#REF!</v>
      </c>
    </row>
    <row r="1135" spans="1:17" x14ac:dyDescent="0.2">
      <c r="A1135" s="222" t="e">
        <f t="shared" si="120"/>
        <v>#REF!</v>
      </c>
      <c r="B1135" s="222" t="str">
        <f>IF(dadosexternosBMF_1!A1138="DI1 - DI de 1 dia","DI1 - DI de 1 dia","")</f>
        <v/>
      </c>
      <c r="C1135" s="222" t="e">
        <f>IF(dadosexternosBMF_1!A1138="DOL - Dólar comercial","",IF(C1134&lt;&gt;"",dadosexternosBMF_1!B1138,IF(dadosexternosBMF_1!A1138="DI1 - DI de 1 dia",dadosexternosBMF_1!B1138,"")))</f>
        <v>#REF!</v>
      </c>
      <c r="D1135" s="222" t="e">
        <f>IF(C1135&lt;&gt;"",dadosexternosBMF_1!C1138,"")</f>
        <v>#REF!</v>
      </c>
      <c r="E1135" s="222" t="e">
        <f>IF(C1135&lt;&gt;"",dadosexternosBMF_1!D1138,"")</f>
        <v>#REF!</v>
      </c>
      <c r="G1135" s="219" t="e">
        <f t="shared" si="121"/>
        <v>#REF!</v>
      </c>
      <c r="H1135" s="219" t="e">
        <f t="shared" si="122"/>
        <v>#REF!</v>
      </c>
      <c r="I1135" s="219" t="e">
        <f t="shared" si="123"/>
        <v>#REF!</v>
      </c>
      <c r="J1135" s="219" t="e">
        <f>IF(I1135="","",VLOOKUP(LEFT(C1135,1),dadosexternosBMF_1!$L$2:$M$13,2,FALSE))</f>
        <v>#REF!</v>
      </c>
      <c r="K1135" s="219" t="e">
        <f t="shared" si="124"/>
        <v>#REF!</v>
      </c>
      <c r="L1135" s="422" t="e">
        <f t="shared" si="125"/>
        <v>#REF!</v>
      </c>
      <c r="M1135" s="422" t="e">
        <f>IF(I1135="","",WORKDAY(L1135-1,1,FERIADOS!$A$2:$A$831))</f>
        <v>#REF!</v>
      </c>
      <c r="N1135" s="219" t="e">
        <f>IF(I1135="","",NETWORKDAYS(Curva!$M$2,M1135,FERIADOS!$A$2:$A$831)-1)</f>
        <v>#REF!</v>
      </c>
      <c r="O1135" s="423" t="e">
        <f>IF(C1135&lt;&gt;"",IF(ISERROR((100000/E1135)^(252/N1135)-1),Curva!$B$2,((100000/E1135)^(252/N1135)-1)),"")</f>
        <v>#REF!</v>
      </c>
      <c r="P1135" s="219" t="e">
        <f>IF(OR(G1135=1,G1135=2),dadosexternosBMF_1!B1138,"")</f>
        <v>#REF!</v>
      </c>
      <c r="Q1135" s="219" t="e">
        <f>IF(OR(G1135=1,G1135=2),dadosexternosBMF_1!D1138,"")</f>
        <v>#REF!</v>
      </c>
    </row>
    <row r="1136" spans="1:17" x14ac:dyDescent="0.2">
      <c r="A1136" s="222" t="e">
        <f t="shared" si="120"/>
        <v>#REF!</v>
      </c>
      <c r="B1136" s="222" t="str">
        <f>IF(dadosexternosBMF_1!A1139="DI1 - DI de 1 dia","DI1 - DI de 1 dia","")</f>
        <v/>
      </c>
      <c r="C1136" s="222" t="e">
        <f>IF(dadosexternosBMF_1!A1139="DOL - Dólar comercial","",IF(C1135&lt;&gt;"",dadosexternosBMF_1!B1139,IF(dadosexternosBMF_1!A1139="DI1 - DI de 1 dia",dadosexternosBMF_1!B1139,"")))</f>
        <v>#REF!</v>
      </c>
      <c r="D1136" s="222" t="e">
        <f>IF(C1136&lt;&gt;"",dadosexternosBMF_1!C1139,"")</f>
        <v>#REF!</v>
      </c>
      <c r="E1136" s="222" t="e">
        <f>IF(C1136&lt;&gt;"",dadosexternosBMF_1!D1139,"")</f>
        <v>#REF!</v>
      </c>
      <c r="G1136" s="219" t="e">
        <f t="shared" si="121"/>
        <v>#REF!</v>
      </c>
      <c r="H1136" s="219" t="e">
        <f t="shared" si="122"/>
        <v>#REF!</v>
      </c>
      <c r="I1136" s="219" t="e">
        <f t="shared" si="123"/>
        <v>#REF!</v>
      </c>
      <c r="J1136" s="219" t="e">
        <f>IF(I1136="","",VLOOKUP(LEFT(C1136,1),dadosexternosBMF_1!$L$2:$M$13,2,FALSE))</f>
        <v>#REF!</v>
      </c>
      <c r="K1136" s="219" t="e">
        <f t="shared" si="124"/>
        <v>#REF!</v>
      </c>
      <c r="L1136" s="422" t="e">
        <f t="shared" si="125"/>
        <v>#REF!</v>
      </c>
      <c r="M1136" s="422" t="e">
        <f>IF(I1136="","",WORKDAY(L1136-1,1,FERIADOS!$A$2:$A$831))</f>
        <v>#REF!</v>
      </c>
      <c r="N1136" s="219" t="e">
        <f>IF(I1136="","",NETWORKDAYS(Curva!$M$2,M1136,FERIADOS!$A$2:$A$831)-1)</f>
        <v>#REF!</v>
      </c>
      <c r="O1136" s="423" t="e">
        <f>IF(C1136&lt;&gt;"",IF(ISERROR((100000/E1136)^(252/N1136)-1),Curva!$B$2,((100000/E1136)^(252/N1136)-1)),"")</f>
        <v>#REF!</v>
      </c>
      <c r="P1136" s="219" t="e">
        <f>IF(OR(G1136=1,G1136=2),dadosexternosBMF_1!B1139,"")</f>
        <v>#REF!</v>
      </c>
      <c r="Q1136" s="219" t="e">
        <f>IF(OR(G1136=1,G1136=2),dadosexternosBMF_1!D1139,"")</f>
        <v>#REF!</v>
      </c>
    </row>
    <row r="1137" spans="1:17" x14ac:dyDescent="0.2">
      <c r="A1137" s="222" t="e">
        <f t="shared" si="120"/>
        <v>#REF!</v>
      </c>
      <c r="B1137" s="222" t="str">
        <f>IF(dadosexternosBMF_1!A1140="DI1 - DI de 1 dia","DI1 - DI de 1 dia","")</f>
        <v/>
      </c>
      <c r="C1137" s="222" t="e">
        <f>IF(dadosexternosBMF_1!A1140="DOL - Dólar comercial","",IF(C1136&lt;&gt;"",dadosexternosBMF_1!B1140,IF(dadosexternosBMF_1!A1140="DI1 - DI de 1 dia",dadosexternosBMF_1!B1140,"")))</f>
        <v>#REF!</v>
      </c>
      <c r="D1137" s="222" t="e">
        <f>IF(C1137&lt;&gt;"",dadosexternosBMF_1!C1140,"")</f>
        <v>#REF!</v>
      </c>
      <c r="E1137" s="222" t="e">
        <f>IF(C1137&lt;&gt;"",dadosexternosBMF_1!D1140,"")</f>
        <v>#REF!</v>
      </c>
      <c r="G1137" s="219" t="e">
        <f t="shared" si="121"/>
        <v>#REF!</v>
      </c>
      <c r="H1137" s="219" t="e">
        <f t="shared" si="122"/>
        <v>#REF!</v>
      </c>
      <c r="I1137" s="219" t="e">
        <f t="shared" si="123"/>
        <v>#REF!</v>
      </c>
      <c r="J1137" s="219" t="e">
        <f>IF(I1137="","",VLOOKUP(LEFT(C1137,1),dadosexternosBMF_1!$L$2:$M$13,2,FALSE))</f>
        <v>#REF!</v>
      </c>
      <c r="K1137" s="219" t="e">
        <f t="shared" si="124"/>
        <v>#REF!</v>
      </c>
      <c r="L1137" s="422" t="e">
        <f t="shared" si="125"/>
        <v>#REF!</v>
      </c>
      <c r="M1137" s="422" t="e">
        <f>IF(I1137="","",WORKDAY(L1137-1,1,FERIADOS!$A$2:$A$831))</f>
        <v>#REF!</v>
      </c>
      <c r="N1137" s="219" t="e">
        <f>IF(I1137="","",NETWORKDAYS(Curva!$M$2,M1137,FERIADOS!$A$2:$A$831)-1)</f>
        <v>#REF!</v>
      </c>
      <c r="O1137" s="423" t="e">
        <f>IF(C1137&lt;&gt;"",IF(ISERROR((100000/E1137)^(252/N1137)-1),Curva!$B$2,((100000/E1137)^(252/N1137)-1)),"")</f>
        <v>#REF!</v>
      </c>
      <c r="P1137" s="219" t="e">
        <f>IF(OR(G1137=1,G1137=2),dadosexternosBMF_1!B1140,"")</f>
        <v>#REF!</v>
      </c>
      <c r="Q1137" s="219" t="e">
        <f>IF(OR(G1137=1,G1137=2),dadosexternosBMF_1!D1140,"")</f>
        <v>#REF!</v>
      </c>
    </row>
    <row r="1138" spans="1:17" x14ac:dyDescent="0.2">
      <c r="A1138" s="222" t="e">
        <f t="shared" si="120"/>
        <v>#REF!</v>
      </c>
      <c r="B1138" s="222" t="str">
        <f>IF(dadosexternosBMF_1!A1141="DI1 - DI de 1 dia","DI1 - DI de 1 dia","")</f>
        <v/>
      </c>
      <c r="C1138" s="222" t="e">
        <f>IF(dadosexternosBMF_1!A1141="DOL - Dólar comercial","",IF(C1137&lt;&gt;"",dadosexternosBMF_1!B1141,IF(dadosexternosBMF_1!A1141="DI1 - DI de 1 dia",dadosexternosBMF_1!B1141,"")))</f>
        <v>#REF!</v>
      </c>
      <c r="D1138" s="222" t="e">
        <f>IF(C1138&lt;&gt;"",dadosexternosBMF_1!C1141,"")</f>
        <v>#REF!</v>
      </c>
      <c r="E1138" s="222" t="e">
        <f>IF(C1138&lt;&gt;"",dadosexternosBMF_1!D1141,"")</f>
        <v>#REF!</v>
      </c>
      <c r="G1138" s="219" t="e">
        <f t="shared" si="121"/>
        <v>#REF!</v>
      </c>
      <c r="H1138" s="219" t="e">
        <f t="shared" si="122"/>
        <v>#REF!</v>
      </c>
      <c r="I1138" s="219" t="e">
        <f t="shared" si="123"/>
        <v>#REF!</v>
      </c>
      <c r="J1138" s="219" t="e">
        <f>IF(I1138="","",VLOOKUP(LEFT(C1138,1),dadosexternosBMF_1!$L$2:$M$13,2,FALSE))</f>
        <v>#REF!</v>
      </c>
      <c r="K1138" s="219" t="e">
        <f t="shared" si="124"/>
        <v>#REF!</v>
      </c>
      <c r="L1138" s="422" t="e">
        <f t="shared" si="125"/>
        <v>#REF!</v>
      </c>
      <c r="M1138" s="422" t="e">
        <f>IF(I1138="","",WORKDAY(L1138-1,1,FERIADOS!$A$2:$A$831))</f>
        <v>#REF!</v>
      </c>
      <c r="N1138" s="219" t="e">
        <f>IF(I1138="","",NETWORKDAYS(Curva!$M$2,M1138,FERIADOS!$A$2:$A$831)-1)</f>
        <v>#REF!</v>
      </c>
      <c r="O1138" s="423" t="e">
        <f>IF(C1138&lt;&gt;"",IF(ISERROR((100000/E1138)^(252/N1138)-1),Curva!$B$2,((100000/E1138)^(252/N1138)-1)),"")</f>
        <v>#REF!</v>
      </c>
      <c r="P1138" s="219" t="e">
        <f>IF(OR(G1138=1,G1138=2),dadosexternosBMF_1!B1141,"")</f>
        <v>#REF!</v>
      </c>
      <c r="Q1138" s="219" t="e">
        <f>IF(OR(G1138=1,G1138=2),dadosexternosBMF_1!D1141,"")</f>
        <v>#REF!</v>
      </c>
    </row>
    <row r="1139" spans="1:17" x14ac:dyDescent="0.2">
      <c r="A1139" s="222" t="e">
        <f t="shared" si="120"/>
        <v>#REF!</v>
      </c>
      <c r="B1139" s="222" t="str">
        <f>IF(dadosexternosBMF_1!A1142="DI1 - DI de 1 dia","DI1 - DI de 1 dia","")</f>
        <v/>
      </c>
      <c r="C1139" s="222" t="e">
        <f>IF(dadosexternosBMF_1!A1142="DOL - Dólar comercial","",IF(C1138&lt;&gt;"",dadosexternosBMF_1!B1142,IF(dadosexternosBMF_1!A1142="DI1 - DI de 1 dia",dadosexternosBMF_1!B1142,"")))</f>
        <v>#REF!</v>
      </c>
      <c r="D1139" s="222" t="e">
        <f>IF(C1139&lt;&gt;"",dadosexternosBMF_1!C1142,"")</f>
        <v>#REF!</v>
      </c>
      <c r="E1139" s="222" t="e">
        <f>IF(C1139&lt;&gt;"",dadosexternosBMF_1!D1142,"")</f>
        <v>#REF!</v>
      </c>
      <c r="G1139" s="219" t="e">
        <f t="shared" si="121"/>
        <v>#REF!</v>
      </c>
      <c r="H1139" s="219" t="e">
        <f t="shared" si="122"/>
        <v>#REF!</v>
      </c>
      <c r="I1139" s="219" t="e">
        <f t="shared" si="123"/>
        <v>#REF!</v>
      </c>
      <c r="J1139" s="219" t="e">
        <f>IF(I1139="","",VLOOKUP(LEFT(C1139,1),dadosexternosBMF_1!$L$2:$M$13,2,FALSE))</f>
        <v>#REF!</v>
      </c>
      <c r="K1139" s="219" t="e">
        <f t="shared" si="124"/>
        <v>#REF!</v>
      </c>
      <c r="L1139" s="422" t="e">
        <f t="shared" si="125"/>
        <v>#REF!</v>
      </c>
      <c r="M1139" s="422" t="e">
        <f>IF(I1139="","",WORKDAY(L1139-1,1,FERIADOS!$A$2:$A$831))</f>
        <v>#REF!</v>
      </c>
      <c r="N1139" s="219" t="e">
        <f>IF(I1139="","",NETWORKDAYS(Curva!$M$2,M1139,FERIADOS!$A$2:$A$831)-1)</f>
        <v>#REF!</v>
      </c>
      <c r="O1139" s="423" t="e">
        <f>IF(C1139&lt;&gt;"",IF(ISERROR((100000/E1139)^(252/N1139)-1),Curva!$B$2,((100000/E1139)^(252/N1139)-1)),"")</f>
        <v>#REF!</v>
      </c>
      <c r="P1139" s="219" t="e">
        <f>IF(OR(G1139=1,G1139=2),dadosexternosBMF_1!B1142,"")</f>
        <v>#REF!</v>
      </c>
      <c r="Q1139" s="219" t="e">
        <f>IF(OR(G1139=1,G1139=2),dadosexternosBMF_1!D1142,"")</f>
        <v>#REF!</v>
      </c>
    </row>
    <row r="1140" spans="1:17" x14ac:dyDescent="0.2">
      <c r="A1140" s="222" t="e">
        <f t="shared" si="120"/>
        <v>#REF!</v>
      </c>
      <c r="B1140" s="222" t="str">
        <f>IF(dadosexternosBMF_1!A1143="DI1 - DI de 1 dia","DI1 - DI de 1 dia","")</f>
        <v/>
      </c>
      <c r="C1140" s="222" t="e">
        <f>IF(dadosexternosBMF_1!A1143="DOL - Dólar comercial","",IF(C1139&lt;&gt;"",dadosexternosBMF_1!B1143,IF(dadosexternosBMF_1!A1143="DI1 - DI de 1 dia",dadosexternosBMF_1!B1143,"")))</f>
        <v>#REF!</v>
      </c>
      <c r="D1140" s="222" t="e">
        <f>IF(C1140&lt;&gt;"",dadosexternosBMF_1!C1143,"")</f>
        <v>#REF!</v>
      </c>
      <c r="E1140" s="222" t="e">
        <f>IF(C1140&lt;&gt;"",dadosexternosBMF_1!D1143,"")</f>
        <v>#REF!</v>
      </c>
      <c r="G1140" s="219" t="e">
        <f t="shared" si="121"/>
        <v>#REF!</v>
      </c>
      <c r="H1140" s="219" t="e">
        <f t="shared" si="122"/>
        <v>#REF!</v>
      </c>
      <c r="I1140" s="219" t="e">
        <f t="shared" si="123"/>
        <v>#REF!</v>
      </c>
      <c r="J1140" s="219" t="e">
        <f>IF(I1140="","",VLOOKUP(LEFT(C1140,1),dadosexternosBMF_1!$L$2:$M$13,2,FALSE))</f>
        <v>#REF!</v>
      </c>
      <c r="K1140" s="219" t="e">
        <f t="shared" si="124"/>
        <v>#REF!</v>
      </c>
      <c r="L1140" s="422" t="e">
        <f t="shared" si="125"/>
        <v>#REF!</v>
      </c>
      <c r="M1140" s="422" t="e">
        <f>IF(I1140="","",WORKDAY(L1140-1,1,FERIADOS!$A$2:$A$831))</f>
        <v>#REF!</v>
      </c>
      <c r="N1140" s="219" t="e">
        <f>IF(I1140="","",NETWORKDAYS(Curva!$M$2,M1140,FERIADOS!$A$2:$A$831)-1)</f>
        <v>#REF!</v>
      </c>
      <c r="O1140" s="423" t="e">
        <f>IF(C1140&lt;&gt;"",IF(ISERROR((100000/E1140)^(252/N1140)-1),Curva!$B$2,((100000/E1140)^(252/N1140)-1)),"")</f>
        <v>#REF!</v>
      </c>
      <c r="P1140" s="219" t="e">
        <f>IF(OR(G1140=1,G1140=2),dadosexternosBMF_1!B1143,"")</f>
        <v>#REF!</v>
      </c>
      <c r="Q1140" s="219" t="e">
        <f>IF(OR(G1140=1,G1140=2),dadosexternosBMF_1!D1143,"")</f>
        <v>#REF!</v>
      </c>
    </row>
    <row r="1141" spans="1:17" x14ac:dyDescent="0.2">
      <c r="A1141" s="222" t="e">
        <f t="shared" si="120"/>
        <v>#REF!</v>
      </c>
      <c r="B1141" s="222" t="str">
        <f>IF(dadosexternosBMF_1!A1144="DI1 - DI de 1 dia","DI1 - DI de 1 dia","")</f>
        <v/>
      </c>
      <c r="C1141" s="222" t="e">
        <f>IF(dadosexternosBMF_1!A1144="DOL - Dólar comercial","",IF(C1140&lt;&gt;"",dadosexternosBMF_1!B1144,IF(dadosexternosBMF_1!A1144="DI1 - DI de 1 dia",dadosexternosBMF_1!B1144,"")))</f>
        <v>#REF!</v>
      </c>
      <c r="D1141" s="222" t="e">
        <f>IF(C1141&lt;&gt;"",dadosexternosBMF_1!C1144,"")</f>
        <v>#REF!</v>
      </c>
      <c r="E1141" s="222" t="e">
        <f>IF(C1141&lt;&gt;"",dadosexternosBMF_1!D1144,"")</f>
        <v>#REF!</v>
      </c>
      <c r="G1141" s="219" t="e">
        <f t="shared" si="121"/>
        <v>#REF!</v>
      </c>
      <c r="H1141" s="219" t="e">
        <f t="shared" si="122"/>
        <v>#REF!</v>
      </c>
      <c r="I1141" s="219" t="e">
        <f t="shared" si="123"/>
        <v>#REF!</v>
      </c>
      <c r="J1141" s="219" t="e">
        <f>IF(I1141="","",VLOOKUP(LEFT(C1141,1),dadosexternosBMF_1!$L$2:$M$13,2,FALSE))</f>
        <v>#REF!</v>
      </c>
      <c r="K1141" s="219" t="e">
        <f t="shared" si="124"/>
        <v>#REF!</v>
      </c>
      <c r="L1141" s="422" t="e">
        <f t="shared" si="125"/>
        <v>#REF!</v>
      </c>
      <c r="M1141" s="422" t="e">
        <f>IF(I1141="","",WORKDAY(L1141-1,1,FERIADOS!$A$2:$A$831))</f>
        <v>#REF!</v>
      </c>
      <c r="N1141" s="219" t="e">
        <f>IF(I1141="","",NETWORKDAYS(Curva!$M$2,M1141,FERIADOS!$A$2:$A$831)-1)</f>
        <v>#REF!</v>
      </c>
      <c r="O1141" s="423" t="e">
        <f>IF(C1141&lt;&gt;"",IF(ISERROR((100000/E1141)^(252/N1141)-1),Curva!$B$2,((100000/E1141)^(252/N1141)-1)),"")</f>
        <v>#REF!</v>
      </c>
      <c r="P1141" s="219" t="e">
        <f>IF(OR(G1141=1,G1141=2),dadosexternosBMF_1!B1144,"")</f>
        <v>#REF!</v>
      </c>
      <c r="Q1141" s="219" t="e">
        <f>IF(OR(G1141=1,G1141=2),dadosexternosBMF_1!D1144,"")</f>
        <v>#REF!</v>
      </c>
    </row>
    <row r="1142" spans="1:17" x14ac:dyDescent="0.2">
      <c r="A1142" s="222" t="e">
        <f t="shared" si="120"/>
        <v>#REF!</v>
      </c>
      <c r="B1142" s="222" t="str">
        <f>IF(dadosexternosBMF_1!A1145="DI1 - DI de 1 dia","DI1 - DI de 1 dia","")</f>
        <v/>
      </c>
      <c r="C1142" s="222" t="e">
        <f>IF(dadosexternosBMF_1!A1145="DOL - Dólar comercial","",IF(C1141&lt;&gt;"",dadosexternosBMF_1!B1145,IF(dadosexternosBMF_1!A1145="DI1 - DI de 1 dia",dadosexternosBMF_1!B1145,"")))</f>
        <v>#REF!</v>
      </c>
      <c r="D1142" s="222" t="e">
        <f>IF(C1142&lt;&gt;"",dadosexternosBMF_1!C1145,"")</f>
        <v>#REF!</v>
      </c>
      <c r="E1142" s="222" t="e">
        <f>IF(C1142&lt;&gt;"",dadosexternosBMF_1!D1145,"")</f>
        <v>#REF!</v>
      </c>
      <c r="G1142" s="219" t="e">
        <f t="shared" si="121"/>
        <v>#REF!</v>
      </c>
      <c r="H1142" s="219" t="e">
        <f t="shared" si="122"/>
        <v>#REF!</v>
      </c>
      <c r="I1142" s="219" t="e">
        <f t="shared" si="123"/>
        <v>#REF!</v>
      </c>
      <c r="J1142" s="219" t="e">
        <f>IF(I1142="","",VLOOKUP(LEFT(C1142,1),dadosexternosBMF_1!$L$2:$M$13,2,FALSE))</f>
        <v>#REF!</v>
      </c>
      <c r="K1142" s="219" t="e">
        <f t="shared" si="124"/>
        <v>#REF!</v>
      </c>
      <c r="L1142" s="422" t="e">
        <f t="shared" si="125"/>
        <v>#REF!</v>
      </c>
      <c r="M1142" s="422" t="e">
        <f>IF(I1142="","",WORKDAY(L1142-1,1,FERIADOS!$A$2:$A$831))</f>
        <v>#REF!</v>
      </c>
      <c r="N1142" s="219" t="e">
        <f>IF(I1142="","",NETWORKDAYS(Curva!$M$2,M1142,FERIADOS!$A$2:$A$831)-1)</f>
        <v>#REF!</v>
      </c>
      <c r="O1142" s="423" t="e">
        <f>IF(C1142&lt;&gt;"",IF(ISERROR((100000/E1142)^(252/N1142)-1),Curva!$B$2,((100000/E1142)^(252/N1142)-1)),"")</f>
        <v>#REF!</v>
      </c>
      <c r="P1142" s="219" t="e">
        <f>IF(OR(G1142=1,G1142=2),dadosexternosBMF_1!B1145,"")</f>
        <v>#REF!</v>
      </c>
      <c r="Q1142" s="219" t="e">
        <f>IF(OR(G1142=1,G1142=2),dadosexternosBMF_1!D1145,"")</f>
        <v>#REF!</v>
      </c>
    </row>
    <row r="1143" spans="1:17" x14ac:dyDescent="0.2">
      <c r="A1143" s="222" t="e">
        <f t="shared" si="120"/>
        <v>#REF!</v>
      </c>
      <c r="B1143" s="222" t="str">
        <f>IF(dadosexternosBMF_1!A1146="DI1 - DI de 1 dia","DI1 - DI de 1 dia","")</f>
        <v/>
      </c>
      <c r="C1143" s="222" t="e">
        <f>IF(dadosexternosBMF_1!A1146="DOL - Dólar comercial","",IF(C1142&lt;&gt;"",dadosexternosBMF_1!B1146,IF(dadosexternosBMF_1!A1146="DI1 - DI de 1 dia",dadosexternosBMF_1!B1146,"")))</f>
        <v>#REF!</v>
      </c>
      <c r="D1143" s="222" t="e">
        <f>IF(C1143&lt;&gt;"",dadosexternosBMF_1!C1146,"")</f>
        <v>#REF!</v>
      </c>
      <c r="E1143" s="222" t="e">
        <f>IF(C1143&lt;&gt;"",dadosexternosBMF_1!D1146,"")</f>
        <v>#REF!</v>
      </c>
      <c r="G1143" s="219" t="e">
        <f t="shared" si="121"/>
        <v>#REF!</v>
      </c>
      <c r="H1143" s="219" t="e">
        <f t="shared" si="122"/>
        <v>#REF!</v>
      </c>
      <c r="I1143" s="219" t="e">
        <f t="shared" si="123"/>
        <v>#REF!</v>
      </c>
      <c r="J1143" s="219" t="e">
        <f>IF(I1143="","",VLOOKUP(LEFT(C1143,1),dadosexternosBMF_1!$L$2:$M$13,2,FALSE))</f>
        <v>#REF!</v>
      </c>
      <c r="K1143" s="219" t="e">
        <f t="shared" si="124"/>
        <v>#REF!</v>
      </c>
      <c r="L1143" s="422" t="e">
        <f t="shared" si="125"/>
        <v>#REF!</v>
      </c>
      <c r="M1143" s="422" t="e">
        <f>IF(I1143="","",WORKDAY(L1143-1,1,FERIADOS!$A$2:$A$831))</f>
        <v>#REF!</v>
      </c>
      <c r="N1143" s="219" t="e">
        <f>IF(I1143="","",NETWORKDAYS(Curva!$M$2,M1143,FERIADOS!$A$2:$A$831)-1)</f>
        <v>#REF!</v>
      </c>
      <c r="O1143" s="423" t="e">
        <f>IF(C1143&lt;&gt;"",IF(ISERROR((100000/E1143)^(252/N1143)-1),Curva!$B$2,((100000/E1143)^(252/N1143)-1)),"")</f>
        <v>#REF!</v>
      </c>
      <c r="P1143" s="219" t="e">
        <f>IF(OR(G1143=1,G1143=2),dadosexternosBMF_1!B1146,"")</f>
        <v>#REF!</v>
      </c>
      <c r="Q1143" s="219" t="e">
        <f>IF(OR(G1143=1,G1143=2),dadosexternosBMF_1!D1146,"")</f>
        <v>#REF!</v>
      </c>
    </row>
    <row r="1144" spans="1:17" x14ac:dyDescent="0.2">
      <c r="A1144" s="222" t="e">
        <f t="shared" si="120"/>
        <v>#REF!</v>
      </c>
      <c r="B1144" s="222" t="str">
        <f>IF(dadosexternosBMF_1!A1147="DI1 - DI de 1 dia","DI1 - DI de 1 dia","")</f>
        <v/>
      </c>
      <c r="C1144" s="222" t="e">
        <f>IF(dadosexternosBMF_1!A1147="DOL - Dólar comercial","",IF(C1143&lt;&gt;"",dadosexternosBMF_1!B1147,IF(dadosexternosBMF_1!A1147="DI1 - DI de 1 dia",dadosexternosBMF_1!B1147,"")))</f>
        <v>#REF!</v>
      </c>
      <c r="D1144" s="222" t="e">
        <f>IF(C1144&lt;&gt;"",dadosexternosBMF_1!C1147,"")</f>
        <v>#REF!</v>
      </c>
      <c r="E1144" s="222" t="e">
        <f>IF(C1144&lt;&gt;"",dadosexternosBMF_1!D1147,"")</f>
        <v>#REF!</v>
      </c>
      <c r="G1144" s="219" t="e">
        <f t="shared" si="121"/>
        <v>#REF!</v>
      </c>
      <c r="H1144" s="219" t="e">
        <f t="shared" si="122"/>
        <v>#REF!</v>
      </c>
      <c r="I1144" s="219" t="e">
        <f t="shared" si="123"/>
        <v>#REF!</v>
      </c>
      <c r="J1144" s="219" t="e">
        <f>IF(I1144="","",VLOOKUP(LEFT(C1144,1),dadosexternosBMF_1!$L$2:$M$13,2,FALSE))</f>
        <v>#REF!</v>
      </c>
      <c r="K1144" s="219" t="e">
        <f t="shared" si="124"/>
        <v>#REF!</v>
      </c>
      <c r="L1144" s="422" t="e">
        <f t="shared" si="125"/>
        <v>#REF!</v>
      </c>
      <c r="M1144" s="422" t="e">
        <f>IF(I1144="","",WORKDAY(L1144-1,1,FERIADOS!$A$2:$A$831))</f>
        <v>#REF!</v>
      </c>
      <c r="N1144" s="219" t="e">
        <f>IF(I1144="","",NETWORKDAYS(Curva!$M$2,M1144,FERIADOS!$A$2:$A$831)-1)</f>
        <v>#REF!</v>
      </c>
      <c r="O1144" s="423" t="e">
        <f>IF(C1144&lt;&gt;"",IF(ISERROR((100000/E1144)^(252/N1144)-1),Curva!$B$2,((100000/E1144)^(252/N1144)-1)),"")</f>
        <v>#REF!</v>
      </c>
      <c r="P1144" s="219" t="e">
        <f>IF(OR(G1144=1,G1144=2),dadosexternosBMF_1!B1147,"")</f>
        <v>#REF!</v>
      </c>
      <c r="Q1144" s="219" t="e">
        <f>IF(OR(G1144=1,G1144=2),dadosexternosBMF_1!D1147,"")</f>
        <v>#REF!</v>
      </c>
    </row>
    <row r="1145" spans="1:17" x14ac:dyDescent="0.2">
      <c r="A1145" s="222" t="e">
        <f t="shared" si="120"/>
        <v>#REF!</v>
      </c>
      <c r="B1145" s="222" t="str">
        <f>IF(dadosexternosBMF_1!A1148="DI1 - DI de 1 dia","DI1 - DI de 1 dia","")</f>
        <v/>
      </c>
      <c r="C1145" s="222" t="e">
        <f>IF(dadosexternosBMF_1!A1148="DOL - Dólar comercial","",IF(C1144&lt;&gt;"",dadosexternosBMF_1!B1148,IF(dadosexternosBMF_1!A1148="DI1 - DI de 1 dia",dadosexternosBMF_1!B1148,"")))</f>
        <v>#REF!</v>
      </c>
      <c r="D1145" s="222" t="e">
        <f>IF(C1145&lt;&gt;"",dadosexternosBMF_1!C1148,"")</f>
        <v>#REF!</v>
      </c>
      <c r="E1145" s="222" t="e">
        <f>IF(C1145&lt;&gt;"",dadosexternosBMF_1!D1148,"")</f>
        <v>#REF!</v>
      </c>
      <c r="G1145" s="219" t="e">
        <f t="shared" si="121"/>
        <v>#REF!</v>
      </c>
      <c r="H1145" s="219" t="e">
        <f t="shared" si="122"/>
        <v>#REF!</v>
      </c>
      <c r="I1145" s="219" t="e">
        <f t="shared" si="123"/>
        <v>#REF!</v>
      </c>
      <c r="J1145" s="219" t="e">
        <f>IF(I1145="","",VLOOKUP(LEFT(C1145,1),dadosexternosBMF_1!$L$2:$M$13,2,FALSE))</f>
        <v>#REF!</v>
      </c>
      <c r="K1145" s="219" t="e">
        <f t="shared" si="124"/>
        <v>#REF!</v>
      </c>
      <c r="L1145" s="422" t="e">
        <f t="shared" si="125"/>
        <v>#REF!</v>
      </c>
      <c r="M1145" s="422" t="e">
        <f>IF(I1145="","",WORKDAY(L1145-1,1,FERIADOS!$A$2:$A$831))</f>
        <v>#REF!</v>
      </c>
      <c r="N1145" s="219" t="e">
        <f>IF(I1145="","",NETWORKDAYS(Curva!$M$2,M1145,FERIADOS!$A$2:$A$831)-1)</f>
        <v>#REF!</v>
      </c>
      <c r="O1145" s="423" t="e">
        <f>IF(C1145&lt;&gt;"",IF(ISERROR((100000/E1145)^(252/N1145)-1),Curva!$B$2,((100000/E1145)^(252/N1145)-1)),"")</f>
        <v>#REF!</v>
      </c>
      <c r="P1145" s="219" t="e">
        <f>IF(OR(G1145=1,G1145=2),dadosexternosBMF_1!B1148,"")</f>
        <v>#REF!</v>
      </c>
      <c r="Q1145" s="219" t="e">
        <f>IF(OR(G1145=1,G1145=2),dadosexternosBMF_1!D1148,"")</f>
        <v>#REF!</v>
      </c>
    </row>
    <row r="1146" spans="1:17" x14ac:dyDescent="0.2">
      <c r="A1146" s="222" t="e">
        <f t="shared" si="120"/>
        <v>#REF!</v>
      </c>
      <c r="B1146" s="222" t="str">
        <f>IF(dadosexternosBMF_1!A1149="DI1 - DI de 1 dia","DI1 - DI de 1 dia","")</f>
        <v/>
      </c>
      <c r="C1146" s="222" t="e">
        <f>IF(dadosexternosBMF_1!A1149="DOL - Dólar comercial","",IF(C1145&lt;&gt;"",dadosexternosBMF_1!B1149,IF(dadosexternosBMF_1!A1149="DI1 - DI de 1 dia",dadosexternosBMF_1!B1149,"")))</f>
        <v>#REF!</v>
      </c>
      <c r="D1146" s="222" t="e">
        <f>IF(C1146&lt;&gt;"",dadosexternosBMF_1!C1149,"")</f>
        <v>#REF!</v>
      </c>
      <c r="E1146" s="222" t="e">
        <f>IF(C1146&lt;&gt;"",dadosexternosBMF_1!D1149,"")</f>
        <v>#REF!</v>
      </c>
      <c r="G1146" s="219" t="e">
        <f t="shared" si="121"/>
        <v>#REF!</v>
      </c>
      <c r="H1146" s="219" t="e">
        <f t="shared" si="122"/>
        <v>#REF!</v>
      </c>
      <c r="I1146" s="219" t="e">
        <f t="shared" si="123"/>
        <v>#REF!</v>
      </c>
      <c r="J1146" s="219" t="e">
        <f>IF(I1146="","",VLOOKUP(LEFT(C1146,1),dadosexternosBMF_1!$L$2:$M$13,2,FALSE))</f>
        <v>#REF!</v>
      </c>
      <c r="K1146" s="219" t="e">
        <f t="shared" si="124"/>
        <v>#REF!</v>
      </c>
      <c r="L1146" s="422" t="e">
        <f t="shared" si="125"/>
        <v>#REF!</v>
      </c>
      <c r="M1146" s="422" t="e">
        <f>IF(I1146="","",WORKDAY(L1146-1,1,FERIADOS!$A$2:$A$831))</f>
        <v>#REF!</v>
      </c>
      <c r="N1146" s="219" t="e">
        <f>IF(I1146="","",NETWORKDAYS(Curva!$M$2,M1146,FERIADOS!$A$2:$A$831)-1)</f>
        <v>#REF!</v>
      </c>
      <c r="O1146" s="423" t="e">
        <f>IF(C1146&lt;&gt;"",IF(ISERROR((100000/E1146)^(252/N1146)-1),Curva!$B$2,((100000/E1146)^(252/N1146)-1)),"")</f>
        <v>#REF!</v>
      </c>
      <c r="P1146" s="219" t="e">
        <f>IF(OR(G1146=1,G1146=2),dadosexternosBMF_1!B1149,"")</f>
        <v>#REF!</v>
      </c>
      <c r="Q1146" s="219" t="e">
        <f>IF(OR(G1146=1,G1146=2),dadosexternosBMF_1!D1149,"")</f>
        <v>#REF!</v>
      </c>
    </row>
    <row r="1147" spans="1:17" x14ac:dyDescent="0.2">
      <c r="A1147" s="222" t="e">
        <f t="shared" si="120"/>
        <v>#REF!</v>
      </c>
      <c r="B1147" s="222" t="str">
        <f>IF(dadosexternosBMF_1!A1150="DI1 - DI de 1 dia","DI1 - DI de 1 dia","")</f>
        <v/>
      </c>
      <c r="C1147" s="222" t="e">
        <f>IF(dadosexternosBMF_1!A1150="DOL - Dólar comercial","",IF(C1146&lt;&gt;"",dadosexternosBMF_1!B1150,IF(dadosexternosBMF_1!A1150="DI1 - DI de 1 dia",dadosexternosBMF_1!B1150,"")))</f>
        <v>#REF!</v>
      </c>
      <c r="D1147" s="222" t="e">
        <f>IF(C1147&lt;&gt;"",dadosexternosBMF_1!C1150,"")</f>
        <v>#REF!</v>
      </c>
      <c r="E1147" s="222" t="e">
        <f>IF(C1147&lt;&gt;"",dadosexternosBMF_1!D1150,"")</f>
        <v>#REF!</v>
      </c>
      <c r="G1147" s="219" t="e">
        <f t="shared" si="121"/>
        <v>#REF!</v>
      </c>
      <c r="H1147" s="219" t="e">
        <f t="shared" si="122"/>
        <v>#REF!</v>
      </c>
      <c r="I1147" s="219" t="e">
        <f t="shared" si="123"/>
        <v>#REF!</v>
      </c>
      <c r="J1147" s="219" t="e">
        <f>IF(I1147="","",VLOOKUP(LEFT(C1147,1),dadosexternosBMF_1!$L$2:$M$13,2,FALSE))</f>
        <v>#REF!</v>
      </c>
      <c r="K1147" s="219" t="e">
        <f t="shared" si="124"/>
        <v>#REF!</v>
      </c>
      <c r="L1147" s="422" t="e">
        <f t="shared" si="125"/>
        <v>#REF!</v>
      </c>
      <c r="M1147" s="422" t="e">
        <f>IF(I1147="","",WORKDAY(L1147-1,1,FERIADOS!$A$2:$A$831))</f>
        <v>#REF!</v>
      </c>
      <c r="N1147" s="219" t="e">
        <f>IF(I1147="","",NETWORKDAYS(Curva!$M$2,M1147,FERIADOS!$A$2:$A$831)-1)</f>
        <v>#REF!</v>
      </c>
      <c r="O1147" s="423" t="e">
        <f>IF(C1147&lt;&gt;"",IF(ISERROR((100000/E1147)^(252/N1147)-1),Curva!$B$2,((100000/E1147)^(252/N1147)-1)),"")</f>
        <v>#REF!</v>
      </c>
      <c r="P1147" s="219" t="e">
        <f>IF(OR(G1147=1,G1147=2),dadosexternosBMF_1!B1150,"")</f>
        <v>#REF!</v>
      </c>
      <c r="Q1147" s="219" t="e">
        <f>IF(OR(G1147=1,G1147=2),dadosexternosBMF_1!D1150,"")</f>
        <v>#REF!</v>
      </c>
    </row>
    <row r="1148" spans="1:17" x14ac:dyDescent="0.2">
      <c r="A1148" s="222" t="e">
        <f t="shared" si="120"/>
        <v>#REF!</v>
      </c>
      <c r="B1148" s="222" t="str">
        <f>IF(dadosexternosBMF_1!A1151="DI1 - DI de 1 dia","DI1 - DI de 1 dia","")</f>
        <v/>
      </c>
      <c r="C1148" s="222" t="e">
        <f>IF(dadosexternosBMF_1!A1151="DOL - Dólar comercial","",IF(C1147&lt;&gt;"",dadosexternosBMF_1!B1151,IF(dadosexternosBMF_1!A1151="DI1 - DI de 1 dia",dadosexternosBMF_1!B1151,"")))</f>
        <v>#REF!</v>
      </c>
      <c r="D1148" s="222" t="e">
        <f>IF(C1148&lt;&gt;"",dadosexternosBMF_1!C1151,"")</f>
        <v>#REF!</v>
      </c>
      <c r="E1148" s="222" t="e">
        <f>IF(C1148&lt;&gt;"",dadosexternosBMF_1!D1151,"")</f>
        <v>#REF!</v>
      </c>
      <c r="G1148" s="219" t="e">
        <f t="shared" si="121"/>
        <v>#REF!</v>
      </c>
      <c r="H1148" s="219" t="e">
        <f t="shared" si="122"/>
        <v>#REF!</v>
      </c>
      <c r="I1148" s="219" t="e">
        <f t="shared" si="123"/>
        <v>#REF!</v>
      </c>
      <c r="J1148" s="219" t="e">
        <f>IF(I1148="","",VLOOKUP(LEFT(C1148,1),dadosexternosBMF_1!$L$2:$M$13,2,FALSE))</f>
        <v>#REF!</v>
      </c>
      <c r="K1148" s="219" t="e">
        <f t="shared" si="124"/>
        <v>#REF!</v>
      </c>
      <c r="L1148" s="422" t="e">
        <f t="shared" si="125"/>
        <v>#REF!</v>
      </c>
      <c r="M1148" s="422" t="e">
        <f>IF(I1148="","",WORKDAY(L1148-1,1,FERIADOS!$A$2:$A$831))</f>
        <v>#REF!</v>
      </c>
      <c r="N1148" s="219" t="e">
        <f>IF(I1148="","",NETWORKDAYS(Curva!$M$2,M1148,FERIADOS!$A$2:$A$831)-1)</f>
        <v>#REF!</v>
      </c>
      <c r="O1148" s="423" t="e">
        <f>IF(C1148&lt;&gt;"",IF(ISERROR((100000/E1148)^(252/N1148)-1),Curva!$B$2,((100000/E1148)^(252/N1148)-1)),"")</f>
        <v>#REF!</v>
      </c>
      <c r="P1148" s="219" t="e">
        <f>IF(OR(G1148=1,G1148=2),dadosexternosBMF_1!B1151,"")</f>
        <v>#REF!</v>
      </c>
      <c r="Q1148" s="219" t="e">
        <f>IF(OR(G1148=1,G1148=2),dadosexternosBMF_1!D1151,"")</f>
        <v>#REF!</v>
      </c>
    </row>
    <row r="1149" spans="1:17" x14ac:dyDescent="0.2">
      <c r="A1149" s="222" t="e">
        <f t="shared" si="120"/>
        <v>#REF!</v>
      </c>
      <c r="B1149" s="222" t="str">
        <f>IF(dadosexternosBMF_1!A1152="DI1 - DI de 1 dia","DI1 - DI de 1 dia","")</f>
        <v/>
      </c>
      <c r="C1149" s="222" t="e">
        <f>IF(dadosexternosBMF_1!A1152="DOL - Dólar comercial","",IF(C1148&lt;&gt;"",dadosexternosBMF_1!B1152,IF(dadosexternosBMF_1!A1152="DI1 - DI de 1 dia",dadosexternosBMF_1!B1152,"")))</f>
        <v>#REF!</v>
      </c>
      <c r="D1149" s="222" t="e">
        <f>IF(C1149&lt;&gt;"",dadosexternosBMF_1!C1152,"")</f>
        <v>#REF!</v>
      </c>
      <c r="E1149" s="222" t="e">
        <f>IF(C1149&lt;&gt;"",dadosexternosBMF_1!D1152,"")</f>
        <v>#REF!</v>
      </c>
      <c r="G1149" s="219" t="e">
        <f t="shared" si="121"/>
        <v>#REF!</v>
      </c>
      <c r="H1149" s="219" t="e">
        <f t="shared" si="122"/>
        <v>#REF!</v>
      </c>
      <c r="I1149" s="219" t="e">
        <f t="shared" si="123"/>
        <v>#REF!</v>
      </c>
      <c r="J1149" s="219" t="e">
        <f>IF(I1149="","",VLOOKUP(LEFT(C1149,1),dadosexternosBMF_1!$L$2:$M$13,2,FALSE))</f>
        <v>#REF!</v>
      </c>
      <c r="K1149" s="219" t="e">
        <f t="shared" si="124"/>
        <v>#REF!</v>
      </c>
      <c r="L1149" s="422" t="e">
        <f t="shared" si="125"/>
        <v>#REF!</v>
      </c>
      <c r="M1149" s="422" t="e">
        <f>IF(I1149="","",WORKDAY(L1149-1,1,FERIADOS!$A$2:$A$831))</f>
        <v>#REF!</v>
      </c>
      <c r="N1149" s="219" t="e">
        <f>IF(I1149="","",NETWORKDAYS(Curva!$M$2,M1149,FERIADOS!$A$2:$A$831)-1)</f>
        <v>#REF!</v>
      </c>
      <c r="O1149" s="423" t="e">
        <f>IF(C1149&lt;&gt;"",IF(ISERROR((100000/E1149)^(252/N1149)-1),Curva!$B$2,((100000/E1149)^(252/N1149)-1)),"")</f>
        <v>#REF!</v>
      </c>
      <c r="P1149" s="219" t="e">
        <f>IF(OR(G1149=1,G1149=2),dadosexternosBMF_1!B1152,"")</f>
        <v>#REF!</v>
      </c>
      <c r="Q1149" s="219" t="e">
        <f>IF(OR(G1149=1,G1149=2),dadosexternosBMF_1!D1152,"")</f>
        <v>#REF!</v>
      </c>
    </row>
    <row r="1150" spans="1:17" x14ac:dyDescent="0.2">
      <c r="A1150" s="222" t="e">
        <f t="shared" si="120"/>
        <v>#REF!</v>
      </c>
      <c r="B1150" s="222" t="str">
        <f>IF(dadosexternosBMF_1!A1153="DI1 - DI de 1 dia","DI1 - DI de 1 dia","")</f>
        <v/>
      </c>
      <c r="C1150" s="222" t="e">
        <f>IF(dadosexternosBMF_1!A1153="DOL - Dólar comercial","",IF(C1149&lt;&gt;"",dadosexternosBMF_1!B1153,IF(dadosexternosBMF_1!A1153="DI1 - DI de 1 dia",dadosexternosBMF_1!B1153,"")))</f>
        <v>#REF!</v>
      </c>
      <c r="D1150" s="222" t="e">
        <f>IF(C1150&lt;&gt;"",dadosexternosBMF_1!C1153,"")</f>
        <v>#REF!</v>
      </c>
      <c r="E1150" s="222" t="e">
        <f>IF(C1150&lt;&gt;"",dadosexternosBMF_1!D1153,"")</f>
        <v>#REF!</v>
      </c>
      <c r="G1150" s="219" t="e">
        <f t="shared" si="121"/>
        <v>#REF!</v>
      </c>
      <c r="H1150" s="219" t="e">
        <f t="shared" si="122"/>
        <v>#REF!</v>
      </c>
      <c r="I1150" s="219" t="e">
        <f t="shared" si="123"/>
        <v>#REF!</v>
      </c>
      <c r="J1150" s="219" t="e">
        <f>IF(I1150="","",VLOOKUP(LEFT(C1150,1),dadosexternosBMF_1!$L$2:$M$13,2,FALSE))</f>
        <v>#REF!</v>
      </c>
      <c r="K1150" s="219" t="e">
        <f t="shared" si="124"/>
        <v>#REF!</v>
      </c>
      <c r="L1150" s="422" t="e">
        <f t="shared" si="125"/>
        <v>#REF!</v>
      </c>
      <c r="M1150" s="422" t="e">
        <f>IF(I1150="","",WORKDAY(L1150-1,1,FERIADOS!$A$2:$A$831))</f>
        <v>#REF!</v>
      </c>
      <c r="N1150" s="219" t="e">
        <f>IF(I1150="","",NETWORKDAYS(Curva!$M$2,M1150,FERIADOS!$A$2:$A$831)-1)</f>
        <v>#REF!</v>
      </c>
      <c r="O1150" s="423" t="e">
        <f>IF(C1150&lt;&gt;"",IF(ISERROR((100000/E1150)^(252/N1150)-1),Curva!$B$2,((100000/E1150)^(252/N1150)-1)),"")</f>
        <v>#REF!</v>
      </c>
      <c r="P1150" s="219" t="e">
        <f>IF(OR(G1150=1,G1150=2),dadosexternosBMF_1!B1153,"")</f>
        <v>#REF!</v>
      </c>
      <c r="Q1150" s="219" t="e">
        <f>IF(OR(G1150=1,G1150=2),dadosexternosBMF_1!D1153,"")</f>
        <v>#REF!</v>
      </c>
    </row>
    <row r="1151" spans="1:17" x14ac:dyDescent="0.2">
      <c r="A1151" s="222" t="e">
        <f t="shared" si="120"/>
        <v>#REF!</v>
      </c>
      <c r="B1151" s="222" t="str">
        <f>IF(dadosexternosBMF_1!A1154="DI1 - DI de 1 dia","DI1 - DI de 1 dia","")</f>
        <v/>
      </c>
      <c r="C1151" s="222" t="e">
        <f>IF(dadosexternosBMF_1!A1154="DOL - Dólar comercial","",IF(C1150&lt;&gt;"",dadosexternosBMF_1!B1154,IF(dadosexternosBMF_1!A1154="DI1 - DI de 1 dia",dadosexternosBMF_1!B1154,"")))</f>
        <v>#REF!</v>
      </c>
      <c r="D1151" s="222" t="e">
        <f>IF(C1151&lt;&gt;"",dadosexternosBMF_1!C1154,"")</f>
        <v>#REF!</v>
      </c>
      <c r="E1151" s="222" t="e">
        <f>IF(C1151&lt;&gt;"",dadosexternosBMF_1!D1154,"")</f>
        <v>#REF!</v>
      </c>
      <c r="G1151" s="219" t="e">
        <f t="shared" si="121"/>
        <v>#REF!</v>
      </c>
      <c r="H1151" s="219" t="e">
        <f t="shared" si="122"/>
        <v>#REF!</v>
      </c>
      <c r="I1151" s="219" t="e">
        <f t="shared" si="123"/>
        <v>#REF!</v>
      </c>
      <c r="J1151" s="219" t="e">
        <f>IF(I1151="","",VLOOKUP(LEFT(C1151,1),dadosexternosBMF_1!$L$2:$M$13,2,FALSE))</f>
        <v>#REF!</v>
      </c>
      <c r="K1151" s="219" t="e">
        <f t="shared" si="124"/>
        <v>#REF!</v>
      </c>
      <c r="L1151" s="422" t="e">
        <f t="shared" si="125"/>
        <v>#REF!</v>
      </c>
      <c r="M1151" s="422" t="e">
        <f>IF(I1151="","",WORKDAY(L1151-1,1,FERIADOS!$A$2:$A$831))</f>
        <v>#REF!</v>
      </c>
      <c r="N1151" s="219" t="e">
        <f>IF(I1151="","",NETWORKDAYS(Curva!$M$2,M1151,FERIADOS!$A$2:$A$831)-1)</f>
        <v>#REF!</v>
      </c>
      <c r="O1151" s="423" t="e">
        <f>IF(C1151&lt;&gt;"",IF(ISERROR((100000/E1151)^(252/N1151)-1),Curva!$B$2,((100000/E1151)^(252/N1151)-1)),"")</f>
        <v>#REF!</v>
      </c>
      <c r="P1151" s="219" t="e">
        <f>IF(OR(G1151=1,G1151=2),dadosexternosBMF_1!B1154,"")</f>
        <v>#REF!</v>
      </c>
      <c r="Q1151" s="219" t="e">
        <f>IF(OR(G1151=1,G1151=2),dadosexternosBMF_1!D1154,"")</f>
        <v>#REF!</v>
      </c>
    </row>
    <row r="1152" spans="1:17" x14ac:dyDescent="0.2">
      <c r="A1152" s="222" t="e">
        <f t="shared" si="120"/>
        <v>#REF!</v>
      </c>
      <c r="B1152" s="222" t="str">
        <f>IF(dadosexternosBMF_1!A1155="DI1 - DI de 1 dia","DI1 - DI de 1 dia","")</f>
        <v/>
      </c>
      <c r="C1152" s="222" t="e">
        <f>IF(dadosexternosBMF_1!A1155="DOL - Dólar comercial","",IF(C1151&lt;&gt;"",dadosexternosBMF_1!B1155,IF(dadosexternosBMF_1!A1155="DI1 - DI de 1 dia",dadosexternosBMF_1!B1155,"")))</f>
        <v>#REF!</v>
      </c>
      <c r="D1152" s="222" t="e">
        <f>IF(C1152&lt;&gt;"",dadosexternosBMF_1!C1155,"")</f>
        <v>#REF!</v>
      </c>
      <c r="E1152" s="222" t="e">
        <f>IF(C1152&lt;&gt;"",dadosexternosBMF_1!D1155,"")</f>
        <v>#REF!</v>
      </c>
      <c r="G1152" s="219" t="e">
        <f t="shared" si="121"/>
        <v>#REF!</v>
      </c>
      <c r="H1152" s="219" t="e">
        <f t="shared" si="122"/>
        <v>#REF!</v>
      </c>
      <c r="I1152" s="219" t="e">
        <f t="shared" si="123"/>
        <v>#REF!</v>
      </c>
      <c r="J1152" s="219" t="e">
        <f>IF(I1152="","",VLOOKUP(LEFT(C1152,1),dadosexternosBMF_1!$L$2:$M$13,2,FALSE))</f>
        <v>#REF!</v>
      </c>
      <c r="K1152" s="219" t="e">
        <f t="shared" si="124"/>
        <v>#REF!</v>
      </c>
      <c r="L1152" s="422" t="e">
        <f t="shared" si="125"/>
        <v>#REF!</v>
      </c>
      <c r="M1152" s="422" t="e">
        <f>IF(I1152="","",WORKDAY(L1152-1,1,FERIADOS!$A$2:$A$831))</f>
        <v>#REF!</v>
      </c>
      <c r="N1152" s="219" t="e">
        <f>IF(I1152="","",NETWORKDAYS(Curva!$M$2,M1152,FERIADOS!$A$2:$A$831)-1)</f>
        <v>#REF!</v>
      </c>
      <c r="O1152" s="423" t="e">
        <f>IF(C1152&lt;&gt;"",IF(ISERROR((100000/E1152)^(252/N1152)-1),Curva!$B$2,((100000/E1152)^(252/N1152)-1)),"")</f>
        <v>#REF!</v>
      </c>
      <c r="P1152" s="219" t="e">
        <f>IF(OR(G1152=1,G1152=2),dadosexternosBMF_1!B1155,"")</f>
        <v>#REF!</v>
      </c>
      <c r="Q1152" s="219" t="e">
        <f>IF(OR(G1152=1,G1152=2),dadosexternosBMF_1!D1155,"")</f>
        <v>#REF!</v>
      </c>
    </row>
    <row r="1153" spans="1:17" x14ac:dyDescent="0.2">
      <c r="A1153" s="222" t="e">
        <f t="shared" si="120"/>
        <v>#REF!</v>
      </c>
      <c r="B1153" s="222" t="str">
        <f>IF(dadosexternosBMF_1!A1156="DI1 - DI de 1 dia","DI1 - DI de 1 dia","")</f>
        <v/>
      </c>
      <c r="C1153" s="222" t="e">
        <f>IF(dadosexternosBMF_1!A1156="DOL - Dólar comercial","",IF(C1152&lt;&gt;"",dadosexternosBMF_1!B1156,IF(dadosexternosBMF_1!A1156="DI1 - DI de 1 dia",dadosexternosBMF_1!B1156,"")))</f>
        <v>#REF!</v>
      </c>
      <c r="D1153" s="222" t="e">
        <f>IF(C1153&lt;&gt;"",dadosexternosBMF_1!C1156,"")</f>
        <v>#REF!</v>
      </c>
      <c r="E1153" s="222" t="e">
        <f>IF(C1153&lt;&gt;"",dadosexternosBMF_1!D1156,"")</f>
        <v>#REF!</v>
      </c>
      <c r="G1153" s="219" t="e">
        <f t="shared" si="121"/>
        <v>#REF!</v>
      </c>
      <c r="H1153" s="219" t="e">
        <f t="shared" si="122"/>
        <v>#REF!</v>
      </c>
      <c r="I1153" s="219" t="e">
        <f t="shared" si="123"/>
        <v>#REF!</v>
      </c>
      <c r="J1153" s="219" t="e">
        <f>IF(I1153="","",VLOOKUP(LEFT(C1153,1),dadosexternosBMF_1!$L$2:$M$13,2,FALSE))</f>
        <v>#REF!</v>
      </c>
      <c r="K1153" s="219" t="e">
        <f t="shared" si="124"/>
        <v>#REF!</v>
      </c>
      <c r="L1153" s="422" t="e">
        <f t="shared" si="125"/>
        <v>#REF!</v>
      </c>
      <c r="M1153" s="422" t="e">
        <f>IF(I1153="","",WORKDAY(L1153-1,1,FERIADOS!$A$2:$A$831))</f>
        <v>#REF!</v>
      </c>
      <c r="N1153" s="219" t="e">
        <f>IF(I1153="","",NETWORKDAYS(Curva!$M$2,M1153,FERIADOS!$A$2:$A$831)-1)</f>
        <v>#REF!</v>
      </c>
      <c r="O1153" s="423" t="e">
        <f>IF(C1153&lt;&gt;"",IF(ISERROR((100000/E1153)^(252/N1153)-1),Curva!$B$2,((100000/E1153)^(252/N1153)-1)),"")</f>
        <v>#REF!</v>
      </c>
      <c r="P1153" s="219" t="e">
        <f>IF(OR(G1153=1,G1153=2),dadosexternosBMF_1!B1156,"")</f>
        <v>#REF!</v>
      </c>
      <c r="Q1153" s="219" t="e">
        <f>IF(OR(G1153=1,G1153=2),dadosexternosBMF_1!D1156,"")</f>
        <v>#REF!</v>
      </c>
    </row>
    <row r="1154" spans="1:17" x14ac:dyDescent="0.2">
      <c r="A1154" s="222" t="e">
        <f t="shared" si="120"/>
        <v>#REF!</v>
      </c>
      <c r="B1154" s="222" t="str">
        <f>IF(dadosexternosBMF_1!A1157="DI1 - DI de 1 dia","DI1 - DI de 1 dia","")</f>
        <v/>
      </c>
      <c r="C1154" s="222" t="e">
        <f>IF(dadosexternosBMF_1!A1157="DOL - Dólar comercial","",IF(C1153&lt;&gt;"",dadosexternosBMF_1!B1157,IF(dadosexternosBMF_1!A1157="DI1 - DI de 1 dia",dadosexternosBMF_1!B1157,"")))</f>
        <v>#REF!</v>
      </c>
      <c r="D1154" s="222" t="e">
        <f>IF(C1154&lt;&gt;"",dadosexternosBMF_1!C1157,"")</f>
        <v>#REF!</v>
      </c>
      <c r="E1154" s="222" t="e">
        <f>IF(C1154&lt;&gt;"",dadosexternosBMF_1!D1157,"")</f>
        <v>#REF!</v>
      </c>
      <c r="G1154" s="219" t="e">
        <f t="shared" si="121"/>
        <v>#REF!</v>
      </c>
      <c r="H1154" s="219" t="e">
        <f t="shared" si="122"/>
        <v>#REF!</v>
      </c>
      <c r="I1154" s="219" t="e">
        <f t="shared" si="123"/>
        <v>#REF!</v>
      </c>
      <c r="J1154" s="219" t="e">
        <f>IF(I1154="","",VLOOKUP(LEFT(C1154,1),dadosexternosBMF_1!$L$2:$M$13,2,FALSE))</f>
        <v>#REF!</v>
      </c>
      <c r="K1154" s="219" t="e">
        <f t="shared" si="124"/>
        <v>#REF!</v>
      </c>
      <c r="L1154" s="422" t="e">
        <f t="shared" si="125"/>
        <v>#REF!</v>
      </c>
      <c r="M1154" s="422" t="e">
        <f>IF(I1154="","",WORKDAY(L1154-1,1,FERIADOS!$A$2:$A$831))</f>
        <v>#REF!</v>
      </c>
      <c r="N1154" s="219" t="e">
        <f>IF(I1154="","",NETWORKDAYS(Curva!$M$2,M1154,FERIADOS!$A$2:$A$831)-1)</f>
        <v>#REF!</v>
      </c>
      <c r="O1154" s="423" t="e">
        <f>IF(C1154&lt;&gt;"",IF(ISERROR((100000/E1154)^(252/N1154)-1),Curva!$B$2,((100000/E1154)^(252/N1154)-1)),"")</f>
        <v>#REF!</v>
      </c>
      <c r="P1154" s="219" t="e">
        <f>IF(OR(G1154=1,G1154=2),dadosexternosBMF_1!B1157,"")</f>
        <v>#REF!</v>
      </c>
      <c r="Q1154" s="219" t="e">
        <f>IF(OR(G1154=1,G1154=2),dadosexternosBMF_1!D1157,"")</f>
        <v>#REF!</v>
      </c>
    </row>
    <row r="1155" spans="1:17" x14ac:dyDescent="0.2">
      <c r="A1155" s="222" t="e">
        <f t="shared" si="120"/>
        <v>#REF!</v>
      </c>
      <c r="B1155" s="222" t="str">
        <f>IF(dadosexternosBMF_1!A1158="DI1 - DI de 1 dia","DI1 - DI de 1 dia","")</f>
        <v/>
      </c>
      <c r="C1155" s="222" t="e">
        <f>IF(dadosexternosBMF_1!A1158="DOL - Dólar comercial","",IF(C1154&lt;&gt;"",dadosexternosBMF_1!B1158,IF(dadosexternosBMF_1!A1158="DI1 - DI de 1 dia",dadosexternosBMF_1!B1158,"")))</f>
        <v>#REF!</v>
      </c>
      <c r="D1155" s="222" t="e">
        <f>IF(C1155&lt;&gt;"",dadosexternosBMF_1!C1158,"")</f>
        <v>#REF!</v>
      </c>
      <c r="E1155" s="222" t="e">
        <f>IF(C1155&lt;&gt;"",dadosexternosBMF_1!D1158,"")</f>
        <v>#REF!</v>
      </c>
      <c r="G1155" s="219" t="e">
        <f t="shared" si="121"/>
        <v>#REF!</v>
      </c>
      <c r="H1155" s="219" t="e">
        <f t="shared" si="122"/>
        <v>#REF!</v>
      </c>
      <c r="I1155" s="219" t="e">
        <f t="shared" si="123"/>
        <v>#REF!</v>
      </c>
      <c r="J1155" s="219" t="e">
        <f>IF(I1155="","",VLOOKUP(LEFT(C1155,1),dadosexternosBMF_1!$L$2:$M$13,2,FALSE))</f>
        <v>#REF!</v>
      </c>
      <c r="K1155" s="219" t="e">
        <f t="shared" si="124"/>
        <v>#REF!</v>
      </c>
      <c r="L1155" s="422" t="e">
        <f t="shared" si="125"/>
        <v>#REF!</v>
      </c>
      <c r="M1155" s="422" t="e">
        <f>IF(I1155="","",WORKDAY(L1155-1,1,FERIADOS!$A$2:$A$831))</f>
        <v>#REF!</v>
      </c>
      <c r="N1155" s="219" t="e">
        <f>IF(I1155="","",NETWORKDAYS(Curva!$M$2,M1155,FERIADOS!$A$2:$A$831)-1)</f>
        <v>#REF!</v>
      </c>
      <c r="O1155" s="423" t="e">
        <f>IF(C1155&lt;&gt;"",IF(ISERROR((100000/E1155)^(252/N1155)-1),Curva!$B$2,((100000/E1155)^(252/N1155)-1)),"")</f>
        <v>#REF!</v>
      </c>
      <c r="P1155" s="219" t="e">
        <f>IF(OR(G1155=1,G1155=2),dadosexternosBMF_1!B1158,"")</f>
        <v>#REF!</v>
      </c>
      <c r="Q1155" s="219" t="e">
        <f>IF(OR(G1155=1,G1155=2),dadosexternosBMF_1!D1158,"")</f>
        <v>#REF!</v>
      </c>
    </row>
    <row r="1156" spans="1:17" x14ac:dyDescent="0.2">
      <c r="A1156" s="222" t="e">
        <f t="shared" si="120"/>
        <v>#REF!</v>
      </c>
      <c r="B1156" s="222" t="str">
        <f>IF(dadosexternosBMF_1!A1159="DI1 - DI de 1 dia","DI1 - DI de 1 dia","")</f>
        <v/>
      </c>
      <c r="C1156" s="222" t="e">
        <f>IF(dadosexternosBMF_1!A1159="DOL - Dólar comercial","",IF(C1155&lt;&gt;"",dadosexternosBMF_1!B1159,IF(dadosexternosBMF_1!A1159="DI1 - DI de 1 dia",dadosexternosBMF_1!B1159,"")))</f>
        <v>#REF!</v>
      </c>
      <c r="D1156" s="222" t="e">
        <f>IF(C1156&lt;&gt;"",dadosexternosBMF_1!C1159,"")</f>
        <v>#REF!</v>
      </c>
      <c r="E1156" s="222" t="e">
        <f>IF(C1156&lt;&gt;"",dadosexternosBMF_1!D1159,"")</f>
        <v>#REF!</v>
      </c>
      <c r="G1156" s="219" t="e">
        <f t="shared" si="121"/>
        <v>#REF!</v>
      </c>
      <c r="H1156" s="219" t="e">
        <f t="shared" si="122"/>
        <v>#REF!</v>
      </c>
      <c r="I1156" s="219" t="e">
        <f t="shared" si="123"/>
        <v>#REF!</v>
      </c>
      <c r="J1156" s="219" t="e">
        <f>IF(I1156="","",VLOOKUP(LEFT(C1156,1),dadosexternosBMF_1!$L$2:$M$13,2,FALSE))</f>
        <v>#REF!</v>
      </c>
      <c r="K1156" s="219" t="e">
        <f t="shared" si="124"/>
        <v>#REF!</v>
      </c>
      <c r="L1156" s="422" t="e">
        <f t="shared" si="125"/>
        <v>#REF!</v>
      </c>
      <c r="M1156" s="422" t="e">
        <f>IF(I1156="","",WORKDAY(L1156-1,1,FERIADOS!$A$2:$A$831))</f>
        <v>#REF!</v>
      </c>
      <c r="N1156" s="219" t="e">
        <f>IF(I1156="","",NETWORKDAYS(Curva!$M$2,M1156,FERIADOS!$A$2:$A$831)-1)</f>
        <v>#REF!</v>
      </c>
      <c r="O1156" s="423" t="e">
        <f>IF(C1156&lt;&gt;"",IF(ISERROR((100000/E1156)^(252/N1156)-1),Curva!$B$2,((100000/E1156)^(252/N1156)-1)),"")</f>
        <v>#REF!</v>
      </c>
      <c r="P1156" s="219" t="e">
        <f>IF(OR(G1156=1,G1156=2),dadosexternosBMF_1!B1159,"")</f>
        <v>#REF!</v>
      </c>
      <c r="Q1156" s="219" t="e">
        <f>IF(OR(G1156=1,G1156=2),dadosexternosBMF_1!D1159,"")</f>
        <v>#REF!</v>
      </c>
    </row>
    <row r="1157" spans="1:17" x14ac:dyDescent="0.2">
      <c r="A1157" s="222" t="e">
        <f t="shared" si="120"/>
        <v>#REF!</v>
      </c>
      <c r="B1157" s="222" t="str">
        <f>IF(dadosexternosBMF_1!A1160="DI1 - DI de 1 dia","DI1 - DI de 1 dia","")</f>
        <v/>
      </c>
      <c r="C1157" s="222" t="e">
        <f>IF(dadosexternosBMF_1!A1160="DOL - Dólar comercial","",IF(C1156&lt;&gt;"",dadosexternosBMF_1!B1160,IF(dadosexternosBMF_1!A1160="DI1 - DI de 1 dia",dadosexternosBMF_1!B1160,"")))</f>
        <v>#REF!</v>
      </c>
      <c r="D1157" s="222" t="e">
        <f>IF(C1157&lt;&gt;"",dadosexternosBMF_1!C1160,"")</f>
        <v>#REF!</v>
      </c>
      <c r="E1157" s="222" t="e">
        <f>IF(C1157&lt;&gt;"",dadosexternosBMF_1!D1160,"")</f>
        <v>#REF!</v>
      </c>
      <c r="G1157" s="219" t="e">
        <f t="shared" si="121"/>
        <v>#REF!</v>
      </c>
      <c r="H1157" s="219" t="e">
        <f t="shared" si="122"/>
        <v>#REF!</v>
      </c>
      <c r="I1157" s="219" t="e">
        <f t="shared" si="123"/>
        <v>#REF!</v>
      </c>
      <c r="J1157" s="219" t="e">
        <f>IF(I1157="","",VLOOKUP(LEFT(C1157,1),dadosexternosBMF_1!$L$2:$M$13,2,FALSE))</f>
        <v>#REF!</v>
      </c>
      <c r="K1157" s="219" t="e">
        <f t="shared" si="124"/>
        <v>#REF!</v>
      </c>
      <c r="L1157" s="422" t="e">
        <f t="shared" si="125"/>
        <v>#REF!</v>
      </c>
      <c r="M1157" s="422" t="e">
        <f>IF(I1157="","",WORKDAY(L1157-1,1,FERIADOS!$A$2:$A$831))</f>
        <v>#REF!</v>
      </c>
      <c r="N1157" s="219" t="e">
        <f>IF(I1157="","",NETWORKDAYS(Curva!$M$2,M1157,FERIADOS!$A$2:$A$831)-1)</f>
        <v>#REF!</v>
      </c>
      <c r="O1157" s="423" t="e">
        <f>IF(C1157&lt;&gt;"",IF(ISERROR((100000/E1157)^(252/N1157)-1),Curva!$B$2,((100000/E1157)^(252/N1157)-1)),"")</f>
        <v>#REF!</v>
      </c>
      <c r="P1157" s="219" t="e">
        <f>IF(OR(G1157=1,G1157=2),dadosexternosBMF_1!B1160,"")</f>
        <v>#REF!</v>
      </c>
      <c r="Q1157" s="219" t="e">
        <f>IF(OR(G1157=1,G1157=2),dadosexternosBMF_1!D1160,"")</f>
        <v>#REF!</v>
      </c>
    </row>
    <row r="1158" spans="1:17" x14ac:dyDescent="0.2">
      <c r="A1158" s="222" t="e">
        <f t="shared" si="120"/>
        <v>#REF!</v>
      </c>
      <c r="B1158" s="222" t="str">
        <f>IF(dadosexternosBMF_1!A1161="DI1 - DI de 1 dia","DI1 - DI de 1 dia","")</f>
        <v/>
      </c>
      <c r="C1158" s="222" t="e">
        <f>IF(dadosexternosBMF_1!A1161="DOL - Dólar comercial","",IF(C1157&lt;&gt;"",dadosexternosBMF_1!B1161,IF(dadosexternosBMF_1!A1161="DI1 - DI de 1 dia",dadosexternosBMF_1!B1161,"")))</f>
        <v>#REF!</v>
      </c>
      <c r="D1158" s="222" t="e">
        <f>IF(C1158&lt;&gt;"",dadosexternosBMF_1!C1161,"")</f>
        <v>#REF!</v>
      </c>
      <c r="E1158" s="222" t="e">
        <f>IF(C1158&lt;&gt;"",dadosexternosBMF_1!D1161,"")</f>
        <v>#REF!</v>
      </c>
      <c r="G1158" s="219" t="e">
        <f t="shared" si="121"/>
        <v>#REF!</v>
      </c>
      <c r="H1158" s="219" t="e">
        <f t="shared" si="122"/>
        <v>#REF!</v>
      </c>
      <c r="I1158" s="219" t="e">
        <f t="shared" si="123"/>
        <v>#REF!</v>
      </c>
      <c r="J1158" s="219" t="e">
        <f>IF(I1158="","",VLOOKUP(LEFT(C1158,1),dadosexternosBMF_1!$L$2:$M$13,2,FALSE))</f>
        <v>#REF!</v>
      </c>
      <c r="K1158" s="219" t="e">
        <f t="shared" si="124"/>
        <v>#REF!</v>
      </c>
      <c r="L1158" s="422" t="e">
        <f t="shared" si="125"/>
        <v>#REF!</v>
      </c>
      <c r="M1158" s="422" t="e">
        <f>IF(I1158="","",WORKDAY(L1158-1,1,FERIADOS!$A$2:$A$831))</f>
        <v>#REF!</v>
      </c>
      <c r="N1158" s="219" t="e">
        <f>IF(I1158="","",NETWORKDAYS(Curva!$M$2,M1158,FERIADOS!$A$2:$A$831)-1)</f>
        <v>#REF!</v>
      </c>
      <c r="O1158" s="423" t="e">
        <f>IF(C1158&lt;&gt;"",IF(ISERROR((100000/E1158)^(252/N1158)-1),Curva!$B$2,((100000/E1158)^(252/N1158)-1)),"")</f>
        <v>#REF!</v>
      </c>
      <c r="P1158" s="219" t="e">
        <f>IF(OR(G1158=1,G1158=2),dadosexternosBMF_1!B1161,"")</f>
        <v>#REF!</v>
      </c>
      <c r="Q1158" s="219" t="e">
        <f>IF(OR(G1158=1,G1158=2),dadosexternosBMF_1!D1161,"")</f>
        <v>#REF!</v>
      </c>
    </row>
    <row r="1159" spans="1:17" x14ac:dyDescent="0.2">
      <c r="A1159" s="222" t="e">
        <f t="shared" si="120"/>
        <v>#REF!</v>
      </c>
      <c r="B1159" s="222" t="str">
        <f>IF(dadosexternosBMF_1!A1162="DI1 - DI de 1 dia","DI1 - DI de 1 dia","")</f>
        <v/>
      </c>
      <c r="C1159" s="222" t="e">
        <f>IF(dadosexternosBMF_1!A1162="DOL - Dólar comercial","",IF(C1158&lt;&gt;"",dadosexternosBMF_1!B1162,IF(dadosexternosBMF_1!A1162="DI1 - DI de 1 dia",dadosexternosBMF_1!B1162,"")))</f>
        <v>#REF!</v>
      </c>
      <c r="D1159" s="222" t="e">
        <f>IF(C1159&lt;&gt;"",dadosexternosBMF_1!C1162,"")</f>
        <v>#REF!</v>
      </c>
      <c r="E1159" s="222" t="e">
        <f>IF(C1159&lt;&gt;"",dadosexternosBMF_1!D1162,"")</f>
        <v>#REF!</v>
      </c>
      <c r="G1159" s="219" t="e">
        <f t="shared" si="121"/>
        <v>#REF!</v>
      </c>
      <c r="H1159" s="219" t="e">
        <f t="shared" si="122"/>
        <v>#REF!</v>
      </c>
      <c r="I1159" s="219" t="e">
        <f t="shared" si="123"/>
        <v>#REF!</v>
      </c>
      <c r="J1159" s="219" t="e">
        <f>IF(I1159="","",VLOOKUP(LEFT(C1159,1),dadosexternosBMF_1!$L$2:$M$13,2,FALSE))</f>
        <v>#REF!</v>
      </c>
      <c r="K1159" s="219" t="e">
        <f t="shared" si="124"/>
        <v>#REF!</v>
      </c>
      <c r="L1159" s="422" t="e">
        <f t="shared" si="125"/>
        <v>#REF!</v>
      </c>
      <c r="M1159" s="422" t="e">
        <f>IF(I1159="","",WORKDAY(L1159-1,1,FERIADOS!$A$2:$A$831))</f>
        <v>#REF!</v>
      </c>
      <c r="N1159" s="219" t="e">
        <f>IF(I1159="","",NETWORKDAYS(Curva!$M$2,M1159,FERIADOS!$A$2:$A$831)-1)</f>
        <v>#REF!</v>
      </c>
      <c r="O1159" s="423" t="e">
        <f>IF(C1159&lt;&gt;"",IF(ISERROR((100000/E1159)^(252/N1159)-1),Curva!$B$2,((100000/E1159)^(252/N1159)-1)),"")</f>
        <v>#REF!</v>
      </c>
      <c r="P1159" s="219" t="e">
        <f>IF(OR(G1159=1,G1159=2),dadosexternosBMF_1!B1162,"")</f>
        <v>#REF!</v>
      </c>
      <c r="Q1159" s="219" t="e">
        <f>IF(OR(G1159=1,G1159=2),dadosexternosBMF_1!D1162,"")</f>
        <v>#REF!</v>
      </c>
    </row>
    <row r="1160" spans="1:17" x14ac:dyDescent="0.2">
      <c r="A1160" s="222" t="e">
        <f t="shared" si="120"/>
        <v>#REF!</v>
      </c>
      <c r="B1160" s="222" t="str">
        <f>IF(dadosexternosBMF_1!A1163="DI1 - DI de 1 dia","DI1 - DI de 1 dia","")</f>
        <v/>
      </c>
      <c r="C1160" s="222" t="e">
        <f>IF(dadosexternosBMF_1!A1163="DOL - Dólar comercial","",IF(C1159&lt;&gt;"",dadosexternosBMF_1!B1163,IF(dadosexternosBMF_1!A1163="DI1 - DI de 1 dia",dadosexternosBMF_1!B1163,"")))</f>
        <v>#REF!</v>
      </c>
      <c r="D1160" s="222" t="e">
        <f>IF(C1160&lt;&gt;"",dadosexternosBMF_1!C1163,"")</f>
        <v>#REF!</v>
      </c>
      <c r="E1160" s="222" t="e">
        <f>IF(C1160&lt;&gt;"",dadosexternosBMF_1!D1163,"")</f>
        <v>#REF!</v>
      </c>
      <c r="G1160" s="219" t="e">
        <f t="shared" si="121"/>
        <v>#REF!</v>
      </c>
      <c r="H1160" s="219" t="e">
        <f t="shared" si="122"/>
        <v>#REF!</v>
      </c>
      <c r="I1160" s="219" t="e">
        <f t="shared" si="123"/>
        <v>#REF!</v>
      </c>
      <c r="J1160" s="219" t="e">
        <f>IF(I1160="","",VLOOKUP(LEFT(C1160,1),dadosexternosBMF_1!$L$2:$M$13,2,FALSE))</f>
        <v>#REF!</v>
      </c>
      <c r="K1160" s="219" t="e">
        <f t="shared" si="124"/>
        <v>#REF!</v>
      </c>
      <c r="L1160" s="422" t="e">
        <f t="shared" si="125"/>
        <v>#REF!</v>
      </c>
      <c r="M1160" s="422" t="e">
        <f>IF(I1160="","",WORKDAY(L1160-1,1,FERIADOS!$A$2:$A$831))</f>
        <v>#REF!</v>
      </c>
      <c r="N1160" s="219" t="e">
        <f>IF(I1160="","",NETWORKDAYS(Curva!$M$2,M1160,FERIADOS!$A$2:$A$831)-1)</f>
        <v>#REF!</v>
      </c>
      <c r="O1160" s="423" t="e">
        <f>IF(C1160&lt;&gt;"",IF(ISERROR((100000/E1160)^(252/N1160)-1),Curva!$B$2,((100000/E1160)^(252/N1160)-1)),"")</f>
        <v>#REF!</v>
      </c>
      <c r="P1160" s="219" t="e">
        <f>IF(OR(G1160=1,G1160=2),dadosexternosBMF_1!B1163,"")</f>
        <v>#REF!</v>
      </c>
      <c r="Q1160" s="219" t="e">
        <f>IF(OR(G1160=1,G1160=2),dadosexternosBMF_1!D1163,"")</f>
        <v>#REF!</v>
      </c>
    </row>
    <row r="1161" spans="1:17" x14ac:dyDescent="0.2">
      <c r="A1161" s="222" t="e">
        <f t="shared" si="120"/>
        <v>#REF!</v>
      </c>
      <c r="B1161" s="222" t="str">
        <f>IF(dadosexternosBMF_1!A1164="DI1 - DI de 1 dia","DI1 - DI de 1 dia","")</f>
        <v/>
      </c>
      <c r="C1161" s="222" t="e">
        <f>IF(dadosexternosBMF_1!A1164="DOL - Dólar comercial","",IF(C1160&lt;&gt;"",dadosexternosBMF_1!B1164,IF(dadosexternosBMF_1!A1164="DI1 - DI de 1 dia",dadosexternosBMF_1!B1164,"")))</f>
        <v>#REF!</v>
      </c>
      <c r="D1161" s="222" t="e">
        <f>IF(C1161&lt;&gt;"",dadosexternosBMF_1!C1164,"")</f>
        <v>#REF!</v>
      </c>
      <c r="E1161" s="222" t="e">
        <f>IF(C1161&lt;&gt;"",dadosexternosBMF_1!D1164,"")</f>
        <v>#REF!</v>
      </c>
      <c r="G1161" s="219" t="e">
        <f t="shared" si="121"/>
        <v>#REF!</v>
      </c>
      <c r="H1161" s="219" t="e">
        <f t="shared" si="122"/>
        <v>#REF!</v>
      </c>
      <c r="I1161" s="219" t="e">
        <f t="shared" si="123"/>
        <v>#REF!</v>
      </c>
      <c r="J1161" s="219" t="e">
        <f>IF(I1161="","",VLOOKUP(LEFT(C1161,1),dadosexternosBMF_1!$L$2:$M$13,2,FALSE))</f>
        <v>#REF!</v>
      </c>
      <c r="K1161" s="219" t="e">
        <f t="shared" si="124"/>
        <v>#REF!</v>
      </c>
      <c r="L1161" s="422" t="e">
        <f t="shared" si="125"/>
        <v>#REF!</v>
      </c>
      <c r="M1161" s="422" t="e">
        <f>IF(I1161="","",WORKDAY(L1161-1,1,FERIADOS!$A$2:$A$831))</f>
        <v>#REF!</v>
      </c>
      <c r="N1161" s="219" t="e">
        <f>IF(I1161="","",NETWORKDAYS(Curva!$M$2,M1161,FERIADOS!$A$2:$A$831)-1)</f>
        <v>#REF!</v>
      </c>
      <c r="O1161" s="423" t="e">
        <f>IF(C1161&lt;&gt;"",IF(ISERROR((100000/E1161)^(252/N1161)-1),Curva!$B$2,((100000/E1161)^(252/N1161)-1)),"")</f>
        <v>#REF!</v>
      </c>
      <c r="P1161" s="219" t="e">
        <f>IF(OR(G1161=1,G1161=2),dadosexternosBMF_1!B1164,"")</f>
        <v>#REF!</v>
      </c>
      <c r="Q1161" s="219" t="e">
        <f>IF(OR(G1161=1,G1161=2),dadosexternosBMF_1!D1164,"")</f>
        <v>#REF!</v>
      </c>
    </row>
    <row r="1162" spans="1:17" x14ac:dyDescent="0.2">
      <c r="A1162" s="222" t="e">
        <f t="shared" si="120"/>
        <v>#REF!</v>
      </c>
      <c r="B1162" s="222" t="str">
        <f>IF(dadosexternosBMF_1!A1165="DI1 - DI de 1 dia","DI1 - DI de 1 dia","")</f>
        <v/>
      </c>
      <c r="C1162" s="222" t="e">
        <f>IF(dadosexternosBMF_1!A1165="DOL - Dólar comercial","",IF(C1161&lt;&gt;"",dadosexternosBMF_1!B1165,IF(dadosexternosBMF_1!A1165="DI1 - DI de 1 dia",dadosexternosBMF_1!B1165,"")))</f>
        <v>#REF!</v>
      </c>
      <c r="D1162" s="222" t="e">
        <f>IF(C1162&lt;&gt;"",dadosexternosBMF_1!C1165,"")</f>
        <v>#REF!</v>
      </c>
      <c r="E1162" s="222" t="e">
        <f>IF(C1162&lt;&gt;"",dadosexternosBMF_1!D1165,"")</f>
        <v>#REF!</v>
      </c>
      <c r="G1162" s="219" t="e">
        <f t="shared" si="121"/>
        <v>#REF!</v>
      </c>
      <c r="H1162" s="219" t="e">
        <f t="shared" si="122"/>
        <v>#REF!</v>
      </c>
      <c r="I1162" s="219" t="e">
        <f t="shared" si="123"/>
        <v>#REF!</v>
      </c>
      <c r="J1162" s="219" t="e">
        <f>IF(I1162="","",VLOOKUP(LEFT(C1162,1),dadosexternosBMF_1!$L$2:$M$13,2,FALSE))</f>
        <v>#REF!</v>
      </c>
      <c r="K1162" s="219" t="e">
        <f t="shared" si="124"/>
        <v>#REF!</v>
      </c>
      <c r="L1162" s="422" t="e">
        <f t="shared" si="125"/>
        <v>#REF!</v>
      </c>
      <c r="M1162" s="422" t="e">
        <f>IF(I1162="","",WORKDAY(L1162-1,1,FERIADOS!$A$2:$A$831))</f>
        <v>#REF!</v>
      </c>
      <c r="N1162" s="219" t="e">
        <f>IF(I1162="","",NETWORKDAYS(Curva!$M$2,M1162,FERIADOS!$A$2:$A$831)-1)</f>
        <v>#REF!</v>
      </c>
      <c r="O1162" s="423" t="e">
        <f>IF(C1162&lt;&gt;"",IF(ISERROR((100000/E1162)^(252/N1162)-1),Curva!$B$2,((100000/E1162)^(252/N1162)-1)),"")</f>
        <v>#REF!</v>
      </c>
      <c r="P1162" s="219" t="e">
        <f>IF(OR(G1162=1,G1162=2),dadosexternosBMF_1!B1165,"")</f>
        <v>#REF!</v>
      </c>
      <c r="Q1162" s="219" t="e">
        <f>IF(OR(G1162=1,G1162=2),dadosexternosBMF_1!D1165,"")</f>
        <v>#REF!</v>
      </c>
    </row>
    <row r="1163" spans="1:17" x14ac:dyDescent="0.2">
      <c r="A1163" s="222" t="e">
        <f t="shared" si="120"/>
        <v>#REF!</v>
      </c>
      <c r="B1163" s="222" t="str">
        <f>IF(dadosexternosBMF_1!A1166="DI1 - DI de 1 dia","DI1 - DI de 1 dia","")</f>
        <v/>
      </c>
      <c r="C1163" s="222" t="e">
        <f>IF(dadosexternosBMF_1!A1166="DOL - Dólar comercial","",IF(C1162&lt;&gt;"",dadosexternosBMF_1!B1166,IF(dadosexternosBMF_1!A1166="DI1 - DI de 1 dia",dadosexternosBMF_1!B1166,"")))</f>
        <v>#REF!</v>
      </c>
      <c r="D1163" s="222" t="e">
        <f>IF(C1163&lt;&gt;"",dadosexternosBMF_1!C1166,"")</f>
        <v>#REF!</v>
      </c>
      <c r="E1163" s="222" t="e">
        <f>IF(C1163&lt;&gt;"",dadosexternosBMF_1!D1166,"")</f>
        <v>#REF!</v>
      </c>
      <c r="G1163" s="219" t="e">
        <f t="shared" si="121"/>
        <v>#REF!</v>
      </c>
      <c r="H1163" s="219" t="e">
        <f t="shared" si="122"/>
        <v>#REF!</v>
      </c>
      <c r="I1163" s="219" t="e">
        <f t="shared" si="123"/>
        <v>#REF!</v>
      </c>
      <c r="J1163" s="219" t="e">
        <f>IF(I1163="","",VLOOKUP(LEFT(C1163,1),dadosexternosBMF_1!$L$2:$M$13,2,FALSE))</f>
        <v>#REF!</v>
      </c>
      <c r="K1163" s="219" t="e">
        <f t="shared" si="124"/>
        <v>#REF!</v>
      </c>
      <c r="L1163" s="422" t="e">
        <f t="shared" si="125"/>
        <v>#REF!</v>
      </c>
      <c r="M1163" s="422" t="e">
        <f>IF(I1163="","",WORKDAY(L1163-1,1,FERIADOS!$A$2:$A$831))</f>
        <v>#REF!</v>
      </c>
      <c r="N1163" s="219" t="e">
        <f>IF(I1163="","",NETWORKDAYS(Curva!$M$2,M1163,FERIADOS!$A$2:$A$831)-1)</f>
        <v>#REF!</v>
      </c>
      <c r="O1163" s="423" t="e">
        <f>IF(C1163&lt;&gt;"",IF(ISERROR((100000/E1163)^(252/N1163)-1),Curva!$B$2,((100000/E1163)^(252/N1163)-1)),"")</f>
        <v>#REF!</v>
      </c>
      <c r="P1163" s="219" t="e">
        <f>IF(OR(G1163=1,G1163=2),dadosexternosBMF_1!B1166,"")</f>
        <v>#REF!</v>
      </c>
      <c r="Q1163" s="219" t="e">
        <f>IF(OR(G1163=1,G1163=2),dadosexternosBMF_1!D1166,"")</f>
        <v>#REF!</v>
      </c>
    </row>
    <row r="1164" spans="1:17" x14ac:dyDescent="0.2">
      <c r="A1164" s="222" t="e">
        <f t="shared" si="120"/>
        <v>#REF!</v>
      </c>
      <c r="B1164" s="222" t="str">
        <f>IF(dadosexternosBMF_1!A1167="DI1 - DI de 1 dia","DI1 - DI de 1 dia","")</f>
        <v/>
      </c>
      <c r="C1164" s="222" t="e">
        <f>IF(dadosexternosBMF_1!A1167="DOL - Dólar comercial","",IF(C1163&lt;&gt;"",dadosexternosBMF_1!B1167,IF(dadosexternosBMF_1!A1167="DI1 - DI de 1 dia",dadosexternosBMF_1!B1167,"")))</f>
        <v>#REF!</v>
      </c>
      <c r="D1164" s="222" t="e">
        <f>IF(C1164&lt;&gt;"",dadosexternosBMF_1!C1167,"")</f>
        <v>#REF!</v>
      </c>
      <c r="E1164" s="222" t="e">
        <f>IF(C1164&lt;&gt;"",dadosexternosBMF_1!D1167,"")</f>
        <v>#REF!</v>
      </c>
      <c r="G1164" s="219" t="e">
        <f t="shared" si="121"/>
        <v>#REF!</v>
      </c>
      <c r="H1164" s="219" t="e">
        <f t="shared" si="122"/>
        <v>#REF!</v>
      </c>
      <c r="I1164" s="219" t="e">
        <f t="shared" si="123"/>
        <v>#REF!</v>
      </c>
      <c r="J1164" s="219" t="e">
        <f>IF(I1164="","",VLOOKUP(LEFT(C1164,1),dadosexternosBMF_1!$L$2:$M$13,2,FALSE))</f>
        <v>#REF!</v>
      </c>
      <c r="K1164" s="219" t="e">
        <f t="shared" si="124"/>
        <v>#REF!</v>
      </c>
      <c r="L1164" s="422" t="e">
        <f t="shared" si="125"/>
        <v>#REF!</v>
      </c>
      <c r="M1164" s="422" t="e">
        <f>IF(I1164="","",WORKDAY(L1164-1,1,FERIADOS!$A$2:$A$831))</f>
        <v>#REF!</v>
      </c>
      <c r="N1164" s="219" t="e">
        <f>IF(I1164="","",NETWORKDAYS(Curva!$M$2,M1164,FERIADOS!$A$2:$A$831)-1)</f>
        <v>#REF!</v>
      </c>
      <c r="O1164" s="423" t="e">
        <f>IF(C1164&lt;&gt;"",IF(ISERROR((100000/E1164)^(252/N1164)-1),Curva!$B$2,((100000/E1164)^(252/N1164)-1)),"")</f>
        <v>#REF!</v>
      </c>
      <c r="P1164" s="219" t="e">
        <f>IF(OR(G1164=1,G1164=2),dadosexternosBMF_1!B1167,"")</f>
        <v>#REF!</v>
      </c>
      <c r="Q1164" s="219" t="e">
        <f>IF(OR(G1164=1,G1164=2),dadosexternosBMF_1!D1167,"")</f>
        <v>#REF!</v>
      </c>
    </row>
    <row r="1165" spans="1:17" x14ac:dyDescent="0.2">
      <c r="A1165" s="222" t="e">
        <f t="shared" si="120"/>
        <v>#REF!</v>
      </c>
      <c r="B1165" s="222" t="str">
        <f>IF(dadosexternosBMF_1!A1168="DI1 - DI de 1 dia","DI1 - DI de 1 dia","")</f>
        <v/>
      </c>
      <c r="C1165" s="222" t="e">
        <f>IF(dadosexternosBMF_1!A1168="DOL - Dólar comercial","",IF(C1164&lt;&gt;"",dadosexternosBMF_1!B1168,IF(dadosexternosBMF_1!A1168="DI1 - DI de 1 dia",dadosexternosBMF_1!B1168,"")))</f>
        <v>#REF!</v>
      </c>
      <c r="D1165" s="222" t="e">
        <f>IF(C1165&lt;&gt;"",dadosexternosBMF_1!C1168,"")</f>
        <v>#REF!</v>
      </c>
      <c r="E1165" s="222" t="e">
        <f>IF(C1165&lt;&gt;"",dadosexternosBMF_1!D1168,"")</f>
        <v>#REF!</v>
      </c>
      <c r="G1165" s="219" t="e">
        <f t="shared" si="121"/>
        <v>#REF!</v>
      </c>
      <c r="H1165" s="219" t="e">
        <f t="shared" si="122"/>
        <v>#REF!</v>
      </c>
      <c r="I1165" s="219" t="e">
        <f t="shared" si="123"/>
        <v>#REF!</v>
      </c>
      <c r="J1165" s="219" t="e">
        <f>IF(I1165="","",VLOOKUP(LEFT(C1165,1),dadosexternosBMF_1!$L$2:$M$13,2,FALSE))</f>
        <v>#REF!</v>
      </c>
      <c r="K1165" s="219" t="e">
        <f t="shared" si="124"/>
        <v>#REF!</v>
      </c>
      <c r="L1165" s="422" t="e">
        <f t="shared" si="125"/>
        <v>#REF!</v>
      </c>
      <c r="M1165" s="422" t="e">
        <f>IF(I1165="","",WORKDAY(L1165-1,1,FERIADOS!$A$2:$A$831))</f>
        <v>#REF!</v>
      </c>
      <c r="N1165" s="219" t="e">
        <f>IF(I1165="","",NETWORKDAYS(Curva!$M$2,M1165,FERIADOS!$A$2:$A$831)-1)</f>
        <v>#REF!</v>
      </c>
      <c r="O1165" s="423" t="e">
        <f>IF(C1165&lt;&gt;"",IF(ISERROR((100000/E1165)^(252/N1165)-1),Curva!$B$2,((100000/E1165)^(252/N1165)-1)),"")</f>
        <v>#REF!</v>
      </c>
      <c r="P1165" s="219" t="e">
        <f>IF(OR(G1165=1,G1165=2),dadosexternosBMF_1!B1168,"")</f>
        <v>#REF!</v>
      </c>
      <c r="Q1165" s="219" t="e">
        <f>IF(OR(G1165=1,G1165=2),dadosexternosBMF_1!D1168,"")</f>
        <v>#REF!</v>
      </c>
    </row>
    <row r="1166" spans="1:17" x14ac:dyDescent="0.2">
      <c r="A1166" s="222" t="e">
        <f t="shared" si="120"/>
        <v>#REF!</v>
      </c>
      <c r="B1166" s="222" t="str">
        <f>IF(dadosexternosBMF_1!A1169="DI1 - DI de 1 dia","DI1 - DI de 1 dia","")</f>
        <v/>
      </c>
      <c r="C1166" s="222" t="e">
        <f>IF(dadosexternosBMF_1!A1169="DOL - Dólar comercial","",IF(C1165&lt;&gt;"",dadosexternosBMF_1!B1169,IF(dadosexternosBMF_1!A1169="DI1 - DI de 1 dia",dadosexternosBMF_1!B1169,"")))</f>
        <v>#REF!</v>
      </c>
      <c r="D1166" s="222" t="e">
        <f>IF(C1166&lt;&gt;"",dadosexternosBMF_1!C1169,"")</f>
        <v>#REF!</v>
      </c>
      <c r="E1166" s="222" t="e">
        <f>IF(C1166&lt;&gt;"",dadosexternosBMF_1!D1169,"")</f>
        <v>#REF!</v>
      </c>
      <c r="G1166" s="219" t="e">
        <f t="shared" si="121"/>
        <v>#REF!</v>
      </c>
      <c r="H1166" s="219" t="e">
        <f t="shared" si="122"/>
        <v>#REF!</v>
      </c>
      <c r="I1166" s="219" t="e">
        <f t="shared" si="123"/>
        <v>#REF!</v>
      </c>
      <c r="J1166" s="219" t="e">
        <f>IF(I1166="","",VLOOKUP(LEFT(C1166,1),dadosexternosBMF_1!$L$2:$M$13,2,FALSE))</f>
        <v>#REF!</v>
      </c>
      <c r="K1166" s="219" t="e">
        <f t="shared" si="124"/>
        <v>#REF!</v>
      </c>
      <c r="L1166" s="422" t="e">
        <f t="shared" si="125"/>
        <v>#REF!</v>
      </c>
      <c r="M1166" s="422" t="e">
        <f>IF(I1166="","",WORKDAY(L1166-1,1,FERIADOS!$A$2:$A$831))</f>
        <v>#REF!</v>
      </c>
      <c r="N1166" s="219" t="e">
        <f>IF(I1166="","",NETWORKDAYS(Curva!$M$2,M1166,FERIADOS!$A$2:$A$831)-1)</f>
        <v>#REF!</v>
      </c>
      <c r="O1166" s="423" t="e">
        <f>IF(C1166&lt;&gt;"",IF(ISERROR((100000/E1166)^(252/N1166)-1),Curva!$B$2,((100000/E1166)^(252/N1166)-1)),"")</f>
        <v>#REF!</v>
      </c>
      <c r="P1166" s="219" t="e">
        <f>IF(OR(G1166=1,G1166=2),dadosexternosBMF_1!B1169,"")</f>
        <v>#REF!</v>
      </c>
      <c r="Q1166" s="219" t="e">
        <f>IF(OR(G1166=1,G1166=2),dadosexternosBMF_1!D1169,"")</f>
        <v>#REF!</v>
      </c>
    </row>
    <row r="1167" spans="1:17" x14ac:dyDescent="0.2">
      <c r="A1167" s="222" t="e">
        <f t="shared" si="120"/>
        <v>#REF!</v>
      </c>
      <c r="B1167" s="222" t="str">
        <f>IF(dadosexternosBMF_1!A1170="DI1 - DI de 1 dia","DI1 - DI de 1 dia","")</f>
        <v/>
      </c>
      <c r="C1167" s="222" t="e">
        <f>IF(dadosexternosBMF_1!A1170="DOL - Dólar comercial","",IF(C1166&lt;&gt;"",dadosexternosBMF_1!B1170,IF(dadosexternosBMF_1!A1170="DI1 - DI de 1 dia",dadosexternosBMF_1!B1170,"")))</f>
        <v>#REF!</v>
      </c>
      <c r="D1167" s="222" t="e">
        <f>IF(C1167&lt;&gt;"",dadosexternosBMF_1!C1170,"")</f>
        <v>#REF!</v>
      </c>
      <c r="E1167" s="222" t="e">
        <f>IF(C1167&lt;&gt;"",dadosexternosBMF_1!D1170,"")</f>
        <v>#REF!</v>
      </c>
      <c r="G1167" s="219" t="e">
        <f t="shared" si="121"/>
        <v>#REF!</v>
      </c>
      <c r="H1167" s="219" t="e">
        <f t="shared" si="122"/>
        <v>#REF!</v>
      </c>
      <c r="I1167" s="219" t="e">
        <f t="shared" si="123"/>
        <v>#REF!</v>
      </c>
      <c r="J1167" s="219" t="e">
        <f>IF(I1167="","",VLOOKUP(LEFT(C1167,1),dadosexternosBMF_1!$L$2:$M$13,2,FALSE))</f>
        <v>#REF!</v>
      </c>
      <c r="K1167" s="219" t="e">
        <f t="shared" si="124"/>
        <v>#REF!</v>
      </c>
      <c r="L1167" s="422" t="e">
        <f t="shared" si="125"/>
        <v>#REF!</v>
      </c>
      <c r="M1167" s="422" t="e">
        <f>IF(I1167="","",WORKDAY(L1167-1,1,FERIADOS!$A$2:$A$831))</f>
        <v>#REF!</v>
      </c>
      <c r="N1167" s="219" t="e">
        <f>IF(I1167="","",NETWORKDAYS(Curva!$M$2,M1167,FERIADOS!$A$2:$A$831)-1)</f>
        <v>#REF!</v>
      </c>
      <c r="O1167" s="423" t="e">
        <f>IF(C1167&lt;&gt;"",IF(ISERROR((100000/E1167)^(252/N1167)-1),Curva!$B$2,((100000/E1167)^(252/N1167)-1)),"")</f>
        <v>#REF!</v>
      </c>
      <c r="P1167" s="219" t="e">
        <f>IF(OR(G1167=1,G1167=2),dadosexternosBMF_1!B1170,"")</f>
        <v>#REF!</v>
      </c>
      <c r="Q1167" s="219" t="e">
        <f>IF(OR(G1167=1,G1167=2),dadosexternosBMF_1!D1170,"")</f>
        <v>#REF!</v>
      </c>
    </row>
    <row r="1168" spans="1:17" x14ac:dyDescent="0.2">
      <c r="A1168" s="222" t="e">
        <f t="shared" si="120"/>
        <v>#REF!</v>
      </c>
      <c r="B1168" s="222" t="str">
        <f>IF(dadosexternosBMF_1!A1171="DI1 - DI de 1 dia","DI1 - DI de 1 dia","")</f>
        <v/>
      </c>
      <c r="C1168" s="222" t="e">
        <f>IF(dadosexternosBMF_1!A1171="DOL - Dólar comercial","",IF(C1167&lt;&gt;"",dadosexternosBMF_1!B1171,IF(dadosexternosBMF_1!A1171="DI1 - DI de 1 dia",dadosexternosBMF_1!B1171,"")))</f>
        <v>#REF!</v>
      </c>
      <c r="D1168" s="222" t="e">
        <f>IF(C1168&lt;&gt;"",dadosexternosBMF_1!C1171,"")</f>
        <v>#REF!</v>
      </c>
      <c r="E1168" s="222" t="e">
        <f>IF(C1168&lt;&gt;"",dadosexternosBMF_1!D1171,"")</f>
        <v>#REF!</v>
      </c>
      <c r="G1168" s="219" t="e">
        <f t="shared" si="121"/>
        <v>#REF!</v>
      </c>
      <c r="H1168" s="219" t="e">
        <f t="shared" si="122"/>
        <v>#REF!</v>
      </c>
      <c r="I1168" s="219" t="e">
        <f t="shared" si="123"/>
        <v>#REF!</v>
      </c>
      <c r="J1168" s="219" t="e">
        <f>IF(I1168="","",VLOOKUP(LEFT(C1168,1),dadosexternosBMF_1!$L$2:$M$13,2,FALSE))</f>
        <v>#REF!</v>
      </c>
      <c r="K1168" s="219" t="e">
        <f t="shared" si="124"/>
        <v>#REF!</v>
      </c>
      <c r="L1168" s="422" t="e">
        <f t="shared" si="125"/>
        <v>#REF!</v>
      </c>
      <c r="M1168" s="422" t="e">
        <f>IF(I1168="","",WORKDAY(L1168-1,1,FERIADOS!$A$2:$A$831))</f>
        <v>#REF!</v>
      </c>
      <c r="N1168" s="219" t="e">
        <f>IF(I1168="","",NETWORKDAYS(Curva!$M$2,M1168,FERIADOS!$A$2:$A$831)-1)</f>
        <v>#REF!</v>
      </c>
      <c r="O1168" s="423" t="e">
        <f>IF(C1168&lt;&gt;"",IF(ISERROR((100000/E1168)^(252/N1168)-1),Curva!$B$2,((100000/E1168)^(252/N1168)-1)),"")</f>
        <v>#REF!</v>
      </c>
      <c r="P1168" s="219" t="e">
        <f>IF(OR(G1168=1,G1168=2),dadosexternosBMF_1!B1171,"")</f>
        <v>#REF!</v>
      </c>
      <c r="Q1168" s="219" t="e">
        <f>IF(OR(G1168=1,G1168=2),dadosexternosBMF_1!D1171,"")</f>
        <v>#REF!</v>
      </c>
    </row>
    <row r="1169" spans="1:17" x14ac:dyDescent="0.2">
      <c r="A1169" s="222" t="e">
        <f t="shared" si="120"/>
        <v>#REF!</v>
      </c>
      <c r="B1169" s="222" t="str">
        <f>IF(dadosexternosBMF_1!A1172="DI1 - DI de 1 dia","DI1 - DI de 1 dia","")</f>
        <v/>
      </c>
      <c r="C1169" s="222" t="e">
        <f>IF(dadosexternosBMF_1!A1172="DOL - Dólar comercial","",IF(C1168&lt;&gt;"",dadosexternosBMF_1!B1172,IF(dadosexternosBMF_1!A1172="DI1 - DI de 1 dia",dadosexternosBMF_1!B1172,"")))</f>
        <v>#REF!</v>
      </c>
      <c r="D1169" s="222" t="e">
        <f>IF(C1169&lt;&gt;"",dadosexternosBMF_1!C1172,"")</f>
        <v>#REF!</v>
      </c>
      <c r="E1169" s="222" t="e">
        <f>IF(C1169&lt;&gt;"",dadosexternosBMF_1!D1172,"")</f>
        <v>#REF!</v>
      </c>
      <c r="G1169" s="219" t="e">
        <f t="shared" si="121"/>
        <v>#REF!</v>
      </c>
      <c r="H1169" s="219" t="e">
        <f t="shared" si="122"/>
        <v>#REF!</v>
      </c>
      <c r="I1169" s="219" t="e">
        <f t="shared" si="123"/>
        <v>#REF!</v>
      </c>
      <c r="J1169" s="219" t="e">
        <f>IF(I1169="","",VLOOKUP(LEFT(C1169,1),dadosexternosBMF_1!$L$2:$M$13,2,FALSE))</f>
        <v>#REF!</v>
      </c>
      <c r="K1169" s="219" t="e">
        <f t="shared" si="124"/>
        <v>#REF!</v>
      </c>
      <c r="L1169" s="422" t="e">
        <f t="shared" si="125"/>
        <v>#REF!</v>
      </c>
      <c r="M1169" s="422" t="e">
        <f>IF(I1169="","",WORKDAY(L1169-1,1,FERIADOS!$A$2:$A$831))</f>
        <v>#REF!</v>
      </c>
      <c r="N1169" s="219" t="e">
        <f>IF(I1169="","",NETWORKDAYS(Curva!$M$2,M1169,FERIADOS!$A$2:$A$831)-1)</f>
        <v>#REF!</v>
      </c>
      <c r="O1169" s="423" t="e">
        <f>IF(C1169&lt;&gt;"",IF(ISERROR((100000/E1169)^(252/N1169)-1),Curva!$B$2,((100000/E1169)^(252/N1169)-1)),"")</f>
        <v>#REF!</v>
      </c>
      <c r="P1169" s="219" t="e">
        <f>IF(OR(G1169=1,G1169=2),dadosexternosBMF_1!B1172,"")</f>
        <v>#REF!</v>
      </c>
      <c r="Q1169" s="219" t="e">
        <f>IF(OR(G1169=1,G1169=2),dadosexternosBMF_1!D1172,"")</f>
        <v>#REF!</v>
      </c>
    </row>
    <row r="1170" spans="1:17" x14ac:dyDescent="0.2">
      <c r="A1170" s="222" t="e">
        <f t="shared" si="120"/>
        <v>#REF!</v>
      </c>
      <c r="B1170" s="222" t="str">
        <f>IF(dadosexternosBMF_1!A1173="DI1 - DI de 1 dia","DI1 - DI de 1 dia","")</f>
        <v/>
      </c>
      <c r="C1170" s="222" t="e">
        <f>IF(dadosexternosBMF_1!A1173="DOL - Dólar comercial","",IF(C1169&lt;&gt;"",dadosexternosBMF_1!B1173,IF(dadosexternosBMF_1!A1173="DI1 - DI de 1 dia",dadosexternosBMF_1!B1173,"")))</f>
        <v>#REF!</v>
      </c>
      <c r="D1170" s="222" t="e">
        <f>IF(C1170&lt;&gt;"",dadosexternosBMF_1!C1173,"")</f>
        <v>#REF!</v>
      </c>
      <c r="E1170" s="222" t="e">
        <f>IF(C1170&lt;&gt;"",dadosexternosBMF_1!D1173,"")</f>
        <v>#REF!</v>
      </c>
      <c r="G1170" s="219" t="e">
        <f t="shared" si="121"/>
        <v>#REF!</v>
      </c>
      <c r="H1170" s="219" t="e">
        <f t="shared" si="122"/>
        <v>#REF!</v>
      </c>
      <c r="I1170" s="219" t="e">
        <f t="shared" si="123"/>
        <v>#REF!</v>
      </c>
      <c r="J1170" s="219" t="e">
        <f>IF(I1170="","",VLOOKUP(LEFT(C1170,1),dadosexternosBMF_1!$L$2:$M$13,2,FALSE))</f>
        <v>#REF!</v>
      </c>
      <c r="K1170" s="219" t="e">
        <f t="shared" si="124"/>
        <v>#REF!</v>
      </c>
      <c r="L1170" s="422" t="e">
        <f t="shared" si="125"/>
        <v>#REF!</v>
      </c>
      <c r="M1170" s="422" t="e">
        <f>IF(I1170="","",WORKDAY(L1170-1,1,FERIADOS!$A$2:$A$831))</f>
        <v>#REF!</v>
      </c>
      <c r="N1170" s="219" t="e">
        <f>IF(I1170="","",NETWORKDAYS(Curva!$M$2,M1170,FERIADOS!$A$2:$A$831)-1)</f>
        <v>#REF!</v>
      </c>
      <c r="O1170" s="423" t="e">
        <f>IF(C1170&lt;&gt;"",IF(ISERROR((100000/E1170)^(252/N1170)-1),Curva!$B$2,((100000/E1170)^(252/N1170)-1)),"")</f>
        <v>#REF!</v>
      </c>
      <c r="P1170" s="219" t="e">
        <f>IF(OR(G1170=1,G1170=2),dadosexternosBMF_1!B1173,"")</f>
        <v>#REF!</v>
      </c>
      <c r="Q1170" s="219" t="e">
        <f>IF(OR(G1170=1,G1170=2),dadosexternosBMF_1!D1173,"")</f>
        <v>#REF!</v>
      </c>
    </row>
    <row r="1171" spans="1:17" x14ac:dyDescent="0.2">
      <c r="A1171" s="222" t="e">
        <f t="shared" si="120"/>
        <v>#REF!</v>
      </c>
      <c r="B1171" s="222" t="str">
        <f>IF(dadosexternosBMF_1!A1174="DI1 - DI de 1 dia","DI1 - DI de 1 dia","")</f>
        <v/>
      </c>
      <c r="C1171" s="222" t="e">
        <f>IF(dadosexternosBMF_1!A1174="DOL - Dólar comercial","",IF(C1170&lt;&gt;"",dadosexternosBMF_1!B1174,IF(dadosexternosBMF_1!A1174="DI1 - DI de 1 dia",dadosexternosBMF_1!B1174,"")))</f>
        <v>#REF!</v>
      </c>
      <c r="D1171" s="222" t="e">
        <f>IF(C1171&lt;&gt;"",dadosexternosBMF_1!C1174,"")</f>
        <v>#REF!</v>
      </c>
      <c r="E1171" s="222" t="e">
        <f>IF(C1171&lt;&gt;"",dadosexternosBMF_1!D1174,"")</f>
        <v>#REF!</v>
      </c>
      <c r="G1171" s="219" t="e">
        <f t="shared" si="121"/>
        <v>#REF!</v>
      </c>
      <c r="H1171" s="219" t="e">
        <f t="shared" si="122"/>
        <v>#REF!</v>
      </c>
      <c r="I1171" s="219" t="e">
        <f t="shared" si="123"/>
        <v>#REF!</v>
      </c>
      <c r="J1171" s="219" t="e">
        <f>IF(I1171="","",VLOOKUP(LEFT(C1171,1),dadosexternosBMF_1!$L$2:$M$13,2,FALSE))</f>
        <v>#REF!</v>
      </c>
      <c r="K1171" s="219" t="e">
        <f t="shared" si="124"/>
        <v>#REF!</v>
      </c>
      <c r="L1171" s="422" t="e">
        <f t="shared" si="125"/>
        <v>#REF!</v>
      </c>
      <c r="M1171" s="422" t="e">
        <f>IF(I1171="","",WORKDAY(L1171-1,1,FERIADOS!$A$2:$A$831))</f>
        <v>#REF!</v>
      </c>
      <c r="N1171" s="219" t="e">
        <f>IF(I1171="","",NETWORKDAYS(Curva!$M$2,M1171,FERIADOS!$A$2:$A$831)-1)</f>
        <v>#REF!</v>
      </c>
      <c r="O1171" s="423" t="e">
        <f>IF(C1171&lt;&gt;"",IF(ISERROR((100000/E1171)^(252/N1171)-1),Curva!$B$2,((100000/E1171)^(252/N1171)-1)),"")</f>
        <v>#REF!</v>
      </c>
      <c r="P1171" s="219" t="e">
        <f>IF(OR(G1171=1,G1171=2),dadosexternosBMF_1!B1174,"")</f>
        <v>#REF!</v>
      </c>
      <c r="Q1171" s="219" t="e">
        <f>IF(OR(G1171=1,G1171=2),dadosexternosBMF_1!D1174,"")</f>
        <v>#REF!</v>
      </c>
    </row>
    <row r="1172" spans="1:17" x14ac:dyDescent="0.2">
      <c r="A1172" s="222" t="e">
        <f t="shared" si="120"/>
        <v>#REF!</v>
      </c>
      <c r="B1172" s="222" t="str">
        <f>IF(dadosexternosBMF_1!A1175="DI1 - DI de 1 dia","DI1 - DI de 1 dia","")</f>
        <v/>
      </c>
      <c r="C1172" s="222" t="e">
        <f>IF(dadosexternosBMF_1!A1175="DOL - Dólar comercial","",IF(C1171&lt;&gt;"",dadosexternosBMF_1!B1175,IF(dadosexternosBMF_1!A1175="DI1 - DI de 1 dia",dadosexternosBMF_1!B1175,"")))</f>
        <v>#REF!</v>
      </c>
      <c r="D1172" s="222" t="e">
        <f>IF(C1172&lt;&gt;"",dadosexternosBMF_1!C1175,"")</f>
        <v>#REF!</v>
      </c>
      <c r="E1172" s="222" t="e">
        <f>IF(C1172&lt;&gt;"",dadosexternosBMF_1!D1175,"")</f>
        <v>#REF!</v>
      </c>
      <c r="G1172" s="219" t="e">
        <f t="shared" si="121"/>
        <v>#REF!</v>
      </c>
      <c r="H1172" s="219" t="e">
        <f t="shared" si="122"/>
        <v>#REF!</v>
      </c>
      <c r="I1172" s="219" t="e">
        <f t="shared" si="123"/>
        <v>#REF!</v>
      </c>
      <c r="J1172" s="219" t="e">
        <f>IF(I1172="","",VLOOKUP(LEFT(C1172,1),dadosexternosBMF_1!$L$2:$M$13,2,FALSE))</f>
        <v>#REF!</v>
      </c>
      <c r="K1172" s="219" t="e">
        <f t="shared" si="124"/>
        <v>#REF!</v>
      </c>
      <c r="L1172" s="422" t="e">
        <f t="shared" si="125"/>
        <v>#REF!</v>
      </c>
      <c r="M1172" s="422" t="e">
        <f>IF(I1172="","",WORKDAY(L1172-1,1,FERIADOS!$A$2:$A$831))</f>
        <v>#REF!</v>
      </c>
      <c r="N1172" s="219" t="e">
        <f>IF(I1172="","",NETWORKDAYS(Curva!$M$2,M1172,FERIADOS!$A$2:$A$831)-1)</f>
        <v>#REF!</v>
      </c>
      <c r="O1172" s="423" t="e">
        <f>IF(C1172&lt;&gt;"",IF(ISERROR((100000/E1172)^(252/N1172)-1),Curva!$B$2,((100000/E1172)^(252/N1172)-1)),"")</f>
        <v>#REF!</v>
      </c>
      <c r="P1172" s="219" t="e">
        <f>IF(OR(G1172=1,G1172=2),dadosexternosBMF_1!B1175,"")</f>
        <v>#REF!</v>
      </c>
      <c r="Q1172" s="219" t="e">
        <f>IF(OR(G1172=1,G1172=2),dadosexternosBMF_1!D1175,"")</f>
        <v>#REF!</v>
      </c>
    </row>
    <row r="1173" spans="1:17" x14ac:dyDescent="0.2">
      <c r="A1173" s="222" t="e">
        <f t="shared" si="120"/>
        <v>#REF!</v>
      </c>
      <c r="B1173" s="222" t="str">
        <f>IF(dadosexternosBMF_1!A1176="DI1 - DI de 1 dia","DI1 - DI de 1 dia","")</f>
        <v/>
      </c>
      <c r="C1173" s="222" t="e">
        <f>IF(dadosexternosBMF_1!A1176="DOL - Dólar comercial","",IF(C1172&lt;&gt;"",dadosexternosBMF_1!B1176,IF(dadosexternosBMF_1!A1176="DI1 - DI de 1 dia",dadosexternosBMF_1!B1176,"")))</f>
        <v>#REF!</v>
      </c>
      <c r="D1173" s="222" t="e">
        <f>IF(C1173&lt;&gt;"",dadosexternosBMF_1!C1176,"")</f>
        <v>#REF!</v>
      </c>
      <c r="E1173" s="222" t="e">
        <f>IF(C1173&lt;&gt;"",dadosexternosBMF_1!D1176,"")</f>
        <v>#REF!</v>
      </c>
      <c r="G1173" s="219" t="e">
        <f t="shared" si="121"/>
        <v>#REF!</v>
      </c>
      <c r="H1173" s="219" t="e">
        <f t="shared" si="122"/>
        <v>#REF!</v>
      </c>
      <c r="I1173" s="219" t="e">
        <f t="shared" si="123"/>
        <v>#REF!</v>
      </c>
      <c r="J1173" s="219" t="e">
        <f>IF(I1173="","",VLOOKUP(LEFT(C1173,1),dadosexternosBMF_1!$L$2:$M$13,2,FALSE))</f>
        <v>#REF!</v>
      </c>
      <c r="K1173" s="219" t="e">
        <f t="shared" si="124"/>
        <v>#REF!</v>
      </c>
      <c r="L1173" s="422" t="e">
        <f t="shared" si="125"/>
        <v>#REF!</v>
      </c>
      <c r="M1173" s="422" t="e">
        <f>IF(I1173="","",WORKDAY(L1173-1,1,FERIADOS!$A$2:$A$831))</f>
        <v>#REF!</v>
      </c>
      <c r="N1173" s="219" t="e">
        <f>IF(I1173="","",NETWORKDAYS(Curva!$M$2,M1173,FERIADOS!$A$2:$A$831)-1)</f>
        <v>#REF!</v>
      </c>
      <c r="O1173" s="423" t="e">
        <f>IF(C1173&lt;&gt;"",IF(ISERROR((100000/E1173)^(252/N1173)-1),Curva!$B$2,((100000/E1173)^(252/N1173)-1)),"")</f>
        <v>#REF!</v>
      </c>
      <c r="P1173" s="219" t="e">
        <f>IF(OR(G1173=1,G1173=2),dadosexternosBMF_1!B1176,"")</f>
        <v>#REF!</v>
      </c>
      <c r="Q1173" s="219" t="e">
        <f>IF(OR(G1173=1,G1173=2),dadosexternosBMF_1!D1176,"")</f>
        <v>#REF!</v>
      </c>
    </row>
    <row r="1174" spans="1:17" x14ac:dyDescent="0.2">
      <c r="A1174" s="222" t="e">
        <f t="shared" si="120"/>
        <v>#REF!</v>
      </c>
      <c r="B1174" s="222" t="str">
        <f>IF(dadosexternosBMF_1!A1177="DI1 - DI de 1 dia","DI1 - DI de 1 dia","")</f>
        <v/>
      </c>
      <c r="C1174" s="222" t="e">
        <f>IF(dadosexternosBMF_1!A1177="DOL - Dólar comercial","",IF(C1173&lt;&gt;"",dadosexternosBMF_1!B1177,IF(dadosexternosBMF_1!A1177="DI1 - DI de 1 dia",dadosexternosBMF_1!B1177,"")))</f>
        <v>#REF!</v>
      </c>
      <c r="D1174" s="222" t="e">
        <f>IF(C1174&lt;&gt;"",dadosexternosBMF_1!C1177,"")</f>
        <v>#REF!</v>
      </c>
      <c r="E1174" s="222" t="e">
        <f>IF(C1174&lt;&gt;"",dadosexternosBMF_1!D1177,"")</f>
        <v>#REF!</v>
      </c>
      <c r="G1174" s="219" t="e">
        <f t="shared" si="121"/>
        <v>#REF!</v>
      </c>
      <c r="H1174" s="219" t="e">
        <f t="shared" si="122"/>
        <v>#REF!</v>
      </c>
      <c r="I1174" s="219" t="e">
        <f t="shared" si="123"/>
        <v>#REF!</v>
      </c>
      <c r="J1174" s="219" t="e">
        <f>IF(I1174="","",VLOOKUP(LEFT(C1174,1),dadosexternosBMF_1!$L$2:$M$13,2,FALSE))</f>
        <v>#REF!</v>
      </c>
      <c r="K1174" s="219" t="e">
        <f t="shared" si="124"/>
        <v>#REF!</v>
      </c>
      <c r="L1174" s="422" t="e">
        <f t="shared" si="125"/>
        <v>#REF!</v>
      </c>
      <c r="M1174" s="422" t="e">
        <f>IF(I1174="","",WORKDAY(L1174-1,1,FERIADOS!$A$2:$A$831))</f>
        <v>#REF!</v>
      </c>
      <c r="N1174" s="219" t="e">
        <f>IF(I1174="","",NETWORKDAYS(Curva!$M$2,M1174,FERIADOS!$A$2:$A$831)-1)</f>
        <v>#REF!</v>
      </c>
      <c r="O1174" s="423" t="e">
        <f>IF(C1174&lt;&gt;"",IF(ISERROR((100000/E1174)^(252/N1174)-1),Curva!$B$2,((100000/E1174)^(252/N1174)-1)),"")</f>
        <v>#REF!</v>
      </c>
      <c r="P1174" s="219" t="e">
        <f>IF(OR(G1174=1,G1174=2),dadosexternosBMF_1!B1177,"")</f>
        <v>#REF!</v>
      </c>
      <c r="Q1174" s="219" t="e">
        <f>IF(OR(G1174=1,G1174=2),dadosexternosBMF_1!D1177,"")</f>
        <v>#REF!</v>
      </c>
    </row>
    <row r="1175" spans="1:17" x14ac:dyDescent="0.2">
      <c r="A1175" s="222" t="e">
        <f t="shared" si="120"/>
        <v>#REF!</v>
      </c>
      <c r="B1175" s="222" t="str">
        <f>IF(dadosexternosBMF_1!A1178="DI1 - DI de 1 dia","DI1 - DI de 1 dia","")</f>
        <v/>
      </c>
      <c r="C1175" s="222" t="e">
        <f>IF(dadosexternosBMF_1!A1178="DOL - Dólar comercial","",IF(C1174&lt;&gt;"",dadosexternosBMF_1!B1178,IF(dadosexternosBMF_1!A1178="DI1 - DI de 1 dia",dadosexternosBMF_1!B1178,"")))</f>
        <v>#REF!</v>
      </c>
      <c r="D1175" s="222" t="e">
        <f>IF(C1175&lt;&gt;"",dadosexternosBMF_1!C1178,"")</f>
        <v>#REF!</v>
      </c>
      <c r="E1175" s="222" t="e">
        <f>IF(C1175&lt;&gt;"",dadosexternosBMF_1!D1178,"")</f>
        <v>#REF!</v>
      </c>
      <c r="G1175" s="219" t="e">
        <f t="shared" si="121"/>
        <v>#REF!</v>
      </c>
      <c r="H1175" s="219" t="e">
        <f t="shared" si="122"/>
        <v>#REF!</v>
      </c>
      <c r="I1175" s="219" t="e">
        <f t="shared" si="123"/>
        <v>#REF!</v>
      </c>
      <c r="J1175" s="219" t="e">
        <f>IF(I1175="","",VLOOKUP(LEFT(C1175,1),dadosexternosBMF_1!$L$2:$M$13,2,FALSE))</f>
        <v>#REF!</v>
      </c>
      <c r="K1175" s="219" t="e">
        <f t="shared" si="124"/>
        <v>#REF!</v>
      </c>
      <c r="L1175" s="422" t="e">
        <f t="shared" si="125"/>
        <v>#REF!</v>
      </c>
      <c r="M1175" s="422" t="e">
        <f>IF(I1175="","",WORKDAY(L1175-1,1,FERIADOS!$A$2:$A$831))</f>
        <v>#REF!</v>
      </c>
      <c r="N1175" s="219" t="e">
        <f>IF(I1175="","",NETWORKDAYS(Curva!$M$2,M1175,FERIADOS!$A$2:$A$831)-1)</f>
        <v>#REF!</v>
      </c>
      <c r="O1175" s="423" t="e">
        <f>IF(C1175&lt;&gt;"",IF(ISERROR((100000/E1175)^(252/N1175)-1),Curva!$B$2,((100000/E1175)^(252/N1175)-1)),"")</f>
        <v>#REF!</v>
      </c>
      <c r="P1175" s="219" t="e">
        <f>IF(OR(G1175=1,G1175=2),dadosexternosBMF_1!B1178,"")</f>
        <v>#REF!</v>
      </c>
      <c r="Q1175" s="219" t="e">
        <f>IF(OR(G1175=1,G1175=2),dadosexternosBMF_1!D1178,"")</f>
        <v>#REF!</v>
      </c>
    </row>
    <row r="1176" spans="1:17" x14ac:dyDescent="0.2">
      <c r="A1176" s="222" t="e">
        <f t="shared" si="120"/>
        <v>#REF!</v>
      </c>
      <c r="B1176" s="222" t="str">
        <f>IF(dadosexternosBMF_1!A1179="DI1 - DI de 1 dia","DI1 - DI de 1 dia","")</f>
        <v/>
      </c>
      <c r="C1176" s="222" t="e">
        <f>IF(dadosexternosBMF_1!A1179="DOL - Dólar comercial","",IF(C1175&lt;&gt;"",dadosexternosBMF_1!B1179,IF(dadosexternosBMF_1!A1179="DI1 - DI de 1 dia",dadosexternosBMF_1!B1179,"")))</f>
        <v>#REF!</v>
      </c>
      <c r="D1176" s="222" t="e">
        <f>IF(C1176&lt;&gt;"",dadosexternosBMF_1!C1179,"")</f>
        <v>#REF!</v>
      </c>
      <c r="E1176" s="222" t="e">
        <f>IF(C1176&lt;&gt;"",dadosexternosBMF_1!D1179,"")</f>
        <v>#REF!</v>
      </c>
      <c r="G1176" s="219" t="e">
        <f t="shared" si="121"/>
        <v>#REF!</v>
      </c>
      <c r="H1176" s="219" t="e">
        <f t="shared" si="122"/>
        <v>#REF!</v>
      </c>
      <c r="I1176" s="219" t="e">
        <f t="shared" si="123"/>
        <v>#REF!</v>
      </c>
      <c r="J1176" s="219" t="e">
        <f>IF(I1176="","",VLOOKUP(LEFT(C1176,1),dadosexternosBMF_1!$L$2:$M$13,2,FALSE))</f>
        <v>#REF!</v>
      </c>
      <c r="K1176" s="219" t="e">
        <f t="shared" si="124"/>
        <v>#REF!</v>
      </c>
      <c r="L1176" s="422" t="e">
        <f t="shared" si="125"/>
        <v>#REF!</v>
      </c>
      <c r="M1176" s="422" t="e">
        <f>IF(I1176="","",WORKDAY(L1176-1,1,FERIADOS!$A$2:$A$831))</f>
        <v>#REF!</v>
      </c>
      <c r="N1176" s="219" t="e">
        <f>IF(I1176="","",NETWORKDAYS(Curva!$M$2,M1176,FERIADOS!$A$2:$A$831)-1)</f>
        <v>#REF!</v>
      </c>
      <c r="O1176" s="423" t="e">
        <f>IF(C1176&lt;&gt;"",IF(ISERROR((100000/E1176)^(252/N1176)-1),Curva!$B$2,((100000/E1176)^(252/N1176)-1)),"")</f>
        <v>#REF!</v>
      </c>
      <c r="P1176" s="219" t="e">
        <f>IF(OR(G1176=1,G1176=2),dadosexternosBMF_1!B1179,"")</f>
        <v>#REF!</v>
      </c>
      <c r="Q1176" s="219" t="e">
        <f>IF(OR(G1176=1,G1176=2),dadosexternosBMF_1!D1179,"")</f>
        <v>#REF!</v>
      </c>
    </row>
    <row r="1177" spans="1:17" x14ac:dyDescent="0.2">
      <c r="A1177" s="222" t="e">
        <f t="shared" si="120"/>
        <v>#REF!</v>
      </c>
      <c r="B1177" s="222" t="str">
        <f>IF(dadosexternosBMF_1!A1180="DI1 - DI de 1 dia","DI1 - DI de 1 dia","")</f>
        <v/>
      </c>
      <c r="C1177" s="222" t="e">
        <f>IF(dadosexternosBMF_1!A1180="DOL - Dólar comercial","",IF(C1176&lt;&gt;"",dadosexternosBMF_1!B1180,IF(dadosexternosBMF_1!A1180="DI1 - DI de 1 dia",dadosexternosBMF_1!B1180,"")))</f>
        <v>#REF!</v>
      </c>
      <c r="D1177" s="222" t="e">
        <f>IF(C1177&lt;&gt;"",dadosexternosBMF_1!C1180,"")</f>
        <v>#REF!</v>
      </c>
      <c r="E1177" s="222" t="e">
        <f>IF(C1177&lt;&gt;"",dadosexternosBMF_1!D1180,"")</f>
        <v>#REF!</v>
      </c>
      <c r="G1177" s="219" t="e">
        <f t="shared" si="121"/>
        <v>#REF!</v>
      </c>
      <c r="H1177" s="219" t="e">
        <f t="shared" si="122"/>
        <v>#REF!</v>
      </c>
      <c r="I1177" s="219" t="e">
        <f t="shared" si="123"/>
        <v>#REF!</v>
      </c>
      <c r="J1177" s="219" t="e">
        <f>IF(I1177="","",VLOOKUP(LEFT(C1177,1),dadosexternosBMF_1!$L$2:$M$13,2,FALSE))</f>
        <v>#REF!</v>
      </c>
      <c r="K1177" s="219" t="e">
        <f t="shared" si="124"/>
        <v>#REF!</v>
      </c>
      <c r="L1177" s="422" t="e">
        <f t="shared" si="125"/>
        <v>#REF!</v>
      </c>
      <c r="M1177" s="422" t="e">
        <f>IF(I1177="","",WORKDAY(L1177-1,1,FERIADOS!$A$2:$A$831))</f>
        <v>#REF!</v>
      </c>
      <c r="N1177" s="219" t="e">
        <f>IF(I1177="","",NETWORKDAYS(Curva!$M$2,M1177,FERIADOS!$A$2:$A$831)-1)</f>
        <v>#REF!</v>
      </c>
      <c r="O1177" s="423" t="e">
        <f>IF(C1177&lt;&gt;"",IF(ISERROR((100000/E1177)^(252/N1177)-1),Curva!$B$2,((100000/E1177)^(252/N1177)-1)),"")</f>
        <v>#REF!</v>
      </c>
      <c r="P1177" s="219" t="e">
        <f>IF(OR(G1177=1,G1177=2),dadosexternosBMF_1!B1180,"")</f>
        <v>#REF!</v>
      </c>
      <c r="Q1177" s="219" t="e">
        <f>IF(OR(G1177=1,G1177=2),dadosexternosBMF_1!D1180,"")</f>
        <v>#REF!</v>
      </c>
    </row>
    <row r="1178" spans="1:17" x14ac:dyDescent="0.2">
      <c r="A1178" s="222" t="e">
        <f t="shared" si="120"/>
        <v>#REF!</v>
      </c>
      <c r="B1178" s="222" t="str">
        <f>IF(dadosexternosBMF_1!A1181="DI1 - DI de 1 dia","DI1 - DI de 1 dia","")</f>
        <v/>
      </c>
      <c r="C1178" s="222" t="e">
        <f>IF(dadosexternosBMF_1!A1181="DOL - Dólar comercial","",IF(C1177&lt;&gt;"",dadosexternosBMF_1!B1181,IF(dadosexternosBMF_1!A1181="DI1 - DI de 1 dia",dadosexternosBMF_1!B1181,"")))</f>
        <v>#REF!</v>
      </c>
      <c r="D1178" s="222" t="e">
        <f>IF(C1178&lt;&gt;"",dadosexternosBMF_1!C1181,"")</f>
        <v>#REF!</v>
      </c>
      <c r="E1178" s="222" t="e">
        <f>IF(C1178&lt;&gt;"",dadosexternosBMF_1!D1181,"")</f>
        <v>#REF!</v>
      </c>
      <c r="G1178" s="219" t="e">
        <f t="shared" si="121"/>
        <v>#REF!</v>
      </c>
      <c r="H1178" s="219" t="e">
        <f t="shared" si="122"/>
        <v>#REF!</v>
      </c>
      <c r="I1178" s="219" t="e">
        <f t="shared" si="123"/>
        <v>#REF!</v>
      </c>
      <c r="J1178" s="219" t="e">
        <f>IF(I1178="","",VLOOKUP(LEFT(C1178,1),dadosexternosBMF_1!$L$2:$M$13,2,FALSE))</f>
        <v>#REF!</v>
      </c>
      <c r="K1178" s="219" t="e">
        <f t="shared" si="124"/>
        <v>#REF!</v>
      </c>
      <c r="L1178" s="422" t="e">
        <f t="shared" si="125"/>
        <v>#REF!</v>
      </c>
      <c r="M1178" s="422" t="e">
        <f>IF(I1178="","",WORKDAY(L1178-1,1,FERIADOS!$A$2:$A$831))</f>
        <v>#REF!</v>
      </c>
      <c r="N1178" s="219" t="e">
        <f>IF(I1178="","",NETWORKDAYS(Curva!$M$2,M1178,FERIADOS!$A$2:$A$831)-1)</f>
        <v>#REF!</v>
      </c>
      <c r="O1178" s="423" t="e">
        <f>IF(C1178&lt;&gt;"",IF(ISERROR((100000/E1178)^(252/N1178)-1),Curva!$B$2,((100000/E1178)^(252/N1178)-1)),"")</f>
        <v>#REF!</v>
      </c>
      <c r="P1178" s="219" t="e">
        <f>IF(OR(G1178=1,G1178=2),dadosexternosBMF_1!B1181,"")</f>
        <v>#REF!</v>
      </c>
      <c r="Q1178" s="219" t="e">
        <f>IF(OR(G1178=1,G1178=2),dadosexternosBMF_1!D1181,"")</f>
        <v>#REF!</v>
      </c>
    </row>
    <row r="1179" spans="1:17" x14ac:dyDescent="0.2">
      <c r="A1179" s="222" t="e">
        <f t="shared" ref="A1179:A1242" si="126">IF(AND(A1178&lt;&gt;"",C1179&lt;&gt;""),A1178+1,IF(B1179="DI1 - DI de 1 dia",1,""))</f>
        <v>#REF!</v>
      </c>
      <c r="B1179" s="222" t="str">
        <f>IF(dadosexternosBMF_1!A1182="DI1 - DI de 1 dia","DI1 - DI de 1 dia","")</f>
        <v/>
      </c>
      <c r="C1179" s="222" t="e">
        <f>IF(dadosexternosBMF_1!A1182="DOL - Dólar comercial","",IF(C1178&lt;&gt;"",dadosexternosBMF_1!B1182,IF(dadosexternosBMF_1!A1182="DI1 - DI de 1 dia",dadosexternosBMF_1!B1182,"")))</f>
        <v>#REF!</v>
      </c>
      <c r="D1179" s="222" t="e">
        <f>IF(C1179&lt;&gt;"",dadosexternosBMF_1!C1182,"")</f>
        <v>#REF!</v>
      </c>
      <c r="E1179" s="222" t="e">
        <f>IF(C1179&lt;&gt;"",dadosexternosBMF_1!D1182,"")</f>
        <v>#REF!</v>
      </c>
      <c r="G1179" s="219" t="e">
        <f t="shared" ref="G1179:G1242" si="127">IF(G1178=1,2,IF(AND(H1179="",H1178&lt;&gt;""),1,""))</f>
        <v>#REF!</v>
      </c>
      <c r="H1179" s="219" t="e">
        <f t="shared" ref="H1179:H1242" si="128">IF(A1179&lt;&gt;"",A1179,"")</f>
        <v>#REF!</v>
      </c>
      <c r="I1179" s="219" t="e">
        <f t="shared" ref="I1179:I1242" si="129">IF(A1179&lt;&gt;"",(CONCATENATE("DI1",C1179)),"")</f>
        <v>#REF!</v>
      </c>
      <c r="J1179" s="219" t="e">
        <f>IF(I1179="","",VLOOKUP(LEFT(C1179,1),dadosexternosBMF_1!$L$2:$M$13,2,FALSE))</f>
        <v>#REF!</v>
      </c>
      <c r="K1179" s="219" t="e">
        <f t="shared" ref="K1179:K1242" si="130">IF(I1179="","",1+CONCATENATE(20,RIGHT(C1179,2))-1)</f>
        <v>#REF!</v>
      </c>
      <c r="L1179" s="422" t="e">
        <f t="shared" ref="L1179:L1242" si="131">IF(I1179="","",CONCATENATE(1,"/",J1179,"/",K1179)+1-1)</f>
        <v>#REF!</v>
      </c>
      <c r="M1179" s="422" t="e">
        <f>IF(I1179="","",WORKDAY(L1179-1,1,FERIADOS!$A$2:$A$831))</f>
        <v>#REF!</v>
      </c>
      <c r="N1179" s="219" t="e">
        <f>IF(I1179="","",NETWORKDAYS(Curva!$M$2,M1179,FERIADOS!$A$2:$A$831)-1)</f>
        <v>#REF!</v>
      </c>
      <c r="O1179" s="423" t="e">
        <f>IF(C1179&lt;&gt;"",IF(ISERROR((100000/E1179)^(252/N1179)-1),Curva!$B$2,((100000/E1179)^(252/N1179)-1)),"")</f>
        <v>#REF!</v>
      </c>
      <c r="P1179" s="219" t="e">
        <f>IF(OR(G1179=1,G1179=2),dadosexternosBMF_1!B1182,"")</f>
        <v>#REF!</v>
      </c>
      <c r="Q1179" s="219" t="e">
        <f>IF(OR(G1179=1,G1179=2),dadosexternosBMF_1!D1182,"")</f>
        <v>#REF!</v>
      </c>
    </row>
    <row r="1180" spans="1:17" x14ac:dyDescent="0.2">
      <c r="A1180" s="222" t="e">
        <f t="shared" si="126"/>
        <v>#REF!</v>
      </c>
      <c r="B1180" s="222" t="str">
        <f>IF(dadosexternosBMF_1!A1183="DI1 - DI de 1 dia","DI1 - DI de 1 dia","")</f>
        <v/>
      </c>
      <c r="C1180" s="222" t="e">
        <f>IF(dadosexternosBMF_1!A1183="DOL - Dólar comercial","",IF(C1179&lt;&gt;"",dadosexternosBMF_1!B1183,IF(dadosexternosBMF_1!A1183="DI1 - DI de 1 dia",dadosexternosBMF_1!B1183,"")))</f>
        <v>#REF!</v>
      </c>
      <c r="D1180" s="222" t="e">
        <f>IF(C1180&lt;&gt;"",dadosexternosBMF_1!C1183,"")</f>
        <v>#REF!</v>
      </c>
      <c r="E1180" s="222" t="e">
        <f>IF(C1180&lt;&gt;"",dadosexternosBMF_1!D1183,"")</f>
        <v>#REF!</v>
      </c>
      <c r="G1180" s="219" t="e">
        <f t="shared" si="127"/>
        <v>#REF!</v>
      </c>
      <c r="H1180" s="219" t="e">
        <f t="shared" si="128"/>
        <v>#REF!</v>
      </c>
      <c r="I1180" s="219" t="e">
        <f t="shared" si="129"/>
        <v>#REF!</v>
      </c>
      <c r="J1180" s="219" t="e">
        <f>IF(I1180="","",VLOOKUP(LEFT(C1180,1),dadosexternosBMF_1!$L$2:$M$13,2,FALSE))</f>
        <v>#REF!</v>
      </c>
      <c r="K1180" s="219" t="e">
        <f t="shared" si="130"/>
        <v>#REF!</v>
      </c>
      <c r="L1180" s="422" t="e">
        <f t="shared" si="131"/>
        <v>#REF!</v>
      </c>
      <c r="M1180" s="422" t="e">
        <f>IF(I1180="","",WORKDAY(L1180-1,1,FERIADOS!$A$2:$A$831))</f>
        <v>#REF!</v>
      </c>
      <c r="N1180" s="219" t="e">
        <f>IF(I1180="","",NETWORKDAYS(Curva!$M$2,M1180,FERIADOS!$A$2:$A$831)-1)</f>
        <v>#REF!</v>
      </c>
      <c r="O1180" s="423" t="e">
        <f>IF(C1180&lt;&gt;"",IF(ISERROR((100000/E1180)^(252/N1180)-1),Curva!$B$2,((100000/E1180)^(252/N1180)-1)),"")</f>
        <v>#REF!</v>
      </c>
      <c r="P1180" s="219" t="e">
        <f>IF(OR(G1180=1,G1180=2),dadosexternosBMF_1!B1183,"")</f>
        <v>#REF!</v>
      </c>
      <c r="Q1180" s="219" t="e">
        <f>IF(OR(G1180=1,G1180=2),dadosexternosBMF_1!D1183,"")</f>
        <v>#REF!</v>
      </c>
    </row>
    <row r="1181" spans="1:17" x14ac:dyDescent="0.2">
      <c r="A1181" s="222" t="e">
        <f t="shared" si="126"/>
        <v>#REF!</v>
      </c>
      <c r="B1181" s="222" t="str">
        <f>IF(dadosexternosBMF_1!A1184="DI1 - DI de 1 dia","DI1 - DI de 1 dia","")</f>
        <v/>
      </c>
      <c r="C1181" s="222" t="e">
        <f>IF(dadosexternosBMF_1!A1184="DOL - Dólar comercial","",IF(C1180&lt;&gt;"",dadosexternosBMF_1!B1184,IF(dadosexternosBMF_1!A1184="DI1 - DI de 1 dia",dadosexternosBMF_1!B1184,"")))</f>
        <v>#REF!</v>
      </c>
      <c r="D1181" s="222" t="e">
        <f>IF(C1181&lt;&gt;"",dadosexternosBMF_1!C1184,"")</f>
        <v>#REF!</v>
      </c>
      <c r="E1181" s="222" t="e">
        <f>IF(C1181&lt;&gt;"",dadosexternosBMF_1!D1184,"")</f>
        <v>#REF!</v>
      </c>
      <c r="G1181" s="219" t="e">
        <f t="shared" si="127"/>
        <v>#REF!</v>
      </c>
      <c r="H1181" s="219" t="e">
        <f t="shared" si="128"/>
        <v>#REF!</v>
      </c>
      <c r="I1181" s="219" t="e">
        <f t="shared" si="129"/>
        <v>#REF!</v>
      </c>
      <c r="J1181" s="219" t="e">
        <f>IF(I1181="","",VLOOKUP(LEFT(C1181,1),dadosexternosBMF_1!$L$2:$M$13,2,FALSE))</f>
        <v>#REF!</v>
      </c>
      <c r="K1181" s="219" t="e">
        <f t="shared" si="130"/>
        <v>#REF!</v>
      </c>
      <c r="L1181" s="422" t="e">
        <f t="shared" si="131"/>
        <v>#REF!</v>
      </c>
      <c r="M1181" s="422" t="e">
        <f>IF(I1181="","",WORKDAY(L1181-1,1,FERIADOS!$A$2:$A$831))</f>
        <v>#REF!</v>
      </c>
      <c r="N1181" s="219" t="e">
        <f>IF(I1181="","",NETWORKDAYS(Curva!$M$2,M1181,FERIADOS!$A$2:$A$831)-1)</f>
        <v>#REF!</v>
      </c>
      <c r="O1181" s="423" t="e">
        <f>IF(C1181&lt;&gt;"",IF(ISERROR((100000/E1181)^(252/N1181)-1),Curva!$B$2,((100000/E1181)^(252/N1181)-1)),"")</f>
        <v>#REF!</v>
      </c>
      <c r="P1181" s="219" t="e">
        <f>IF(OR(G1181=1,G1181=2),dadosexternosBMF_1!B1184,"")</f>
        <v>#REF!</v>
      </c>
      <c r="Q1181" s="219" t="e">
        <f>IF(OR(G1181=1,G1181=2),dadosexternosBMF_1!D1184,"")</f>
        <v>#REF!</v>
      </c>
    </row>
    <row r="1182" spans="1:17" x14ac:dyDescent="0.2">
      <c r="A1182" s="222" t="e">
        <f t="shared" si="126"/>
        <v>#REF!</v>
      </c>
      <c r="B1182" s="222" t="str">
        <f>IF(dadosexternosBMF_1!A1185="DI1 - DI de 1 dia","DI1 - DI de 1 dia","")</f>
        <v/>
      </c>
      <c r="C1182" s="222" t="e">
        <f>IF(dadosexternosBMF_1!A1185="DOL - Dólar comercial","",IF(C1181&lt;&gt;"",dadosexternosBMF_1!B1185,IF(dadosexternosBMF_1!A1185="DI1 - DI de 1 dia",dadosexternosBMF_1!B1185,"")))</f>
        <v>#REF!</v>
      </c>
      <c r="D1182" s="222" t="e">
        <f>IF(C1182&lt;&gt;"",dadosexternosBMF_1!C1185,"")</f>
        <v>#REF!</v>
      </c>
      <c r="E1182" s="222" t="e">
        <f>IF(C1182&lt;&gt;"",dadosexternosBMF_1!D1185,"")</f>
        <v>#REF!</v>
      </c>
      <c r="G1182" s="219" t="e">
        <f t="shared" si="127"/>
        <v>#REF!</v>
      </c>
      <c r="H1182" s="219" t="e">
        <f t="shared" si="128"/>
        <v>#REF!</v>
      </c>
      <c r="I1182" s="219" t="e">
        <f t="shared" si="129"/>
        <v>#REF!</v>
      </c>
      <c r="J1182" s="219" t="e">
        <f>IF(I1182="","",VLOOKUP(LEFT(C1182,1),dadosexternosBMF_1!$L$2:$M$13,2,FALSE))</f>
        <v>#REF!</v>
      </c>
      <c r="K1182" s="219" t="e">
        <f t="shared" si="130"/>
        <v>#REF!</v>
      </c>
      <c r="L1182" s="422" t="e">
        <f t="shared" si="131"/>
        <v>#REF!</v>
      </c>
      <c r="M1182" s="422" t="e">
        <f>IF(I1182="","",WORKDAY(L1182-1,1,FERIADOS!$A$2:$A$831))</f>
        <v>#REF!</v>
      </c>
      <c r="N1182" s="219" t="e">
        <f>IF(I1182="","",NETWORKDAYS(Curva!$M$2,M1182,FERIADOS!$A$2:$A$831)-1)</f>
        <v>#REF!</v>
      </c>
      <c r="O1182" s="423" t="e">
        <f>IF(C1182&lt;&gt;"",IF(ISERROR((100000/E1182)^(252/N1182)-1),Curva!$B$2,((100000/E1182)^(252/N1182)-1)),"")</f>
        <v>#REF!</v>
      </c>
      <c r="P1182" s="219" t="e">
        <f>IF(OR(G1182=1,G1182=2),dadosexternosBMF_1!B1185,"")</f>
        <v>#REF!</v>
      </c>
      <c r="Q1182" s="219" t="e">
        <f>IF(OR(G1182=1,G1182=2),dadosexternosBMF_1!D1185,"")</f>
        <v>#REF!</v>
      </c>
    </row>
    <row r="1183" spans="1:17" x14ac:dyDescent="0.2">
      <c r="A1183" s="222" t="e">
        <f t="shared" si="126"/>
        <v>#REF!</v>
      </c>
      <c r="B1183" s="222" t="str">
        <f>IF(dadosexternosBMF_1!A1186="DI1 - DI de 1 dia","DI1 - DI de 1 dia","")</f>
        <v/>
      </c>
      <c r="C1183" s="222" t="e">
        <f>IF(dadosexternosBMF_1!A1186="DOL - Dólar comercial","",IF(C1182&lt;&gt;"",dadosexternosBMF_1!B1186,IF(dadosexternosBMF_1!A1186="DI1 - DI de 1 dia",dadosexternosBMF_1!B1186,"")))</f>
        <v>#REF!</v>
      </c>
      <c r="D1183" s="222" t="e">
        <f>IF(C1183&lt;&gt;"",dadosexternosBMF_1!C1186,"")</f>
        <v>#REF!</v>
      </c>
      <c r="E1183" s="222" t="e">
        <f>IF(C1183&lt;&gt;"",dadosexternosBMF_1!D1186,"")</f>
        <v>#REF!</v>
      </c>
      <c r="G1183" s="219" t="e">
        <f t="shared" si="127"/>
        <v>#REF!</v>
      </c>
      <c r="H1183" s="219" t="e">
        <f t="shared" si="128"/>
        <v>#REF!</v>
      </c>
      <c r="I1183" s="219" t="e">
        <f t="shared" si="129"/>
        <v>#REF!</v>
      </c>
      <c r="J1183" s="219" t="e">
        <f>IF(I1183="","",VLOOKUP(LEFT(C1183,1),dadosexternosBMF_1!$L$2:$M$13,2,FALSE))</f>
        <v>#REF!</v>
      </c>
      <c r="K1183" s="219" t="e">
        <f t="shared" si="130"/>
        <v>#REF!</v>
      </c>
      <c r="L1183" s="422" t="e">
        <f t="shared" si="131"/>
        <v>#REF!</v>
      </c>
      <c r="M1183" s="422" t="e">
        <f>IF(I1183="","",WORKDAY(L1183-1,1,FERIADOS!$A$2:$A$831))</f>
        <v>#REF!</v>
      </c>
      <c r="N1183" s="219" t="e">
        <f>IF(I1183="","",NETWORKDAYS(Curva!$M$2,M1183,FERIADOS!$A$2:$A$831)-1)</f>
        <v>#REF!</v>
      </c>
      <c r="O1183" s="423" t="e">
        <f>IF(C1183&lt;&gt;"",IF(ISERROR((100000/E1183)^(252/N1183)-1),Curva!$B$2,((100000/E1183)^(252/N1183)-1)),"")</f>
        <v>#REF!</v>
      </c>
      <c r="P1183" s="219" t="e">
        <f>IF(OR(G1183=1,G1183=2),dadosexternosBMF_1!B1186,"")</f>
        <v>#REF!</v>
      </c>
      <c r="Q1183" s="219" t="e">
        <f>IF(OR(G1183=1,G1183=2),dadosexternosBMF_1!D1186,"")</f>
        <v>#REF!</v>
      </c>
    </row>
    <row r="1184" spans="1:17" x14ac:dyDescent="0.2">
      <c r="A1184" s="222" t="e">
        <f t="shared" si="126"/>
        <v>#REF!</v>
      </c>
      <c r="B1184" s="222" t="str">
        <f>IF(dadosexternosBMF_1!A1187="DI1 - DI de 1 dia","DI1 - DI de 1 dia","")</f>
        <v/>
      </c>
      <c r="C1184" s="222" t="e">
        <f>IF(dadosexternosBMF_1!A1187="DOL - Dólar comercial","",IF(C1183&lt;&gt;"",dadosexternosBMF_1!B1187,IF(dadosexternosBMF_1!A1187="DI1 - DI de 1 dia",dadosexternosBMF_1!B1187,"")))</f>
        <v>#REF!</v>
      </c>
      <c r="D1184" s="222" t="e">
        <f>IF(C1184&lt;&gt;"",dadosexternosBMF_1!C1187,"")</f>
        <v>#REF!</v>
      </c>
      <c r="E1184" s="222" t="e">
        <f>IF(C1184&lt;&gt;"",dadosexternosBMF_1!D1187,"")</f>
        <v>#REF!</v>
      </c>
      <c r="G1184" s="219" t="e">
        <f t="shared" si="127"/>
        <v>#REF!</v>
      </c>
      <c r="H1184" s="219" t="e">
        <f t="shared" si="128"/>
        <v>#REF!</v>
      </c>
      <c r="I1184" s="219" t="e">
        <f t="shared" si="129"/>
        <v>#REF!</v>
      </c>
      <c r="J1184" s="219" t="e">
        <f>IF(I1184="","",VLOOKUP(LEFT(C1184,1),dadosexternosBMF_1!$L$2:$M$13,2,FALSE))</f>
        <v>#REF!</v>
      </c>
      <c r="K1184" s="219" t="e">
        <f t="shared" si="130"/>
        <v>#REF!</v>
      </c>
      <c r="L1184" s="422" t="e">
        <f t="shared" si="131"/>
        <v>#REF!</v>
      </c>
      <c r="M1184" s="422" t="e">
        <f>IF(I1184="","",WORKDAY(L1184-1,1,FERIADOS!$A$2:$A$831))</f>
        <v>#REF!</v>
      </c>
      <c r="N1184" s="219" t="e">
        <f>IF(I1184="","",NETWORKDAYS(Curva!$M$2,M1184,FERIADOS!$A$2:$A$831)-1)</f>
        <v>#REF!</v>
      </c>
      <c r="O1184" s="423" t="e">
        <f>IF(C1184&lt;&gt;"",IF(ISERROR((100000/E1184)^(252/N1184)-1),Curva!$B$2,((100000/E1184)^(252/N1184)-1)),"")</f>
        <v>#REF!</v>
      </c>
      <c r="P1184" s="219" t="e">
        <f>IF(OR(G1184=1,G1184=2),dadosexternosBMF_1!B1187,"")</f>
        <v>#REF!</v>
      </c>
      <c r="Q1184" s="219" t="e">
        <f>IF(OR(G1184=1,G1184=2),dadosexternosBMF_1!D1187,"")</f>
        <v>#REF!</v>
      </c>
    </row>
    <row r="1185" spans="1:17" x14ac:dyDescent="0.2">
      <c r="A1185" s="222" t="e">
        <f t="shared" si="126"/>
        <v>#REF!</v>
      </c>
      <c r="B1185" s="222" t="str">
        <f>IF(dadosexternosBMF_1!A1188="DI1 - DI de 1 dia","DI1 - DI de 1 dia","")</f>
        <v/>
      </c>
      <c r="C1185" s="222" t="e">
        <f>IF(dadosexternosBMF_1!A1188="DOL - Dólar comercial","",IF(C1184&lt;&gt;"",dadosexternosBMF_1!B1188,IF(dadosexternosBMF_1!A1188="DI1 - DI de 1 dia",dadosexternosBMF_1!B1188,"")))</f>
        <v>#REF!</v>
      </c>
      <c r="D1185" s="222" t="e">
        <f>IF(C1185&lt;&gt;"",dadosexternosBMF_1!C1188,"")</f>
        <v>#REF!</v>
      </c>
      <c r="E1185" s="222" t="e">
        <f>IF(C1185&lt;&gt;"",dadosexternosBMF_1!D1188,"")</f>
        <v>#REF!</v>
      </c>
      <c r="G1185" s="219" t="e">
        <f t="shared" si="127"/>
        <v>#REF!</v>
      </c>
      <c r="H1185" s="219" t="e">
        <f t="shared" si="128"/>
        <v>#REF!</v>
      </c>
      <c r="I1185" s="219" t="e">
        <f t="shared" si="129"/>
        <v>#REF!</v>
      </c>
      <c r="J1185" s="219" t="e">
        <f>IF(I1185="","",VLOOKUP(LEFT(C1185,1),dadosexternosBMF_1!$L$2:$M$13,2,FALSE))</f>
        <v>#REF!</v>
      </c>
      <c r="K1185" s="219" t="e">
        <f t="shared" si="130"/>
        <v>#REF!</v>
      </c>
      <c r="L1185" s="422" t="e">
        <f t="shared" si="131"/>
        <v>#REF!</v>
      </c>
      <c r="M1185" s="422" t="e">
        <f>IF(I1185="","",WORKDAY(L1185-1,1,FERIADOS!$A$2:$A$831))</f>
        <v>#REF!</v>
      </c>
      <c r="N1185" s="219" t="e">
        <f>IF(I1185="","",NETWORKDAYS(Curva!$M$2,M1185,FERIADOS!$A$2:$A$831)-1)</f>
        <v>#REF!</v>
      </c>
      <c r="O1185" s="423" t="e">
        <f>IF(C1185&lt;&gt;"",IF(ISERROR((100000/E1185)^(252/N1185)-1),Curva!$B$2,((100000/E1185)^(252/N1185)-1)),"")</f>
        <v>#REF!</v>
      </c>
      <c r="P1185" s="219" t="e">
        <f>IF(OR(G1185=1,G1185=2),dadosexternosBMF_1!B1188,"")</f>
        <v>#REF!</v>
      </c>
      <c r="Q1185" s="219" t="e">
        <f>IF(OR(G1185=1,G1185=2),dadosexternosBMF_1!D1188,"")</f>
        <v>#REF!</v>
      </c>
    </row>
    <row r="1186" spans="1:17" x14ac:dyDescent="0.2">
      <c r="A1186" s="222" t="e">
        <f t="shared" si="126"/>
        <v>#REF!</v>
      </c>
      <c r="B1186" s="222" t="str">
        <f>IF(dadosexternosBMF_1!A1189="DI1 - DI de 1 dia","DI1 - DI de 1 dia","")</f>
        <v/>
      </c>
      <c r="C1186" s="222" t="e">
        <f>IF(dadosexternosBMF_1!A1189="DOL - Dólar comercial","",IF(C1185&lt;&gt;"",dadosexternosBMF_1!B1189,IF(dadosexternosBMF_1!A1189="DI1 - DI de 1 dia",dadosexternosBMF_1!B1189,"")))</f>
        <v>#REF!</v>
      </c>
      <c r="D1186" s="222" t="e">
        <f>IF(C1186&lt;&gt;"",dadosexternosBMF_1!C1189,"")</f>
        <v>#REF!</v>
      </c>
      <c r="E1186" s="222" t="e">
        <f>IF(C1186&lt;&gt;"",dadosexternosBMF_1!D1189,"")</f>
        <v>#REF!</v>
      </c>
      <c r="G1186" s="219" t="e">
        <f t="shared" si="127"/>
        <v>#REF!</v>
      </c>
      <c r="H1186" s="219" t="e">
        <f t="shared" si="128"/>
        <v>#REF!</v>
      </c>
      <c r="I1186" s="219" t="e">
        <f t="shared" si="129"/>
        <v>#REF!</v>
      </c>
      <c r="J1186" s="219" t="e">
        <f>IF(I1186="","",VLOOKUP(LEFT(C1186,1),dadosexternosBMF_1!$L$2:$M$13,2,FALSE))</f>
        <v>#REF!</v>
      </c>
      <c r="K1186" s="219" t="e">
        <f t="shared" si="130"/>
        <v>#REF!</v>
      </c>
      <c r="L1186" s="422" t="e">
        <f t="shared" si="131"/>
        <v>#REF!</v>
      </c>
      <c r="M1186" s="422" t="e">
        <f>IF(I1186="","",WORKDAY(L1186-1,1,FERIADOS!$A$2:$A$831))</f>
        <v>#REF!</v>
      </c>
      <c r="N1186" s="219" t="e">
        <f>IF(I1186="","",NETWORKDAYS(Curva!$M$2,M1186,FERIADOS!$A$2:$A$831)-1)</f>
        <v>#REF!</v>
      </c>
      <c r="O1186" s="423" t="e">
        <f>IF(C1186&lt;&gt;"",IF(ISERROR((100000/E1186)^(252/N1186)-1),Curva!$B$2,((100000/E1186)^(252/N1186)-1)),"")</f>
        <v>#REF!</v>
      </c>
      <c r="P1186" s="219" t="e">
        <f>IF(OR(G1186=1,G1186=2),dadosexternosBMF_1!B1189,"")</f>
        <v>#REF!</v>
      </c>
      <c r="Q1186" s="219" t="e">
        <f>IF(OR(G1186=1,G1186=2),dadosexternosBMF_1!D1189,"")</f>
        <v>#REF!</v>
      </c>
    </row>
    <row r="1187" spans="1:17" x14ac:dyDescent="0.2">
      <c r="A1187" s="222" t="e">
        <f t="shared" si="126"/>
        <v>#REF!</v>
      </c>
      <c r="B1187" s="222" t="str">
        <f>IF(dadosexternosBMF_1!A1190="DI1 - DI de 1 dia","DI1 - DI de 1 dia","")</f>
        <v/>
      </c>
      <c r="C1187" s="222" t="e">
        <f>IF(dadosexternosBMF_1!A1190="DOL - Dólar comercial","",IF(C1186&lt;&gt;"",dadosexternosBMF_1!B1190,IF(dadosexternosBMF_1!A1190="DI1 - DI de 1 dia",dadosexternosBMF_1!B1190,"")))</f>
        <v>#REF!</v>
      </c>
      <c r="D1187" s="222" t="e">
        <f>IF(C1187&lt;&gt;"",dadosexternosBMF_1!C1190,"")</f>
        <v>#REF!</v>
      </c>
      <c r="E1187" s="222" t="e">
        <f>IF(C1187&lt;&gt;"",dadosexternosBMF_1!D1190,"")</f>
        <v>#REF!</v>
      </c>
      <c r="G1187" s="219" t="e">
        <f t="shared" si="127"/>
        <v>#REF!</v>
      </c>
      <c r="H1187" s="219" t="e">
        <f t="shared" si="128"/>
        <v>#REF!</v>
      </c>
      <c r="I1187" s="219" t="e">
        <f t="shared" si="129"/>
        <v>#REF!</v>
      </c>
      <c r="J1187" s="219" t="e">
        <f>IF(I1187="","",VLOOKUP(LEFT(C1187,1),dadosexternosBMF_1!$L$2:$M$13,2,FALSE))</f>
        <v>#REF!</v>
      </c>
      <c r="K1187" s="219" t="e">
        <f t="shared" si="130"/>
        <v>#REF!</v>
      </c>
      <c r="L1187" s="422" t="e">
        <f t="shared" si="131"/>
        <v>#REF!</v>
      </c>
      <c r="M1187" s="422" t="e">
        <f>IF(I1187="","",WORKDAY(L1187-1,1,FERIADOS!$A$2:$A$831))</f>
        <v>#REF!</v>
      </c>
      <c r="N1187" s="219" t="e">
        <f>IF(I1187="","",NETWORKDAYS(Curva!$M$2,M1187,FERIADOS!$A$2:$A$831)-1)</f>
        <v>#REF!</v>
      </c>
      <c r="O1187" s="423" t="e">
        <f>IF(C1187&lt;&gt;"",IF(ISERROR((100000/E1187)^(252/N1187)-1),Curva!$B$2,((100000/E1187)^(252/N1187)-1)),"")</f>
        <v>#REF!</v>
      </c>
      <c r="P1187" s="219" t="e">
        <f>IF(OR(G1187=1,G1187=2),dadosexternosBMF_1!B1190,"")</f>
        <v>#REF!</v>
      </c>
      <c r="Q1187" s="219" t="e">
        <f>IF(OR(G1187=1,G1187=2),dadosexternosBMF_1!D1190,"")</f>
        <v>#REF!</v>
      </c>
    </row>
    <row r="1188" spans="1:17" x14ac:dyDescent="0.2">
      <c r="A1188" s="222" t="e">
        <f t="shared" si="126"/>
        <v>#REF!</v>
      </c>
      <c r="B1188" s="222" t="str">
        <f>IF(dadosexternosBMF_1!A1191="DI1 - DI de 1 dia","DI1 - DI de 1 dia","")</f>
        <v/>
      </c>
      <c r="C1188" s="222" t="e">
        <f>IF(dadosexternosBMF_1!A1191="DOL - Dólar comercial","",IF(C1187&lt;&gt;"",dadosexternosBMF_1!B1191,IF(dadosexternosBMF_1!A1191="DI1 - DI de 1 dia",dadosexternosBMF_1!B1191,"")))</f>
        <v>#REF!</v>
      </c>
      <c r="D1188" s="222" t="e">
        <f>IF(C1188&lt;&gt;"",dadosexternosBMF_1!C1191,"")</f>
        <v>#REF!</v>
      </c>
      <c r="E1188" s="222" t="e">
        <f>IF(C1188&lt;&gt;"",dadosexternosBMF_1!D1191,"")</f>
        <v>#REF!</v>
      </c>
      <c r="G1188" s="219" t="e">
        <f t="shared" si="127"/>
        <v>#REF!</v>
      </c>
      <c r="H1188" s="219" t="e">
        <f t="shared" si="128"/>
        <v>#REF!</v>
      </c>
      <c r="I1188" s="219" t="e">
        <f t="shared" si="129"/>
        <v>#REF!</v>
      </c>
      <c r="J1188" s="219" t="e">
        <f>IF(I1188="","",VLOOKUP(LEFT(C1188,1),dadosexternosBMF_1!$L$2:$M$13,2,FALSE))</f>
        <v>#REF!</v>
      </c>
      <c r="K1188" s="219" t="e">
        <f t="shared" si="130"/>
        <v>#REF!</v>
      </c>
      <c r="L1188" s="422" t="e">
        <f t="shared" si="131"/>
        <v>#REF!</v>
      </c>
      <c r="M1188" s="422" t="e">
        <f>IF(I1188="","",WORKDAY(L1188-1,1,FERIADOS!$A$2:$A$831))</f>
        <v>#REF!</v>
      </c>
      <c r="N1188" s="219" t="e">
        <f>IF(I1188="","",NETWORKDAYS(Curva!$M$2,M1188,FERIADOS!$A$2:$A$831)-1)</f>
        <v>#REF!</v>
      </c>
      <c r="O1188" s="423" t="e">
        <f>IF(C1188&lt;&gt;"",IF(ISERROR((100000/E1188)^(252/N1188)-1),Curva!$B$2,((100000/E1188)^(252/N1188)-1)),"")</f>
        <v>#REF!</v>
      </c>
      <c r="P1188" s="219" t="e">
        <f>IF(OR(G1188=1,G1188=2),dadosexternosBMF_1!B1191,"")</f>
        <v>#REF!</v>
      </c>
      <c r="Q1188" s="219" t="e">
        <f>IF(OR(G1188=1,G1188=2),dadosexternosBMF_1!D1191,"")</f>
        <v>#REF!</v>
      </c>
    </row>
    <row r="1189" spans="1:17" x14ac:dyDescent="0.2">
      <c r="A1189" s="222" t="e">
        <f t="shared" si="126"/>
        <v>#REF!</v>
      </c>
      <c r="B1189" s="222" t="str">
        <f>IF(dadosexternosBMF_1!A1192="DI1 - DI de 1 dia","DI1 - DI de 1 dia","")</f>
        <v/>
      </c>
      <c r="C1189" s="222" t="e">
        <f>IF(dadosexternosBMF_1!A1192="DOL - Dólar comercial","",IF(C1188&lt;&gt;"",dadosexternosBMF_1!B1192,IF(dadosexternosBMF_1!A1192="DI1 - DI de 1 dia",dadosexternosBMF_1!B1192,"")))</f>
        <v>#REF!</v>
      </c>
      <c r="D1189" s="222" t="e">
        <f>IF(C1189&lt;&gt;"",dadosexternosBMF_1!C1192,"")</f>
        <v>#REF!</v>
      </c>
      <c r="E1189" s="222" t="e">
        <f>IF(C1189&lt;&gt;"",dadosexternosBMF_1!D1192,"")</f>
        <v>#REF!</v>
      </c>
      <c r="G1189" s="219" t="e">
        <f t="shared" si="127"/>
        <v>#REF!</v>
      </c>
      <c r="H1189" s="219" t="e">
        <f t="shared" si="128"/>
        <v>#REF!</v>
      </c>
      <c r="I1189" s="219" t="e">
        <f t="shared" si="129"/>
        <v>#REF!</v>
      </c>
      <c r="J1189" s="219" t="e">
        <f>IF(I1189="","",VLOOKUP(LEFT(C1189,1),dadosexternosBMF_1!$L$2:$M$13,2,FALSE))</f>
        <v>#REF!</v>
      </c>
      <c r="K1189" s="219" t="e">
        <f t="shared" si="130"/>
        <v>#REF!</v>
      </c>
      <c r="L1189" s="422" t="e">
        <f t="shared" si="131"/>
        <v>#REF!</v>
      </c>
      <c r="M1189" s="422" t="e">
        <f>IF(I1189="","",WORKDAY(L1189-1,1,FERIADOS!$A$2:$A$831))</f>
        <v>#REF!</v>
      </c>
      <c r="N1189" s="219" t="e">
        <f>IF(I1189="","",NETWORKDAYS(Curva!$M$2,M1189,FERIADOS!$A$2:$A$831)-1)</f>
        <v>#REF!</v>
      </c>
      <c r="O1189" s="423" t="e">
        <f>IF(C1189&lt;&gt;"",IF(ISERROR((100000/E1189)^(252/N1189)-1),Curva!$B$2,((100000/E1189)^(252/N1189)-1)),"")</f>
        <v>#REF!</v>
      </c>
      <c r="P1189" s="219" t="e">
        <f>IF(OR(G1189=1,G1189=2),dadosexternosBMF_1!B1192,"")</f>
        <v>#REF!</v>
      </c>
      <c r="Q1189" s="219" t="e">
        <f>IF(OR(G1189=1,G1189=2),dadosexternosBMF_1!D1192,"")</f>
        <v>#REF!</v>
      </c>
    </row>
    <row r="1190" spans="1:17" x14ac:dyDescent="0.2">
      <c r="A1190" s="222" t="e">
        <f t="shared" si="126"/>
        <v>#REF!</v>
      </c>
      <c r="B1190" s="222" t="str">
        <f>IF(dadosexternosBMF_1!A1193="DI1 - DI de 1 dia","DI1 - DI de 1 dia","")</f>
        <v/>
      </c>
      <c r="C1190" s="222" t="e">
        <f>IF(dadosexternosBMF_1!A1193="DOL - Dólar comercial","",IF(C1189&lt;&gt;"",dadosexternosBMF_1!B1193,IF(dadosexternosBMF_1!A1193="DI1 - DI de 1 dia",dadosexternosBMF_1!B1193,"")))</f>
        <v>#REF!</v>
      </c>
      <c r="D1190" s="222" t="e">
        <f>IF(C1190&lt;&gt;"",dadosexternosBMF_1!C1193,"")</f>
        <v>#REF!</v>
      </c>
      <c r="E1190" s="222" t="e">
        <f>IF(C1190&lt;&gt;"",dadosexternosBMF_1!D1193,"")</f>
        <v>#REF!</v>
      </c>
      <c r="G1190" s="219" t="e">
        <f t="shared" si="127"/>
        <v>#REF!</v>
      </c>
      <c r="H1190" s="219" t="e">
        <f t="shared" si="128"/>
        <v>#REF!</v>
      </c>
      <c r="I1190" s="219" t="e">
        <f t="shared" si="129"/>
        <v>#REF!</v>
      </c>
      <c r="J1190" s="219" t="e">
        <f>IF(I1190="","",VLOOKUP(LEFT(C1190,1),dadosexternosBMF_1!$L$2:$M$13,2,FALSE))</f>
        <v>#REF!</v>
      </c>
      <c r="K1190" s="219" t="e">
        <f t="shared" si="130"/>
        <v>#REF!</v>
      </c>
      <c r="L1190" s="422" t="e">
        <f t="shared" si="131"/>
        <v>#REF!</v>
      </c>
      <c r="M1190" s="422" t="e">
        <f>IF(I1190="","",WORKDAY(L1190-1,1,FERIADOS!$A$2:$A$831))</f>
        <v>#REF!</v>
      </c>
      <c r="N1190" s="219" t="e">
        <f>IF(I1190="","",NETWORKDAYS(Curva!$M$2,M1190,FERIADOS!$A$2:$A$831)-1)</f>
        <v>#REF!</v>
      </c>
      <c r="O1190" s="423" t="e">
        <f>IF(C1190&lt;&gt;"",IF(ISERROR((100000/E1190)^(252/N1190)-1),Curva!$B$2,((100000/E1190)^(252/N1190)-1)),"")</f>
        <v>#REF!</v>
      </c>
      <c r="P1190" s="219" t="e">
        <f>IF(OR(G1190=1,G1190=2),dadosexternosBMF_1!B1193,"")</f>
        <v>#REF!</v>
      </c>
      <c r="Q1190" s="219" t="e">
        <f>IF(OR(G1190=1,G1190=2),dadosexternosBMF_1!D1193,"")</f>
        <v>#REF!</v>
      </c>
    </row>
    <row r="1191" spans="1:17" x14ac:dyDescent="0.2">
      <c r="A1191" s="222" t="e">
        <f t="shared" si="126"/>
        <v>#REF!</v>
      </c>
      <c r="B1191" s="222" t="str">
        <f>IF(dadosexternosBMF_1!A1194="DI1 - DI de 1 dia","DI1 - DI de 1 dia","")</f>
        <v/>
      </c>
      <c r="C1191" s="222" t="e">
        <f>IF(dadosexternosBMF_1!A1194="DOL - Dólar comercial","",IF(C1190&lt;&gt;"",dadosexternosBMF_1!B1194,IF(dadosexternosBMF_1!A1194="DI1 - DI de 1 dia",dadosexternosBMF_1!B1194,"")))</f>
        <v>#REF!</v>
      </c>
      <c r="D1191" s="222" t="e">
        <f>IF(C1191&lt;&gt;"",dadosexternosBMF_1!C1194,"")</f>
        <v>#REF!</v>
      </c>
      <c r="E1191" s="222" t="e">
        <f>IF(C1191&lt;&gt;"",dadosexternosBMF_1!D1194,"")</f>
        <v>#REF!</v>
      </c>
      <c r="G1191" s="219" t="e">
        <f t="shared" si="127"/>
        <v>#REF!</v>
      </c>
      <c r="H1191" s="219" t="e">
        <f t="shared" si="128"/>
        <v>#REF!</v>
      </c>
      <c r="I1191" s="219" t="e">
        <f t="shared" si="129"/>
        <v>#REF!</v>
      </c>
      <c r="J1191" s="219" t="e">
        <f>IF(I1191="","",VLOOKUP(LEFT(C1191,1),dadosexternosBMF_1!$L$2:$M$13,2,FALSE))</f>
        <v>#REF!</v>
      </c>
      <c r="K1191" s="219" t="e">
        <f t="shared" si="130"/>
        <v>#REF!</v>
      </c>
      <c r="L1191" s="422" t="e">
        <f t="shared" si="131"/>
        <v>#REF!</v>
      </c>
      <c r="M1191" s="422" t="e">
        <f>IF(I1191="","",WORKDAY(L1191-1,1,FERIADOS!$A$2:$A$831))</f>
        <v>#REF!</v>
      </c>
      <c r="N1191" s="219" t="e">
        <f>IF(I1191="","",NETWORKDAYS(Curva!$M$2,M1191,FERIADOS!$A$2:$A$831)-1)</f>
        <v>#REF!</v>
      </c>
      <c r="O1191" s="423" t="e">
        <f>IF(C1191&lt;&gt;"",IF(ISERROR((100000/E1191)^(252/N1191)-1),Curva!$B$2,((100000/E1191)^(252/N1191)-1)),"")</f>
        <v>#REF!</v>
      </c>
      <c r="P1191" s="219" t="e">
        <f>IF(OR(G1191=1,G1191=2),dadosexternosBMF_1!B1194,"")</f>
        <v>#REF!</v>
      </c>
      <c r="Q1191" s="219" t="e">
        <f>IF(OR(G1191=1,G1191=2),dadosexternosBMF_1!D1194,"")</f>
        <v>#REF!</v>
      </c>
    </row>
    <row r="1192" spans="1:17" x14ac:dyDescent="0.2">
      <c r="A1192" s="222" t="e">
        <f t="shared" si="126"/>
        <v>#REF!</v>
      </c>
      <c r="B1192" s="222" t="str">
        <f>IF(dadosexternosBMF_1!A1195="DI1 - DI de 1 dia","DI1 - DI de 1 dia","")</f>
        <v/>
      </c>
      <c r="C1192" s="222" t="e">
        <f>IF(dadosexternosBMF_1!A1195="DOL - Dólar comercial","",IF(C1191&lt;&gt;"",dadosexternosBMF_1!B1195,IF(dadosexternosBMF_1!A1195="DI1 - DI de 1 dia",dadosexternosBMF_1!B1195,"")))</f>
        <v>#REF!</v>
      </c>
      <c r="D1192" s="222" t="e">
        <f>IF(C1192&lt;&gt;"",dadosexternosBMF_1!C1195,"")</f>
        <v>#REF!</v>
      </c>
      <c r="E1192" s="222" t="e">
        <f>IF(C1192&lt;&gt;"",dadosexternosBMF_1!D1195,"")</f>
        <v>#REF!</v>
      </c>
      <c r="G1192" s="219" t="e">
        <f t="shared" si="127"/>
        <v>#REF!</v>
      </c>
      <c r="H1192" s="219" t="e">
        <f t="shared" si="128"/>
        <v>#REF!</v>
      </c>
      <c r="I1192" s="219" t="e">
        <f t="shared" si="129"/>
        <v>#REF!</v>
      </c>
      <c r="J1192" s="219" t="e">
        <f>IF(I1192="","",VLOOKUP(LEFT(C1192,1),dadosexternosBMF_1!$L$2:$M$13,2,FALSE))</f>
        <v>#REF!</v>
      </c>
      <c r="K1192" s="219" t="e">
        <f t="shared" si="130"/>
        <v>#REF!</v>
      </c>
      <c r="L1192" s="422" t="e">
        <f t="shared" si="131"/>
        <v>#REF!</v>
      </c>
      <c r="M1192" s="422" t="e">
        <f>IF(I1192="","",WORKDAY(L1192-1,1,FERIADOS!$A$2:$A$831))</f>
        <v>#REF!</v>
      </c>
      <c r="N1192" s="219" t="e">
        <f>IF(I1192="","",NETWORKDAYS(Curva!$M$2,M1192,FERIADOS!$A$2:$A$831)-1)</f>
        <v>#REF!</v>
      </c>
      <c r="O1192" s="423" t="e">
        <f>IF(C1192&lt;&gt;"",IF(ISERROR((100000/E1192)^(252/N1192)-1),Curva!$B$2,((100000/E1192)^(252/N1192)-1)),"")</f>
        <v>#REF!</v>
      </c>
      <c r="P1192" s="219" t="e">
        <f>IF(OR(G1192=1,G1192=2),dadosexternosBMF_1!B1195,"")</f>
        <v>#REF!</v>
      </c>
      <c r="Q1192" s="219" t="e">
        <f>IF(OR(G1192=1,G1192=2),dadosexternosBMF_1!D1195,"")</f>
        <v>#REF!</v>
      </c>
    </row>
    <row r="1193" spans="1:17" x14ac:dyDescent="0.2">
      <c r="A1193" s="222" t="e">
        <f t="shared" si="126"/>
        <v>#REF!</v>
      </c>
      <c r="B1193" s="222" t="str">
        <f>IF(dadosexternosBMF_1!A1196="DI1 - DI de 1 dia","DI1 - DI de 1 dia","")</f>
        <v/>
      </c>
      <c r="C1193" s="222" t="e">
        <f>IF(dadosexternosBMF_1!A1196="DOL - Dólar comercial","",IF(C1192&lt;&gt;"",dadosexternosBMF_1!B1196,IF(dadosexternosBMF_1!A1196="DI1 - DI de 1 dia",dadosexternosBMF_1!B1196,"")))</f>
        <v>#REF!</v>
      </c>
      <c r="D1193" s="222" t="e">
        <f>IF(C1193&lt;&gt;"",dadosexternosBMF_1!C1196,"")</f>
        <v>#REF!</v>
      </c>
      <c r="E1193" s="222" t="e">
        <f>IF(C1193&lt;&gt;"",dadosexternosBMF_1!D1196,"")</f>
        <v>#REF!</v>
      </c>
      <c r="G1193" s="219" t="e">
        <f t="shared" si="127"/>
        <v>#REF!</v>
      </c>
      <c r="H1193" s="219" t="e">
        <f t="shared" si="128"/>
        <v>#REF!</v>
      </c>
      <c r="I1193" s="219" t="e">
        <f t="shared" si="129"/>
        <v>#REF!</v>
      </c>
      <c r="J1193" s="219" t="e">
        <f>IF(I1193="","",VLOOKUP(LEFT(C1193,1),dadosexternosBMF_1!$L$2:$M$13,2,FALSE))</f>
        <v>#REF!</v>
      </c>
      <c r="K1193" s="219" t="e">
        <f t="shared" si="130"/>
        <v>#REF!</v>
      </c>
      <c r="L1193" s="422" t="e">
        <f t="shared" si="131"/>
        <v>#REF!</v>
      </c>
      <c r="M1193" s="422" t="e">
        <f>IF(I1193="","",WORKDAY(L1193-1,1,FERIADOS!$A$2:$A$831))</f>
        <v>#REF!</v>
      </c>
      <c r="N1193" s="219" t="e">
        <f>IF(I1193="","",NETWORKDAYS(Curva!$M$2,M1193,FERIADOS!$A$2:$A$831)-1)</f>
        <v>#REF!</v>
      </c>
      <c r="O1193" s="423" t="e">
        <f>IF(C1193&lt;&gt;"",IF(ISERROR((100000/E1193)^(252/N1193)-1),Curva!$B$2,((100000/E1193)^(252/N1193)-1)),"")</f>
        <v>#REF!</v>
      </c>
      <c r="P1193" s="219" t="e">
        <f>IF(OR(G1193=1,G1193=2),dadosexternosBMF_1!B1196,"")</f>
        <v>#REF!</v>
      </c>
      <c r="Q1193" s="219" t="e">
        <f>IF(OR(G1193=1,G1193=2),dadosexternosBMF_1!D1196,"")</f>
        <v>#REF!</v>
      </c>
    </row>
    <row r="1194" spans="1:17" x14ac:dyDescent="0.2">
      <c r="A1194" s="222" t="e">
        <f t="shared" si="126"/>
        <v>#REF!</v>
      </c>
      <c r="B1194" s="222" t="str">
        <f>IF(dadosexternosBMF_1!A1197="DI1 - DI de 1 dia","DI1 - DI de 1 dia","")</f>
        <v/>
      </c>
      <c r="C1194" s="222" t="e">
        <f>IF(dadosexternosBMF_1!A1197="DOL - Dólar comercial","",IF(C1193&lt;&gt;"",dadosexternosBMF_1!B1197,IF(dadosexternosBMF_1!A1197="DI1 - DI de 1 dia",dadosexternosBMF_1!B1197,"")))</f>
        <v>#REF!</v>
      </c>
      <c r="D1194" s="222" t="e">
        <f>IF(C1194&lt;&gt;"",dadosexternosBMF_1!C1197,"")</f>
        <v>#REF!</v>
      </c>
      <c r="E1194" s="222" t="e">
        <f>IF(C1194&lt;&gt;"",dadosexternosBMF_1!D1197,"")</f>
        <v>#REF!</v>
      </c>
      <c r="G1194" s="219" t="e">
        <f t="shared" si="127"/>
        <v>#REF!</v>
      </c>
      <c r="H1194" s="219" t="e">
        <f t="shared" si="128"/>
        <v>#REF!</v>
      </c>
      <c r="I1194" s="219" t="e">
        <f t="shared" si="129"/>
        <v>#REF!</v>
      </c>
      <c r="J1194" s="219" t="e">
        <f>IF(I1194="","",VLOOKUP(LEFT(C1194,1),dadosexternosBMF_1!$L$2:$M$13,2,FALSE))</f>
        <v>#REF!</v>
      </c>
      <c r="K1194" s="219" t="e">
        <f t="shared" si="130"/>
        <v>#REF!</v>
      </c>
      <c r="L1194" s="422" t="e">
        <f t="shared" si="131"/>
        <v>#REF!</v>
      </c>
      <c r="M1194" s="422" t="e">
        <f>IF(I1194="","",WORKDAY(L1194-1,1,FERIADOS!$A$2:$A$831))</f>
        <v>#REF!</v>
      </c>
      <c r="N1194" s="219" t="e">
        <f>IF(I1194="","",NETWORKDAYS(Curva!$M$2,M1194,FERIADOS!$A$2:$A$831)-1)</f>
        <v>#REF!</v>
      </c>
      <c r="O1194" s="423" t="e">
        <f>IF(C1194&lt;&gt;"",IF(ISERROR((100000/E1194)^(252/N1194)-1),Curva!$B$2,((100000/E1194)^(252/N1194)-1)),"")</f>
        <v>#REF!</v>
      </c>
      <c r="P1194" s="219" t="e">
        <f>IF(OR(G1194=1,G1194=2),dadosexternosBMF_1!B1197,"")</f>
        <v>#REF!</v>
      </c>
      <c r="Q1194" s="219" t="e">
        <f>IF(OR(G1194=1,G1194=2),dadosexternosBMF_1!D1197,"")</f>
        <v>#REF!</v>
      </c>
    </row>
    <row r="1195" spans="1:17" x14ac:dyDescent="0.2">
      <c r="A1195" s="222" t="e">
        <f t="shared" si="126"/>
        <v>#REF!</v>
      </c>
      <c r="B1195" s="222" t="str">
        <f>IF(dadosexternosBMF_1!A1198="DI1 - DI de 1 dia","DI1 - DI de 1 dia","")</f>
        <v/>
      </c>
      <c r="C1195" s="222" t="e">
        <f>IF(dadosexternosBMF_1!A1198="DOL - Dólar comercial","",IF(C1194&lt;&gt;"",dadosexternosBMF_1!B1198,IF(dadosexternosBMF_1!A1198="DI1 - DI de 1 dia",dadosexternosBMF_1!B1198,"")))</f>
        <v>#REF!</v>
      </c>
      <c r="D1195" s="222" t="e">
        <f>IF(C1195&lt;&gt;"",dadosexternosBMF_1!C1198,"")</f>
        <v>#REF!</v>
      </c>
      <c r="E1195" s="222" t="e">
        <f>IF(C1195&lt;&gt;"",dadosexternosBMF_1!D1198,"")</f>
        <v>#REF!</v>
      </c>
      <c r="G1195" s="219" t="e">
        <f t="shared" si="127"/>
        <v>#REF!</v>
      </c>
      <c r="H1195" s="219" t="e">
        <f t="shared" si="128"/>
        <v>#REF!</v>
      </c>
      <c r="I1195" s="219" t="e">
        <f t="shared" si="129"/>
        <v>#REF!</v>
      </c>
      <c r="J1195" s="219" t="e">
        <f>IF(I1195="","",VLOOKUP(LEFT(C1195,1),dadosexternosBMF_1!$L$2:$M$13,2,FALSE))</f>
        <v>#REF!</v>
      </c>
      <c r="K1195" s="219" t="e">
        <f t="shared" si="130"/>
        <v>#REF!</v>
      </c>
      <c r="L1195" s="422" t="e">
        <f t="shared" si="131"/>
        <v>#REF!</v>
      </c>
      <c r="M1195" s="422" t="e">
        <f>IF(I1195="","",WORKDAY(L1195-1,1,FERIADOS!$A$2:$A$831))</f>
        <v>#REF!</v>
      </c>
      <c r="N1195" s="219" t="e">
        <f>IF(I1195="","",NETWORKDAYS(Curva!$M$2,M1195,FERIADOS!$A$2:$A$831)-1)</f>
        <v>#REF!</v>
      </c>
      <c r="O1195" s="423" t="e">
        <f>IF(C1195&lt;&gt;"",IF(ISERROR((100000/E1195)^(252/N1195)-1),Curva!$B$2,((100000/E1195)^(252/N1195)-1)),"")</f>
        <v>#REF!</v>
      </c>
      <c r="P1195" s="219" t="e">
        <f>IF(OR(G1195=1,G1195=2),dadosexternosBMF_1!B1198,"")</f>
        <v>#REF!</v>
      </c>
      <c r="Q1195" s="219" t="e">
        <f>IF(OR(G1195=1,G1195=2),dadosexternosBMF_1!D1198,"")</f>
        <v>#REF!</v>
      </c>
    </row>
    <row r="1196" spans="1:17" x14ac:dyDescent="0.2">
      <c r="A1196" s="222" t="e">
        <f t="shared" si="126"/>
        <v>#REF!</v>
      </c>
      <c r="B1196" s="222" t="str">
        <f>IF(dadosexternosBMF_1!A1199="DI1 - DI de 1 dia","DI1 - DI de 1 dia","")</f>
        <v/>
      </c>
      <c r="C1196" s="222" t="e">
        <f>IF(dadosexternosBMF_1!A1199="DOL - Dólar comercial","",IF(C1195&lt;&gt;"",dadosexternosBMF_1!B1199,IF(dadosexternosBMF_1!A1199="DI1 - DI de 1 dia",dadosexternosBMF_1!B1199,"")))</f>
        <v>#REF!</v>
      </c>
      <c r="D1196" s="222" t="e">
        <f>IF(C1196&lt;&gt;"",dadosexternosBMF_1!C1199,"")</f>
        <v>#REF!</v>
      </c>
      <c r="E1196" s="222" t="e">
        <f>IF(C1196&lt;&gt;"",dadosexternosBMF_1!D1199,"")</f>
        <v>#REF!</v>
      </c>
      <c r="G1196" s="219" t="e">
        <f t="shared" si="127"/>
        <v>#REF!</v>
      </c>
      <c r="H1196" s="219" t="e">
        <f t="shared" si="128"/>
        <v>#REF!</v>
      </c>
      <c r="I1196" s="219" t="e">
        <f t="shared" si="129"/>
        <v>#REF!</v>
      </c>
      <c r="J1196" s="219" t="e">
        <f>IF(I1196="","",VLOOKUP(LEFT(C1196,1),dadosexternosBMF_1!$L$2:$M$13,2,FALSE))</f>
        <v>#REF!</v>
      </c>
      <c r="K1196" s="219" t="e">
        <f t="shared" si="130"/>
        <v>#REF!</v>
      </c>
      <c r="L1196" s="422" t="e">
        <f t="shared" si="131"/>
        <v>#REF!</v>
      </c>
      <c r="M1196" s="422" t="e">
        <f>IF(I1196="","",WORKDAY(L1196-1,1,FERIADOS!$A$2:$A$831))</f>
        <v>#REF!</v>
      </c>
      <c r="N1196" s="219" t="e">
        <f>IF(I1196="","",NETWORKDAYS(Curva!$M$2,M1196,FERIADOS!$A$2:$A$831)-1)</f>
        <v>#REF!</v>
      </c>
      <c r="O1196" s="423" t="e">
        <f>IF(C1196&lt;&gt;"",IF(ISERROR((100000/E1196)^(252/N1196)-1),Curva!$B$2,((100000/E1196)^(252/N1196)-1)),"")</f>
        <v>#REF!</v>
      </c>
      <c r="P1196" s="219" t="e">
        <f>IF(OR(G1196=1,G1196=2),dadosexternosBMF_1!B1199,"")</f>
        <v>#REF!</v>
      </c>
      <c r="Q1196" s="219" t="e">
        <f>IF(OR(G1196=1,G1196=2),dadosexternosBMF_1!D1199,"")</f>
        <v>#REF!</v>
      </c>
    </row>
    <row r="1197" spans="1:17" x14ac:dyDescent="0.2">
      <c r="A1197" s="222" t="e">
        <f t="shared" si="126"/>
        <v>#REF!</v>
      </c>
      <c r="B1197" s="222" t="str">
        <f>IF(dadosexternosBMF_1!A1200="DI1 - DI de 1 dia","DI1 - DI de 1 dia","")</f>
        <v/>
      </c>
      <c r="C1197" s="222" t="e">
        <f>IF(dadosexternosBMF_1!A1200="DOL - Dólar comercial","",IF(C1196&lt;&gt;"",dadosexternosBMF_1!B1200,IF(dadosexternosBMF_1!A1200="DI1 - DI de 1 dia",dadosexternosBMF_1!B1200,"")))</f>
        <v>#REF!</v>
      </c>
      <c r="D1197" s="222" t="e">
        <f>IF(C1197&lt;&gt;"",dadosexternosBMF_1!C1200,"")</f>
        <v>#REF!</v>
      </c>
      <c r="E1197" s="222" t="e">
        <f>IF(C1197&lt;&gt;"",dadosexternosBMF_1!D1200,"")</f>
        <v>#REF!</v>
      </c>
      <c r="G1197" s="219" t="e">
        <f t="shared" si="127"/>
        <v>#REF!</v>
      </c>
      <c r="H1197" s="219" t="e">
        <f t="shared" si="128"/>
        <v>#REF!</v>
      </c>
      <c r="I1197" s="219" t="e">
        <f t="shared" si="129"/>
        <v>#REF!</v>
      </c>
      <c r="J1197" s="219" t="e">
        <f>IF(I1197="","",VLOOKUP(LEFT(C1197,1),dadosexternosBMF_1!$L$2:$M$13,2,FALSE))</f>
        <v>#REF!</v>
      </c>
      <c r="K1197" s="219" t="e">
        <f t="shared" si="130"/>
        <v>#REF!</v>
      </c>
      <c r="L1197" s="422" t="e">
        <f t="shared" si="131"/>
        <v>#REF!</v>
      </c>
      <c r="M1197" s="422" t="e">
        <f>IF(I1197="","",WORKDAY(L1197-1,1,FERIADOS!$A$2:$A$831))</f>
        <v>#REF!</v>
      </c>
      <c r="N1197" s="219" t="e">
        <f>IF(I1197="","",NETWORKDAYS(Curva!$M$2,M1197,FERIADOS!$A$2:$A$831)-1)</f>
        <v>#REF!</v>
      </c>
      <c r="O1197" s="423" t="e">
        <f>IF(C1197&lt;&gt;"",IF(ISERROR((100000/E1197)^(252/N1197)-1),Curva!$B$2,((100000/E1197)^(252/N1197)-1)),"")</f>
        <v>#REF!</v>
      </c>
      <c r="P1197" s="219" t="e">
        <f>IF(OR(G1197=1,G1197=2),dadosexternosBMF_1!B1200,"")</f>
        <v>#REF!</v>
      </c>
      <c r="Q1197" s="219" t="e">
        <f>IF(OR(G1197=1,G1197=2),dadosexternosBMF_1!D1200,"")</f>
        <v>#REF!</v>
      </c>
    </row>
    <row r="1198" spans="1:17" x14ac:dyDescent="0.2">
      <c r="A1198" s="222" t="e">
        <f t="shared" si="126"/>
        <v>#REF!</v>
      </c>
      <c r="B1198" s="222" t="str">
        <f>IF(dadosexternosBMF_1!A1201="DI1 - DI de 1 dia","DI1 - DI de 1 dia","")</f>
        <v/>
      </c>
      <c r="C1198" s="222" t="e">
        <f>IF(dadosexternosBMF_1!A1201="DOL - Dólar comercial","",IF(C1197&lt;&gt;"",dadosexternosBMF_1!B1201,IF(dadosexternosBMF_1!A1201="DI1 - DI de 1 dia",dadosexternosBMF_1!B1201,"")))</f>
        <v>#REF!</v>
      </c>
      <c r="D1198" s="222" t="e">
        <f>IF(C1198&lt;&gt;"",dadosexternosBMF_1!C1201,"")</f>
        <v>#REF!</v>
      </c>
      <c r="E1198" s="222" t="e">
        <f>IF(C1198&lt;&gt;"",dadosexternosBMF_1!D1201,"")</f>
        <v>#REF!</v>
      </c>
      <c r="G1198" s="219" t="e">
        <f t="shared" si="127"/>
        <v>#REF!</v>
      </c>
      <c r="H1198" s="219" t="e">
        <f t="shared" si="128"/>
        <v>#REF!</v>
      </c>
      <c r="I1198" s="219" t="e">
        <f t="shared" si="129"/>
        <v>#REF!</v>
      </c>
      <c r="J1198" s="219" t="e">
        <f>IF(I1198="","",VLOOKUP(LEFT(C1198,1),dadosexternosBMF_1!$L$2:$M$13,2,FALSE))</f>
        <v>#REF!</v>
      </c>
      <c r="K1198" s="219" t="e">
        <f t="shared" si="130"/>
        <v>#REF!</v>
      </c>
      <c r="L1198" s="422" t="e">
        <f t="shared" si="131"/>
        <v>#REF!</v>
      </c>
      <c r="M1198" s="422" t="e">
        <f>IF(I1198="","",WORKDAY(L1198-1,1,FERIADOS!$A$2:$A$831))</f>
        <v>#REF!</v>
      </c>
      <c r="N1198" s="219" t="e">
        <f>IF(I1198="","",NETWORKDAYS(Curva!$M$2,M1198,FERIADOS!$A$2:$A$831)-1)</f>
        <v>#REF!</v>
      </c>
      <c r="O1198" s="423" t="e">
        <f>IF(C1198&lt;&gt;"",IF(ISERROR((100000/E1198)^(252/N1198)-1),Curva!$B$2,((100000/E1198)^(252/N1198)-1)),"")</f>
        <v>#REF!</v>
      </c>
      <c r="P1198" s="219" t="e">
        <f>IF(OR(G1198=1,G1198=2),dadosexternosBMF_1!B1201,"")</f>
        <v>#REF!</v>
      </c>
      <c r="Q1198" s="219" t="e">
        <f>IF(OR(G1198=1,G1198=2),dadosexternosBMF_1!D1201,"")</f>
        <v>#REF!</v>
      </c>
    </row>
    <row r="1199" spans="1:17" x14ac:dyDescent="0.2">
      <c r="A1199" s="222" t="e">
        <f t="shared" si="126"/>
        <v>#REF!</v>
      </c>
      <c r="B1199" s="222" t="str">
        <f>IF(dadosexternosBMF_1!A1202="DI1 - DI de 1 dia","DI1 - DI de 1 dia","")</f>
        <v/>
      </c>
      <c r="C1199" s="222" t="e">
        <f>IF(dadosexternosBMF_1!A1202="DOL - Dólar comercial","",IF(C1198&lt;&gt;"",dadosexternosBMF_1!B1202,IF(dadosexternosBMF_1!A1202="DI1 - DI de 1 dia",dadosexternosBMF_1!B1202,"")))</f>
        <v>#REF!</v>
      </c>
      <c r="D1199" s="222" t="e">
        <f>IF(C1199&lt;&gt;"",dadosexternosBMF_1!C1202,"")</f>
        <v>#REF!</v>
      </c>
      <c r="E1199" s="222" t="e">
        <f>IF(C1199&lt;&gt;"",dadosexternosBMF_1!D1202,"")</f>
        <v>#REF!</v>
      </c>
      <c r="G1199" s="219" t="e">
        <f t="shared" si="127"/>
        <v>#REF!</v>
      </c>
      <c r="H1199" s="219" t="e">
        <f t="shared" si="128"/>
        <v>#REF!</v>
      </c>
      <c r="I1199" s="219" t="e">
        <f t="shared" si="129"/>
        <v>#REF!</v>
      </c>
      <c r="J1199" s="219" t="e">
        <f>IF(I1199="","",VLOOKUP(LEFT(C1199,1),dadosexternosBMF_1!$L$2:$M$13,2,FALSE))</f>
        <v>#REF!</v>
      </c>
      <c r="K1199" s="219" t="e">
        <f t="shared" si="130"/>
        <v>#REF!</v>
      </c>
      <c r="L1199" s="422" t="e">
        <f t="shared" si="131"/>
        <v>#REF!</v>
      </c>
      <c r="M1199" s="422" t="e">
        <f>IF(I1199="","",WORKDAY(L1199-1,1,FERIADOS!$A$2:$A$831))</f>
        <v>#REF!</v>
      </c>
      <c r="N1199" s="219" t="e">
        <f>IF(I1199="","",NETWORKDAYS(Curva!$M$2,M1199,FERIADOS!$A$2:$A$831)-1)</f>
        <v>#REF!</v>
      </c>
      <c r="O1199" s="423" t="e">
        <f>IF(C1199&lt;&gt;"",IF(ISERROR((100000/E1199)^(252/N1199)-1),Curva!$B$2,((100000/E1199)^(252/N1199)-1)),"")</f>
        <v>#REF!</v>
      </c>
      <c r="P1199" s="219" t="e">
        <f>IF(OR(G1199=1,G1199=2),dadosexternosBMF_1!B1202,"")</f>
        <v>#REF!</v>
      </c>
      <c r="Q1199" s="219" t="e">
        <f>IF(OR(G1199=1,G1199=2),dadosexternosBMF_1!D1202,"")</f>
        <v>#REF!</v>
      </c>
    </row>
    <row r="1200" spans="1:17" x14ac:dyDescent="0.2">
      <c r="A1200" s="222" t="e">
        <f t="shared" si="126"/>
        <v>#REF!</v>
      </c>
      <c r="B1200" s="222" t="str">
        <f>IF(dadosexternosBMF_1!A1203="DI1 - DI de 1 dia","DI1 - DI de 1 dia","")</f>
        <v/>
      </c>
      <c r="C1200" s="222" t="e">
        <f>IF(dadosexternosBMF_1!A1203="DOL - Dólar comercial","",IF(C1199&lt;&gt;"",dadosexternosBMF_1!B1203,IF(dadosexternosBMF_1!A1203="DI1 - DI de 1 dia",dadosexternosBMF_1!B1203,"")))</f>
        <v>#REF!</v>
      </c>
      <c r="D1200" s="222" t="e">
        <f>IF(C1200&lt;&gt;"",dadosexternosBMF_1!C1203,"")</f>
        <v>#REF!</v>
      </c>
      <c r="E1200" s="222" t="e">
        <f>IF(C1200&lt;&gt;"",dadosexternosBMF_1!D1203,"")</f>
        <v>#REF!</v>
      </c>
      <c r="G1200" s="219" t="e">
        <f t="shared" si="127"/>
        <v>#REF!</v>
      </c>
      <c r="H1200" s="219" t="e">
        <f t="shared" si="128"/>
        <v>#REF!</v>
      </c>
      <c r="I1200" s="219" t="e">
        <f t="shared" si="129"/>
        <v>#REF!</v>
      </c>
      <c r="J1200" s="219" t="e">
        <f>IF(I1200="","",VLOOKUP(LEFT(C1200,1),dadosexternosBMF_1!$L$2:$M$13,2,FALSE))</f>
        <v>#REF!</v>
      </c>
      <c r="K1200" s="219" t="e">
        <f t="shared" si="130"/>
        <v>#REF!</v>
      </c>
      <c r="L1200" s="422" t="e">
        <f t="shared" si="131"/>
        <v>#REF!</v>
      </c>
      <c r="M1200" s="422" t="e">
        <f>IF(I1200="","",WORKDAY(L1200-1,1,FERIADOS!$A$2:$A$831))</f>
        <v>#REF!</v>
      </c>
      <c r="N1200" s="219" t="e">
        <f>IF(I1200="","",NETWORKDAYS(Curva!$M$2,M1200,FERIADOS!$A$2:$A$831)-1)</f>
        <v>#REF!</v>
      </c>
      <c r="O1200" s="423" t="e">
        <f>IF(C1200&lt;&gt;"",IF(ISERROR((100000/E1200)^(252/N1200)-1),Curva!$B$2,((100000/E1200)^(252/N1200)-1)),"")</f>
        <v>#REF!</v>
      </c>
      <c r="P1200" s="219" t="e">
        <f>IF(OR(G1200=1,G1200=2),dadosexternosBMF_1!B1203,"")</f>
        <v>#REF!</v>
      </c>
      <c r="Q1200" s="219" t="e">
        <f>IF(OR(G1200=1,G1200=2),dadosexternosBMF_1!D1203,"")</f>
        <v>#REF!</v>
      </c>
    </row>
    <row r="1201" spans="1:17" x14ac:dyDescent="0.2">
      <c r="A1201" s="222" t="e">
        <f t="shared" si="126"/>
        <v>#REF!</v>
      </c>
      <c r="B1201" s="222" t="str">
        <f>IF(dadosexternosBMF_1!A1204="DI1 - DI de 1 dia","DI1 - DI de 1 dia","")</f>
        <v/>
      </c>
      <c r="C1201" s="222" t="e">
        <f>IF(dadosexternosBMF_1!A1204="DOL - Dólar comercial","",IF(C1200&lt;&gt;"",dadosexternosBMF_1!B1204,IF(dadosexternosBMF_1!A1204="DI1 - DI de 1 dia",dadosexternosBMF_1!B1204,"")))</f>
        <v>#REF!</v>
      </c>
      <c r="D1201" s="222" t="e">
        <f>IF(C1201&lt;&gt;"",dadosexternosBMF_1!C1204,"")</f>
        <v>#REF!</v>
      </c>
      <c r="E1201" s="222" t="e">
        <f>IF(C1201&lt;&gt;"",dadosexternosBMF_1!D1204,"")</f>
        <v>#REF!</v>
      </c>
      <c r="G1201" s="219" t="e">
        <f t="shared" si="127"/>
        <v>#REF!</v>
      </c>
      <c r="H1201" s="219" t="e">
        <f t="shared" si="128"/>
        <v>#REF!</v>
      </c>
      <c r="I1201" s="219" t="e">
        <f t="shared" si="129"/>
        <v>#REF!</v>
      </c>
      <c r="J1201" s="219" t="e">
        <f>IF(I1201="","",VLOOKUP(LEFT(C1201,1),dadosexternosBMF_1!$L$2:$M$13,2,FALSE))</f>
        <v>#REF!</v>
      </c>
      <c r="K1201" s="219" t="e">
        <f t="shared" si="130"/>
        <v>#REF!</v>
      </c>
      <c r="L1201" s="422" t="e">
        <f t="shared" si="131"/>
        <v>#REF!</v>
      </c>
      <c r="M1201" s="422" t="e">
        <f>IF(I1201="","",WORKDAY(L1201-1,1,FERIADOS!$A$2:$A$831))</f>
        <v>#REF!</v>
      </c>
      <c r="N1201" s="219" t="e">
        <f>IF(I1201="","",NETWORKDAYS(Curva!$M$2,M1201,FERIADOS!$A$2:$A$831)-1)</f>
        <v>#REF!</v>
      </c>
      <c r="O1201" s="423" t="e">
        <f>IF(C1201&lt;&gt;"",IF(ISERROR((100000/E1201)^(252/N1201)-1),Curva!$B$2,((100000/E1201)^(252/N1201)-1)),"")</f>
        <v>#REF!</v>
      </c>
      <c r="P1201" s="219" t="e">
        <f>IF(OR(G1201=1,G1201=2),dadosexternosBMF_1!B1204,"")</f>
        <v>#REF!</v>
      </c>
      <c r="Q1201" s="219" t="e">
        <f>IF(OR(G1201=1,G1201=2),dadosexternosBMF_1!D1204,"")</f>
        <v>#REF!</v>
      </c>
    </row>
    <row r="1202" spans="1:17" x14ac:dyDescent="0.2">
      <c r="A1202" s="222" t="e">
        <f t="shared" si="126"/>
        <v>#REF!</v>
      </c>
      <c r="B1202" s="222" t="str">
        <f>IF(dadosexternosBMF_1!A1205="DI1 - DI de 1 dia","DI1 - DI de 1 dia","")</f>
        <v/>
      </c>
      <c r="C1202" s="222" t="e">
        <f>IF(dadosexternosBMF_1!A1205="DOL - Dólar comercial","",IF(C1201&lt;&gt;"",dadosexternosBMF_1!B1205,IF(dadosexternosBMF_1!A1205="DI1 - DI de 1 dia",dadosexternosBMF_1!B1205,"")))</f>
        <v>#REF!</v>
      </c>
      <c r="D1202" s="222" t="e">
        <f>IF(C1202&lt;&gt;"",dadosexternosBMF_1!C1205,"")</f>
        <v>#REF!</v>
      </c>
      <c r="E1202" s="222" t="e">
        <f>IF(C1202&lt;&gt;"",dadosexternosBMF_1!D1205,"")</f>
        <v>#REF!</v>
      </c>
      <c r="G1202" s="219" t="e">
        <f t="shared" si="127"/>
        <v>#REF!</v>
      </c>
      <c r="H1202" s="219" t="e">
        <f t="shared" si="128"/>
        <v>#REF!</v>
      </c>
      <c r="I1202" s="219" t="e">
        <f t="shared" si="129"/>
        <v>#REF!</v>
      </c>
      <c r="J1202" s="219" t="e">
        <f>IF(I1202="","",VLOOKUP(LEFT(C1202,1),dadosexternosBMF_1!$L$2:$M$13,2,FALSE))</f>
        <v>#REF!</v>
      </c>
      <c r="K1202" s="219" t="e">
        <f t="shared" si="130"/>
        <v>#REF!</v>
      </c>
      <c r="L1202" s="422" t="e">
        <f t="shared" si="131"/>
        <v>#REF!</v>
      </c>
      <c r="M1202" s="422" t="e">
        <f>IF(I1202="","",WORKDAY(L1202-1,1,FERIADOS!$A$2:$A$831))</f>
        <v>#REF!</v>
      </c>
      <c r="N1202" s="219" t="e">
        <f>IF(I1202="","",NETWORKDAYS(Curva!$M$2,M1202,FERIADOS!$A$2:$A$831)-1)</f>
        <v>#REF!</v>
      </c>
      <c r="O1202" s="423" t="e">
        <f>IF(C1202&lt;&gt;"",IF(ISERROR((100000/E1202)^(252/N1202)-1),Curva!$B$2,((100000/E1202)^(252/N1202)-1)),"")</f>
        <v>#REF!</v>
      </c>
      <c r="P1202" s="219" t="e">
        <f>IF(OR(G1202=1,G1202=2),dadosexternosBMF_1!B1205,"")</f>
        <v>#REF!</v>
      </c>
      <c r="Q1202" s="219" t="e">
        <f>IF(OR(G1202=1,G1202=2),dadosexternosBMF_1!D1205,"")</f>
        <v>#REF!</v>
      </c>
    </row>
    <row r="1203" spans="1:17" x14ac:dyDescent="0.2">
      <c r="A1203" s="222" t="e">
        <f t="shared" si="126"/>
        <v>#REF!</v>
      </c>
      <c r="B1203" s="222" t="str">
        <f>IF(dadosexternosBMF_1!A1206="DI1 - DI de 1 dia","DI1 - DI de 1 dia","")</f>
        <v/>
      </c>
      <c r="C1203" s="222" t="e">
        <f>IF(dadosexternosBMF_1!A1206="DOL - Dólar comercial","",IF(C1202&lt;&gt;"",dadosexternosBMF_1!B1206,IF(dadosexternosBMF_1!A1206="DI1 - DI de 1 dia",dadosexternosBMF_1!B1206,"")))</f>
        <v>#REF!</v>
      </c>
      <c r="D1203" s="222" t="e">
        <f>IF(C1203&lt;&gt;"",dadosexternosBMF_1!C1206,"")</f>
        <v>#REF!</v>
      </c>
      <c r="E1203" s="222" t="e">
        <f>IF(C1203&lt;&gt;"",dadosexternosBMF_1!D1206,"")</f>
        <v>#REF!</v>
      </c>
      <c r="G1203" s="219" t="e">
        <f t="shared" si="127"/>
        <v>#REF!</v>
      </c>
      <c r="H1203" s="219" t="e">
        <f t="shared" si="128"/>
        <v>#REF!</v>
      </c>
      <c r="I1203" s="219" t="e">
        <f t="shared" si="129"/>
        <v>#REF!</v>
      </c>
      <c r="J1203" s="219" t="e">
        <f>IF(I1203="","",VLOOKUP(LEFT(C1203,1),dadosexternosBMF_1!$L$2:$M$13,2,FALSE))</f>
        <v>#REF!</v>
      </c>
      <c r="K1203" s="219" t="e">
        <f t="shared" si="130"/>
        <v>#REF!</v>
      </c>
      <c r="L1203" s="422" t="e">
        <f t="shared" si="131"/>
        <v>#REF!</v>
      </c>
      <c r="M1203" s="422" t="e">
        <f>IF(I1203="","",WORKDAY(L1203-1,1,FERIADOS!$A$2:$A$831))</f>
        <v>#REF!</v>
      </c>
      <c r="N1203" s="219" t="e">
        <f>IF(I1203="","",NETWORKDAYS(Curva!$M$2,M1203,FERIADOS!$A$2:$A$831)-1)</f>
        <v>#REF!</v>
      </c>
      <c r="O1203" s="423" t="e">
        <f>IF(C1203&lt;&gt;"",IF(ISERROR((100000/E1203)^(252/N1203)-1),Curva!$B$2,((100000/E1203)^(252/N1203)-1)),"")</f>
        <v>#REF!</v>
      </c>
      <c r="P1203" s="219" t="e">
        <f>IF(OR(G1203=1,G1203=2),dadosexternosBMF_1!B1206,"")</f>
        <v>#REF!</v>
      </c>
      <c r="Q1203" s="219" t="e">
        <f>IF(OR(G1203=1,G1203=2),dadosexternosBMF_1!D1206,"")</f>
        <v>#REF!</v>
      </c>
    </row>
    <row r="1204" spans="1:17" x14ac:dyDescent="0.2">
      <c r="A1204" s="222" t="e">
        <f t="shared" si="126"/>
        <v>#REF!</v>
      </c>
      <c r="B1204" s="222" t="str">
        <f>IF(dadosexternosBMF_1!A1207="DI1 - DI de 1 dia","DI1 - DI de 1 dia","")</f>
        <v/>
      </c>
      <c r="C1204" s="222" t="e">
        <f>IF(dadosexternosBMF_1!A1207="DOL - Dólar comercial","",IF(C1203&lt;&gt;"",dadosexternosBMF_1!B1207,IF(dadosexternosBMF_1!A1207="DI1 - DI de 1 dia",dadosexternosBMF_1!B1207,"")))</f>
        <v>#REF!</v>
      </c>
      <c r="D1204" s="222" t="e">
        <f>IF(C1204&lt;&gt;"",dadosexternosBMF_1!C1207,"")</f>
        <v>#REF!</v>
      </c>
      <c r="E1204" s="222" t="e">
        <f>IF(C1204&lt;&gt;"",dadosexternosBMF_1!D1207,"")</f>
        <v>#REF!</v>
      </c>
      <c r="G1204" s="219" t="e">
        <f t="shared" si="127"/>
        <v>#REF!</v>
      </c>
      <c r="H1204" s="219" t="e">
        <f t="shared" si="128"/>
        <v>#REF!</v>
      </c>
      <c r="I1204" s="219" t="e">
        <f t="shared" si="129"/>
        <v>#REF!</v>
      </c>
      <c r="J1204" s="219" t="e">
        <f>IF(I1204="","",VLOOKUP(LEFT(C1204,1),dadosexternosBMF_1!$L$2:$M$13,2,FALSE))</f>
        <v>#REF!</v>
      </c>
      <c r="K1204" s="219" t="e">
        <f t="shared" si="130"/>
        <v>#REF!</v>
      </c>
      <c r="L1204" s="422" t="e">
        <f t="shared" si="131"/>
        <v>#REF!</v>
      </c>
      <c r="M1204" s="422" t="e">
        <f>IF(I1204="","",WORKDAY(L1204-1,1,FERIADOS!$A$2:$A$831))</f>
        <v>#REF!</v>
      </c>
      <c r="N1204" s="219" t="e">
        <f>IF(I1204="","",NETWORKDAYS(Curva!$M$2,M1204,FERIADOS!$A$2:$A$831)-1)</f>
        <v>#REF!</v>
      </c>
      <c r="O1204" s="423" t="e">
        <f>IF(C1204&lt;&gt;"",IF(ISERROR((100000/E1204)^(252/N1204)-1),Curva!$B$2,((100000/E1204)^(252/N1204)-1)),"")</f>
        <v>#REF!</v>
      </c>
      <c r="P1204" s="219" t="e">
        <f>IF(OR(G1204=1,G1204=2),dadosexternosBMF_1!B1207,"")</f>
        <v>#REF!</v>
      </c>
      <c r="Q1204" s="219" t="e">
        <f>IF(OR(G1204=1,G1204=2),dadosexternosBMF_1!D1207,"")</f>
        <v>#REF!</v>
      </c>
    </row>
    <row r="1205" spans="1:17" x14ac:dyDescent="0.2">
      <c r="A1205" s="222" t="e">
        <f t="shared" si="126"/>
        <v>#REF!</v>
      </c>
      <c r="B1205" s="222" t="str">
        <f>IF(dadosexternosBMF_1!A1208="DI1 - DI de 1 dia","DI1 - DI de 1 dia","")</f>
        <v/>
      </c>
      <c r="C1205" s="222" t="e">
        <f>IF(dadosexternosBMF_1!A1208="DOL - Dólar comercial","",IF(C1204&lt;&gt;"",dadosexternosBMF_1!B1208,IF(dadosexternosBMF_1!A1208="DI1 - DI de 1 dia",dadosexternosBMF_1!B1208,"")))</f>
        <v>#REF!</v>
      </c>
      <c r="D1205" s="222" t="e">
        <f>IF(C1205&lt;&gt;"",dadosexternosBMF_1!C1208,"")</f>
        <v>#REF!</v>
      </c>
      <c r="E1205" s="222" t="e">
        <f>IF(C1205&lt;&gt;"",dadosexternosBMF_1!D1208,"")</f>
        <v>#REF!</v>
      </c>
      <c r="G1205" s="219" t="e">
        <f t="shared" si="127"/>
        <v>#REF!</v>
      </c>
      <c r="H1205" s="219" t="e">
        <f t="shared" si="128"/>
        <v>#REF!</v>
      </c>
      <c r="I1205" s="219" t="e">
        <f t="shared" si="129"/>
        <v>#REF!</v>
      </c>
      <c r="J1205" s="219" t="e">
        <f>IF(I1205="","",VLOOKUP(LEFT(C1205,1),dadosexternosBMF_1!$L$2:$M$13,2,FALSE))</f>
        <v>#REF!</v>
      </c>
      <c r="K1205" s="219" t="e">
        <f t="shared" si="130"/>
        <v>#REF!</v>
      </c>
      <c r="L1205" s="422" t="e">
        <f t="shared" si="131"/>
        <v>#REF!</v>
      </c>
      <c r="M1205" s="422" t="e">
        <f>IF(I1205="","",WORKDAY(L1205-1,1,FERIADOS!$A$2:$A$831))</f>
        <v>#REF!</v>
      </c>
      <c r="N1205" s="219" t="e">
        <f>IF(I1205="","",NETWORKDAYS(Curva!$M$2,M1205,FERIADOS!$A$2:$A$831)-1)</f>
        <v>#REF!</v>
      </c>
      <c r="O1205" s="423" t="e">
        <f>IF(C1205&lt;&gt;"",IF(ISERROR((100000/E1205)^(252/N1205)-1),Curva!$B$2,((100000/E1205)^(252/N1205)-1)),"")</f>
        <v>#REF!</v>
      </c>
      <c r="P1205" s="219" t="e">
        <f>IF(OR(G1205=1,G1205=2),dadosexternosBMF_1!B1208,"")</f>
        <v>#REF!</v>
      </c>
      <c r="Q1205" s="219" t="e">
        <f>IF(OR(G1205=1,G1205=2),dadosexternosBMF_1!D1208,"")</f>
        <v>#REF!</v>
      </c>
    </row>
    <row r="1206" spans="1:17" x14ac:dyDescent="0.2">
      <c r="A1206" s="222" t="e">
        <f t="shared" si="126"/>
        <v>#REF!</v>
      </c>
      <c r="B1206" s="222" t="str">
        <f>IF(dadosexternosBMF_1!A1209="DI1 - DI de 1 dia","DI1 - DI de 1 dia","")</f>
        <v/>
      </c>
      <c r="C1206" s="222" t="e">
        <f>IF(dadosexternosBMF_1!A1209="DOL - Dólar comercial","",IF(C1205&lt;&gt;"",dadosexternosBMF_1!B1209,IF(dadosexternosBMF_1!A1209="DI1 - DI de 1 dia",dadosexternosBMF_1!B1209,"")))</f>
        <v>#REF!</v>
      </c>
      <c r="D1206" s="222" t="e">
        <f>IF(C1206&lt;&gt;"",dadosexternosBMF_1!C1209,"")</f>
        <v>#REF!</v>
      </c>
      <c r="E1206" s="222" t="e">
        <f>IF(C1206&lt;&gt;"",dadosexternosBMF_1!D1209,"")</f>
        <v>#REF!</v>
      </c>
      <c r="G1206" s="219" t="e">
        <f t="shared" si="127"/>
        <v>#REF!</v>
      </c>
      <c r="H1206" s="219" t="e">
        <f t="shared" si="128"/>
        <v>#REF!</v>
      </c>
      <c r="I1206" s="219" t="e">
        <f t="shared" si="129"/>
        <v>#REF!</v>
      </c>
      <c r="J1206" s="219" t="e">
        <f>IF(I1206="","",VLOOKUP(LEFT(C1206,1),dadosexternosBMF_1!$L$2:$M$13,2,FALSE))</f>
        <v>#REF!</v>
      </c>
      <c r="K1206" s="219" t="e">
        <f t="shared" si="130"/>
        <v>#REF!</v>
      </c>
      <c r="L1206" s="422" t="e">
        <f t="shared" si="131"/>
        <v>#REF!</v>
      </c>
      <c r="M1206" s="422" t="e">
        <f>IF(I1206="","",WORKDAY(L1206-1,1,FERIADOS!$A$2:$A$831))</f>
        <v>#REF!</v>
      </c>
      <c r="N1206" s="219" t="e">
        <f>IF(I1206="","",NETWORKDAYS(Curva!$M$2,M1206,FERIADOS!$A$2:$A$831)-1)</f>
        <v>#REF!</v>
      </c>
      <c r="O1206" s="423" t="e">
        <f>IF(C1206&lt;&gt;"",IF(ISERROR((100000/E1206)^(252/N1206)-1),Curva!$B$2,((100000/E1206)^(252/N1206)-1)),"")</f>
        <v>#REF!</v>
      </c>
      <c r="P1206" s="219" t="e">
        <f>IF(OR(G1206=1,G1206=2),dadosexternosBMF_1!B1209,"")</f>
        <v>#REF!</v>
      </c>
      <c r="Q1206" s="219" t="e">
        <f>IF(OR(G1206=1,G1206=2),dadosexternosBMF_1!D1209,"")</f>
        <v>#REF!</v>
      </c>
    </row>
    <row r="1207" spans="1:17" x14ac:dyDescent="0.2">
      <c r="A1207" s="222" t="e">
        <f t="shared" si="126"/>
        <v>#REF!</v>
      </c>
      <c r="B1207" s="222" t="str">
        <f>IF(dadosexternosBMF_1!A1210="DI1 - DI de 1 dia","DI1 - DI de 1 dia","")</f>
        <v/>
      </c>
      <c r="C1207" s="222" t="e">
        <f>IF(dadosexternosBMF_1!A1210="DOL - Dólar comercial","",IF(C1206&lt;&gt;"",dadosexternosBMF_1!B1210,IF(dadosexternosBMF_1!A1210="DI1 - DI de 1 dia",dadosexternosBMF_1!B1210,"")))</f>
        <v>#REF!</v>
      </c>
      <c r="D1207" s="222" t="e">
        <f>IF(C1207&lt;&gt;"",dadosexternosBMF_1!C1210,"")</f>
        <v>#REF!</v>
      </c>
      <c r="E1207" s="222" t="e">
        <f>IF(C1207&lt;&gt;"",dadosexternosBMF_1!D1210,"")</f>
        <v>#REF!</v>
      </c>
      <c r="G1207" s="219" t="e">
        <f t="shared" si="127"/>
        <v>#REF!</v>
      </c>
      <c r="H1207" s="219" t="e">
        <f t="shared" si="128"/>
        <v>#REF!</v>
      </c>
      <c r="I1207" s="219" t="e">
        <f t="shared" si="129"/>
        <v>#REF!</v>
      </c>
      <c r="J1207" s="219" t="e">
        <f>IF(I1207="","",VLOOKUP(LEFT(C1207,1),dadosexternosBMF_1!$L$2:$M$13,2,FALSE))</f>
        <v>#REF!</v>
      </c>
      <c r="K1207" s="219" t="e">
        <f t="shared" si="130"/>
        <v>#REF!</v>
      </c>
      <c r="L1207" s="422" t="e">
        <f t="shared" si="131"/>
        <v>#REF!</v>
      </c>
      <c r="M1207" s="422" t="e">
        <f>IF(I1207="","",WORKDAY(L1207-1,1,FERIADOS!$A$2:$A$831))</f>
        <v>#REF!</v>
      </c>
      <c r="N1207" s="219" t="e">
        <f>IF(I1207="","",NETWORKDAYS(Curva!$M$2,M1207,FERIADOS!$A$2:$A$831)-1)</f>
        <v>#REF!</v>
      </c>
      <c r="O1207" s="423" t="e">
        <f>IF(C1207&lt;&gt;"",IF(ISERROR((100000/E1207)^(252/N1207)-1),Curva!$B$2,((100000/E1207)^(252/N1207)-1)),"")</f>
        <v>#REF!</v>
      </c>
      <c r="P1207" s="219" t="e">
        <f>IF(OR(G1207=1,G1207=2),dadosexternosBMF_1!B1210,"")</f>
        <v>#REF!</v>
      </c>
      <c r="Q1207" s="219" t="e">
        <f>IF(OR(G1207=1,G1207=2),dadosexternosBMF_1!D1210,"")</f>
        <v>#REF!</v>
      </c>
    </row>
    <row r="1208" spans="1:17" x14ac:dyDescent="0.2">
      <c r="A1208" s="222" t="e">
        <f t="shared" si="126"/>
        <v>#REF!</v>
      </c>
      <c r="B1208" s="222" t="str">
        <f>IF(dadosexternosBMF_1!A1211="DI1 - DI de 1 dia","DI1 - DI de 1 dia","")</f>
        <v/>
      </c>
      <c r="C1208" s="222" t="e">
        <f>IF(dadosexternosBMF_1!A1211="DOL - Dólar comercial","",IF(C1207&lt;&gt;"",dadosexternosBMF_1!B1211,IF(dadosexternosBMF_1!A1211="DI1 - DI de 1 dia",dadosexternosBMF_1!B1211,"")))</f>
        <v>#REF!</v>
      </c>
      <c r="D1208" s="222" t="e">
        <f>IF(C1208&lt;&gt;"",dadosexternosBMF_1!C1211,"")</f>
        <v>#REF!</v>
      </c>
      <c r="E1208" s="222" t="e">
        <f>IF(C1208&lt;&gt;"",dadosexternosBMF_1!D1211,"")</f>
        <v>#REF!</v>
      </c>
      <c r="G1208" s="219" t="e">
        <f t="shared" si="127"/>
        <v>#REF!</v>
      </c>
      <c r="H1208" s="219" t="e">
        <f t="shared" si="128"/>
        <v>#REF!</v>
      </c>
      <c r="I1208" s="219" t="e">
        <f t="shared" si="129"/>
        <v>#REF!</v>
      </c>
      <c r="J1208" s="219" t="e">
        <f>IF(I1208="","",VLOOKUP(LEFT(C1208,1),dadosexternosBMF_1!$L$2:$M$13,2,FALSE))</f>
        <v>#REF!</v>
      </c>
      <c r="K1208" s="219" t="e">
        <f t="shared" si="130"/>
        <v>#REF!</v>
      </c>
      <c r="L1208" s="422" t="e">
        <f t="shared" si="131"/>
        <v>#REF!</v>
      </c>
      <c r="M1208" s="422" t="e">
        <f>IF(I1208="","",WORKDAY(L1208-1,1,FERIADOS!$A$2:$A$831))</f>
        <v>#REF!</v>
      </c>
      <c r="N1208" s="219" t="e">
        <f>IF(I1208="","",NETWORKDAYS(Curva!$M$2,M1208,FERIADOS!$A$2:$A$831)-1)</f>
        <v>#REF!</v>
      </c>
      <c r="O1208" s="423" t="e">
        <f>IF(C1208&lt;&gt;"",IF(ISERROR((100000/E1208)^(252/N1208)-1),Curva!$B$2,((100000/E1208)^(252/N1208)-1)),"")</f>
        <v>#REF!</v>
      </c>
      <c r="P1208" s="219" t="e">
        <f>IF(OR(G1208=1,G1208=2),dadosexternosBMF_1!B1211,"")</f>
        <v>#REF!</v>
      </c>
      <c r="Q1208" s="219" t="e">
        <f>IF(OR(G1208=1,G1208=2),dadosexternosBMF_1!D1211,"")</f>
        <v>#REF!</v>
      </c>
    </row>
    <row r="1209" spans="1:17" x14ac:dyDescent="0.2">
      <c r="A1209" s="222" t="e">
        <f t="shared" si="126"/>
        <v>#REF!</v>
      </c>
      <c r="B1209" s="222" t="str">
        <f>IF(dadosexternosBMF_1!A1212="DI1 - DI de 1 dia","DI1 - DI de 1 dia","")</f>
        <v/>
      </c>
      <c r="C1209" s="222" t="e">
        <f>IF(dadosexternosBMF_1!A1212="DOL - Dólar comercial","",IF(C1208&lt;&gt;"",dadosexternosBMF_1!B1212,IF(dadosexternosBMF_1!A1212="DI1 - DI de 1 dia",dadosexternosBMF_1!B1212,"")))</f>
        <v>#REF!</v>
      </c>
      <c r="D1209" s="222" t="e">
        <f>IF(C1209&lt;&gt;"",dadosexternosBMF_1!C1212,"")</f>
        <v>#REF!</v>
      </c>
      <c r="E1209" s="222" t="e">
        <f>IF(C1209&lt;&gt;"",dadosexternosBMF_1!D1212,"")</f>
        <v>#REF!</v>
      </c>
      <c r="G1209" s="219" t="e">
        <f t="shared" si="127"/>
        <v>#REF!</v>
      </c>
      <c r="H1209" s="219" t="e">
        <f t="shared" si="128"/>
        <v>#REF!</v>
      </c>
      <c r="I1209" s="219" t="e">
        <f t="shared" si="129"/>
        <v>#REF!</v>
      </c>
      <c r="J1209" s="219" t="e">
        <f>IF(I1209="","",VLOOKUP(LEFT(C1209,1),dadosexternosBMF_1!$L$2:$M$13,2,FALSE))</f>
        <v>#REF!</v>
      </c>
      <c r="K1209" s="219" t="e">
        <f t="shared" si="130"/>
        <v>#REF!</v>
      </c>
      <c r="L1209" s="422" t="e">
        <f t="shared" si="131"/>
        <v>#REF!</v>
      </c>
      <c r="M1209" s="422" t="e">
        <f>IF(I1209="","",WORKDAY(L1209-1,1,FERIADOS!$A$2:$A$831))</f>
        <v>#REF!</v>
      </c>
      <c r="N1209" s="219" t="e">
        <f>IF(I1209="","",NETWORKDAYS(Curva!$M$2,M1209,FERIADOS!$A$2:$A$831)-1)</f>
        <v>#REF!</v>
      </c>
      <c r="O1209" s="423" t="e">
        <f>IF(C1209&lt;&gt;"",IF(ISERROR((100000/E1209)^(252/N1209)-1),Curva!$B$2,((100000/E1209)^(252/N1209)-1)),"")</f>
        <v>#REF!</v>
      </c>
      <c r="P1209" s="219" t="e">
        <f>IF(OR(G1209=1,G1209=2),dadosexternosBMF_1!B1212,"")</f>
        <v>#REF!</v>
      </c>
      <c r="Q1209" s="219" t="e">
        <f>IF(OR(G1209=1,G1209=2),dadosexternosBMF_1!D1212,"")</f>
        <v>#REF!</v>
      </c>
    </row>
    <row r="1210" spans="1:17" x14ac:dyDescent="0.2">
      <c r="A1210" s="222" t="e">
        <f t="shared" si="126"/>
        <v>#REF!</v>
      </c>
      <c r="B1210" s="222" t="str">
        <f>IF(dadosexternosBMF_1!A1213="DI1 - DI de 1 dia","DI1 - DI de 1 dia","")</f>
        <v/>
      </c>
      <c r="C1210" s="222" t="e">
        <f>IF(dadosexternosBMF_1!A1213="DOL - Dólar comercial","",IF(C1209&lt;&gt;"",dadosexternosBMF_1!B1213,IF(dadosexternosBMF_1!A1213="DI1 - DI de 1 dia",dadosexternosBMF_1!B1213,"")))</f>
        <v>#REF!</v>
      </c>
      <c r="D1210" s="222" t="e">
        <f>IF(C1210&lt;&gt;"",dadosexternosBMF_1!C1213,"")</f>
        <v>#REF!</v>
      </c>
      <c r="E1210" s="222" t="e">
        <f>IF(C1210&lt;&gt;"",dadosexternosBMF_1!D1213,"")</f>
        <v>#REF!</v>
      </c>
      <c r="G1210" s="219" t="e">
        <f t="shared" si="127"/>
        <v>#REF!</v>
      </c>
      <c r="H1210" s="219" t="e">
        <f t="shared" si="128"/>
        <v>#REF!</v>
      </c>
      <c r="I1210" s="219" t="e">
        <f t="shared" si="129"/>
        <v>#REF!</v>
      </c>
      <c r="J1210" s="219" t="e">
        <f>IF(I1210="","",VLOOKUP(LEFT(C1210,1),dadosexternosBMF_1!$L$2:$M$13,2,FALSE))</f>
        <v>#REF!</v>
      </c>
      <c r="K1210" s="219" t="e">
        <f t="shared" si="130"/>
        <v>#REF!</v>
      </c>
      <c r="L1210" s="422" t="e">
        <f t="shared" si="131"/>
        <v>#REF!</v>
      </c>
      <c r="M1210" s="422" t="e">
        <f>IF(I1210="","",WORKDAY(L1210-1,1,FERIADOS!$A$2:$A$831))</f>
        <v>#REF!</v>
      </c>
      <c r="N1210" s="219" t="e">
        <f>IF(I1210="","",NETWORKDAYS(Curva!$M$2,M1210,FERIADOS!$A$2:$A$831)-1)</f>
        <v>#REF!</v>
      </c>
      <c r="O1210" s="423" t="e">
        <f>IF(C1210&lt;&gt;"",IF(ISERROR((100000/E1210)^(252/N1210)-1),Curva!$B$2,((100000/E1210)^(252/N1210)-1)),"")</f>
        <v>#REF!</v>
      </c>
      <c r="P1210" s="219" t="e">
        <f>IF(OR(G1210=1,G1210=2),dadosexternosBMF_1!B1213,"")</f>
        <v>#REF!</v>
      </c>
      <c r="Q1210" s="219" t="e">
        <f>IF(OR(G1210=1,G1210=2),dadosexternosBMF_1!D1213,"")</f>
        <v>#REF!</v>
      </c>
    </row>
    <row r="1211" spans="1:17" x14ac:dyDescent="0.2">
      <c r="A1211" s="222" t="e">
        <f t="shared" si="126"/>
        <v>#REF!</v>
      </c>
      <c r="B1211" s="222" t="str">
        <f>IF(dadosexternosBMF_1!A1214="DI1 - DI de 1 dia","DI1 - DI de 1 dia","")</f>
        <v/>
      </c>
      <c r="C1211" s="222" t="e">
        <f>IF(dadosexternosBMF_1!A1214="DOL - Dólar comercial","",IF(C1210&lt;&gt;"",dadosexternosBMF_1!B1214,IF(dadosexternosBMF_1!A1214="DI1 - DI de 1 dia",dadosexternosBMF_1!B1214,"")))</f>
        <v>#REF!</v>
      </c>
      <c r="D1211" s="222" t="e">
        <f>IF(C1211&lt;&gt;"",dadosexternosBMF_1!C1214,"")</f>
        <v>#REF!</v>
      </c>
      <c r="E1211" s="222" t="e">
        <f>IF(C1211&lt;&gt;"",dadosexternosBMF_1!D1214,"")</f>
        <v>#REF!</v>
      </c>
      <c r="G1211" s="219" t="e">
        <f t="shared" si="127"/>
        <v>#REF!</v>
      </c>
      <c r="H1211" s="219" t="e">
        <f t="shared" si="128"/>
        <v>#REF!</v>
      </c>
      <c r="I1211" s="219" t="e">
        <f t="shared" si="129"/>
        <v>#REF!</v>
      </c>
      <c r="J1211" s="219" t="e">
        <f>IF(I1211="","",VLOOKUP(LEFT(C1211,1),dadosexternosBMF_1!$L$2:$M$13,2,FALSE))</f>
        <v>#REF!</v>
      </c>
      <c r="K1211" s="219" t="e">
        <f t="shared" si="130"/>
        <v>#REF!</v>
      </c>
      <c r="L1211" s="422" t="e">
        <f t="shared" si="131"/>
        <v>#REF!</v>
      </c>
      <c r="M1211" s="422" t="e">
        <f>IF(I1211="","",WORKDAY(L1211-1,1,FERIADOS!$A$2:$A$831))</f>
        <v>#REF!</v>
      </c>
      <c r="N1211" s="219" t="e">
        <f>IF(I1211="","",NETWORKDAYS(Curva!$M$2,M1211,FERIADOS!$A$2:$A$831)-1)</f>
        <v>#REF!</v>
      </c>
      <c r="O1211" s="423" t="e">
        <f>IF(C1211&lt;&gt;"",IF(ISERROR((100000/E1211)^(252/N1211)-1),Curva!$B$2,((100000/E1211)^(252/N1211)-1)),"")</f>
        <v>#REF!</v>
      </c>
      <c r="P1211" s="219" t="e">
        <f>IF(OR(G1211=1,G1211=2),dadosexternosBMF_1!B1214,"")</f>
        <v>#REF!</v>
      </c>
      <c r="Q1211" s="219" t="e">
        <f>IF(OR(G1211=1,G1211=2),dadosexternosBMF_1!D1214,"")</f>
        <v>#REF!</v>
      </c>
    </row>
    <row r="1212" spans="1:17" x14ac:dyDescent="0.2">
      <c r="A1212" s="222" t="e">
        <f t="shared" si="126"/>
        <v>#REF!</v>
      </c>
      <c r="B1212" s="222" t="str">
        <f>IF(dadosexternosBMF_1!A1215="DI1 - DI de 1 dia","DI1 - DI de 1 dia","")</f>
        <v/>
      </c>
      <c r="C1212" s="222" t="e">
        <f>IF(dadosexternosBMF_1!A1215="DOL - Dólar comercial","",IF(C1211&lt;&gt;"",dadosexternosBMF_1!B1215,IF(dadosexternosBMF_1!A1215="DI1 - DI de 1 dia",dadosexternosBMF_1!B1215,"")))</f>
        <v>#REF!</v>
      </c>
      <c r="D1212" s="222" t="e">
        <f>IF(C1212&lt;&gt;"",dadosexternosBMF_1!C1215,"")</f>
        <v>#REF!</v>
      </c>
      <c r="E1212" s="222" t="e">
        <f>IF(C1212&lt;&gt;"",dadosexternosBMF_1!D1215,"")</f>
        <v>#REF!</v>
      </c>
      <c r="G1212" s="219" t="e">
        <f t="shared" si="127"/>
        <v>#REF!</v>
      </c>
      <c r="H1212" s="219" t="e">
        <f t="shared" si="128"/>
        <v>#REF!</v>
      </c>
      <c r="I1212" s="219" t="e">
        <f t="shared" si="129"/>
        <v>#REF!</v>
      </c>
      <c r="J1212" s="219" t="e">
        <f>IF(I1212="","",VLOOKUP(LEFT(C1212,1),dadosexternosBMF_1!$L$2:$M$13,2,FALSE))</f>
        <v>#REF!</v>
      </c>
      <c r="K1212" s="219" t="e">
        <f t="shared" si="130"/>
        <v>#REF!</v>
      </c>
      <c r="L1212" s="422" t="e">
        <f t="shared" si="131"/>
        <v>#REF!</v>
      </c>
      <c r="M1212" s="422" t="e">
        <f>IF(I1212="","",WORKDAY(L1212-1,1,FERIADOS!$A$2:$A$831))</f>
        <v>#REF!</v>
      </c>
      <c r="N1212" s="219" t="e">
        <f>IF(I1212="","",NETWORKDAYS(Curva!$M$2,M1212,FERIADOS!$A$2:$A$831)-1)</f>
        <v>#REF!</v>
      </c>
      <c r="O1212" s="423" t="e">
        <f>IF(C1212&lt;&gt;"",IF(ISERROR((100000/E1212)^(252/N1212)-1),Curva!$B$2,((100000/E1212)^(252/N1212)-1)),"")</f>
        <v>#REF!</v>
      </c>
      <c r="P1212" s="219" t="e">
        <f>IF(OR(G1212=1,G1212=2),dadosexternosBMF_1!B1215,"")</f>
        <v>#REF!</v>
      </c>
      <c r="Q1212" s="219" t="e">
        <f>IF(OR(G1212=1,G1212=2),dadosexternosBMF_1!D1215,"")</f>
        <v>#REF!</v>
      </c>
    </row>
    <row r="1213" spans="1:17" x14ac:dyDescent="0.2">
      <c r="A1213" s="222" t="e">
        <f t="shared" si="126"/>
        <v>#REF!</v>
      </c>
      <c r="B1213" s="222" t="str">
        <f>IF(dadosexternosBMF_1!A1216="DI1 - DI de 1 dia","DI1 - DI de 1 dia","")</f>
        <v/>
      </c>
      <c r="C1213" s="222" t="e">
        <f>IF(dadosexternosBMF_1!A1216="DOL - Dólar comercial","",IF(C1212&lt;&gt;"",dadosexternosBMF_1!B1216,IF(dadosexternosBMF_1!A1216="DI1 - DI de 1 dia",dadosexternosBMF_1!B1216,"")))</f>
        <v>#REF!</v>
      </c>
      <c r="D1213" s="222" t="e">
        <f>IF(C1213&lt;&gt;"",dadosexternosBMF_1!C1216,"")</f>
        <v>#REF!</v>
      </c>
      <c r="E1213" s="222" t="e">
        <f>IF(C1213&lt;&gt;"",dadosexternosBMF_1!D1216,"")</f>
        <v>#REF!</v>
      </c>
      <c r="G1213" s="219" t="e">
        <f t="shared" si="127"/>
        <v>#REF!</v>
      </c>
      <c r="H1213" s="219" t="e">
        <f t="shared" si="128"/>
        <v>#REF!</v>
      </c>
      <c r="I1213" s="219" t="e">
        <f t="shared" si="129"/>
        <v>#REF!</v>
      </c>
      <c r="J1213" s="219" t="e">
        <f>IF(I1213="","",VLOOKUP(LEFT(C1213,1),dadosexternosBMF_1!$L$2:$M$13,2,FALSE))</f>
        <v>#REF!</v>
      </c>
      <c r="K1213" s="219" t="e">
        <f t="shared" si="130"/>
        <v>#REF!</v>
      </c>
      <c r="L1213" s="422" t="e">
        <f t="shared" si="131"/>
        <v>#REF!</v>
      </c>
      <c r="M1213" s="422" t="e">
        <f>IF(I1213="","",WORKDAY(L1213-1,1,FERIADOS!$A$2:$A$831))</f>
        <v>#REF!</v>
      </c>
      <c r="N1213" s="219" t="e">
        <f>IF(I1213="","",NETWORKDAYS(Curva!$M$2,M1213,FERIADOS!$A$2:$A$831)-1)</f>
        <v>#REF!</v>
      </c>
      <c r="O1213" s="423" t="e">
        <f>IF(C1213&lt;&gt;"",IF(ISERROR((100000/E1213)^(252/N1213)-1),Curva!$B$2,((100000/E1213)^(252/N1213)-1)),"")</f>
        <v>#REF!</v>
      </c>
      <c r="P1213" s="219" t="e">
        <f>IF(OR(G1213=1,G1213=2),dadosexternosBMF_1!B1216,"")</f>
        <v>#REF!</v>
      </c>
      <c r="Q1213" s="219" t="e">
        <f>IF(OR(G1213=1,G1213=2),dadosexternosBMF_1!D1216,"")</f>
        <v>#REF!</v>
      </c>
    </row>
    <row r="1214" spans="1:17" x14ac:dyDescent="0.2">
      <c r="A1214" s="222" t="e">
        <f t="shared" si="126"/>
        <v>#REF!</v>
      </c>
      <c r="B1214" s="222" t="str">
        <f>IF(dadosexternosBMF_1!A1217="DI1 - DI de 1 dia","DI1 - DI de 1 dia","")</f>
        <v/>
      </c>
      <c r="C1214" s="222" t="e">
        <f>IF(dadosexternosBMF_1!A1217="DOL - Dólar comercial","",IF(C1213&lt;&gt;"",dadosexternosBMF_1!B1217,IF(dadosexternosBMF_1!A1217="DI1 - DI de 1 dia",dadosexternosBMF_1!B1217,"")))</f>
        <v>#REF!</v>
      </c>
      <c r="D1214" s="222" t="e">
        <f>IF(C1214&lt;&gt;"",dadosexternosBMF_1!C1217,"")</f>
        <v>#REF!</v>
      </c>
      <c r="E1214" s="222" t="e">
        <f>IF(C1214&lt;&gt;"",dadosexternosBMF_1!D1217,"")</f>
        <v>#REF!</v>
      </c>
      <c r="G1214" s="219" t="e">
        <f t="shared" si="127"/>
        <v>#REF!</v>
      </c>
      <c r="H1214" s="219" t="e">
        <f t="shared" si="128"/>
        <v>#REF!</v>
      </c>
      <c r="I1214" s="219" t="e">
        <f t="shared" si="129"/>
        <v>#REF!</v>
      </c>
      <c r="J1214" s="219" t="e">
        <f>IF(I1214="","",VLOOKUP(LEFT(C1214,1),dadosexternosBMF_1!$L$2:$M$13,2,FALSE))</f>
        <v>#REF!</v>
      </c>
      <c r="K1214" s="219" t="e">
        <f t="shared" si="130"/>
        <v>#REF!</v>
      </c>
      <c r="L1214" s="422" t="e">
        <f t="shared" si="131"/>
        <v>#REF!</v>
      </c>
      <c r="M1214" s="422" t="e">
        <f>IF(I1214="","",WORKDAY(L1214-1,1,FERIADOS!$A$2:$A$831))</f>
        <v>#REF!</v>
      </c>
      <c r="N1214" s="219" t="e">
        <f>IF(I1214="","",NETWORKDAYS(Curva!$M$2,M1214,FERIADOS!$A$2:$A$831)-1)</f>
        <v>#REF!</v>
      </c>
      <c r="O1214" s="423" t="e">
        <f>IF(C1214&lt;&gt;"",IF(ISERROR((100000/E1214)^(252/N1214)-1),Curva!$B$2,((100000/E1214)^(252/N1214)-1)),"")</f>
        <v>#REF!</v>
      </c>
      <c r="P1214" s="219" t="e">
        <f>IF(OR(G1214=1,G1214=2),dadosexternosBMF_1!B1217,"")</f>
        <v>#REF!</v>
      </c>
      <c r="Q1214" s="219" t="e">
        <f>IF(OR(G1214=1,G1214=2),dadosexternosBMF_1!D1217,"")</f>
        <v>#REF!</v>
      </c>
    </row>
    <row r="1215" spans="1:17" x14ac:dyDescent="0.2">
      <c r="A1215" s="222" t="e">
        <f t="shared" si="126"/>
        <v>#REF!</v>
      </c>
      <c r="B1215" s="222" t="str">
        <f>IF(dadosexternosBMF_1!A1218="DI1 - DI de 1 dia","DI1 - DI de 1 dia","")</f>
        <v/>
      </c>
      <c r="C1215" s="222" t="e">
        <f>IF(dadosexternosBMF_1!A1218="DOL - Dólar comercial","",IF(C1214&lt;&gt;"",dadosexternosBMF_1!B1218,IF(dadosexternosBMF_1!A1218="DI1 - DI de 1 dia",dadosexternosBMF_1!B1218,"")))</f>
        <v>#REF!</v>
      </c>
      <c r="D1215" s="222" t="e">
        <f>IF(C1215&lt;&gt;"",dadosexternosBMF_1!C1218,"")</f>
        <v>#REF!</v>
      </c>
      <c r="E1215" s="222" t="e">
        <f>IF(C1215&lt;&gt;"",dadosexternosBMF_1!D1218,"")</f>
        <v>#REF!</v>
      </c>
      <c r="G1215" s="219" t="e">
        <f t="shared" si="127"/>
        <v>#REF!</v>
      </c>
      <c r="H1215" s="219" t="e">
        <f t="shared" si="128"/>
        <v>#REF!</v>
      </c>
      <c r="I1215" s="219" t="e">
        <f t="shared" si="129"/>
        <v>#REF!</v>
      </c>
      <c r="J1215" s="219" t="e">
        <f>IF(I1215="","",VLOOKUP(LEFT(C1215,1),dadosexternosBMF_1!$L$2:$M$13,2,FALSE))</f>
        <v>#REF!</v>
      </c>
      <c r="K1215" s="219" t="e">
        <f t="shared" si="130"/>
        <v>#REF!</v>
      </c>
      <c r="L1215" s="422" t="e">
        <f t="shared" si="131"/>
        <v>#REF!</v>
      </c>
      <c r="M1215" s="422" t="e">
        <f>IF(I1215="","",WORKDAY(L1215-1,1,FERIADOS!$A$2:$A$831))</f>
        <v>#REF!</v>
      </c>
      <c r="N1215" s="219" t="e">
        <f>IF(I1215="","",NETWORKDAYS(Curva!$M$2,M1215,FERIADOS!$A$2:$A$831)-1)</f>
        <v>#REF!</v>
      </c>
      <c r="O1215" s="423" t="e">
        <f>IF(C1215&lt;&gt;"",IF(ISERROR((100000/E1215)^(252/N1215)-1),Curva!$B$2,((100000/E1215)^(252/N1215)-1)),"")</f>
        <v>#REF!</v>
      </c>
      <c r="P1215" s="219" t="e">
        <f>IF(OR(G1215=1,G1215=2),dadosexternosBMF_1!B1218,"")</f>
        <v>#REF!</v>
      </c>
      <c r="Q1215" s="219" t="e">
        <f>IF(OR(G1215=1,G1215=2),dadosexternosBMF_1!D1218,"")</f>
        <v>#REF!</v>
      </c>
    </row>
    <row r="1216" spans="1:17" x14ac:dyDescent="0.2">
      <c r="A1216" s="222" t="e">
        <f t="shared" si="126"/>
        <v>#REF!</v>
      </c>
      <c r="B1216" s="222" t="str">
        <f>IF(dadosexternosBMF_1!A1219="DI1 - DI de 1 dia","DI1 - DI de 1 dia","")</f>
        <v/>
      </c>
      <c r="C1216" s="222" t="e">
        <f>IF(dadosexternosBMF_1!A1219="DOL - Dólar comercial","",IF(C1215&lt;&gt;"",dadosexternosBMF_1!B1219,IF(dadosexternosBMF_1!A1219="DI1 - DI de 1 dia",dadosexternosBMF_1!B1219,"")))</f>
        <v>#REF!</v>
      </c>
      <c r="D1216" s="222" t="e">
        <f>IF(C1216&lt;&gt;"",dadosexternosBMF_1!C1219,"")</f>
        <v>#REF!</v>
      </c>
      <c r="E1216" s="222" t="e">
        <f>IF(C1216&lt;&gt;"",dadosexternosBMF_1!D1219,"")</f>
        <v>#REF!</v>
      </c>
      <c r="G1216" s="219" t="e">
        <f t="shared" si="127"/>
        <v>#REF!</v>
      </c>
      <c r="H1216" s="219" t="e">
        <f t="shared" si="128"/>
        <v>#REF!</v>
      </c>
      <c r="I1216" s="219" t="e">
        <f t="shared" si="129"/>
        <v>#REF!</v>
      </c>
      <c r="J1216" s="219" t="e">
        <f>IF(I1216="","",VLOOKUP(LEFT(C1216,1),dadosexternosBMF_1!$L$2:$M$13,2,FALSE))</f>
        <v>#REF!</v>
      </c>
      <c r="K1216" s="219" t="e">
        <f t="shared" si="130"/>
        <v>#REF!</v>
      </c>
      <c r="L1216" s="422" t="e">
        <f t="shared" si="131"/>
        <v>#REF!</v>
      </c>
      <c r="M1216" s="422" t="e">
        <f>IF(I1216="","",WORKDAY(L1216-1,1,FERIADOS!$A$2:$A$831))</f>
        <v>#REF!</v>
      </c>
      <c r="N1216" s="219" t="e">
        <f>IF(I1216="","",NETWORKDAYS(Curva!$M$2,M1216,FERIADOS!$A$2:$A$831)-1)</f>
        <v>#REF!</v>
      </c>
      <c r="O1216" s="423" t="e">
        <f>IF(C1216&lt;&gt;"",IF(ISERROR((100000/E1216)^(252/N1216)-1),Curva!$B$2,((100000/E1216)^(252/N1216)-1)),"")</f>
        <v>#REF!</v>
      </c>
      <c r="P1216" s="219" t="e">
        <f>IF(OR(G1216=1,G1216=2),dadosexternosBMF_1!B1219,"")</f>
        <v>#REF!</v>
      </c>
      <c r="Q1216" s="219" t="e">
        <f>IF(OR(G1216=1,G1216=2),dadosexternosBMF_1!D1219,"")</f>
        <v>#REF!</v>
      </c>
    </row>
    <row r="1217" spans="1:17" x14ac:dyDescent="0.2">
      <c r="A1217" s="222" t="e">
        <f t="shared" si="126"/>
        <v>#REF!</v>
      </c>
      <c r="B1217" s="222" t="str">
        <f>IF(dadosexternosBMF_1!A1220="DI1 - DI de 1 dia","DI1 - DI de 1 dia","")</f>
        <v/>
      </c>
      <c r="C1217" s="222" t="e">
        <f>IF(dadosexternosBMF_1!A1220="DOL - Dólar comercial","",IF(C1216&lt;&gt;"",dadosexternosBMF_1!B1220,IF(dadosexternosBMF_1!A1220="DI1 - DI de 1 dia",dadosexternosBMF_1!B1220,"")))</f>
        <v>#REF!</v>
      </c>
      <c r="D1217" s="222" t="e">
        <f>IF(C1217&lt;&gt;"",dadosexternosBMF_1!C1220,"")</f>
        <v>#REF!</v>
      </c>
      <c r="E1217" s="222" t="e">
        <f>IF(C1217&lt;&gt;"",dadosexternosBMF_1!D1220,"")</f>
        <v>#REF!</v>
      </c>
      <c r="G1217" s="219" t="e">
        <f t="shared" si="127"/>
        <v>#REF!</v>
      </c>
      <c r="H1217" s="219" t="e">
        <f t="shared" si="128"/>
        <v>#REF!</v>
      </c>
      <c r="I1217" s="219" t="e">
        <f t="shared" si="129"/>
        <v>#REF!</v>
      </c>
      <c r="J1217" s="219" t="e">
        <f>IF(I1217="","",VLOOKUP(LEFT(C1217,1),dadosexternosBMF_1!$L$2:$M$13,2,FALSE))</f>
        <v>#REF!</v>
      </c>
      <c r="K1217" s="219" t="e">
        <f t="shared" si="130"/>
        <v>#REF!</v>
      </c>
      <c r="L1217" s="422" t="e">
        <f t="shared" si="131"/>
        <v>#REF!</v>
      </c>
      <c r="M1217" s="422" t="e">
        <f>IF(I1217="","",WORKDAY(L1217-1,1,FERIADOS!$A$2:$A$831))</f>
        <v>#REF!</v>
      </c>
      <c r="N1217" s="219" t="e">
        <f>IF(I1217="","",NETWORKDAYS(Curva!$M$2,M1217,FERIADOS!$A$2:$A$831)-1)</f>
        <v>#REF!</v>
      </c>
      <c r="O1217" s="423" t="e">
        <f>IF(C1217&lt;&gt;"",IF(ISERROR((100000/E1217)^(252/N1217)-1),Curva!$B$2,((100000/E1217)^(252/N1217)-1)),"")</f>
        <v>#REF!</v>
      </c>
      <c r="P1217" s="219" t="e">
        <f>IF(OR(G1217=1,G1217=2),dadosexternosBMF_1!B1220,"")</f>
        <v>#REF!</v>
      </c>
      <c r="Q1217" s="219" t="e">
        <f>IF(OR(G1217=1,G1217=2),dadosexternosBMF_1!D1220,"")</f>
        <v>#REF!</v>
      </c>
    </row>
    <row r="1218" spans="1:17" x14ac:dyDescent="0.2">
      <c r="A1218" s="222" t="e">
        <f t="shared" si="126"/>
        <v>#REF!</v>
      </c>
      <c r="B1218" s="222" t="str">
        <f>IF(dadosexternosBMF_1!A1221="DI1 - DI de 1 dia","DI1 - DI de 1 dia","")</f>
        <v/>
      </c>
      <c r="C1218" s="222" t="e">
        <f>IF(dadosexternosBMF_1!A1221="DOL - Dólar comercial","",IF(C1217&lt;&gt;"",dadosexternosBMF_1!B1221,IF(dadosexternosBMF_1!A1221="DI1 - DI de 1 dia",dadosexternosBMF_1!B1221,"")))</f>
        <v>#REF!</v>
      </c>
      <c r="D1218" s="222" t="e">
        <f>IF(C1218&lt;&gt;"",dadosexternosBMF_1!C1221,"")</f>
        <v>#REF!</v>
      </c>
      <c r="E1218" s="222" t="e">
        <f>IF(C1218&lt;&gt;"",dadosexternosBMF_1!D1221,"")</f>
        <v>#REF!</v>
      </c>
      <c r="G1218" s="219" t="e">
        <f t="shared" si="127"/>
        <v>#REF!</v>
      </c>
      <c r="H1218" s="219" t="e">
        <f t="shared" si="128"/>
        <v>#REF!</v>
      </c>
      <c r="I1218" s="219" t="e">
        <f t="shared" si="129"/>
        <v>#REF!</v>
      </c>
      <c r="J1218" s="219" t="e">
        <f>IF(I1218="","",VLOOKUP(LEFT(C1218,1),dadosexternosBMF_1!$L$2:$M$13,2,FALSE))</f>
        <v>#REF!</v>
      </c>
      <c r="K1218" s="219" t="e">
        <f t="shared" si="130"/>
        <v>#REF!</v>
      </c>
      <c r="L1218" s="422" t="e">
        <f t="shared" si="131"/>
        <v>#REF!</v>
      </c>
      <c r="M1218" s="422" t="e">
        <f>IF(I1218="","",WORKDAY(L1218-1,1,FERIADOS!$A$2:$A$831))</f>
        <v>#REF!</v>
      </c>
      <c r="N1218" s="219" t="e">
        <f>IF(I1218="","",NETWORKDAYS(Curva!$M$2,M1218,FERIADOS!$A$2:$A$831)-1)</f>
        <v>#REF!</v>
      </c>
      <c r="O1218" s="423" t="e">
        <f>IF(C1218&lt;&gt;"",IF(ISERROR((100000/E1218)^(252/N1218)-1),Curva!$B$2,((100000/E1218)^(252/N1218)-1)),"")</f>
        <v>#REF!</v>
      </c>
      <c r="P1218" s="219" t="e">
        <f>IF(OR(G1218=1,G1218=2),dadosexternosBMF_1!B1221,"")</f>
        <v>#REF!</v>
      </c>
      <c r="Q1218" s="219" t="e">
        <f>IF(OR(G1218=1,G1218=2),dadosexternosBMF_1!D1221,"")</f>
        <v>#REF!</v>
      </c>
    </row>
    <row r="1219" spans="1:17" x14ac:dyDescent="0.2">
      <c r="A1219" s="222" t="e">
        <f t="shared" si="126"/>
        <v>#REF!</v>
      </c>
      <c r="B1219" s="222" t="str">
        <f>IF(dadosexternosBMF_1!A1222="DI1 - DI de 1 dia","DI1 - DI de 1 dia","")</f>
        <v/>
      </c>
      <c r="C1219" s="222" t="e">
        <f>IF(dadosexternosBMF_1!A1222="DOL - Dólar comercial","",IF(C1218&lt;&gt;"",dadosexternosBMF_1!B1222,IF(dadosexternosBMF_1!A1222="DI1 - DI de 1 dia",dadosexternosBMF_1!B1222,"")))</f>
        <v>#REF!</v>
      </c>
      <c r="D1219" s="222" t="e">
        <f>IF(C1219&lt;&gt;"",dadosexternosBMF_1!C1222,"")</f>
        <v>#REF!</v>
      </c>
      <c r="E1219" s="222" t="e">
        <f>IF(C1219&lt;&gt;"",dadosexternosBMF_1!D1222,"")</f>
        <v>#REF!</v>
      </c>
      <c r="G1219" s="219" t="e">
        <f t="shared" si="127"/>
        <v>#REF!</v>
      </c>
      <c r="H1219" s="219" t="e">
        <f t="shared" si="128"/>
        <v>#REF!</v>
      </c>
      <c r="I1219" s="219" t="e">
        <f t="shared" si="129"/>
        <v>#REF!</v>
      </c>
      <c r="J1219" s="219" t="e">
        <f>IF(I1219="","",VLOOKUP(LEFT(C1219,1),dadosexternosBMF_1!$L$2:$M$13,2,FALSE))</f>
        <v>#REF!</v>
      </c>
      <c r="K1219" s="219" t="e">
        <f t="shared" si="130"/>
        <v>#REF!</v>
      </c>
      <c r="L1219" s="422" t="e">
        <f t="shared" si="131"/>
        <v>#REF!</v>
      </c>
      <c r="M1219" s="422" t="e">
        <f>IF(I1219="","",WORKDAY(L1219-1,1,FERIADOS!$A$2:$A$831))</f>
        <v>#REF!</v>
      </c>
      <c r="N1219" s="219" t="e">
        <f>IF(I1219="","",NETWORKDAYS(Curva!$M$2,M1219,FERIADOS!$A$2:$A$831)-1)</f>
        <v>#REF!</v>
      </c>
      <c r="O1219" s="423" t="e">
        <f>IF(C1219&lt;&gt;"",IF(ISERROR((100000/E1219)^(252/N1219)-1),Curva!$B$2,((100000/E1219)^(252/N1219)-1)),"")</f>
        <v>#REF!</v>
      </c>
      <c r="P1219" s="219" t="e">
        <f>IF(OR(G1219=1,G1219=2),dadosexternosBMF_1!B1222,"")</f>
        <v>#REF!</v>
      </c>
      <c r="Q1219" s="219" t="e">
        <f>IF(OR(G1219=1,G1219=2),dadosexternosBMF_1!D1222,"")</f>
        <v>#REF!</v>
      </c>
    </row>
    <row r="1220" spans="1:17" x14ac:dyDescent="0.2">
      <c r="A1220" s="222" t="e">
        <f t="shared" si="126"/>
        <v>#REF!</v>
      </c>
      <c r="B1220" s="222" t="str">
        <f>IF(dadosexternosBMF_1!A1223="DI1 - DI de 1 dia","DI1 - DI de 1 dia","")</f>
        <v/>
      </c>
      <c r="C1220" s="222" t="e">
        <f>IF(dadosexternosBMF_1!A1223="DOL - Dólar comercial","",IF(C1219&lt;&gt;"",dadosexternosBMF_1!B1223,IF(dadosexternosBMF_1!A1223="DI1 - DI de 1 dia",dadosexternosBMF_1!B1223,"")))</f>
        <v>#REF!</v>
      </c>
      <c r="D1220" s="222" t="e">
        <f>IF(C1220&lt;&gt;"",dadosexternosBMF_1!C1223,"")</f>
        <v>#REF!</v>
      </c>
      <c r="E1220" s="222" t="e">
        <f>IF(C1220&lt;&gt;"",dadosexternosBMF_1!D1223,"")</f>
        <v>#REF!</v>
      </c>
      <c r="G1220" s="219" t="e">
        <f t="shared" si="127"/>
        <v>#REF!</v>
      </c>
      <c r="H1220" s="219" t="e">
        <f t="shared" si="128"/>
        <v>#REF!</v>
      </c>
      <c r="I1220" s="219" t="e">
        <f t="shared" si="129"/>
        <v>#REF!</v>
      </c>
      <c r="J1220" s="219" t="e">
        <f>IF(I1220="","",VLOOKUP(LEFT(C1220,1),dadosexternosBMF_1!$L$2:$M$13,2,FALSE))</f>
        <v>#REF!</v>
      </c>
      <c r="K1220" s="219" t="e">
        <f t="shared" si="130"/>
        <v>#REF!</v>
      </c>
      <c r="L1220" s="422" t="e">
        <f t="shared" si="131"/>
        <v>#REF!</v>
      </c>
      <c r="M1220" s="422" t="e">
        <f>IF(I1220="","",WORKDAY(L1220-1,1,FERIADOS!$A$2:$A$831))</f>
        <v>#REF!</v>
      </c>
      <c r="N1220" s="219" t="e">
        <f>IF(I1220="","",NETWORKDAYS(Curva!$M$2,M1220,FERIADOS!$A$2:$A$831)-1)</f>
        <v>#REF!</v>
      </c>
      <c r="O1220" s="423" t="e">
        <f>IF(C1220&lt;&gt;"",IF(ISERROR((100000/E1220)^(252/N1220)-1),Curva!$B$2,((100000/E1220)^(252/N1220)-1)),"")</f>
        <v>#REF!</v>
      </c>
      <c r="P1220" s="219" t="e">
        <f>IF(OR(G1220=1,G1220=2),dadosexternosBMF_1!B1223,"")</f>
        <v>#REF!</v>
      </c>
      <c r="Q1220" s="219" t="e">
        <f>IF(OR(G1220=1,G1220=2),dadosexternosBMF_1!D1223,"")</f>
        <v>#REF!</v>
      </c>
    </row>
    <row r="1221" spans="1:17" x14ac:dyDescent="0.2">
      <c r="A1221" s="222" t="e">
        <f t="shared" si="126"/>
        <v>#REF!</v>
      </c>
      <c r="B1221" s="222" t="str">
        <f>IF(dadosexternosBMF_1!A1224="DI1 - DI de 1 dia","DI1 - DI de 1 dia","")</f>
        <v/>
      </c>
      <c r="C1221" s="222" t="e">
        <f>IF(dadosexternosBMF_1!A1224="DOL - Dólar comercial","",IF(C1220&lt;&gt;"",dadosexternosBMF_1!B1224,IF(dadosexternosBMF_1!A1224="DI1 - DI de 1 dia",dadosexternosBMF_1!B1224,"")))</f>
        <v>#REF!</v>
      </c>
      <c r="D1221" s="222" t="e">
        <f>IF(C1221&lt;&gt;"",dadosexternosBMF_1!C1224,"")</f>
        <v>#REF!</v>
      </c>
      <c r="E1221" s="222" t="e">
        <f>IF(C1221&lt;&gt;"",dadosexternosBMF_1!D1224,"")</f>
        <v>#REF!</v>
      </c>
      <c r="G1221" s="219" t="e">
        <f t="shared" si="127"/>
        <v>#REF!</v>
      </c>
      <c r="H1221" s="219" t="e">
        <f t="shared" si="128"/>
        <v>#REF!</v>
      </c>
      <c r="I1221" s="219" t="e">
        <f t="shared" si="129"/>
        <v>#REF!</v>
      </c>
      <c r="J1221" s="219" t="e">
        <f>IF(I1221="","",VLOOKUP(LEFT(C1221,1),dadosexternosBMF_1!$L$2:$M$13,2,FALSE))</f>
        <v>#REF!</v>
      </c>
      <c r="K1221" s="219" t="e">
        <f t="shared" si="130"/>
        <v>#REF!</v>
      </c>
      <c r="L1221" s="422" t="e">
        <f t="shared" si="131"/>
        <v>#REF!</v>
      </c>
      <c r="M1221" s="422" t="e">
        <f>IF(I1221="","",WORKDAY(L1221-1,1,FERIADOS!$A$2:$A$831))</f>
        <v>#REF!</v>
      </c>
      <c r="N1221" s="219" t="e">
        <f>IF(I1221="","",NETWORKDAYS(Curva!$M$2,M1221,FERIADOS!$A$2:$A$831)-1)</f>
        <v>#REF!</v>
      </c>
      <c r="O1221" s="423" t="e">
        <f>IF(C1221&lt;&gt;"",IF(ISERROR((100000/E1221)^(252/N1221)-1),Curva!$B$2,((100000/E1221)^(252/N1221)-1)),"")</f>
        <v>#REF!</v>
      </c>
      <c r="P1221" s="219" t="e">
        <f>IF(OR(G1221=1,G1221=2),dadosexternosBMF_1!B1224,"")</f>
        <v>#REF!</v>
      </c>
      <c r="Q1221" s="219" t="e">
        <f>IF(OR(G1221=1,G1221=2),dadosexternosBMF_1!D1224,"")</f>
        <v>#REF!</v>
      </c>
    </row>
    <row r="1222" spans="1:17" x14ac:dyDescent="0.2">
      <c r="A1222" s="222" t="e">
        <f t="shared" si="126"/>
        <v>#REF!</v>
      </c>
      <c r="B1222" s="222" t="str">
        <f>IF(dadosexternosBMF_1!A1225="DI1 - DI de 1 dia","DI1 - DI de 1 dia","")</f>
        <v/>
      </c>
      <c r="C1222" s="222" t="e">
        <f>IF(dadosexternosBMF_1!A1225="DOL - Dólar comercial","",IF(C1221&lt;&gt;"",dadosexternosBMF_1!B1225,IF(dadosexternosBMF_1!A1225="DI1 - DI de 1 dia",dadosexternosBMF_1!B1225,"")))</f>
        <v>#REF!</v>
      </c>
      <c r="D1222" s="222" t="e">
        <f>IF(C1222&lt;&gt;"",dadosexternosBMF_1!C1225,"")</f>
        <v>#REF!</v>
      </c>
      <c r="E1222" s="222" t="e">
        <f>IF(C1222&lt;&gt;"",dadosexternosBMF_1!D1225,"")</f>
        <v>#REF!</v>
      </c>
      <c r="G1222" s="219" t="e">
        <f t="shared" si="127"/>
        <v>#REF!</v>
      </c>
      <c r="H1222" s="219" t="e">
        <f t="shared" si="128"/>
        <v>#REF!</v>
      </c>
      <c r="I1222" s="219" t="e">
        <f t="shared" si="129"/>
        <v>#REF!</v>
      </c>
      <c r="J1222" s="219" t="e">
        <f>IF(I1222="","",VLOOKUP(LEFT(C1222,1),dadosexternosBMF_1!$L$2:$M$13,2,FALSE))</f>
        <v>#REF!</v>
      </c>
      <c r="K1222" s="219" t="e">
        <f t="shared" si="130"/>
        <v>#REF!</v>
      </c>
      <c r="L1222" s="422" t="e">
        <f t="shared" si="131"/>
        <v>#REF!</v>
      </c>
      <c r="M1222" s="422" t="e">
        <f>IF(I1222="","",WORKDAY(L1222-1,1,FERIADOS!$A$2:$A$831))</f>
        <v>#REF!</v>
      </c>
      <c r="N1222" s="219" t="e">
        <f>IF(I1222="","",NETWORKDAYS(Curva!$M$2,M1222,FERIADOS!$A$2:$A$831)-1)</f>
        <v>#REF!</v>
      </c>
      <c r="O1222" s="423" t="e">
        <f>IF(C1222&lt;&gt;"",IF(ISERROR((100000/E1222)^(252/N1222)-1),Curva!$B$2,((100000/E1222)^(252/N1222)-1)),"")</f>
        <v>#REF!</v>
      </c>
      <c r="P1222" s="219" t="e">
        <f>IF(OR(G1222=1,G1222=2),dadosexternosBMF_1!B1225,"")</f>
        <v>#REF!</v>
      </c>
      <c r="Q1222" s="219" t="e">
        <f>IF(OR(G1222=1,G1222=2),dadosexternosBMF_1!D1225,"")</f>
        <v>#REF!</v>
      </c>
    </row>
    <row r="1223" spans="1:17" x14ac:dyDescent="0.2">
      <c r="A1223" s="222" t="e">
        <f t="shared" si="126"/>
        <v>#REF!</v>
      </c>
      <c r="B1223" s="222" t="str">
        <f>IF(dadosexternosBMF_1!A1226="DI1 - DI de 1 dia","DI1 - DI de 1 dia","")</f>
        <v/>
      </c>
      <c r="C1223" s="222" t="e">
        <f>IF(dadosexternosBMF_1!A1226="DOL - Dólar comercial","",IF(C1222&lt;&gt;"",dadosexternosBMF_1!B1226,IF(dadosexternosBMF_1!A1226="DI1 - DI de 1 dia",dadosexternosBMF_1!B1226,"")))</f>
        <v>#REF!</v>
      </c>
      <c r="D1223" s="222" t="e">
        <f>IF(C1223&lt;&gt;"",dadosexternosBMF_1!C1226,"")</f>
        <v>#REF!</v>
      </c>
      <c r="E1223" s="222" t="e">
        <f>IF(C1223&lt;&gt;"",dadosexternosBMF_1!D1226,"")</f>
        <v>#REF!</v>
      </c>
      <c r="G1223" s="219" t="e">
        <f t="shared" si="127"/>
        <v>#REF!</v>
      </c>
      <c r="H1223" s="219" t="e">
        <f t="shared" si="128"/>
        <v>#REF!</v>
      </c>
      <c r="I1223" s="219" t="e">
        <f t="shared" si="129"/>
        <v>#REF!</v>
      </c>
      <c r="J1223" s="219" t="e">
        <f>IF(I1223="","",VLOOKUP(LEFT(C1223,1),dadosexternosBMF_1!$L$2:$M$13,2,FALSE))</f>
        <v>#REF!</v>
      </c>
      <c r="K1223" s="219" t="e">
        <f t="shared" si="130"/>
        <v>#REF!</v>
      </c>
      <c r="L1223" s="422" t="e">
        <f t="shared" si="131"/>
        <v>#REF!</v>
      </c>
      <c r="M1223" s="422" t="e">
        <f>IF(I1223="","",WORKDAY(L1223-1,1,FERIADOS!$A$2:$A$831))</f>
        <v>#REF!</v>
      </c>
      <c r="N1223" s="219" t="e">
        <f>IF(I1223="","",NETWORKDAYS(Curva!$M$2,M1223,FERIADOS!$A$2:$A$831)-1)</f>
        <v>#REF!</v>
      </c>
      <c r="O1223" s="423" t="e">
        <f>IF(C1223&lt;&gt;"",IF(ISERROR((100000/E1223)^(252/N1223)-1),Curva!$B$2,((100000/E1223)^(252/N1223)-1)),"")</f>
        <v>#REF!</v>
      </c>
      <c r="P1223" s="219" t="e">
        <f>IF(OR(G1223=1,G1223=2),dadosexternosBMF_1!B1226,"")</f>
        <v>#REF!</v>
      </c>
      <c r="Q1223" s="219" t="e">
        <f>IF(OR(G1223=1,G1223=2),dadosexternosBMF_1!D1226,"")</f>
        <v>#REF!</v>
      </c>
    </row>
    <row r="1224" spans="1:17" x14ac:dyDescent="0.2">
      <c r="A1224" s="222" t="e">
        <f t="shared" si="126"/>
        <v>#REF!</v>
      </c>
      <c r="B1224" s="222" t="str">
        <f>IF(dadosexternosBMF_1!A1227="DI1 - DI de 1 dia","DI1 - DI de 1 dia","")</f>
        <v/>
      </c>
      <c r="C1224" s="222" t="e">
        <f>IF(dadosexternosBMF_1!A1227="DOL - Dólar comercial","",IF(C1223&lt;&gt;"",dadosexternosBMF_1!B1227,IF(dadosexternosBMF_1!A1227="DI1 - DI de 1 dia",dadosexternosBMF_1!B1227,"")))</f>
        <v>#REF!</v>
      </c>
      <c r="D1224" s="222" t="e">
        <f>IF(C1224&lt;&gt;"",dadosexternosBMF_1!C1227,"")</f>
        <v>#REF!</v>
      </c>
      <c r="E1224" s="222" t="e">
        <f>IF(C1224&lt;&gt;"",dadosexternosBMF_1!D1227,"")</f>
        <v>#REF!</v>
      </c>
      <c r="G1224" s="219" t="e">
        <f t="shared" si="127"/>
        <v>#REF!</v>
      </c>
      <c r="H1224" s="219" t="e">
        <f t="shared" si="128"/>
        <v>#REF!</v>
      </c>
      <c r="I1224" s="219" t="e">
        <f t="shared" si="129"/>
        <v>#REF!</v>
      </c>
      <c r="J1224" s="219" t="e">
        <f>IF(I1224="","",VLOOKUP(LEFT(C1224,1),dadosexternosBMF_1!$L$2:$M$13,2,FALSE))</f>
        <v>#REF!</v>
      </c>
      <c r="K1224" s="219" t="e">
        <f t="shared" si="130"/>
        <v>#REF!</v>
      </c>
      <c r="L1224" s="422" t="e">
        <f t="shared" si="131"/>
        <v>#REF!</v>
      </c>
      <c r="M1224" s="422" t="e">
        <f>IF(I1224="","",WORKDAY(L1224-1,1,FERIADOS!$A$2:$A$831))</f>
        <v>#REF!</v>
      </c>
      <c r="N1224" s="219" t="e">
        <f>IF(I1224="","",NETWORKDAYS(Curva!$M$2,M1224,FERIADOS!$A$2:$A$831)-1)</f>
        <v>#REF!</v>
      </c>
      <c r="O1224" s="423" t="e">
        <f>IF(C1224&lt;&gt;"",IF(ISERROR((100000/E1224)^(252/N1224)-1),Curva!$B$2,((100000/E1224)^(252/N1224)-1)),"")</f>
        <v>#REF!</v>
      </c>
      <c r="P1224" s="219" t="e">
        <f>IF(OR(G1224=1,G1224=2),dadosexternosBMF_1!B1227,"")</f>
        <v>#REF!</v>
      </c>
      <c r="Q1224" s="219" t="e">
        <f>IF(OR(G1224=1,G1224=2),dadosexternosBMF_1!D1227,"")</f>
        <v>#REF!</v>
      </c>
    </row>
    <row r="1225" spans="1:17" x14ac:dyDescent="0.2">
      <c r="A1225" s="222" t="e">
        <f t="shared" si="126"/>
        <v>#REF!</v>
      </c>
      <c r="B1225" s="222" t="str">
        <f>IF(dadosexternosBMF_1!A1228="DI1 - DI de 1 dia","DI1 - DI de 1 dia","")</f>
        <v/>
      </c>
      <c r="C1225" s="222" t="e">
        <f>IF(dadosexternosBMF_1!A1228="DOL - Dólar comercial","",IF(C1224&lt;&gt;"",dadosexternosBMF_1!B1228,IF(dadosexternosBMF_1!A1228="DI1 - DI de 1 dia",dadosexternosBMF_1!B1228,"")))</f>
        <v>#REF!</v>
      </c>
      <c r="D1225" s="222" t="e">
        <f>IF(C1225&lt;&gt;"",dadosexternosBMF_1!C1228,"")</f>
        <v>#REF!</v>
      </c>
      <c r="E1225" s="222" t="e">
        <f>IF(C1225&lt;&gt;"",dadosexternosBMF_1!D1228,"")</f>
        <v>#REF!</v>
      </c>
      <c r="G1225" s="219" t="e">
        <f t="shared" si="127"/>
        <v>#REF!</v>
      </c>
      <c r="H1225" s="219" t="e">
        <f t="shared" si="128"/>
        <v>#REF!</v>
      </c>
      <c r="I1225" s="219" t="e">
        <f t="shared" si="129"/>
        <v>#REF!</v>
      </c>
      <c r="J1225" s="219" t="e">
        <f>IF(I1225="","",VLOOKUP(LEFT(C1225,1),dadosexternosBMF_1!$L$2:$M$13,2,FALSE))</f>
        <v>#REF!</v>
      </c>
      <c r="K1225" s="219" t="e">
        <f t="shared" si="130"/>
        <v>#REF!</v>
      </c>
      <c r="L1225" s="422" t="e">
        <f t="shared" si="131"/>
        <v>#REF!</v>
      </c>
      <c r="M1225" s="422" t="e">
        <f>IF(I1225="","",WORKDAY(L1225-1,1,FERIADOS!$A$2:$A$831))</f>
        <v>#REF!</v>
      </c>
      <c r="N1225" s="219" t="e">
        <f>IF(I1225="","",NETWORKDAYS(Curva!$M$2,M1225,FERIADOS!$A$2:$A$831)-1)</f>
        <v>#REF!</v>
      </c>
      <c r="O1225" s="423" t="e">
        <f>IF(C1225&lt;&gt;"",IF(ISERROR((100000/E1225)^(252/N1225)-1),Curva!$B$2,((100000/E1225)^(252/N1225)-1)),"")</f>
        <v>#REF!</v>
      </c>
      <c r="P1225" s="219" t="e">
        <f>IF(OR(G1225=1,G1225=2),dadosexternosBMF_1!B1228,"")</f>
        <v>#REF!</v>
      </c>
      <c r="Q1225" s="219" t="e">
        <f>IF(OR(G1225=1,G1225=2),dadosexternosBMF_1!D1228,"")</f>
        <v>#REF!</v>
      </c>
    </row>
    <row r="1226" spans="1:17" x14ac:dyDescent="0.2">
      <c r="A1226" s="222" t="e">
        <f t="shared" si="126"/>
        <v>#REF!</v>
      </c>
      <c r="B1226" s="222" t="str">
        <f>IF(dadosexternosBMF_1!A1229="DI1 - DI de 1 dia","DI1 - DI de 1 dia","")</f>
        <v/>
      </c>
      <c r="C1226" s="222" t="e">
        <f>IF(dadosexternosBMF_1!A1229="DOL - Dólar comercial","",IF(C1225&lt;&gt;"",dadosexternosBMF_1!B1229,IF(dadosexternosBMF_1!A1229="DI1 - DI de 1 dia",dadosexternosBMF_1!B1229,"")))</f>
        <v>#REF!</v>
      </c>
      <c r="D1226" s="222" t="e">
        <f>IF(C1226&lt;&gt;"",dadosexternosBMF_1!C1229,"")</f>
        <v>#REF!</v>
      </c>
      <c r="E1226" s="222" t="e">
        <f>IF(C1226&lt;&gt;"",dadosexternosBMF_1!D1229,"")</f>
        <v>#REF!</v>
      </c>
      <c r="G1226" s="219" t="e">
        <f t="shared" si="127"/>
        <v>#REF!</v>
      </c>
      <c r="H1226" s="219" t="e">
        <f t="shared" si="128"/>
        <v>#REF!</v>
      </c>
      <c r="I1226" s="219" t="e">
        <f t="shared" si="129"/>
        <v>#REF!</v>
      </c>
      <c r="J1226" s="219" t="e">
        <f>IF(I1226="","",VLOOKUP(LEFT(C1226,1),dadosexternosBMF_1!$L$2:$M$13,2,FALSE))</f>
        <v>#REF!</v>
      </c>
      <c r="K1226" s="219" t="e">
        <f t="shared" si="130"/>
        <v>#REF!</v>
      </c>
      <c r="L1226" s="422" t="e">
        <f t="shared" si="131"/>
        <v>#REF!</v>
      </c>
      <c r="M1226" s="422" t="e">
        <f>IF(I1226="","",WORKDAY(L1226-1,1,FERIADOS!$A$2:$A$831))</f>
        <v>#REF!</v>
      </c>
      <c r="N1226" s="219" t="e">
        <f>IF(I1226="","",NETWORKDAYS(Curva!$M$2,M1226,FERIADOS!$A$2:$A$831)-1)</f>
        <v>#REF!</v>
      </c>
      <c r="O1226" s="423" t="e">
        <f>IF(C1226&lt;&gt;"",IF(ISERROR((100000/E1226)^(252/N1226)-1),Curva!$B$2,((100000/E1226)^(252/N1226)-1)),"")</f>
        <v>#REF!</v>
      </c>
      <c r="P1226" s="219" t="e">
        <f>IF(OR(G1226=1,G1226=2),dadosexternosBMF_1!B1229,"")</f>
        <v>#REF!</v>
      </c>
      <c r="Q1226" s="219" t="e">
        <f>IF(OR(G1226=1,G1226=2),dadosexternosBMF_1!D1229,"")</f>
        <v>#REF!</v>
      </c>
    </row>
    <row r="1227" spans="1:17" x14ac:dyDescent="0.2">
      <c r="A1227" s="222" t="e">
        <f t="shared" si="126"/>
        <v>#REF!</v>
      </c>
      <c r="B1227" s="222" t="str">
        <f>IF(dadosexternosBMF_1!A1230="DI1 - DI de 1 dia","DI1 - DI de 1 dia","")</f>
        <v/>
      </c>
      <c r="C1227" s="222" t="e">
        <f>IF(dadosexternosBMF_1!A1230="DOL - Dólar comercial","",IF(C1226&lt;&gt;"",dadosexternosBMF_1!B1230,IF(dadosexternosBMF_1!A1230="DI1 - DI de 1 dia",dadosexternosBMF_1!B1230,"")))</f>
        <v>#REF!</v>
      </c>
      <c r="D1227" s="222" t="e">
        <f>IF(C1227&lt;&gt;"",dadosexternosBMF_1!C1230,"")</f>
        <v>#REF!</v>
      </c>
      <c r="E1227" s="222" t="e">
        <f>IF(C1227&lt;&gt;"",dadosexternosBMF_1!D1230,"")</f>
        <v>#REF!</v>
      </c>
      <c r="G1227" s="219" t="e">
        <f t="shared" si="127"/>
        <v>#REF!</v>
      </c>
      <c r="H1227" s="219" t="e">
        <f t="shared" si="128"/>
        <v>#REF!</v>
      </c>
      <c r="I1227" s="219" t="e">
        <f t="shared" si="129"/>
        <v>#REF!</v>
      </c>
      <c r="J1227" s="219" t="e">
        <f>IF(I1227="","",VLOOKUP(LEFT(C1227,1),dadosexternosBMF_1!$L$2:$M$13,2,FALSE))</f>
        <v>#REF!</v>
      </c>
      <c r="K1227" s="219" t="e">
        <f t="shared" si="130"/>
        <v>#REF!</v>
      </c>
      <c r="L1227" s="422" t="e">
        <f t="shared" si="131"/>
        <v>#REF!</v>
      </c>
      <c r="M1227" s="422" t="e">
        <f>IF(I1227="","",WORKDAY(L1227-1,1,FERIADOS!$A$2:$A$831))</f>
        <v>#REF!</v>
      </c>
      <c r="N1227" s="219" t="e">
        <f>IF(I1227="","",NETWORKDAYS(Curva!$M$2,M1227,FERIADOS!$A$2:$A$831)-1)</f>
        <v>#REF!</v>
      </c>
      <c r="O1227" s="423" t="e">
        <f>IF(C1227&lt;&gt;"",IF(ISERROR((100000/E1227)^(252/N1227)-1),Curva!$B$2,((100000/E1227)^(252/N1227)-1)),"")</f>
        <v>#REF!</v>
      </c>
      <c r="P1227" s="219" t="e">
        <f>IF(OR(G1227=1,G1227=2),dadosexternosBMF_1!B1230,"")</f>
        <v>#REF!</v>
      </c>
      <c r="Q1227" s="219" t="e">
        <f>IF(OR(G1227=1,G1227=2),dadosexternosBMF_1!D1230,"")</f>
        <v>#REF!</v>
      </c>
    </row>
    <row r="1228" spans="1:17" x14ac:dyDescent="0.2">
      <c r="A1228" s="222" t="e">
        <f t="shared" si="126"/>
        <v>#REF!</v>
      </c>
      <c r="B1228" s="222" t="str">
        <f>IF(dadosexternosBMF_1!A1231="DI1 - DI de 1 dia","DI1 - DI de 1 dia","")</f>
        <v/>
      </c>
      <c r="C1228" s="222" t="e">
        <f>IF(dadosexternosBMF_1!A1231="DOL - Dólar comercial","",IF(C1227&lt;&gt;"",dadosexternosBMF_1!B1231,IF(dadosexternosBMF_1!A1231="DI1 - DI de 1 dia",dadosexternosBMF_1!B1231,"")))</f>
        <v>#REF!</v>
      </c>
      <c r="D1228" s="222" t="e">
        <f>IF(C1228&lt;&gt;"",dadosexternosBMF_1!C1231,"")</f>
        <v>#REF!</v>
      </c>
      <c r="E1228" s="222" t="e">
        <f>IF(C1228&lt;&gt;"",dadosexternosBMF_1!D1231,"")</f>
        <v>#REF!</v>
      </c>
      <c r="G1228" s="219" t="e">
        <f t="shared" si="127"/>
        <v>#REF!</v>
      </c>
      <c r="H1228" s="219" t="e">
        <f t="shared" si="128"/>
        <v>#REF!</v>
      </c>
      <c r="I1228" s="219" t="e">
        <f t="shared" si="129"/>
        <v>#REF!</v>
      </c>
      <c r="J1228" s="219" t="e">
        <f>IF(I1228="","",VLOOKUP(LEFT(C1228,1),dadosexternosBMF_1!$L$2:$M$13,2,FALSE))</f>
        <v>#REF!</v>
      </c>
      <c r="K1228" s="219" t="e">
        <f t="shared" si="130"/>
        <v>#REF!</v>
      </c>
      <c r="L1228" s="422" t="e">
        <f t="shared" si="131"/>
        <v>#REF!</v>
      </c>
      <c r="M1228" s="422" t="e">
        <f>IF(I1228="","",WORKDAY(L1228-1,1,FERIADOS!$A$2:$A$831))</f>
        <v>#REF!</v>
      </c>
      <c r="N1228" s="219" t="e">
        <f>IF(I1228="","",NETWORKDAYS(Curva!$M$2,M1228,FERIADOS!$A$2:$A$831)-1)</f>
        <v>#REF!</v>
      </c>
      <c r="O1228" s="423" t="e">
        <f>IF(C1228&lt;&gt;"",IF(ISERROR((100000/E1228)^(252/N1228)-1),Curva!$B$2,((100000/E1228)^(252/N1228)-1)),"")</f>
        <v>#REF!</v>
      </c>
      <c r="P1228" s="219" t="e">
        <f>IF(OR(G1228=1,G1228=2),dadosexternosBMF_1!B1231,"")</f>
        <v>#REF!</v>
      </c>
      <c r="Q1228" s="219" t="e">
        <f>IF(OR(G1228=1,G1228=2),dadosexternosBMF_1!D1231,"")</f>
        <v>#REF!</v>
      </c>
    </row>
    <row r="1229" spans="1:17" x14ac:dyDescent="0.2">
      <c r="A1229" s="222" t="e">
        <f t="shared" si="126"/>
        <v>#REF!</v>
      </c>
      <c r="B1229" s="222" t="str">
        <f>IF(dadosexternosBMF_1!A1232="DI1 - DI de 1 dia","DI1 - DI de 1 dia","")</f>
        <v/>
      </c>
      <c r="C1229" s="222" t="e">
        <f>IF(dadosexternosBMF_1!A1232="DOL - Dólar comercial","",IF(C1228&lt;&gt;"",dadosexternosBMF_1!B1232,IF(dadosexternosBMF_1!A1232="DI1 - DI de 1 dia",dadosexternosBMF_1!B1232,"")))</f>
        <v>#REF!</v>
      </c>
      <c r="D1229" s="222" t="e">
        <f>IF(C1229&lt;&gt;"",dadosexternosBMF_1!C1232,"")</f>
        <v>#REF!</v>
      </c>
      <c r="E1229" s="222" t="e">
        <f>IF(C1229&lt;&gt;"",dadosexternosBMF_1!D1232,"")</f>
        <v>#REF!</v>
      </c>
      <c r="G1229" s="219" t="e">
        <f t="shared" si="127"/>
        <v>#REF!</v>
      </c>
      <c r="H1229" s="219" t="e">
        <f t="shared" si="128"/>
        <v>#REF!</v>
      </c>
      <c r="I1229" s="219" t="e">
        <f t="shared" si="129"/>
        <v>#REF!</v>
      </c>
      <c r="J1229" s="219" t="e">
        <f>IF(I1229="","",VLOOKUP(LEFT(C1229,1),dadosexternosBMF_1!$L$2:$M$13,2,FALSE))</f>
        <v>#REF!</v>
      </c>
      <c r="K1229" s="219" t="e">
        <f t="shared" si="130"/>
        <v>#REF!</v>
      </c>
      <c r="L1229" s="422" t="e">
        <f t="shared" si="131"/>
        <v>#REF!</v>
      </c>
      <c r="M1229" s="422" t="e">
        <f>IF(I1229="","",WORKDAY(L1229-1,1,FERIADOS!$A$2:$A$831))</f>
        <v>#REF!</v>
      </c>
      <c r="N1229" s="219" t="e">
        <f>IF(I1229="","",NETWORKDAYS(Curva!$M$2,M1229,FERIADOS!$A$2:$A$831)-1)</f>
        <v>#REF!</v>
      </c>
      <c r="O1229" s="423" t="e">
        <f>IF(C1229&lt;&gt;"",IF(ISERROR((100000/E1229)^(252/N1229)-1),Curva!$B$2,((100000/E1229)^(252/N1229)-1)),"")</f>
        <v>#REF!</v>
      </c>
      <c r="P1229" s="219" t="e">
        <f>IF(OR(G1229=1,G1229=2),dadosexternosBMF_1!B1232,"")</f>
        <v>#REF!</v>
      </c>
      <c r="Q1229" s="219" t="e">
        <f>IF(OR(G1229=1,G1229=2),dadosexternosBMF_1!D1232,"")</f>
        <v>#REF!</v>
      </c>
    </row>
    <row r="1230" spans="1:17" x14ac:dyDescent="0.2">
      <c r="A1230" s="222" t="e">
        <f t="shared" si="126"/>
        <v>#REF!</v>
      </c>
      <c r="B1230" s="222" t="str">
        <f>IF(dadosexternosBMF_1!A1233="DI1 - DI de 1 dia","DI1 - DI de 1 dia","")</f>
        <v/>
      </c>
      <c r="C1230" s="222" t="e">
        <f>IF(dadosexternosBMF_1!A1233="DOL - Dólar comercial","",IF(C1229&lt;&gt;"",dadosexternosBMF_1!B1233,IF(dadosexternosBMF_1!A1233="DI1 - DI de 1 dia",dadosexternosBMF_1!B1233,"")))</f>
        <v>#REF!</v>
      </c>
      <c r="D1230" s="222" t="e">
        <f>IF(C1230&lt;&gt;"",dadosexternosBMF_1!C1233,"")</f>
        <v>#REF!</v>
      </c>
      <c r="E1230" s="222" t="e">
        <f>IF(C1230&lt;&gt;"",dadosexternosBMF_1!D1233,"")</f>
        <v>#REF!</v>
      </c>
      <c r="G1230" s="219" t="e">
        <f t="shared" si="127"/>
        <v>#REF!</v>
      </c>
      <c r="H1230" s="219" t="e">
        <f t="shared" si="128"/>
        <v>#REF!</v>
      </c>
      <c r="I1230" s="219" t="e">
        <f t="shared" si="129"/>
        <v>#REF!</v>
      </c>
      <c r="J1230" s="219" t="e">
        <f>IF(I1230="","",VLOOKUP(LEFT(C1230,1),dadosexternosBMF_1!$L$2:$M$13,2,FALSE))</f>
        <v>#REF!</v>
      </c>
      <c r="K1230" s="219" t="e">
        <f t="shared" si="130"/>
        <v>#REF!</v>
      </c>
      <c r="L1230" s="422" t="e">
        <f t="shared" si="131"/>
        <v>#REF!</v>
      </c>
      <c r="M1230" s="422" t="e">
        <f>IF(I1230="","",WORKDAY(L1230-1,1,FERIADOS!$A$2:$A$831))</f>
        <v>#REF!</v>
      </c>
      <c r="N1230" s="219" t="e">
        <f>IF(I1230="","",NETWORKDAYS(Curva!$M$2,M1230,FERIADOS!$A$2:$A$831)-1)</f>
        <v>#REF!</v>
      </c>
      <c r="O1230" s="423" t="e">
        <f>IF(C1230&lt;&gt;"",IF(ISERROR((100000/E1230)^(252/N1230)-1),Curva!$B$2,((100000/E1230)^(252/N1230)-1)),"")</f>
        <v>#REF!</v>
      </c>
      <c r="P1230" s="219" t="e">
        <f>IF(OR(G1230=1,G1230=2),dadosexternosBMF_1!B1233,"")</f>
        <v>#REF!</v>
      </c>
      <c r="Q1230" s="219" t="e">
        <f>IF(OR(G1230=1,G1230=2),dadosexternosBMF_1!D1233,"")</f>
        <v>#REF!</v>
      </c>
    </row>
    <row r="1231" spans="1:17" x14ac:dyDescent="0.2">
      <c r="A1231" s="222" t="e">
        <f t="shared" si="126"/>
        <v>#REF!</v>
      </c>
      <c r="B1231" s="222" t="str">
        <f>IF(dadosexternosBMF_1!A1234="DI1 - DI de 1 dia","DI1 - DI de 1 dia","")</f>
        <v/>
      </c>
      <c r="C1231" s="222" t="e">
        <f>IF(dadosexternosBMF_1!A1234="DOL - Dólar comercial","",IF(C1230&lt;&gt;"",dadosexternosBMF_1!B1234,IF(dadosexternosBMF_1!A1234="DI1 - DI de 1 dia",dadosexternosBMF_1!B1234,"")))</f>
        <v>#REF!</v>
      </c>
      <c r="D1231" s="222" t="e">
        <f>IF(C1231&lt;&gt;"",dadosexternosBMF_1!C1234,"")</f>
        <v>#REF!</v>
      </c>
      <c r="E1231" s="222" t="e">
        <f>IF(C1231&lt;&gt;"",dadosexternosBMF_1!D1234,"")</f>
        <v>#REF!</v>
      </c>
      <c r="G1231" s="219" t="e">
        <f t="shared" si="127"/>
        <v>#REF!</v>
      </c>
      <c r="H1231" s="219" t="e">
        <f t="shared" si="128"/>
        <v>#REF!</v>
      </c>
      <c r="I1231" s="219" t="e">
        <f t="shared" si="129"/>
        <v>#REF!</v>
      </c>
      <c r="J1231" s="219" t="e">
        <f>IF(I1231="","",VLOOKUP(LEFT(C1231,1),dadosexternosBMF_1!$L$2:$M$13,2,FALSE))</f>
        <v>#REF!</v>
      </c>
      <c r="K1231" s="219" t="e">
        <f t="shared" si="130"/>
        <v>#REF!</v>
      </c>
      <c r="L1231" s="422" t="e">
        <f t="shared" si="131"/>
        <v>#REF!</v>
      </c>
      <c r="M1231" s="422" t="e">
        <f>IF(I1231="","",WORKDAY(L1231-1,1,FERIADOS!$A$2:$A$831))</f>
        <v>#REF!</v>
      </c>
      <c r="N1231" s="219" t="e">
        <f>IF(I1231="","",NETWORKDAYS(Curva!$M$2,M1231,FERIADOS!$A$2:$A$831)-1)</f>
        <v>#REF!</v>
      </c>
      <c r="O1231" s="423" t="e">
        <f>IF(C1231&lt;&gt;"",IF(ISERROR((100000/E1231)^(252/N1231)-1),Curva!$B$2,((100000/E1231)^(252/N1231)-1)),"")</f>
        <v>#REF!</v>
      </c>
      <c r="P1231" s="219" t="e">
        <f>IF(OR(G1231=1,G1231=2),dadosexternosBMF_1!B1234,"")</f>
        <v>#REF!</v>
      </c>
      <c r="Q1231" s="219" t="e">
        <f>IF(OR(G1231=1,G1231=2),dadosexternosBMF_1!D1234,"")</f>
        <v>#REF!</v>
      </c>
    </row>
    <row r="1232" spans="1:17" x14ac:dyDescent="0.2">
      <c r="A1232" s="222" t="e">
        <f t="shared" si="126"/>
        <v>#REF!</v>
      </c>
      <c r="B1232" s="222" t="str">
        <f>IF(dadosexternosBMF_1!A1235="DI1 - DI de 1 dia","DI1 - DI de 1 dia","")</f>
        <v/>
      </c>
      <c r="C1232" s="222" t="e">
        <f>IF(dadosexternosBMF_1!A1235="DOL - Dólar comercial","",IF(C1231&lt;&gt;"",dadosexternosBMF_1!B1235,IF(dadosexternosBMF_1!A1235="DI1 - DI de 1 dia",dadosexternosBMF_1!B1235,"")))</f>
        <v>#REF!</v>
      </c>
      <c r="D1232" s="222" t="e">
        <f>IF(C1232&lt;&gt;"",dadosexternosBMF_1!C1235,"")</f>
        <v>#REF!</v>
      </c>
      <c r="E1232" s="222" t="e">
        <f>IF(C1232&lt;&gt;"",dadosexternosBMF_1!D1235,"")</f>
        <v>#REF!</v>
      </c>
      <c r="G1232" s="219" t="e">
        <f t="shared" si="127"/>
        <v>#REF!</v>
      </c>
      <c r="H1232" s="219" t="e">
        <f t="shared" si="128"/>
        <v>#REF!</v>
      </c>
      <c r="I1232" s="219" t="e">
        <f t="shared" si="129"/>
        <v>#REF!</v>
      </c>
      <c r="J1232" s="219" t="e">
        <f>IF(I1232="","",VLOOKUP(LEFT(C1232,1),dadosexternosBMF_1!$L$2:$M$13,2,FALSE))</f>
        <v>#REF!</v>
      </c>
      <c r="K1232" s="219" t="e">
        <f t="shared" si="130"/>
        <v>#REF!</v>
      </c>
      <c r="L1232" s="422" t="e">
        <f t="shared" si="131"/>
        <v>#REF!</v>
      </c>
      <c r="M1232" s="422" t="e">
        <f>IF(I1232="","",WORKDAY(L1232-1,1,FERIADOS!$A$2:$A$831))</f>
        <v>#REF!</v>
      </c>
      <c r="N1232" s="219" t="e">
        <f>IF(I1232="","",NETWORKDAYS(Curva!$M$2,M1232,FERIADOS!$A$2:$A$831)-1)</f>
        <v>#REF!</v>
      </c>
      <c r="O1232" s="423" t="e">
        <f>IF(C1232&lt;&gt;"",IF(ISERROR((100000/E1232)^(252/N1232)-1),Curva!$B$2,((100000/E1232)^(252/N1232)-1)),"")</f>
        <v>#REF!</v>
      </c>
      <c r="P1232" s="219" t="e">
        <f>IF(OR(G1232=1,G1232=2),dadosexternosBMF_1!B1235,"")</f>
        <v>#REF!</v>
      </c>
      <c r="Q1232" s="219" t="e">
        <f>IF(OR(G1232=1,G1232=2),dadosexternosBMF_1!D1235,"")</f>
        <v>#REF!</v>
      </c>
    </row>
    <row r="1233" spans="1:17" x14ac:dyDescent="0.2">
      <c r="A1233" s="222" t="e">
        <f t="shared" si="126"/>
        <v>#REF!</v>
      </c>
      <c r="B1233" s="222" t="str">
        <f>IF(dadosexternosBMF_1!A1236="DI1 - DI de 1 dia","DI1 - DI de 1 dia","")</f>
        <v/>
      </c>
      <c r="C1233" s="222" t="e">
        <f>IF(dadosexternosBMF_1!A1236="DOL - Dólar comercial","",IF(C1232&lt;&gt;"",dadosexternosBMF_1!B1236,IF(dadosexternosBMF_1!A1236="DI1 - DI de 1 dia",dadosexternosBMF_1!B1236,"")))</f>
        <v>#REF!</v>
      </c>
      <c r="D1233" s="222" t="e">
        <f>IF(C1233&lt;&gt;"",dadosexternosBMF_1!C1236,"")</f>
        <v>#REF!</v>
      </c>
      <c r="E1233" s="222" t="e">
        <f>IF(C1233&lt;&gt;"",dadosexternosBMF_1!D1236,"")</f>
        <v>#REF!</v>
      </c>
      <c r="G1233" s="219" t="e">
        <f t="shared" si="127"/>
        <v>#REF!</v>
      </c>
      <c r="H1233" s="219" t="e">
        <f t="shared" si="128"/>
        <v>#REF!</v>
      </c>
      <c r="I1233" s="219" t="e">
        <f t="shared" si="129"/>
        <v>#REF!</v>
      </c>
      <c r="J1233" s="219" t="e">
        <f>IF(I1233="","",VLOOKUP(LEFT(C1233,1),dadosexternosBMF_1!$L$2:$M$13,2,FALSE))</f>
        <v>#REF!</v>
      </c>
      <c r="K1233" s="219" t="e">
        <f t="shared" si="130"/>
        <v>#REF!</v>
      </c>
      <c r="L1233" s="422" t="e">
        <f t="shared" si="131"/>
        <v>#REF!</v>
      </c>
      <c r="M1233" s="422" t="e">
        <f>IF(I1233="","",WORKDAY(L1233-1,1,FERIADOS!$A$2:$A$831))</f>
        <v>#REF!</v>
      </c>
      <c r="N1233" s="219" t="e">
        <f>IF(I1233="","",NETWORKDAYS(Curva!$M$2,M1233,FERIADOS!$A$2:$A$831)-1)</f>
        <v>#REF!</v>
      </c>
      <c r="O1233" s="423" t="e">
        <f>IF(C1233&lt;&gt;"",IF(ISERROR((100000/E1233)^(252/N1233)-1),Curva!$B$2,((100000/E1233)^(252/N1233)-1)),"")</f>
        <v>#REF!</v>
      </c>
      <c r="P1233" s="219" t="e">
        <f>IF(OR(G1233=1,G1233=2),dadosexternosBMF_1!B1236,"")</f>
        <v>#REF!</v>
      </c>
      <c r="Q1233" s="219" t="e">
        <f>IF(OR(G1233=1,G1233=2),dadosexternosBMF_1!D1236,"")</f>
        <v>#REF!</v>
      </c>
    </row>
    <row r="1234" spans="1:17" x14ac:dyDescent="0.2">
      <c r="A1234" s="222" t="e">
        <f t="shared" si="126"/>
        <v>#REF!</v>
      </c>
      <c r="B1234" s="222" t="str">
        <f>IF(dadosexternosBMF_1!A1237="DI1 - DI de 1 dia","DI1 - DI de 1 dia","")</f>
        <v/>
      </c>
      <c r="C1234" s="222" t="e">
        <f>IF(dadosexternosBMF_1!A1237="DOL - Dólar comercial","",IF(C1233&lt;&gt;"",dadosexternosBMF_1!B1237,IF(dadosexternosBMF_1!A1237="DI1 - DI de 1 dia",dadosexternosBMF_1!B1237,"")))</f>
        <v>#REF!</v>
      </c>
      <c r="D1234" s="222" t="e">
        <f>IF(C1234&lt;&gt;"",dadosexternosBMF_1!C1237,"")</f>
        <v>#REF!</v>
      </c>
      <c r="E1234" s="222" t="e">
        <f>IF(C1234&lt;&gt;"",dadosexternosBMF_1!D1237,"")</f>
        <v>#REF!</v>
      </c>
      <c r="G1234" s="219" t="e">
        <f t="shared" si="127"/>
        <v>#REF!</v>
      </c>
      <c r="H1234" s="219" t="e">
        <f t="shared" si="128"/>
        <v>#REF!</v>
      </c>
      <c r="I1234" s="219" t="e">
        <f t="shared" si="129"/>
        <v>#REF!</v>
      </c>
      <c r="J1234" s="219" t="e">
        <f>IF(I1234="","",VLOOKUP(LEFT(C1234,1),dadosexternosBMF_1!$L$2:$M$13,2,FALSE))</f>
        <v>#REF!</v>
      </c>
      <c r="K1234" s="219" t="e">
        <f t="shared" si="130"/>
        <v>#REF!</v>
      </c>
      <c r="L1234" s="422" t="e">
        <f t="shared" si="131"/>
        <v>#REF!</v>
      </c>
      <c r="M1234" s="422" t="e">
        <f>IF(I1234="","",WORKDAY(L1234-1,1,FERIADOS!$A$2:$A$831))</f>
        <v>#REF!</v>
      </c>
      <c r="N1234" s="219" t="e">
        <f>IF(I1234="","",NETWORKDAYS(Curva!$M$2,M1234,FERIADOS!$A$2:$A$831)-1)</f>
        <v>#REF!</v>
      </c>
      <c r="O1234" s="423" t="e">
        <f>IF(C1234&lt;&gt;"",IF(ISERROR((100000/E1234)^(252/N1234)-1),Curva!$B$2,((100000/E1234)^(252/N1234)-1)),"")</f>
        <v>#REF!</v>
      </c>
      <c r="P1234" s="219" t="e">
        <f>IF(OR(G1234=1,G1234=2),dadosexternosBMF_1!B1237,"")</f>
        <v>#REF!</v>
      </c>
      <c r="Q1234" s="219" t="e">
        <f>IF(OR(G1234=1,G1234=2),dadosexternosBMF_1!D1237,"")</f>
        <v>#REF!</v>
      </c>
    </row>
    <row r="1235" spans="1:17" x14ac:dyDescent="0.2">
      <c r="A1235" s="222" t="e">
        <f t="shared" si="126"/>
        <v>#REF!</v>
      </c>
      <c r="B1235" s="222" t="str">
        <f>IF(dadosexternosBMF_1!A1238="DI1 - DI de 1 dia","DI1 - DI de 1 dia","")</f>
        <v/>
      </c>
      <c r="C1235" s="222" t="e">
        <f>IF(dadosexternosBMF_1!A1238="DOL - Dólar comercial","",IF(C1234&lt;&gt;"",dadosexternosBMF_1!B1238,IF(dadosexternosBMF_1!A1238="DI1 - DI de 1 dia",dadosexternosBMF_1!B1238,"")))</f>
        <v>#REF!</v>
      </c>
      <c r="D1235" s="222" t="e">
        <f>IF(C1235&lt;&gt;"",dadosexternosBMF_1!C1238,"")</f>
        <v>#REF!</v>
      </c>
      <c r="E1235" s="222" t="e">
        <f>IF(C1235&lt;&gt;"",dadosexternosBMF_1!D1238,"")</f>
        <v>#REF!</v>
      </c>
      <c r="G1235" s="219" t="e">
        <f t="shared" si="127"/>
        <v>#REF!</v>
      </c>
      <c r="H1235" s="219" t="e">
        <f t="shared" si="128"/>
        <v>#REF!</v>
      </c>
      <c r="I1235" s="219" t="e">
        <f t="shared" si="129"/>
        <v>#REF!</v>
      </c>
      <c r="J1235" s="219" t="e">
        <f>IF(I1235="","",VLOOKUP(LEFT(C1235,1),dadosexternosBMF_1!$L$2:$M$13,2,FALSE))</f>
        <v>#REF!</v>
      </c>
      <c r="K1235" s="219" t="e">
        <f t="shared" si="130"/>
        <v>#REF!</v>
      </c>
      <c r="L1235" s="422" t="e">
        <f t="shared" si="131"/>
        <v>#REF!</v>
      </c>
      <c r="M1235" s="422" t="e">
        <f>IF(I1235="","",WORKDAY(L1235-1,1,FERIADOS!$A$2:$A$831))</f>
        <v>#REF!</v>
      </c>
      <c r="N1235" s="219" t="e">
        <f>IF(I1235="","",NETWORKDAYS(Curva!$M$2,M1235,FERIADOS!$A$2:$A$831)-1)</f>
        <v>#REF!</v>
      </c>
      <c r="O1235" s="423" t="e">
        <f>IF(C1235&lt;&gt;"",IF(ISERROR((100000/E1235)^(252/N1235)-1),Curva!$B$2,((100000/E1235)^(252/N1235)-1)),"")</f>
        <v>#REF!</v>
      </c>
      <c r="P1235" s="219" t="e">
        <f>IF(OR(G1235=1,G1235=2),dadosexternosBMF_1!B1238,"")</f>
        <v>#REF!</v>
      </c>
      <c r="Q1235" s="219" t="e">
        <f>IF(OR(G1235=1,G1235=2),dadosexternosBMF_1!D1238,"")</f>
        <v>#REF!</v>
      </c>
    </row>
    <row r="1236" spans="1:17" x14ac:dyDescent="0.2">
      <c r="A1236" s="222" t="e">
        <f t="shared" si="126"/>
        <v>#REF!</v>
      </c>
      <c r="B1236" s="222" t="str">
        <f>IF(dadosexternosBMF_1!A1239="DI1 - DI de 1 dia","DI1 - DI de 1 dia","")</f>
        <v/>
      </c>
      <c r="C1236" s="222" t="e">
        <f>IF(dadosexternosBMF_1!A1239="DOL - Dólar comercial","",IF(C1235&lt;&gt;"",dadosexternosBMF_1!B1239,IF(dadosexternosBMF_1!A1239="DI1 - DI de 1 dia",dadosexternosBMF_1!B1239,"")))</f>
        <v>#REF!</v>
      </c>
      <c r="D1236" s="222" t="e">
        <f>IF(C1236&lt;&gt;"",dadosexternosBMF_1!C1239,"")</f>
        <v>#REF!</v>
      </c>
      <c r="E1236" s="222" t="e">
        <f>IF(C1236&lt;&gt;"",dadosexternosBMF_1!D1239,"")</f>
        <v>#REF!</v>
      </c>
      <c r="G1236" s="219" t="e">
        <f t="shared" si="127"/>
        <v>#REF!</v>
      </c>
      <c r="H1236" s="219" t="e">
        <f t="shared" si="128"/>
        <v>#REF!</v>
      </c>
      <c r="I1236" s="219" t="e">
        <f t="shared" si="129"/>
        <v>#REF!</v>
      </c>
      <c r="J1236" s="219" t="e">
        <f>IF(I1236="","",VLOOKUP(LEFT(C1236,1),dadosexternosBMF_1!$L$2:$M$13,2,FALSE))</f>
        <v>#REF!</v>
      </c>
      <c r="K1236" s="219" t="e">
        <f t="shared" si="130"/>
        <v>#REF!</v>
      </c>
      <c r="L1236" s="422" t="e">
        <f t="shared" si="131"/>
        <v>#REF!</v>
      </c>
      <c r="M1236" s="422" t="e">
        <f>IF(I1236="","",WORKDAY(L1236-1,1,FERIADOS!$A$2:$A$831))</f>
        <v>#REF!</v>
      </c>
      <c r="N1236" s="219" t="e">
        <f>IF(I1236="","",NETWORKDAYS(Curva!$M$2,M1236,FERIADOS!$A$2:$A$831)-1)</f>
        <v>#REF!</v>
      </c>
      <c r="O1236" s="423" t="e">
        <f>IF(C1236&lt;&gt;"",IF(ISERROR((100000/E1236)^(252/N1236)-1),Curva!$B$2,((100000/E1236)^(252/N1236)-1)),"")</f>
        <v>#REF!</v>
      </c>
      <c r="P1236" s="219" t="e">
        <f>IF(OR(G1236=1,G1236=2),dadosexternosBMF_1!B1239,"")</f>
        <v>#REF!</v>
      </c>
      <c r="Q1236" s="219" t="e">
        <f>IF(OR(G1236=1,G1236=2),dadosexternosBMF_1!D1239,"")</f>
        <v>#REF!</v>
      </c>
    </row>
    <row r="1237" spans="1:17" x14ac:dyDescent="0.2">
      <c r="A1237" s="222" t="e">
        <f t="shared" si="126"/>
        <v>#REF!</v>
      </c>
      <c r="B1237" s="222" t="str">
        <f>IF(dadosexternosBMF_1!A1240="DI1 - DI de 1 dia","DI1 - DI de 1 dia","")</f>
        <v/>
      </c>
      <c r="C1237" s="222" t="e">
        <f>IF(dadosexternosBMF_1!A1240="DOL - Dólar comercial","",IF(C1236&lt;&gt;"",dadosexternosBMF_1!B1240,IF(dadosexternosBMF_1!A1240="DI1 - DI de 1 dia",dadosexternosBMF_1!B1240,"")))</f>
        <v>#REF!</v>
      </c>
      <c r="D1237" s="222" t="e">
        <f>IF(C1237&lt;&gt;"",dadosexternosBMF_1!C1240,"")</f>
        <v>#REF!</v>
      </c>
      <c r="E1237" s="222" t="e">
        <f>IF(C1237&lt;&gt;"",dadosexternosBMF_1!D1240,"")</f>
        <v>#REF!</v>
      </c>
      <c r="G1237" s="219" t="e">
        <f t="shared" si="127"/>
        <v>#REF!</v>
      </c>
      <c r="H1237" s="219" t="e">
        <f t="shared" si="128"/>
        <v>#REF!</v>
      </c>
      <c r="I1237" s="219" t="e">
        <f t="shared" si="129"/>
        <v>#REF!</v>
      </c>
      <c r="J1237" s="219" t="e">
        <f>IF(I1237="","",VLOOKUP(LEFT(C1237,1),dadosexternosBMF_1!$L$2:$M$13,2,FALSE))</f>
        <v>#REF!</v>
      </c>
      <c r="K1237" s="219" t="e">
        <f t="shared" si="130"/>
        <v>#REF!</v>
      </c>
      <c r="L1237" s="422" t="e">
        <f t="shared" si="131"/>
        <v>#REF!</v>
      </c>
      <c r="M1237" s="422" t="e">
        <f>IF(I1237="","",WORKDAY(L1237-1,1,FERIADOS!$A$2:$A$831))</f>
        <v>#REF!</v>
      </c>
      <c r="N1237" s="219" t="e">
        <f>IF(I1237="","",NETWORKDAYS(Curva!$M$2,M1237,FERIADOS!$A$2:$A$831)-1)</f>
        <v>#REF!</v>
      </c>
      <c r="O1237" s="423" t="e">
        <f>IF(C1237&lt;&gt;"",IF(ISERROR((100000/E1237)^(252/N1237)-1),Curva!$B$2,((100000/E1237)^(252/N1237)-1)),"")</f>
        <v>#REF!</v>
      </c>
      <c r="P1237" s="219" t="e">
        <f>IF(OR(G1237=1,G1237=2),dadosexternosBMF_1!B1240,"")</f>
        <v>#REF!</v>
      </c>
      <c r="Q1237" s="219" t="e">
        <f>IF(OR(G1237=1,G1237=2),dadosexternosBMF_1!D1240,"")</f>
        <v>#REF!</v>
      </c>
    </row>
    <row r="1238" spans="1:17" x14ac:dyDescent="0.2">
      <c r="A1238" s="222" t="e">
        <f t="shared" si="126"/>
        <v>#REF!</v>
      </c>
      <c r="B1238" s="222" t="str">
        <f>IF(dadosexternosBMF_1!A1241="DI1 - DI de 1 dia","DI1 - DI de 1 dia","")</f>
        <v/>
      </c>
      <c r="C1238" s="222" t="e">
        <f>IF(dadosexternosBMF_1!A1241="DOL - Dólar comercial","",IF(C1237&lt;&gt;"",dadosexternosBMF_1!B1241,IF(dadosexternosBMF_1!A1241="DI1 - DI de 1 dia",dadosexternosBMF_1!B1241,"")))</f>
        <v>#REF!</v>
      </c>
      <c r="D1238" s="222" t="e">
        <f>IF(C1238&lt;&gt;"",dadosexternosBMF_1!C1241,"")</f>
        <v>#REF!</v>
      </c>
      <c r="E1238" s="222" t="e">
        <f>IF(C1238&lt;&gt;"",dadosexternosBMF_1!D1241,"")</f>
        <v>#REF!</v>
      </c>
      <c r="G1238" s="219" t="e">
        <f t="shared" si="127"/>
        <v>#REF!</v>
      </c>
      <c r="H1238" s="219" t="e">
        <f t="shared" si="128"/>
        <v>#REF!</v>
      </c>
      <c r="I1238" s="219" t="e">
        <f t="shared" si="129"/>
        <v>#REF!</v>
      </c>
      <c r="J1238" s="219" t="e">
        <f>IF(I1238="","",VLOOKUP(LEFT(C1238,1),dadosexternosBMF_1!$L$2:$M$13,2,FALSE))</f>
        <v>#REF!</v>
      </c>
      <c r="K1238" s="219" t="e">
        <f t="shared" si="130"/>
        <v>#REF!</v>
      </c>
      <c r="L1238" s="422" t="e">
        <f t="shared" si="131"/>
        <v>#REF!</v>
      </c>
      <c r="M1238" s="422" t="e">
        <f>IF(I1238="","",WORKDAY(L1238-1,1,FERIADOS!$A$2:$A$831))</f>
        <v>#REF!</v>
      </c>
      <c r="N1238" s="219" t="e">
        <f>IF(I1238="","",NETWORKDAYS(Curva!$M$2,M1238,FERIADOS!$A$2:$A$831)-1)</f>
        <v>#REF!</v>
      </c>
      <c r="O1238" s="423" t="e">
        <f>IF(C1238&lt;&gt;"",IF(ISERROR((100000/E1238)^(252/N1238)-1),Curva!$B$2,((100000/E1238)^(252/N1238)-1)),"")</f>
        <v>#REF!</v>
      </c>
      <c r="P1238" s="219" t="e">
        <f>IF(OR(G1238=1,G1238=2),dadosexternosBMF_1!B1241,"")</f>
        <v>#REF!</v>
      </c>
      <c r="Q1238" s="219" t="e">
        <f>IF(OR(G1238=1,G1238=2),dadosexternosBMF_1!D1241,"")</f>
        <v>#REF!</v>
      </c>
    </row>
    <row r="1239" spans="1:17" x14ac:dyDescent="0.2">
      <c r="A1239" s="222" t="e">
        <f t="shared" si="126"/>
        <v>#REF!</v>
      </c>
      <c r="B1239" s="222" t="str">
        <f>IF(dadosexternosBMF_1!A1242="DI1 - DI de 1 dia","DI1 - DI de 1 dia","")</f>
        <v/>
      </c>
      <c r="C1239" s="222" t="e">
        <f>IF(dadosexternosBMF_1!A1242="DOL - Dólar comercial","",IF(C1238&lt;&gt;"",dadosexternosBMF_1!B1242,IF(dadosexternosBMF_1!A1242="DI1 - DI de 1 dia",dadosexternosBMF_1!B1242,"")))</f>
        <v>#REF!</v>
      </c>
      <c r="D1239" s="222" t="e">
        <f>IF(C1239&lt;&gt;"",dadosexternosBMF_1!C1242,"")</f>
        <v>#REF!</v>
      </c>
      <c r="E1239" s="222" t="e">
        <f>IF(C1239&lt;&gt;"",dadosexternosBMF_1!D1242,"")</f>
        <v>#REF!</v>
      </c>
      <c r="G1239" s="219" t="e">
        <f t="shared" si="127"/>
        <v>#REF!</v>
      </c>
      <c r="H1239" s="219" t="e">
        <f t="shared" si="128"/>
        <v>#REF!</v>
      </c>
      <c r="I1239" s="219" t="e">
        <f t="shared" si="129"/>
        <v>#REF!</v>
      </c>
      <c r="J1239" s="219" t="e">
        <f>IF(I1239="","",VLOOKUP(LEFT(C1239,1),dadosexternosBMF_1!$L$2:$M$13,2,FALSE))</f>
        <v>#REF!</v>
      </c>
      <c r="K1239" s="219" t="e">
        <f t="shared" si="130"/>
        <v>#REF!</v>
      </c>
      <c r="L1239" s="422" t="e">
        <f t="shared" si="131"/>
        <v>#REF!</v>
      </c>
      <c r="M1239" s="422" t="e">
        <f>IF(I1239="","",WORKDAY(L1239-1,1,FERIADOS!$A$2:$A$831))</f>
        <v>#REF!</v>
      </c>
      <c r="N1239" s="219" t="e">
        <f>IF(I1239="","",NETWORKDAYS(Curva!$M$2,M1239,FERIADOS!$A$2:$A$831)-1)</f>
        <v>#REF!</v>
      </c>
      <c r="O1239" s="423" t="e">
        <f>IF(C1239&lt;&gt;"",IF(ISERROR((100000/E1239)^(252/N1239)-1),Curva!$B$2,((100000/E1239)^(252/N1239)-1)),"")</f>
        <v>#REF!</v>
      </c>
      <c r="P1239" s="219" t="e">
        <f>IF(OR(G1239=1,G1239=2),dadosexternosBMF_1!B1242,"")</f>
        <v>#REF!</v>
      </c>
      <c r="Q1239" s="219" t="e">
        <f>IF(OR(G1239=1,G1239=2),dadosexternosBMF_1!D1242,"")</f>
        <v>#REF!</v>
      </c>
    </row>
    <row r="1240" spans="1:17" x14ac:dyDescent="0.2">
      <c r="A1240" s="222" t="e">
        <f t="shared" si="126"/>
        <v>#REF!</v>
      </c>
      <c r="B1240" s="222" t="str">
        <f>IF(dadosexternosBMF_1!A1243="DI1 - DI de 1 dia","DI1 - DI de 1 dia","")</f>
        <v/>
      </c>
      <c r="C1240" s="222" t="e">
        <f>IF(dadosexternosBMF_1!A1243="DOL - Dólar comercial","",IF(C1239&lt;&gt;"",dadosexternosBMF_1!B1243,IF(dadosexternosBMF_1!A1243="DI1 - DI de 1 dia",dadosexternosBMF_1!B1243,"")))</f>
        <v>#REF!</v>
      </c>
      <c r="D1240" s="222" t="e">
        <f>IF(C1240&lt;&gt;"",dadosexternosBMF_1!C1243,"")</f>
        <v>#REF!</v>
      </c>
      <c r="E1240" s="222" t="e">
        <f>IF(C1240&lt;&gt;"",dadosexternosBMF_1!D1243,"")</f>
        <v>#REF!</v>
      </c>
      <c r="G1240" s="219" t="e">
        <f t="shared" si="127"/>
        <v>#REF!</v>
      </c>
      <c r="H1240" s="219" t="e">
        <f t="shared" si="128"/>
        <v>#REF!</v>
      </c>
      <c r="I1240" s="219" t="e">
        <f t="shared" si="129"/>
        <v>#REF!</v>
      </c>
      <c r="J1240" s="219" t="e">
        <f>IF(I1240="","",VLOOKUP(LEFT(C1240,1),dadosexternosBMF_1!$L$2:$M$13,2,FALSE))</f>
        <v>#REF!</v>
      </c>
      <c r="K1240" s="219" t="e">
        <f t="shared" si="130"/>
        <v>#REF!</v>
      </c>
      <c r="L1240" s="422" t="e">
        <f t="shared" si="131"/>
        <v>#REF!</v>
      </c>
      <c r="M1240" s="422" t="e">
        <f>IF(I1240="","",WORKDAY(L1240-1,1,FERIADOS!$A$2:$A$831))</f>
        <v>#REF!</v>
      </c>
      <c r="N1240" s="219" t="e">
        <f>IF(I1240="","",NETWORKDAYS(Curva!$M$2,M1240,FERIADOS!$A$2:$A$831)-1)</f>
        <v>#REF!</v>
      </c>
      <c r="O1240" s="423" t="e">
        <f>IF(C1240&lt;&gt;"",IF(ISERROR((100000/E1240)^(252/N1240)-1),Curva!$B$2,((100000/E1240)^(252/N1240)-1)),"")</f>
        <v>#REF!</v>
      </c>
      <c r="P1240" s="219" t="e">
        <f>IF(OR(G1240=1,G1240=2),dadosexternosBMF_1!B1243,"")</f>
        <v>#REF!</v>
      </c>
      <c r="Q1240" s="219" t="e">
        <f>IF(OR(G1240=1,G1240=2),dadosexternosBMF_1!D1243,"")</f>
        <v>#REF!</v>
      </c>
    </row>
    <row r="1241" spans="1:17" x14ac:dyDescent="0.2">
      <c r="A1241" s="222" t="e">
        <f t="shared" si="126"/>
        <v>#REF!</v>
      </c>
      <c r="B1241" s="222" t="str">
        <f>IF(dadosexternosBMF_1!A1244="DI1 - DI de 1 dia","DI1 - DI de 1 dia","")</f>
        <v/>
      </c>
      <c r="C1241" s="222" t="e">
        <f>IF(dadosexternosBMF_1!A1244="DOL - Dólar comercial","",IF(C1240&lt;&gt;"",dadosexternosBMF_1!B1244,IF(dadosexternosBMF_1!A1244="DI1 - DI de 1 dia",dadosexternosBMF_1!B1244,"")))</f>
        <v>#REF!</v>
      </c>
      <c r="D1241" s="222" t="e">
        <f>IF(C1241&lt;&gt;"",dadosexternosBMF_1!C1244,"")</f>
        <v>#REF!</v>
      </c>
      <c r="E1241" s="222" t="e">
        <f>IF(C1241&lt;&gt;"",dadosexternosBMF_1!D1244,"")</f>
        <v>#REF!</v>
      </c>
      <c r="G1241" s="219" t="e">
        <f t="shared" si="127"/>
        <v>#REF!</v>
      </c>
      <c r="H1241" s="219" t="e">
        <f t="shared" si="128"/>
        <v>#REF!</v>
      </c>
      <c r="I1241" s="219" t="e">
        <f t="shared" si="129"/>
        <v>#REF!</v>
      </c>
      <c r="J1241" s="219" t="e">
        <f>IF(I1241="","",VLOOKUP(LEFT(C1241,1),dadosexternosBMF_1!$L$2:$M$13,2,FALSE))</f>
        <v>#REF!</v>
      </c>
      <c r="K1241" s="219" t="e">
        <f t="shared" si="130"/>
        <v>#REF!</v>
      </c>
      <c r="L1241" s="422" t="e">
        <f t="shared" si="131"/>
        <v>#REF!</v>
      </c>
      <c r="M1241" s="422" t="e">
        <f>IF(I1241="","",WORKDAY(L1241-1,1,FERIADOS!$A$2:$A$831))</f>
        <v>#REF!</v>
      </c>
      <c r="N1241" s="219" t="e">
        <f>IF(I1241="","",NETWORKDAYS(Curva!$M$2,M1241,FERIADOS!$A$2:$A$831)-1)</f>
        <v>#REF!</v>
      </c>
      <c r="O1241" s="423" t="e">
        <f>IF(C1241&lt;&gt;"",IF(ISERROR((100000/E1241)^(252/N1241)-1),Curva!$B$2,((100000/E1241)^(252/N1241)-1)),"")</f>
        <v>#REF!</v>
      </c>
      <c r="P1241" s="219" t="e">
        <f>IF(OR(G1241=1,G1241=2),dadosexternosBMF_1!B1244,"")</f>
        <v>#REF!</v>
      </c>
      <c r="Q1241" s="219" t="e">
        <f>IF(OR(G1241=1,G1241=2),dadosexternosBMF_1!D1244,"")</f>
        <v>#REF!</v>
      </c>
    </row>
    <row r="1242" spans="1:17" x14ac:dyDescent="0.2">
      <c r="A1242" s="222" t="e">
        <f t="shared" si="126"/>
        <v>#REF!</v>
      </c>
      <c r="B1242" s="222" t="str">
        <f>IF(dadosexternosBMF_1!A1245="DI1 - DI de 1 dia","DI1 - DI de 1 dia","")</f>
        <v/>
      </c>
      <c r="C1242" s="222" t="e">
        <f>IF(dadosexternosBMF_1!A1245="DOL - Dólar comercial","",IF(C1241&lt;&gt;"",dadosexternosBMF_1!B1245,IF(dadosexternosBMF_1!A1245="DI1 - DI de 1 dia",dadosexternosBMF_1!B1245,"")))</f>
        <v>#REF!</v>
      </c>
      <c r="D1242" s="222" t="e">
        <f>IF(C1242&lt;&gt;"",dadosexternosBMF_1!C1245,"")</f>
        <v>#REF!</v>
      </c>
      <c r="E1242" s="222" t="e">
        <f>IF(C1242&lt;&gt;"",dadosexternosBMF_1!D1245,"")</f>
        <v>#REF!</v>
      </c>
      <c r="G1242" s="219" t="e">
        <f t="shared" si="127"/>
        <v>#REF!</v>
      </c>
      <c r="H1242" s="219" t="e">
        <f t="shared" si="128"/>
        <v>#REF!</v>
      </c>
      <c r="I1242" s="219" t="e">
        <f t="shared" si="129"/>
        <v>#REF!</v>
      </c>
      <c r="J1242" s="219" t="e">
        <f>IF(I1242="","",VLOOKUP(LEFT(C1242,1),dadosexternosBMF_1!$L$2:$M$13,2,FALSE))</f>
        <v>#REF!</v>
      </c>
      <c r="K1242" s="219" t="e">
        <f t="shared" si="130"/>
        <v>#REF!</v>
      </c>
      <c r="L1242" s="422" t="e">
        <f t="shared" si="131"/>
        <v>#REF!</v>
      </c>
      <c r="M1242" s="422" t="e">
        <f>IF(I1242="","",WORKDAY(L1242-1,1,FERIADOS!$A$2:$A$831))</f>
        <v>#REF!</v>
      </c>
      <c r="N1242" s="219" t="e">
        <f>IF(I1242="","",NETWORKDAYS(Curva!$M$2,M1242,FERIADOS!$A$2:$A$831)-1)</f>
        <v>#REF!</v>
      </c>
      <c r="O1242" s="423" t="e">
        <f>IF(C1242&lt;&gt;"",IF(ISERROR((100000/E1242)^(252/N1242)-1),Curva!$B$2,((100000/E1242)^(252/N1242)-1)),"")</f>
        <v>#REF!</v>
      </c>
      <c r="P1242" s="219" t="e">
        <f>IF(OR(G1242=1,G1242=2),dadosexternosBMF_1!B1245,"")</f>
        <v>#REF!</v>
      </c>
      <c r="Q1242" s="219" t="e">
        <f>IF(OR(G1242=1,G1242=2),dadosexternosBMF_1!D1245,"")</f>
        <v>#REF!</v>
      </c>
    </row>
    <row r="1243" spans="1:17" x14ac:dyDescent="0.2">
      <c r="A1243" s="222" t="e">
        <f t="shared" ref="A1243:A1306" si="132">IF(AND(A1242&lt;&gt;"",C1243&lt;&gt;""),A1242+1,IF(B1243="DI1 - DI de 1 dia",1,""))</f>
        <v>#REF!</v>
      </c>
      <c r="B1243" s="222" t="str">
        <f>IF(dadosexternosBMF_1!A1246="DI1 - DI de 1 dia","DI1 - DI de 1 dia","")</f>
        <v/>
      </c>
      <c r="C1243" s="222" t="e">
        <f>IF(dadosexternosBMF_1!A1246="DOL - Dólar comercial","",IF(C1242&lt;&gt;"",dadosexternosBMF_1!B1246,IF(dadosexternosBMF_1!A1246="DI1 - DI de 1 dia",dadosexternosBMF_1!B1246,"")))</f>
        <v>#REF!</v>
      </c>
      <c r="D1243" s="222" t="e">
        <f>IF(C1243&lt;&gt;"",dadosexternosBMF_1!C1246,"")</f>
        <v>#REF!</v>
      </c>
      <c r="E1243" s="222" t="e">
        <f>IF(C1243&lt;&gt;"",dadosexternosBMF_1!D1246,"")</f>
        <v>#REF!</v>
      </c>
      <c r="G1243" s="219" t="e">
        <f t="shared" ref="G1243:G1306" si="133">IF(G1242=1,2,IF(AND(H1243="",H1242&lt;&gt;""),1,""))</f>
        <v>#REF!</v>
      </c>
      <c r="H1243" s="219" t="e">
        <f t="shared" ref="H1243:H1306" si="134">IF(A1243&lt;&gt;"",A1243,"")</f>
        <v>#REF!</v>
      </c>
      <c r="I1243" s="219" t="e">
        <f t="shared" ref="I1243:I1306" si="135">IF(A1243&lt;&gt;"",(CONCATENATE("DI1",C1243)),"")</f>
        <v>#REF!</v>
      </c>
      <c r="J1243" s="219" t="e">
        <f>IF(I1243="","",VLOOKUP(LEFT(C1243,1),dadosexternosBMF_1!$L$2:$M$13,2,FALSE))</f>
        <v>#REF!</v>
      </c>
      <c r="K1243" s="219" t="e">
        <f t="shared" ref="K1243:K1306" si="136">IF(I1243="","",1+CONCATENATE(20,RIGHT(C1243,2))-1)</f>
        <v>#REF!</v>
      </c>
      <c r="L1243" s="422" t="e">
        <f t="shared" ref="L1243:L1306" si="137">IF(I1243="","",CONCATENATE(1,"/",J1243,"/",K1243)+1-1)</f>
        <v>#REF!</v>
      </c>
      <c r="M1243" s="422" t="e">
        <f>IF(I1243="","",WORKDAY(L1243-1,1,FERIADOS!$A$2:$A$831))</f>
        <v>#REF!</v>
      </c>
      <c r="N1243" s="219" t="e">
        <f>IF(I1243="","",NETWORKDAYS(Curva!$M$2,M1243,FERIADOS!$A$2:$A$831)-1)</f>
        <v>#REF!</v>
      </c>
      <c r="O1243" s="423" t="e">
        <f>IF(C1243&lt;&gt;"",IF(ISERROR((100000/E1243)^(252/N1243)-1),Curva!$B$2,((100000/E1243)^(252/N1243)-1)),"")</f>
        <v>#REF!</v>
      </c>
      <c r="P1243" s="219" t="e">
        <f>IF(OR(G1243=1,G1243=2),dadosexternosBMF_1!B1246,"")</f>
        <v>#REF!</v>
      </c>
      <c r="Q1243" s="219" t="e">
        <f>IF(OR(G1243=1,G1243=2),dadosexternosBMF_1!D1246,"")</f>
        <v>#REF!</v>
      </c>
    </row>
    <row r="1244" spans="1:17" x14ac:dyDescent="0.2">
      <c r="A1244" s="222" t="e">
        <f t="shared" si="132"/>
        <v>#REF!</v>
      </c>
      <c r="B1244" s="222" t="str">
        <f>IF(dadosexternosBMF_1!A1247="DI1 - DI de 1 dia","DI1 - DI de 1 dia","")</f>
        <v/>
      </c>
      <c r="C1244" s="222" t="e">
        <f>IF(dadosexternosBMF_1!A1247="DOL - Dólar comercial","",IF(C1243&lt;&gt;"",dadosexternosBMF_1!B1247,IF(dadosexternosBMF_1!A1247="DI1 - DI de 1 dia",dadosexternosBMF_1!B1247,"")))</f>
        <v>#REF!</v>
      </c>
      <c r="D1244" s="222" t="e">
        <f>IF(C1244&lt;&gt;"",dadosexternosBMF_1!C1247,"")</f>
        <v>#REF!</v>
      </c>
      <c r="E1244" s="222" t="e">
        <f>IF(C1244&lt;&gt;"",dadosexternosBMF_1!D1247,"")</f>
        <v>#REF!</v>
      </c>
      <c r="G1244" s="219" t="e">
        <f t="shared" si="133"/>
        <v>#REF!</v>
      </c>
      <c r="H1244" s="219" t="e">
        <f t="shared" si="134"/>
        <v>#REF!</v>
      </c>
      <c r="I1244" s="219" t="e">
        <f t="shared" si="135"/>
        <v>#REF!</v>
      </c>
      <c r="J1244" s="219" t="e">
        <f>IF(I1244="","",VLOOKUP(LEFT(C1244,1),dadosexternosBMF_1!$L$2:$M$13,2,FALSE))</f>
        <v>#REF!</v>
      </c>
      <c r="K1244" s="219" t="e">
        <f t="shared" si="136"/>
        <v>#REF!</v>
      </c>
      <c r="L1244" s="422" t="e">
        <f t="shared" si="137"/>
        <v>#REF!</v>
      </c>
      <c r="M1244" s="422" t="e">
        <f>IF(I1244="","",WORKDAY(L1244-1,1,FERIADOS!$A$2:$A$831))</f>
        <v>#REF!</v>
      </c>
      <c r="N1244" s="219" t="e">
        <f>IF(I1244="","",NETWORKDAYS(Curva!$M$2,M1244,FERIADOS!$A$2:$A$831)-1)</f>
        <v>#REF!</v>
      </c>
      <c r="O1244" s="423" t="e">
        <f>IF(C1244&lt;&gt;"",IF(ISERROR((100000/E1244)^(252/N1244)-1),Curva!$B$2,((100000/E1244)^(252/N1244)-1)),"")</f>
        <v>#REF!</v>
      </c>
      <c r="P1244" s="219" t="e">
        <f>IF(OR(G1244=1,G1244=2),dadosexternosBMF_1!B1247,"")</f>
        <v>#REF!</v>
      </c>
      <c r="Q1244" s="219" t="e">
        <f>IF(OR(G1244=1,G1244=2),dadosexternosBMF_1!D1247,"")</f>
        <v>#REF!</v>
      </c>
    </row>
    <row r="1245" spans="1:17" x14ac:dyDescent="0.2">
      <c r="A1245" s="222" t="e">
        <f t="shared" si="132"/>
        <v>#REF!</v>
      </c>
      <c r="B1245" s="222" t="str">
        <f>IF(dadosexternosBMF_1!A1248="DI1 - DI de 1 dia","DI1 - DI de 1 dia","")</f>
        <v/>
      </c>
      <c r="C1245" s="222" t="e">
        <f>IF(dadosexternosBMF_1!A1248="DOL - Dólar comercial","",IF(C1244&lt;&gt;"",dadosexternosBMF_1!B1248,IF(dadosexternosBMF_1!A1248="DI1 - DI de 1 dia",dadosexternosBMF_1!B1248,"")))</f>
        <v>#REF!</v>
      </c>
      <c r="D1245" s="222" t="e">
        <f>IF(C1245&lt;&gt;"",dadosexternosBMF_1!C1248,"")</f>
        <v>#REF!</v>
      </c>
      <c r="E1245" s="222" t="e">
        <f>IF(C1245&lt;&gt;"",dadosexternosBMF_1!D1248,"")</f>
        <v>#REF!</v>
      </c>
      <c r="G1245" s="219" t="e">
        <f t="shared" si="133"/>
        <v>#REF!</v>
      </c>
      <c r="H1245" s="219" t="e">
        <f t="shared" si="134"/>
        <v>#REF!</v>
      </c>
      <c r="I1245" s="219" t="e">
        <f t="shared" si="135"/>
        <v>#REF!</v>
      </c>
      <c r="J1245" s="219" t="e">
        <f>IF(I1245="","",VLOOKUP(LEFT(C1245,1),dadosexternosBMF_1!$L$2:$M$13,2,FALSE))</f>
        <v>#REF!</v>
      </c>
      <c r="K1245" s="219" t="e">
        <f t="shared" si="136"/>
        <v>#REF!</v>
      </c>
      <c r="L1245" s="422" t="e">
        <f t="shared" si="137"/>
        <v>#REF!</v>
      </c>
      <c r="M1245" s="422" t="e">
        <f>IF(I1245="","",WORKDAY(L1245-1,1,FERIADOS!$A$2:$A$831))</f>
        <v>#REF!</v>
      </c>
      <c r="N1245" s="219" t="e">
        <f>IF(I1245="","",NETWORKDAYS(Curva!$M$2,M1245,FERIADOS!$A$2:$A$831)-1)</f>
        <v>#REF!</v>
      </c>
      <c r="O1245" s="423" t="e">
        <f>IF(C1245&lt;&gt;"",IF(ISERROR((100000/E1245)^(252/N1245)-1),Curva!$B$2,((100000/E1245)^(252/N1245)-1)),"")</f>
        <v>#REF!</v>
      </c>
      <c r="P1245" s="219" t="e">
        <f>IF(OR(G1245=1,G1245=2),dadosexternosBMF_1!B1248,"")</f>
        <v>#REF!</v>
      </c>
      <c r="Q1245" s="219" t="e">
        <f>IF(OR(G1245=1,G1245=2),dadosexternosBMF_1!D1248,"")</f>
        <v>#REF!</v>
      </c>
    </row>
    <row r="1246" spans="1:17" x14ac:dyDescent="0.2">
      <c r="A1246" s="222" t="e">
        <f t="shared" si="132"/>
        <v>#REF!</v>
      </c>
      <c r="B1246" s="222" t="str">
        <f>IF(dadosexternosBMF_1!A1249="DI1 - DI de 1 dia","DI1 - DI de 1 dia","")</f>
        <v/>
      </c>
      <c r="C1246" s="222" t="e">
        <f>IF(dadosexternosBMF_1!A1249="DOL - Dólar comercial","",IF(C1245&lt;&gt;"",dadosexternosBMF_1!B1249,IF(dadosexternosBMF_1!A1249="DI1 - DI de 1 dia",dadosexternosBMF_1!B1249,"")))</f>
        <v>#REF!</v>
      </c>
      <c r="D1246" s="222" t="e">
        <f>IF(C1246&lt;&gt;"",dadosexternosBMF_1!C1249,"")</f>
        <v>#REF!</v>
      </c>
      <c r="E1246" s="222" t="e">
        <f>IF(C1246&lt;&gt;"",dadosexternosBMF_1!D1249,"")</f>
        <v>#REF!</v>
      </c>
      <c r="G1246" s="219" t="e">
        <f t="shared" si="133"/>
        <v>#REF!</v>
      </c>
      <c r="H1246" s="219" t="e">
        <f t="shared" si="134"/>
        <v>#REF!</v>
      </c>
      <c r="I1246" s="219" t="e">
        <f t="shared" si="135"/>
        <v>#REF!</v>
      </c>
      <c r="J1246" s="219" t="e">
        <f>IF(I1246="","",VLOOKUP(LEFT(C1246,1),dadosexternosBMF_1!$L$2:$M$13,2,FALSE))</f>
        <v>#REF!</v>
      </c>
      <c r="K1246" s="219" t="e">
        <f t="shared" si="136"/>
        <v>#REF!</v>
      </c>
      <c r="L1246" s="422" t="e">
        <f t="shared" si="137"/>
        <v>#REF!</v>
      </c>
      <c r="M1246" s="422" t="e">
        <f>IF(I1246="","",WORKDAY(L1246-1,1,FERIADOS!$A$2:$A$831))</f>
        <v>#REF!</v>
      </c>
      <c r="N1246" s="219" t="e">
        <f>IF(I1246="","",NETWORKDAYS(Curva!$M$2,M1246,FERIADOS!$A$2:$A$831)-1)</f>
        <v>#REF!</v>
      </c>
      <c r="O1246" s="423" t="e">
        <f>IF(C1246&lt;&gt;"",IF(ISERROR((100000/E1246)^(252/N1246)-1),Curva!$B$2,((100000/E1246)^(252/N1246)-1)),"")</f>
        <v>#REF!</v>
      </c>
      <c r="P1246" s="219" t="e">
        <f>IF(OR(G1246=1,G1246=2),dadosexternosBMF_1!B1249,"")</f>
        <v>#REF!</v>
      </c>
      <c r="Q1246" s="219" t="e">
        <f>IF(OR(G1246=1,G1246=2),dadosexternosBMF_1!D1249,"")</f>
        <v>#REF!</v>
      </c>
    </row>
    <row r="1247" spans="1:17" x14ac:dyDescent="0.2">
      <c r="A1247" s="222" t="e">
        <f t="shared" si="132"/>
        <v>#REF!</v>
      </c>
      <c r="B1247" s="222" t="str">
        <f>IF(dadosexternosBMF_1!A1250="DI1 - DI de 1 dia","DI1 - DI de 1 dia","")</f>
        <v/>
      </c>
      <c r="C1247" s="222" t="e">
        <f>IF(dadosexternosBMF_1!A1250="DOL - Dólar comercial","",IF(C1246&lt;&gt;"",dadosexternosBMF_1!B1250,IF(dadosexternosBMF_1!A1250="DI1 - DI de 1 dia",dadosexternosBMF_1!B1250,"")))</f>
        <v>#REF!</v>
      </c>
      <c r="D1247" s="222" t="e">
        <f>IF(C1247&lt;&gt;"",dadosexternosBMF_1!C1250,"")</f>
        <v>#REF!</v>
      </c>
      <c r="E1247" s="222" t="e">
        <f>IF(C1247&lt;&gt;"",dadosexternosBMF_1!D1250,"")</f>
        <v>#REF!</v>
      </c>
      <c r="G1247" s="219" t="e">
        <f t="shared" si="133"/>
        <v>#REF!</v>
      </c>
      <c r="H1247" s="219" t="e">
        <f t="shared" si="134"/>
        <v>#REF!</v>
      </c>
      <c r="I1247" s="219" t="e">
        <f t="shared" si="135"/>
        <v>#REF!</v>
      </c>
      <c r="J1247" s="219" t="e">
        <f>IF(I1247="","",VLOOKUP(LEFT(C1247,1),dadosexternosBMF_1!$L$2:$M$13,2,FALSE))</f>
        <v>#REF!</v>
      </c>
      <c r="K1247" s="219" t="e">
        <f t="shared" si="136"/>
        <v>#REF!</v>
      </c>
      <c r="L1247" s="422" t="e">
        <f t="shared" si="137"/>
        <v>#REF!</v>
      </c>
      <c r="M1247" s="422" t="e">
        <f>IF(I1247="","",WORKDAY(L1247-1,1,FERIADOS!$A$2:$A$831))</f>
        <v>#REF!</v>
      </c>
      <c r="N1247" s="219" t="e">
        <f>IF(I1247="","",NETWORKDAYS(Curva!$M$2,M1247,FERIADOS!$A$2:$A$831)-1)</f>
        <v>#REF!</v>
      </c>
      <c r="O1247" s="423" t="e">
        <f>IF(C1247&lt;&gt;"",IF(ISERROR((100000/E1247)^(252/N1247)-1),Curva!$B$2,((100000/E1247)^(252/N1247)-1)),"")</f>
        <v>#REF!</v>
      </c>
      <c r="P1247" s="219" t="e">
        <f>IF(OR(G1247=1,G1247=2),dadosexternosBMF_1!B1250,"")</f>
        <v>#REF!</v>
      </c>
      <c r="Q1247" s="219" t="e">
        <f>IF(OR(G1247=1,G1247=2),dadosexternosBMF_1!D1250,"")</f>
        <v>#REF!</v>
      </c>
    </row>
    <row r="1248" spans="1:17" x14ac:dyDescent="0.2">
      <c r="A1248" s="222" t="e">
        <f t="shared" si="132"/>
        <v>#REF!</v>
      </c>
      <c r="B1248" s="222" t="str">
        <f>IF(dadosexternosBMF_1!A1251="DI1 - DI de 1 dia","DI1 - DI de 1 dia","")</f>
        <v/>
      </c>
      <c r="C1248" s="222" t="e">
        <f>IF(dadosexternosBMF_1!A1251="DOL - Dólar comercial","",IF(C1247&lt;&gt;"",dadosexternosBMF_1!B1251,IF(dadosexternosBMF_1!A1251="DI1 - DI de 1 dia",dadosexternosBMF_1!B1251,"")))</f>
        <v>#REF!</v>
      </c>
      <c r="D1248" s="222" t="e">
        <f>IF(C1248&lt;&gt;"",dadosexternosBMF_1!C1251,"")</f>
        <v>#REF!</v>
      </c>
      <c r="E1248" s="222" t="e">
        <f>IF(C1248&lt;&gt;"",dadosexternosBMF_1!D1251,"")</f>
        <v>#REF!</v>
      </c>
      <c r="G1248" s="219" t="e">
        <f t="shared" si="133"/>
        <v>#REF!</v>
      </c>
      <c r="H1248" s="219" t="e">
        <f t="shared" si="134"/>
        <v>#REF!</v>
      </c>
      <c r="I1248" s="219" t="e">
        <f t="shared" si="135"/>
        <v>#REF!</v>
      </c>
      <c r="J1248" s="219" t="e">
        <f>IF(I1248="","",VLOOKUP(LEFT(C1248,1),dadosexternosBMF_1!$L$2:$M$13,2,FALSE))</f>
        <v>#REF!</v>
      </c>
      <c r="K1248" s="219" t="e">
        <f t="shared" si="136"/>
        <v>#REF!</v>
      </c>
      <c r="L1248" s="422" t="e">
        <f t="shared" si="137"/>
        <v>#REF!</v>
      </c>
      <c r="M1248" s="422" t="e">
        <f>IF(I1248="","",WORKDAY(L1248-1,1,FERIADOS!$A$2:$A$831))</f>
        <v>#REF!</v>
      </c>
      <c r="N1248" s="219" t="e">
        <f>IF(I1248="","",NETWORKDAYS(Curva!$M$2,M1248,FERIADOS!$A$2:$A$831)-1)</f>
        <v>#REF!</v>
      </c>
      <c r="O1248" s="423" t="e">
        <f>IF(C1248&lt;&gt;"",IF(ISERROR((100000/E1248)^(252/N1248)-1),Curva!$B$2,((100000/E1248)^(252/N1248)-1)),"")</f>
        <v>#REF!</v>
      </c>
      <c r="P1248" s="219" t="e">
        <f>IF(OR(G1248=1,G1248=2),dadosexternosBMF_1!B1251,"")</f>
        <v>#REF!</v>
      </c>
      <c r="Q1248" s="219" t="e">
        <f>IF(OR(G1248=1,G1248=2),dadosexternosBMF_1!D1251,"")</f>
        <v>#REF!</v>
      </c>
    </row>
    <row r="1249" spans="1:17" x14ac:dyDescent="0.2">
      <c r="A1249" s="222" t="e">
        <f t="shared" si="132"/>
        <v>#REF!</v>
      </c>
      <c r="B1249" s="222" t="str">
        <f>IF(dadosexternosBMF_1!A1252="DI1 - DI de 1 dia","DI1 - DI de 1 dia","")</f>
        <v/>
      </c>
      <c r="C1249" s="222" t="e">
        <f>IF(dadosexternosBMF_1!A1252="DOL - Dólar comercial","",IF(C1248&lt;&gt;"",dadosexternosBMF_1!B1252,IF(dadosexternosBMF_1!A1252="DI1 - DI de 1 dia",dadosexternosBMF_1!B1252,"")))</f>
        <v>#REF!</v>
      </c>
      <c r="D1249" s="222" t="e">
        <f>IF(C1249&lt;&gt;"",dadosexternosBMF_1!C1252,"")</f>
        <v>#REF!</v>
      </c>
      <c r="E1249" s="222" t="e">
        <f>IF(C1249&lt;&gt;"",dadosexternosBMF_1!D1252,"")</f>
        <v>#REF!</v>
      </c>
      <c r="G1249" s="219" t="e">
        <f t="shared" si="133"/>
        <v>#REF!</v>
      </c>
      <c r="H1249" s="219" t="e">
        <f t="shared" si="134"/>
        <v>#REF!</v>
      </c>
      <c r="I1249" s="219" t="e">
        <f t="shared" si="135"/>
        <v>#REF!</v>
      </c>
      <c r="J1249" s="219" t="e">
        <f>IF(I1249="","",VLOOKUP(LEFT(C1249,1),dadosexternosBMF_1!$L$2:$M$13,2,FALSE))</f>
        <v>#REF!</v>
      </c>
      <c r="K1249" s="219" t="e">
        <f t="shared" si="136"/>
        <v>#REF!</v>
      </c>
      <c r="L1249" s="422" t="e">
        <f t="shared" si="137"/>
        <v>#REF!</v>
      </c>
      <c r="M1249" s="422" t="e">
        <f>IF(I1249="","",WORKDAY(L1249-1,1,FERIADOS!$A$2:$A$831))</f>
        <v>#REF!</v>
      </c>
      <c r="N1249" s="219" t="e">
        <f>IF(I1249="","",NETWORKDAYS(Curva!$M$2,M1249,FERIADOS!$A$2:$A$831)-1)</f>
        <v>#REF!</v>
      </c>
      <c r="O1249" s="423" t="e">
        <f>IF(C1249&lt;&gt;"",IF(ISERROR((100000/E1249)^(252/N1249)-1),Curva!$B$2,((100000/E1249)^(252/N1249)-1)),"")</f>
        <v>#REF!</v>
      </c>
      <c r="P1249" s="219" t="e">
        <f>IF(OR(G1249=1,G1249=2),dadosexternosBMF_1!B1252,"")</f>
        <v>#REF!</v>
      </c>
      <c r="Q1249" s="219" t="e">
        <f>IF(OR(G1249=1,G1249=2),dadosexternosBMF_1!D1252,"")</f>
        <v>#REF!</v>
      </c>
    </row>
    <row r="1250" spans="1:17" x14ac:dyDescent="0.2">
      <c r="A1250" s="222" t="e">
        <f t="shared" si="132"/>
        <v>#REF!</v>
      </c>
      <c r="B1250" s="222" t="str">
        <f>IF(dadosexternosBMF_1!A1253="DI1 - DI de 1 dia","DI1 - DI de 1 dia","")</f>
        <v/>
      </c>
      <c r="C1250" s="222" t="e">
        <f>IF(dadosexternosBMF_1!A1253="DOL - Dólar comercial","",IF(C1249&lt;&gt;"",dadosexternosBMF_1!B1253,IF(dadosexternosBMF_1!A1253="DI1 - DI de 1 dia",dadosexternosBMF_1!B1253,"")))</f>
        <v>#REF!</v>
      </c>
      <c r="D1250" s="222" t="e">
        <f>IF(C1250&lt;&gt;"",dadosexternosBMF_1!C1253,"")</f>
        <v>#REF!</v>
      </c>
      <c r="E1250" s="222" t="e">
        <f>IF(C1250&lt;&gt;"",dadosexternosBMF_1!D1253,"")</f>
        <v>#REF!</v>
      </c>
      <c r="G1250" s="219" t="e">
        <f t="shared" si="133"/>
        <v>#REF!</v>
      </c>
      <c r="H1250" s="219" t="e">
        <f t="shared" si="134"/>
        <v>#REF!</v>
      </c>
      <c r="I1250" s="219" t="e">
        <f t="shared" si="135"/>
        <v>#REF!</v>
      </c>
      <c r="J1250" s="219" t="e">
        <f>IF(I1250="","",VLOOKUP(LEFT(C1250,1),dadosexternosBMF_1!$L$2:$M$13,2,FALSE))</f>
        <v>#REF!</v>
      </c>
      <c r="K1250" s="219" t="e">
        <f t="shared" si="136"/>
        <v>#REF!</v>
      </c>
      <c r="L1250" s="422" t="e">
        <f t="shared" si="137"/>
        <v>#REF!</v>
      </c>
      <c r="M1250" s="422" t="e">
        <f>IF(I1250="","",WORKDAY(L1250-1,1,FERIADOS!$A$2:$A$831))</f>
        <v>#REF!</v>
      </c>
      <c r="N1250" s="219" t="e">
        <f>IF(I1250="","",NETWORKDAYS(Curva!$M$2,M1250,FERIADOS!$A$2:$A$831)-1)</f>
        <v>#REF!</v>
      </c>
      <c r="O1250" s="423" t="e">
        <f>IF(C1250&lt;&gt;"",IF(ISERROR((100000/E1250)^(252/N1250)-1),Curva!$B$2,((100000/E1250)^(252/N1250)-1)),"")</f>
        <v>#REF!</v>
      </c>
      <c r="P1250" s="219" t="e">
        <f>IF(OR(G1250=1,G1250=2),dadosexternosBMF_1!B1253,"")</f>
        <v>#REF!</v>
      </c>
      <c r="Q1250" s="219" t="e">
        <f>IF(OR(G1250=1,G1250=2),dadosexternosBMF_1!D1253,"")</f>
        <v>#REF!</v>
      </c>
    </row>
    <row r="1251" spans="1:17" x14ac:dyDescent="0.2">
      <c r="A1251" s="222" t="e">
        <f t="shared" si="132"/>
        <v>#REF!</v>
      </c>
      <c r="B1251" s="222" t="str">
        <f>IF(dadosexternosBMF_1!A1254="DI1 - DI de 1 dia","DI1 - DI de 1 dia","")</f>
        <v/>
      </c>
      <c r="C1251" s="222" t="e">
        <f>IF(dadosexternosBMF_1!A1254="DOL - Dólar comercial","",IF(C1250&lt;&gt;"",dadosexternosBMF_1!B1254,IF(dadosexternosBMF_1!A1254="DI1 - DI de 1 dia",dadosexternosBMF_1!B1254,"")))</f>
        <v>#REF!</v>
      </c>
      <c r="D1251" s="222" t="e">
        <f>IF(C1251&lt;&gt;"",dadosexternosBMF_1!C1254,"")</f>
        <v>#REF!</v>
      </c>
      <c r="E1251" s="222" t="e">
        <f>IF(C1251&lt;&gt;"",dadosexternosBMF_1!D1254,"")</f>
        <v>#REF!</v>
      </c>
      <c r="G1251" s="219" t="e">
        <f t="shared" si="133"/>
        <v>#REF!</v>
      </c>
      <c r="H1251" s="219" t="e">
        <f t="shared" si="134"/>
        <v>#REF!</v>
      </c>
      <c r="I1251" s="219" t="e">
        <f t="shared" si="135"/>
        <v>#REF!</v>
      </c>
      <c r="J1251" s="219" t="e">
        <f>IF(I1251="","",VLOOKUP(LEFT(C1251,1),dadosexternosBMF_1!$L$2:$M$13,2,FALSE))</f>
        <v>#REF!</v>
      </c>
      <c r="K1251" s="219" t="e">
        <f t="shared" si="136"/>
        <v>#REF!</v>
      </c>
      <c r="L1251" s="422" t="e">
        <f t="shared" si="137"/>
        <v>#REF!</v>
      </c>
      <c r="M1251" s="422" t="e">
        <f>IF(I1251="","",WORKDAY(L1251-1,1,FERIADOS!$A$2:$A$831))</f>
        <v>#REF!</v>
      </c>
      <c r="N1251" s="219" t="e">
        <f>IF(I1251="","",NETWORKDAYS(Curva!$M$2,M1251,FERIADOS!$A$2:$A$831)-1)</f>
        <v>#REF!</v>
      </c>
      <c r="O1251" s="423" t="e">
        <f>IF(C1251&lt;&gt;"",IF(ISERROR((100000/E1251)^(252/N1251)-1),Curva!$B$2,((100000/E1251)^(252/N1251)-1)),"")</f>
        <v>#REF!</v>
      </c>
      <c r="P1251" s="219" t="e">
        <f>IF(OR(G1251=1,G1251=2),dadosexternosBMF_1!B1254,"")</f>
        <v>#REF!</v>
      </c>
      <c r="Q1251" s="219" t="e">
        <f>IF(OR(G1251=1,G1251=2),dadosexternosBMF_1!D1254,"")</f>
        <v>#REF!</v>
      </c>
    </row>
    <row r="1252" spans="1:17" x14ac:dyDescent="0.2">
      <c r="A1252" s="222" t="e">
        <f t="shared" si="132"/>
        <v>#REF!</v>
      </c>
      <c r="B1252" s="222" t="str">
        <f>IF(dadosexternosBMF_1!A1255="DI1 - DI de 1 dia","DI1 - DI de 1 dia","")</f>
        <v/>
      </c>
      <c r="C1252" s="222" t="e">
        <f>IF(dadosexternosBMF_1!A1255="DOL - Dólar comercial","",IF(C1251&lt;&gt;"",dadosexternosBMF_1!B1255,IF(dadosexternosBMF_1!A1255="DI1 - DI de 1 dia",dadosexternosBMF_1!B1255,"")))</f>
        <v>#REF!</v>
      </c>
      <c r="D1252" s="222" t="e">
        <f>IF(C1252&lt;&gt;"",dadosexternosBMF_1!C1255,"")</f>
        <v>#REF!</v>
      </c>
      <c r="E1252" s="222" t="e">
        <f>IF(C1252&lt;&gt;"",dadosexternosBMF_1!D1255,"")</f>
        <v>#REF!</v>
      </c>
      <c r="G1252" s="219" t="e">
        <f t="shared" si="133"/>
        <v>#REF!</v>
      </c>
      <c r="H1252" s="219" t="e">
        <f t="shared" si="134"/>
        <v>#REF!</v>
      </c>
      <c r="I1252" s="219" t="e">
        <f t="shared" si="135"/>
        <v>#REF!</v>
      </c>
      <c r="J1252" s="219" t="e">
        <f>IF(I1252="","",VLOOKUP(LEFT(C1252,1),dadosexternosBMF_1!$L$2:$M$13,2,FALSE))</f>
        <v>#REF!</v>
      </c>
      <c r="K1252" s="219" t="e">
        <f t="shared" si="136"/>
        <v>#REF!</v>
      </c>
      <c r="L1252" s="422" t="e">
        <f t="shared" si="137"/>
        <v>#REF!</v>
      </c>
      <c r="M1252" s="422" t="e">
        <f>IF(I1252="","",WORKDAY(L1252-1,1,FERIADOS!$A$2:$A$831))</f>
        <v>#REF!</v>
      </c>
      <c r="N1252" s="219" t="e">
        <f>IF(I1252="","",NETWORKDAYS(Curva!$M$2,M1252,FERIADOS!$A$2:$A$831)-1)</f>
        <v>#REF!</v>
      </c>
      <c r="O1252" s="423" t="e">
        <f>IF(C1252&lt;&gt;"",IF(ISERROR((100000/E1252)^(252/N1252)-1),Curva!$B$2,((100000/E1252)^(252/N1252)-1)),"")</f>
        <v>#REF!</v>
      </c>
      <c r="P1252" s="219" t="e">
        <f>IF(OR(G1252=1,G1252=2),dadosexternosBMF_1!B1255,"")</f>
        <v>#REF!</v>
      </c>
      <c r="Q1252" s="219" t="e">
        <f>IF(OR(G1252=1,G1252=2),dadosexternosBMF_1!D1255,"")</f>
        <v>#REF!</v>
      </c>
    </row>
    <row r="1253" spans="1:17" x14ac:dyDescent="0.2">
      <c r="A1253" s="222" t="e">
        <f t="shared" si="132"/>
        <v>#REF!</v>
      </c>
      <c r="B1253" s="222" t="str">
        <f>IF(dadosexternosBMF_1!A1256="DI1 - DI de 1 dia","DI1 - DI de 1 dia","")</f>
        <v/>
      </c>
      <c r="C1253" s="222" t="e">
        <f>IF(dadosexternosBMF_1!A1256="DOL - Dólar comercial","",IF(C1252&lt;&gt;"",dadosexternosBMF_1!B1256,IF(dadosexternosBMF_1!A1256="DI1 - DI de 1 dia",dadosexternosBMF_1!B1256,"")))</f>
        <v>#REF!</v>
      </c>
      <c r="D1253" s="222" t="e">
        <f>IF(C1253&lt;&gt;"",dadosexternosBMF_1!C1256,"")</f>
        <v>#REF!</v>
      </c>
      <c r="E1253" s="222" t="e">
        <f>IF(C1253&lt;&gt;"",dadosexternosBMF_1!D1256,"")</f>
        <v>#REF!</v>
      </c>
      <c r="G1253" s="219" t="e">
        <f t="shared" si="133"/>
        <v>#REF!</v>
      </c>
      <c r="H1253" s="219" t="e">
        <f t="shared" si="134"/>
        <v>#REF!</v>
      </c>
      <c r="I1253" s="219" t="e">
        <f t="shared" si="135"/>
        <v>#REF!</v>
      </c>
      <c r="J1253" s="219" t="e">
        <f>IF(I1253="","",VLOOKUP(LEFT(C1253,1),dadosexternosBMF_1!$L$2:$M$13,2,FALSE))</f>
        <v>#REF!</v>
      </c>
      <c r="K1253" s="219" t="e">
        <f t="shared" si="136"/>
        <v>#REF!</v>
      </c>
      <c r="L1253" s="422" t="e">
        <f t="shared" si="137"/>
        <v>#REF!</v>
      </c>
      <c r="M1253" s="422" t="e">
        <f>IF(I1253="","",WORKDAY(L1253-1,1,FERIADOS!$A$2:$A$831))</f>
        <v>#REF!</v>
      </c>
      <c r="N1253" s="219" t="e">
        <f>IF(I1253="","",NETWORKDAYS(Curva!$M$2,M1253,FERIADOS!$A$2:$A$831)-1)</f>
        <v>#REF!</v>
      </c>
      <c r="O1253" s="423" t="e">
        <f>IF(C1253&lt;&gt;"",IF(ISERROR((100000/E1253)^(252/N1253)-1),Curva!$B$2,((100000/E1253)^(252/N1253)-1)),"")</f>
        <v>#REF!</v>
      </c>
      <c r="P1253" s="219" t="e">
        <f>IF(OR(G1253=1,G1253=2),dadosexternosBMF_1!B1256,"")</f>
        <v>#REF!</v>
      </c>
      <c r="Q1253" s="219" t="e">
        <f>IF(OR(G1253=1,G1253=2),dadosexternosBMF_1!D1256,"")</f>
        <v>#REF!</v>
      </c>
    </row>
    <row r="1254" spans="1:17" x14ac:dyDescent="0.2">
      <c r="A1254" s="222" t="e">
        <f t="shared" si="132"/>
        <v>#REF!</v>
      </c>
      <c r="B1254" s="222" t="str">
        <f>IF(dadosexternosBMF_1!A1257="DI1 - DI de 1 dia","DI1 - DI de 1 dia","")</f>
        <v/>
      </c>
      <c r="C1254" s="222" t="e">
        <f>IF(dadosexternosBMF_1!A1257="DOL - Dólar comercial","",IF(C1253&lt;&gt;"",dadosexternosBMF_1!B1257,IF(dadosexternosBMF_1!A1257="DI1 - DI de 1 dia",dadosexternosBMF_1!B1257,"")))</f>
        <v>#REF!</v>
      </c>
      <c r="D1254" s="222" t="e">
        <f>IF(C1254&lt;&gt;"",dadosexternosBMF_1!C1257,"")</f>
        <v>#REF!</v>
      </c>
      <c r="E1254" s="222" t="e">
        <f>IF(C1254&lt;&gt;"",dadosexternosBMF_1!D1257,"")</f>
        <v>#REF!</v>
      </c>
      <c r="G1254" s="219" t="e">
        <f t="shared" si="133"/>
        <v>#REF!</v>
      </c>
      <c r="H1254" s="219" t="e">
        <f t="shared" si="134"/>
        <v>#REF!</v>
      </c>
      <c r="I1254" s="219" t="e">
        <f t="shared" si="135"/>
        <v>#REF!</v>
      </c>
      <c r="J1254" s="219" t="e">
        <f>IF(I1254="","",VLOOKUP(LEFT(C1254,1),dadosexternosBMF_1!$L$2:$M$13,2,FALSE))</f>
        <v>#REF!</v>
      </c>
      <c r="K1254" s="219" t="e">
        <f t="shared" si="136"/>
        <v>#REF!</v>
      </c>
      <c r="L1254" s="422" t="e">
        <f t="shared" si="137"/>
        <v>#REF!</v>
      </c>
      <c r="M1254" s="422" t="e">
        <f>IF(I1254="","",WORKDAY(L1254-1,1,FERIADOS!$A$2:$A$831))</f>
        <v>#REF!</v>
      </c>
      <c r="N1254" s="219" t="e">
        <f>IF(I1254="","",NETWORKDAYS(Curva!$M$2,M1254,FERIADOS!$A$2:$A$831)-1)</f>
        <v>#REF!</v>
      </c>
      <c r="O1254" s="423" t="e">
        <f>IF(C1254&lt;&gt;"",IF(ISERROR((100000/E1254)^(252/N1254)-1),Curva!$B$2,((100000/E1254)^(252/N1254)-1)),"")</f>
        <v>#REF!</v>
      </c>
      <c r="P1254" s="219" t="e">
        <f>IF(OR(G1254=1,G1254=2),dadosexternosBMF_1!B1257,"")</f>
        <v>#REF!</v>
      </c>
      <c r="Q1254" s="219" t="e">
        <f>IF(OR(G1254=1,G1254=2),dadosexternosBMF_1!D1257,"")</f>
        <v>#REF!</v>
      </c>
    </row>
    <row r="1255" spans="1:17" x14ac:dyDescent="0.2">
      <c r="A1255" s="222" t="e">
        <f t="shared" si="132"/>
        <v>#REF!</v>
      </c>
      <c r="B1255" s="222" t="str">
        <f>IF(dadosexternosBMF_1!A1258="DI1 - DI de 1 dia","DI1 - DI de 1 dia","")</f>
        <v/>
      </c>
      <c r="C1255" s="222" t="e">
        <f>IF(dadosexternosBMF_1!A1258="DOL - Dólar comercial","",IF(C1254&lt;&gt;"",dadosexternosBMF_1!B1258,IF(dadosexternosBMF_1!A1258="DI1 - DI de 1 dia",dadosexternosBMF_1!B1258,"")))</f>
        <v>#REF!</v>
      </c>
      <c r="D1255" s="222" t="e">
        <f>IF(C1255&lt;&gt;"",dadosexternosBMF_1!C1258,"")</f>
        <v>#REF!</v>
      </c>
      <c r="E1255" s="222" t="e">
        <f>IF(C1255&lt;&gt;"",dadosexternosBMF_1!D1258,"")</f>
        <v>#REF!</v>
      </c>
      <c r="G1255" s="219" t="e">
        <f t="shared" si="133"/>
        <v>#REF!</v>
      </c>
      <c r="H1255" s="219" t="e">
        <f t="shared" si="134"/>
        <v>#REF!</v>
      </c>
      <c r="I1255" s="219" t="e">
        <f t="shared" si="135"/>
        <v>#REF!</v>
      </c>
      <c r="J1255" s="219" t="e">
        <f>IF(I1255="","",VLOOKUP(LEFT(C1255,1),dadosexternosBMF_1!$L$2:$M$13,2,FALSE))</f>
        <v>#REF!</v>
      </c>
      <c r="K1255" s="219" t="e">
        <f t="shared" si="136"/>
        <v>#REF!</v>
      </c>
      <c r="L1255" s="422" t="e">
        <f t="shared" si="137"/>
        <v>#REF!</v>
      </c>
      <c r="M1255" s="422" t="e">
        <f>IF(I1255="","",WORKDAY(L1255-1,1,FERIADOS!$A$2:$A$831))</f>
        <v>#REF!</v>
      </c>
      <c r="N1255" s="219" t="e">
        <f>IF(I1255="","",NETWORKDAYS(Curva!$M$2,M1255,FERIADOS!$A$2:$A$831)-1)</f>
        <v>#REF!</v>
      </c>
      <c r="O1255" s="423" t="e">
        <f>IF(C1255&lt;&gt;"",IF(ISERROR((100000/E1255)^(252/N1255)-1),Curva!$B$2,((100000/E1255)^(252/N1255)-1)),"")</f>
        <v>#REF!</v>
      </c>
      <c r="P1255" s="219" t="e">
        <f>IF(OR(G1255=1,G1255=2),dadosexternosBMF_1!B1258,"")</f>
        <v>#REF!</v>
      </c>
      <c r="Q1255" s="219" t="e">
        <f>IF(OR(G1255=1,G1255=2),dadosexternosBMF_1!D1258,"")</f>
        <v>#REF!</v>
      </c>
    </row>
    <row r="1256" spans="1:17" x14ac:dyDescent="0.2">
      <c r="A1256" s="222" t="e">
        <f t="shared" si="132"/>
        <v>#REF!</v>
      </c>
      <c r="B1256" s="222" t="str">
        <f>IF(dadosexternosBMF_1!A1259="DI1 - DI de 1 dia","DI1 - DI de 1 dia","")</f>
        <v/>
      </c>
      <c r="C1256" s="222" t="e">
        <f>IF(dadosexternosBMF_1!A1259="DOL - Dólar comercial","",IF(C1255&lt;&gt;"",dadosexternosBMF_1!B1259,IF(dadosexternosBMF_1!A1259="DI1 - DI de 1 dia",dadosexternosBMF_1!B1259,"")))</f>
        <v>#REF!</v>
      </c>
      <c r="D1256" s="222" t="e">
        <f>IF(C1256&lt;&gt;"",dadosexternosBMF_1!C1259,"")</f>
        <v>#REF!</v>
      </c>
      <c r="E1256" s="222" t="e">
        <f>IF(C1256&lt;&gt;"",dadosexternosBMF_1!D1259,"")</f>
        <v>#REF!</v>
      </c>
      <c r="G1256" s="219" t="e">
        <f t="shared" si="133"/>
        <v>#REF!</v>
      </c>
      <c r="H1256" s="219" t="e">
        <f t="shared" si="134"/>
        <v>#REF!</v>
      </c>
      <c r="I1256" s="219" t="e">
        <f t="shared" si="135"/>
        <v>#REF!</v>
      </c>
      <c r="J1256" s="219" t="e">
        <f>IF(I1256="","",VLOOKUP(LEFT(C1256,1),dadosexternosBMF_1!$L$2:$M$13,2,FALSE))</f>
        <v>#REF!</v>
      </c>
      <c r="K1256" s="219" t="e">
        <f t="shared" si="136"/>
        <v>#REF!</v>
      </c>
      <c r="L1256" s="422" t="e">
        <f t="shared" si="137"/>
        <v>#REF!</v>
      </c>
      <c r="M1256" s="422" t="e">
        <f>IF(I1256="","",WORKDAY(L1256-1,1,FERIADOS!$A$2:$A$831))</f>
        <v>#REF!</v>
      </c>
      <c r="N1256" s="219" t="e">
        <f>IF(I1256="","",NETWORKDAYS(Curva!$M$2,M1256,FERIADOS!$A$2:$A$831)-1)</f>
        <v>#REF!</v>
      </c>
      <c r="O1256" s="423" t="e">
        <f>IF(C1256&lt;&gt;"",IF(ISERROR((100000/E1256)^(252/N1256)-1),Curva!$B$2,((100000/E1256)^(252/N1256)-1)),"")</f>
        <v>#REF!</v>
      </c>
      <c r="P1256" s="219" t="e">
        <f>IF(OR(G1256=1,G1256=2),dadosexternosBMF_1!B1259,"")</f>
        <v>#REF!</v>
      </c>
      <c r="Q1256" s="219" t="e">
        <f>IF(OR(G1256=1,G1256=2),dadosexternosBMF_1!D1259,"")</f>
        <v>#REF!</v>
      </c>
    </row>
    <row r="1257" spans="1:17" x14ac:dyDescent="0.2">
      <c r="A1257" s="222" t="e">
        <f t="shared" si="132"/>
        <v>#REF!</v>
      </c>
      <c r="B1257" s="222" t="str">
        <f>IF(dadosexternosBMF_1!A1260="DI1 - DI de 1 dia","DI1 - DI de 1 dia","")</f>
        <v/>
      </c>
      <c r="C1257" s="222" t="e">
        <f>IF(dadosexternosBMF_1!A1260="DOL - Dólar comercial","",IF(C1256&lt;&gt;"",dadosexternosBMF_1!B1260,IF(dadosexternosBMF_1!A1260="DI1 - DI de 1 dia",dadosexternosBMF_1!B1260,"")))</f>
        <v>#REF!</v>
      </c>
      <c r="D1257" s="222" t="e">
        <f>IF(C1257&lt;&gt;"",dadosexternosBMF_1!C1260,"")</f>
        <v>#REF!</v>
      </c>
      <c r="E1257" s="222" t="e">
        <f>IF(C1257&lt;&gt;"",dadosexternosBMF_1!D1260,"")</f>
        <v>#REF!</v>
      </c>
      <c r="G1257" s="219" t="e">
        <f t="shared" si="133"/>
        <v>#REF!</v>
      </c>
      <c r="H1257" s="219" t="e">
        <f t="shared" si="134"/>
        <v>#REF!</v>
      </c>
      <c r="I1257" s="219" t="e">
        <f t="shared" si="135"/>
        <v>#REF!</v>
      </c>
      <c r="J1257" s="219" t="e">
        <f>IF(I1257="","",VLOOKUP(LEFT(C1257,1),dadosexternosBMF_1!$L$2:$M$13,2,FALSE))</f>
        <v>#REF!</v>
      </c>
      <c r="K1257" s="219" t="e">
        <f t="shared" si="136"/>
        <v>#REF!</v>
      </c>
      <c r="L1257" s="422" t="e">
        <f t="shared" si="137"/>
        <v>#REF!</v>
      </c>
      <c r="M1257" s="422" t="e">
        <f>IF(I1257="","",WORKDAY(L1257-1,1,FERIADOS!$A$2:$A$831))</f>
        <v>#REF!</v>
      </c>
      <c r="N1257" s="219" t="e">
        <f>IF(I1257="","",NETWORKDAYS(Curva!$M$2,M1257,FERIADOS!$A$2:$A$831)-1)</f>
        <v>#REF!</v>
      </c>
      <c r="O1257" s="423" t="e">
        <f>IF(C1257&lt;&gt;"",IF(ISERROR((100000/E1257)^(252/N1257)-1),Curva!$B$2,((100000/E1257)^(252/N1257)-1)),"")</f>
        <v>#REF!</v>
      </c>
      <c r="P1257" s="219" t="e">
        <f>IF(OR(G1257=1,G1257=2),dadosexternosBMF_1!B1260,"")</f>
        <v>#REF!</v>
      </c>
      <c r="Q1257" s="219" t="e">
        <f>IF(OR(G1257=1,G1257=2),dadosexternosBMF_1!D1260,"")</f>
        <v>#REF!</v>
      </c>
    </row>
    <row r="1258" spans="1:17" x14ac:dyDescent="0.2">
      <c r="A1258" s="222" t="e">
        <f t="shared" si="132"/>
        <v>#REF!</v>
      </c>
      <c r="B1258" s="222" t="str">
        <f>IF(dadosexternosBMF_1!A1261="DI1 - DI de 1 dia","DI1 - DI de 1 dia","")</f>
        <v/>
      </c>
      <c r="C1258" s="222" t="e">
        <f>IF(dadosexternosBMF_1!A1261="DOL - Dólar comercial","",IF(C1257&lt;&gt;"",dadosexternosBMF_1!B1261,IF(dadosexternosBMF_1!A1261="DI1 - DI de 1 dia",dadosexternosBMF_1!B1261,"")))</f>
        <v>#REF!</v>
      </c>
      <c r="D1258" s="222" t="e">
        <f>IF(C1258&lt;&gt;"",dadosexternosBMF_1!C1261,"")</f>
        <v>#REF!</v>
      </c>
      <c r="E1258" s="222" t="e">
        <f>IF(C1258&lt;&gt;"",dadosexternosBMF_1!D1261,"")</f>
        <v>#REF!</v>
      </c>
      <c r="G1258" s="219" t="e">
        <f t="shared" si="133"/>
        <v>#REF!</v>
      </c>
      <c r="H1258" s="219" t="e">
        <f t="shared" si="134"/>
        <v>#REF!</v>
      </c>
      <c r="I1258" s="219" t="e">
        <f t="shared" si="135"/>
        <v>#REF!</v>
      </c>
      <c r="J1258" s="219" t="e">
        <f>IF(I1258="","",VLOOKUP(LEFT(C1258,1),dadosexternosBMF_1!$L$2:$M$13,2,FALSE))</f>
        <v>#REF!</v>
      </c>
      <c r="K1258" s="219" t="e">
        <f t="shared" si="136"/>
        <v>#REF!</v>
      </c>
      <c r="L1258" s="422" t="e">
        <f t="shared" si="137"/>
        <v>#REF!</v>
      </c>
      <c r="M1258" s="422" t="e">
        <f>IF(I1258="","",WORKDAY(L1258-1,1,FERIADOS!$A$2:$A$831))</f>
        <v>#REF!</v>
      </c>
      <c r="N1258" s="219" t="e">
        <f>IF(I1258="","",NETWORKDAYS(Curva!$M$2,M1258,FERIADOS!$A$2:$A$831)-1)</f>
        <v>#REF!</v>
      </c>
      <c r="O1258" s="423" t="e">
        <f>IF(C1258&lt;&gt;"",IF(ISERROR((100000/E1258)^(252/N1258)-1),Curva!$B$2,((100000/E1258)^(252/N1258)-1)),"")</f>
        <v>#REF!</v>
      </c>
      <c r="P1258" s="219" t="e">
        <f>IF(OR(G1258=1,G1258=2),dadosexternosBMF_1!B1261,"")</f>
        <v>#REF!</v>
      </c>
      <c r="Q1258" s="219" t="e">
        <f>IF(OR(G1258=1,G1258=2),dadosexternosBMF_1!D1261,"")</f>
        <v>#REF!</v>
      </c>
    </row>
    <row r="1259" spans="1:17" x14ac:dyDescent="0.2">
      <c r="A1259" s="222" t="e">
        <f t="shared" si="132"/>
        <v>#REF!</v>
      </c>
      <c r="B1259" s="222" t="str">
        <f>IF(dadosexternosBMF_1!A1262="DI1 - DI de 1 dia","DI1 - DI de 1 dia","")</f>
        <v/>
      </c>
      <c r="C1259" s="222" t="e">
        <f>IF(dadosexternosBMF_1!A1262="DOL - Dólar comercial","",IF(C1258&lt;&gt;"",dadosexternosBMF_1!B1262,IF(dadosexternosBMF_1!A1262="DI1 - DI de 1 dia",dadosexternosBMF_1!B1262,"")))</f>
        <v>#REF!</v>
      </c>
      <c r="D1259" s="222" t="e">
        <f>IF(C1259&lt;&gt;"",dadosexternosBMF_1!C1262,"")</f>
        <v>#REF!</v>
      </c>
      <c r="E1259" s="222" t="e">
        <f>IF(C1259&lt;&gt;"",dadosexternosBMF_1!D1262,"")</f>
        <v>#REF!</v>
      </c>
      <c r="G1259" s="219" t="e">
        <f t="shared" si="133"/>
        <v>#REF!</v>
      </c>
      <c r="H1259" s="219" t="e">
        <f t="shared" si="134"/>
        <v>#REF!</v>
      </c>
      <c r="I1259" s="219" t="e">
        <f t="shared" si="135"/>
        <v>#REF!</v>
      </c>
      <c r="J1259" s="219" t="e">
        <f>IF(I1259="","",VLOOKUP(LEFT(C1259,1),dadosexternosBMF_1!$L$2:$M$13,2,FALSE))</f>
        <v>#REF!</v>
      </c>
      <c r="K1259" s="219" t="e">
        <f t="shared" si="136"/>
        <v>#REF!</v>
      </c>
      <c r="L1259" s="422" t="e">
        <f t="shared" si="137"/>
        <v>#REF!</v>
      </c>
      <c r="M1259" s="422" t="e">
        <f>IF(I1259="","",WORKDAY(L1259-1,1,FERIADOS!$A$2:$A$831))</f>
        <v>#REF!</v>
      </c>
      <c r="N1259" s="219" t="e">
        <f>IF(I1259="","",NETWORKDAYS(Curva!$M$2,M1259,FERIADOS!$A$2:$A$831)-1)</f>
        <v>#REF!</v>
      </c>
      <c r="O1259" s="423" t="e">
        <f>IF(C1259&lt;&gt;"",IF(ISERROR((100000/E1259)^(252/N1259)-1),Curva!$B$2,((100000/E1259)^(252/N1259)-1)),"")</f>
        <v>#REF!</v>
      </c>
      <c r="P1259" s="219" t="e">
        <f>IF(OR(G1259=1,G1259=2),dadosexternosBMF_1!B1262,"")</f>
        <v>#REF!</v>
      </c>
      <c r="Q1259" s="219" t="e">
        <f>IF(OR(G1259=1,G1259=2),dadosexternosBMF_1!D1262,"")</f>
        <v>#REF!</v>
      </c>
    </row>
    <row r="1260" spans="1:17" x14ac:dyDescent="0.2">
      <c r="A1260" s="222" t="e">
        <f t="shared" si="132"/>
        <v>#REF!</v>
      </c>
      <c r="B1260" s="222" t="str">
        <f>IF(dadosexternosBMF_1!A1263="DI1 - DI de 1 dia","DI1 - DI de 1 dia","")</f>
        <v/>
      </c>
      <c r="C1260" s="222" t="e">
        <f>IF(dadosexternosBMF_1!A1263="DOL - Dólar comercial","",IF(C1259&lt;&gt;"",dadosexternosBMF_1!B1263,IF(dadosexternosBMF_1!A1263="DI1 - DI de 1 dia",dadosexternosBMF_1!B1263,"")))</f>
        <v>#REF!</v>
      </c>
      <c r="D1260" s="222" t="e">
        <f>IF(C1260&lt;&gt;"",dadosexternosBMF_1!C1263,"")</f>
        <v>#REF!</v>
      </c>
      <c r="E1260" s="222" t="e">
        <f>IF(C1260&lt;&gt;"",dadosexternosBMF_1!D1263,"")</f>
        <v>#REF!</v>
      </c>
      <c r="G1260" s="219" t="e">
        <f t="shared" si="133"/>
        <v>#REF!</v>
      </c>
      <c r="H1260" s="219" t="e">
        <f t="shared" si="134"/>
        <v>#REF!</v>
      </c>
      <c r="I1260" s="219" t="e">
        <f t="shared" si="135"/>
        <v>#REF!</v>
      </c>
      <c r="J1260" s="219" t="e">
        <f>IF(I1260="","",VLOOKUP(LEFT(C1260,1),dadosexternosBMF_1!$L$2:$M$13,2,FALSE))</f>
        <v>#REF!</v>
      </c>
      <c r="K1260" s="219" t="e">
        <f t="shared" si="136"/>
        <v>#REF!</v>
      </c>
      <c r="L1260" s="422" t="e">
        <f t="shared" si="137"/>
        <v>#REF!</v>
      </c>
      <c r="M1260" s="422" t="e">
        <f>IF(I1260="","",WORKDAY(L1260-1,1,FERIADOS!$A$2:$A$831))</f>
        <v>#REF!</v>
      </c>
      <c r="N1260" s="219" t="e">
        <f>IF(I1260="","",NETWORKDAYS(Curva!$M$2,M1260,FERIADOS!$A$2:$A$831)-1)</f>
        <v>#REF!</v>
      </c>
      <c r="O1260" s="423" t="e">
        <f>IF(C1260&lt;&gt;"",IF(ISERROR((100000/E1260)^(252/N1260)-1),Curva!$B$2,((100000/E1260)^(252/N1260)-1)),"")</f>
        <v>#REF!</v>
      </c>
      <c r="P1260" s="219" t="e">
        <f>IF(OR(G1260=1,G1260=2),dadosexternosBMF_1!B1263,"")</f>
        <v>#REF!</v>
      </c>
      <c r="Q1260" s="219" t="e">
        <f>IF(OR(G1260=1,G1260=2),dadosexternosBMF_1!D1263,"")</f>
        <v>#REF!</v>
      </c>
    </row>
    <row r="1261" spans="1:17" x14ac:dyDescent="0.2">
      <c r="A1261" s="222" t="e">
        <f t="shared" si="132"/>
        <v>#REF!</v>
      </c>
      <c r="B1261" s="222" t="str">
        <f>IF(dadosexternosBMF_1!A1264="DI1 - DI de 1 dia","DI1 - DI de 1 dia","")</f>
        <v/>
      </c>
      <c r="C1261" s="222" t="e">
        <f>IF(dadosexternosBMF_1!A1264="DOL - Dólar comercial","",IF(C1260&lt;&gt;"",dadosexternosBMF_1!B1264,IF(dadosexternosBMF_1!A1264="DI1 - DI de 1 dia",dadosexternosBMF_1!B1264,"")))</f>
        <v>#REF!</v>
      </c>
      <c r="D1261" s="222" t="e">
        <f>IF(C1261&lt;&gt;"",dadosexternosBMF_1!C1264,"")</f>
        <v>#REF!</v>
      </c>
      <c r="E1261" s="222" t="e">
        <f>IF(C1261&lt;&gt;"",dadosexternosBMF_1!D1264,"")</f>
        <v>#REF!</v>
      </c>
      <c r="G1261" s="219" t="e">
        <f t="shared" si="133"/>
        <v>#REF!</v>
      </c>
      <c r="H1261" s="219" t="e">
        <f t="shared" si="134"/>
        <v>#REF!</v>
      </c>
      <c r="I1261" s="219" t="e">
        <f t="shared" si="135"/>
        <v>#REF!</v>
      </c>
      <c r="J1261" s="219" t="e">
        <f>IF(I1261="","",VLOOKUP(LEFT(C1261,1),dadosexternosBMF_1!$L$2:$M$13,2,FALSE))</f>
        <v>#REF!</v>
      </c>
      <c r="K1261" s="219" t="e">
        <f t="shared" si="136"/>
        <v>#REF!</v>
      </c>
      <c r="L1261" s="422" t="e">
        <f t="shared" si="137"/>
        <v>#REF!</v>
      </c>
      <c r="M1261" s="422" t="e">
        <f>IF(I1261="","",WORKDAY(L1261-1,1,FERIADOS!$A$2:$A$831))</f>
        <v>#REF!</v>
      </c>
      <c r="N1261" s="219" t="e">
        <f>IF(I1261="","",NETWORKDAYS(Curva!$M$2,M1261,FERIADOS!$A$2:$A$831)-1)</f>
        <v>#REF!</v>
      </c>
      <c r="O1261" s="423" t="e">
        <f>IF(C1261&lt;&gt;"",IF(ISERROR((100000/E1261)^(252/N1261)-1),Curva!$B$2,((100000/E1261)^(252/N1261)-1)),"")</f>
        <v>#REF!</v>
      </c>
      <c r="P1261" s="219" t="e">
        <f>IF(OR(G1261=1,G1261=2),dadosexternosBMF_1!B1264,"")</f>
        <v>#REF!</v>
      </c>
      <c r="Q1261" s="219" t="e">
        <f>IF(OR(G1261=1,G1261=2),dadosexternosBMF_1!D1264,"")</f>
        <v>#REF!</v>
      </c>
    </row>
    <row r="1262" spans="1:17" x14ac:dyDescent="0.2">
      <c r="A1262" s="222" t="e">
        <f t="shared" si="132"/>
        <v>#REF!</v>
      </c>
      <c r="B1262" s="222" t="str">
        <f>IF(dadosexternosBMF_1!A1265="DI1 - DI de 1 dia","DI1 - DI de 1 dia","")</f>
        <v/>
      </c>
      <c r="C1262" s="222" t="e">
        <f>IF(dadosexternosBMF_1!A1265="DOL - Dólar comercial","",IF(C1261&lt;&gt;"",dadosexternosBMF_1!B1265,IF(dadosexternosBMF_1!A1265="DI1 - DI de 1 dia",dadosexternosBMF_1!B1265,"")))</f>
        <v>#REF!</v>
      </c>
      <c r="D1262" s="222" t="e">
        <f>IF(C1262&lt;&gt;"",dadosexternosBMF_1!C1265,"")</f>
        <v>#REF!</v>
      </c>
      <c r="E1262" s="222" t="e">
        <f>IF(C1262&lt;&gt;"",dadosexternosBMF_1!D1265,"")</f>
        <v>#REF!</v>
      </c>
      <c r="G1262" s="219" t="e">
        <f t="shared" si="133"/>
        <v>#REF!</v>
      </c>
      <c r="H1262" s="219" t="e">
        <f t="shared" si="134"/>
        <v>#REF!</v>
      </c>
      <c r="I1262" s="219" t="e">
        <f t="shared" si="135"/>
        <v>#REF!</v>
      </c>
      <c r="J1262" s="219" t="e">
        <f>IF(I1262="","",VLOOKUP(LEFT(C1262,1),dadosexternosBMF_1!$L$2:$M$13,2,FALSE))</f>
        <v>#REF!</v>
      </c>
      <c r="K1262" s="219" t="e">
        <f t="shared" si="136"/>
        <v>#REF!</v>
      </c>
      <c r="L1262" s="422" t="e">
        <f t="shared" si="137"/>
        <v>#REF!</v>
      </c>
      <c r="M1262" s="422" t="e">
        <f>IF(I1262="","",WORKDAY(L1262-1,1,FERIADOS!$A$2:$A$831))</f>
        <v>#REF!</v>
      </c>
      <c r="N1262" s="219" t="e">
        <f>IF(I1262="","",NETWORKDAYS(Curva!$M$2,M1262,FERIADOS!$A$2:$A$831)-1)</f>
        <v>#REF!</v>
      </c>
      <c r="O1262" s="423" t="e">
        <f>IF(C1262&lt;&gt;"",IF(ISERROR((100000/E1262)^(252/N1262)-1),Curva!$B$2,((100000/E1262)^(252/N1262)-1)),"")</f>
        <v>#REF!</v>
      </c>
      <c r="P1262" s="219" t="e">
        <f>IF(OR(G1262=1,G1262=2),dadosexternosBMF_1!B1265,"")</f>
        <v>#REF!</v>
      </c>
      <c r="Q1262" s="219" t="e">
        <f>IF(OR(G1262=1,G1262=2),dadosexternosBMF_1!D1265,"")</f>
        <v>#REF!</v>
      </c>
    </row>
    <row r="1263" spans="1:17" x14ac:dyDescent="0.2">
      <c r="A1263" s="222" t="e">
        <f t="shared" si="132"/>
        <v>#REF!</v>
      </c>
      <c r="B1263" s="222" t="str">
        <f>IF(dadosexternosBMF_1!A1266="DI1 - DI de 1 dia","DI1 - DI de 1 dia","")</f>
        <v/>
      </c>
      <c r="C1263" s="222" t="e">
        <f>IF(dadosexternosBMF_1!A1266="DOL - Dólar comercial","",IF(C1262&lt;&gt;"",dadosexternosBMF_1!B1266,IF(dadosexternosBMF_1!A1266="DI1 - DI de 1 dia",dadosexternosBMF_1!B1266,"")))</f>
        <v>#REF!</v>
      </c>
      <c r="D1263" s="222" t="e">
        <f>IF(C1263&lt;&gt;"",dadosexternosBMF_1!C1266,"")</f>
        <v>#REF!</v>
      </c>
      <c r="E1263" s="222" t="e">
        <f>IF(C1263&lt;&gt;"",dadosexternosBMF_1!D1266,"")</f>
        <v>#REF!</v>
      </c>
      <c r="G1263" s="219" t="e">
        <f t="shared" si="133"/>
        <v>#REF!</v>
      </c>
      <c r="H1263" s="219" t="e">
        <f t="shared" si="134"/>
        <v>#REF!</v>
      </c>
      <c r="I1263" s="219" t="e">
        <f t="shared" si="135"/>
        <v>#REF!</v>
      </c>
      <c r="J1263" s="219" t="e">
        <f>IF(I1263="","",VLOOKUP(LEFT(C1263,1),dadosexternosBMF_1!$L$2:$M$13,2,FALSE))</f>
        <v>#REF!</v>
      </c>
      <c r="K1263" s="219" t="e">
        <f t="shared" si="136"/>
        <v>#REF!</v>
      </c>
      <c r="L1263" s="422" t="e">
        <f t="shared" si="137"/>
        <v>#REF!</v>
      </c>
      <c r="M1263" s="422" t="e">
        <f>IF(I1263="","",WORKDAY(L1263-1,1,FERIADOS!$A$2:$A$831))</f>
        <v>#REF!</v>
      </c>
      <c r="N1263" s="219" t="e">
        <f>IF(I1263="","",NETWORKDAYS(Curva!$M$2,M1263,FERIADOS!$A$2:$A$831)-1)</f>
        <v>#REF!</v>
      </c>
      <c r="O1263" s="423" t="e">
        <f>IF(C1263&lt;&gt;"",IF(ISERROR((100000/E1263)^(252/N1263)-1),Curva!$B$2,((100000/E1263)^(252/N1263)-1)),"")</f>
        <v>#REF!</v>
      </c>
      <c r="P1263" s="219" t="e">
        <f>IF(OR(G1263=1,G1263=2),dadosexternosBMF_1!B1266,"")</f>
        <v>#REF!</v>
      </c>
      <c r="Q1263" s="219" t="e">
        <f>IF(OR(G1263=1,G1263=2),dadosexternosBMF_1!D1266,"")</f>
        <v>#REF!</v>
      </c>
    </row>
    <row r="1264" spans="1:17" x14ac:dyDescent="0.2">
      <c r="A1264" s="222" t="e">
        <f t="shared" si="132"/>
        <v>#REF!</v>
      </c>
      <c r="B1264" s="222" t="str">
        <f>IF(dadosexternosBMF_1!A1267="DI1 - DI de 1 dia","DI1 - DI de 1 dia","")</f>
        <v/>
      </c>
      <c r="C1264" s="222" t="e">
        <f>IF(dadosexternosBMF_1!A1267="DOL - Dólar comercial","",IF(C1263&lt;&gt;"",dadosexternosBMF_1!B1267,IF(dadosexternosBMF_1!A1267="DI1 - DI de 1 dia",dadosexternosBMF_1!B1267,"")))</f>
        <v>#REF!</v>
      </c>
      <c r="D1264" s="222" t="e">
        <f>IF(C1264&lt;&gt;"",dadosexternosBMF_1!C1267,"")</f>
        <v>#REF!</v>
      </c>
      <c r="E1264" s="222" t="e">
        <f>IF(C1264&lt;&gt;"",dadosexternosBMF_1!D1267,"")</f>
        <v>#REF!</v>
      </c>
      <c r="G1264" s="219" t="e">
        <f t="shared" si="133"/>
        <v>#REF!</v>
      </c>
      <c r="H1264" s="219" t="e">
        <f t="shared" si="134"/>
        <v>#REF!</v>
      </c>
      <c r="I1264" s="219" t="e">
        <f t="shared" si="135"/>
        <v>#REF!</v>
      </c>
      <c r="J1264" s="219" t="e">
        <f>IF(I1264="","",VLOOKUP(LEFT(C1264,1),dadosexternosBMF_1!$L$2:$M$13,2,FALSE))</f>
        <v>#REF!</v>
      </c>
      <c r="K1264" s="219" t="e">
        <f t="shared" si="136"/>
        <v>#REF!</v>
      </c>
      <c r="L1264" s="422" t="e">
        <f t="shared" si="137"/>
        <v>#REF!</v>
      </c>
      <c r="M1264" s="422" t="e">
        <f>IF(I1264="","",WORKDAY(L1264-1,1,FERIADOS!$A$2:$A$831))</f>
        <v>#REF!</v>
      </c>
      <c r="N1264" s="219" t="e">
        <f>IF(I1264="","",NETWORKDAYS(Curva!$M$2,M1264,FERIADOS!$A$2:$A$831)-1)</f>
        <v>#REF!</v>
      </c>
      <c r="O1264" s="423" t="e">
        <f>IF(C1264&lt;&gt;"",IF(ISERROR((100000/E1264)^(252/N1264)-1),Curva!$B$2,((100000/E1264)^(252/N1264)-1)),"")</f>
        <v>#REF!</v>
      </c>
      <c r="P1264" s="219" t="e">
        <f>IF(OR(G1264=1,G1264=2),dadosexternosBMF_1!B1267,"")</f>
        <v>#REF!</v>
      </c>
      <c r="Q1264" s="219" t="e">
        <f>IF(OR(G1264=1,G1264=2),dadosexternosBMF_1!D1267,"")</f>
        <v>#REF!</v>
      </c>
    </row>
    <row r="1265" spans="1:17" x14ac:dyDescent="0.2">
      <c r="A1265" s="222" t="e">
        <f t="shared" si="132"/>
        <v>#REF!</v>
      </c>
      <c r="B1265" s="222" t="str">
        <f>IF(dadosexternosBMF_1!A1268="DI1 - DI de 1 dia","DI1 - DI de 1 dia","")</f>
        <v/>
      </c>
      <c r="C1265" s="222" t="e">
        <f>IF(dadosexternosBMF_1!A1268="DOL - Dólar comercial","",IF(C1264&lt;&gt;"",dadosexternosBMF_1!B1268,IF(dadosexternosBMF_1!A1268="DI1 - DI de 1 dia",dadosexternosBMF_1!B1268,"")))</f>
        <v>#REF!</v>
      </c>
      <c r="D1265" s="222" t="e">
        <f>IF(C1265&lt;&gt;"",dadosexternosBMF_1!C1268,"")</f>
        <v>#REF!</v>
      </c>
      <c r="E1265" s="222" t="e">
        <f>IF(C1265&lt;&gt;"",dadosexternosBMF_1!D1268,"")</f>
        <v>#REF!</v>
      </c>
      <c r="G1265" s="219" t="e">
        <f t="shared" si="133"/>
        <v>#REF!</v>
      </c>
      <c r="H1265" s="219" t="e">
        <f t="shared" si="134"/>
        <v>#REF!</v>
      </c>
      <c r="I1265" s="219" t="e">
        <f t="shared" si="135"/>
        <v>#REF!</v>
      </c>
      <c r="J1265" s="219" t="e">
        <f>IF(I1265="","",VLOOKUP(LEFT(C1265,1),dadosexternosBMF_1!$L$2:$M$13,2,FALSE))</f>
        <v>#REF!</v>
      </c>
      <c r="K1265" s="219" t="e">
        <f t="shared" si="136"/>
        <v>#REF!</v>
      </c>
      <c r="L1265" s="422" t="e">
        <f t="shared" si="137"/>
        <v>#REF!</v>
      </c>
      <c r="M1265" s="422" t="e">
        <f>IF(I1265="","",WORKDAY(L1265-1,1,FERIADOS!$A$2:$A$831))</f>
        <v>#REF!</v>
      </c>
      <c r="N1265" s="219" t="e">
        <f>IF(I1265="","",NETWORKDAYS(Curva!$M$2,M1265,FERIADOS!$A$2:$A$831)-1)</f>
        <v>#REF!</v>
      </c>
      <c r="O1265" s="423" t="e">
        <f>IF(C1265&lt;&gt;"",IF(ISERROR((100000/E1265)^(252/N1265)-1),Curva!$B$2,((100000/E1265)^(252/N1265)-1)),"")</f>
        <v>#REF!</v>
      </c>
      <c r="P1265" s="219" t="e">
        <f>IF(OR(G1265=1,G1265=2),dadosexternosBMF_1!B1268,"")</f>
        <v>#REF!</v>
      </c>
      <c r="Q1265" s="219" t="e">
        <f>IF(OR(G1265=1,G1265=2),dadosexternosBMF_1!D1268,"")</f>
        <v>#REF!</v>
      </c>
    </row>
    <row r="1266" spans="1:17" x14ac:dyDescent="0.2">
      <c r="A1266" s="222" t="e">
        <f t="shared" si="132"/>
        <v>#REF!</v>
      </c>
      <c r="B1266" s="222" t="str">
        <f>IF(dadosexternosBMF_1!A1269="DI1 - DI de 1 dia","DI1 - DI de 1 dia","")</f>
        <v/>
      </c>
      <c r="C1266" s="222" t="e">
        <f>IF(dadosexternosBMF_1!A1269="DOL - Dólar comercial","",IF(C1265&lt;&gt;"",dadosexternosBMF_1!B1269,IF(dadosexternosBMF_1!A1269="DI1 - DI de 1 dia",dadosexternosBMF_1!B1269,"")))</f>
        <v>#REF!</v>
      </c>
      <c r="D1266" s="222" t="e">
        <f>IF(C1266&lt;&gt;"",dadosexternosBMF_1!C1269,"")</f>
        <v>#REF!</v>
      </c>
      <c r="E1266" s="222" t="e">
        <f>IF(C1266&lt;&gt;"",dadosexternosBMF_1!D1269,"")</f>
        <v>#REF!</v>
      </c>
      <c r="G1266" s="219" t="e">
        <f t="shared" si="133"/>
        <v>#REF!</v>
      </c>
      <c r="H1266" s="219" t="e">
        <f t="shared" si="134"/>
        <v>#REF!</v>
      </c>
      <c r="I1266" s="219" t="e">
        <f t="shared" si="135"/>
        <v>#REF!</v>
      </c>
      <c r="J1266" s="219" t="e">
        <f>IF(I1266="","",VLOOKUP(LEFT(C1266,1),dadosexternosBMF_1!$L$2:$M$13,2,FALSE))</f>
        <v>#REF!</v>
      </c>
      <c r="K1266" s="219" t="e">
        <f t="shared" si="136"/>
        <v>#REF!</v>
      </c>
      <c r="L1266" s="422" t="e">
        <f t="shared" si="137"/>
        <v>#REF!</v>
      </c>
      <c r="M1266" s="422" t="e">
        <f>IF(I1266="","",WORKDAY(L1266-1,1,FERIADOS!$A$2:$A$831))</f>
        <v>#REF!</v>
      </c>
      <c r="N1266" s="219" t="e">
        <f>IF(I1266="","",NETWORKDAYS(Curva!$M$2,M1266,FERIADOS!$A$2:$A$831)-1)</f>
        <v>#REF!</v>
      </c>
      <c r="O1266" s="423" t="e">
        <f>IF(C1266&lt;&gt;"",IF(ISERROR((100000/E1266)^(252/N1266)-1),Curva!$B$2,((100000/E1266)^(252/N1266)-1)),"")</f>
        <v>#REF!</v>
      </c>
      <c r="P1266" s="219" t="e">
        <f>IF(OR(G1266=1,G1266=2),dadosexternosBMF_1!B1269,"")</f>
        <v>#REF!</v>
      </c>
      <c r="Q1266" s="219" t="e">
        <f>IF(OR(G1266=1,G1266=2),dadosexternosBMF_1!D1269,"")</f>
        <v>#REF!</v>
      </c>
    </row>
    <row r="1267" spans="1:17" x14ac:dyDescent="0.2">
      <c r="A1267" s="222" t="e">
        <f t="shared" si="132"/>
        <v>#REF!</v>
      </c>
      <c r="B1267" s="222" t="str">
        <f>IF(dadosexternosBMF_1!A1270="DI1 - DI de 1 dia","DI1 - DI de 1 dia","")</f>
        <v/>
      </c>
      <c r="C1267" s="222" t="e">
        <f>IF(dadosexternosBMF_1!A1270="DOL - Dólar comercial","",IF(C1266&lt;&gt;"",dadosexternosBMF_1!B1270,IF(dadosexternosBMF_1!A1270="DI1 - DI de 1 dia",dadosexternosBMF_1!B1270,"")))</f>
        <v>#REF!</v>
      </c>
      <c r="D1267" s="222" t="e">
        <f>IF(C1267&lt;&gt;"",dadosexternosBMF_1!C1270,"")</f>
        <v>#REF!</v>
      </c>
      <c r="E1267" s="222" t="e">
        <f>IF(C1267&lt;&gt;"",dadosexternosBMF_1!D1270,"")</f>
        <v>#REF!</v>
      </c>
      <c r="G1267" s="219" t="e">
        <f t="shared" si="133"/>
        <v>#REF!</v>
      </c>
      <c r="H1267" s="219" t="e">
        <f t="shared" si="134"/>
        <v>#REF!</v>
      </c>
      <c r="I1267" s="219" t="e">
        <f t="shared" si="135"/>
        <v>#REF!</v>
      </c>
      <c r="J1267" s="219" t="e">
        <f>IF(I1267="","",VLOOKUP(LEFT(C1267,1),dadosexternosBMF_1!$L$2:$M$13,2,FALSE))</f>
        <v>#REF!</v>
      </c>
      <c r="K1267" s="219" t="e">
        <f t="shared" si="136"/>
        <v>#REF!</v>
      </c>
      <c r="L1267" s="422" t="e">
        <f t="shared" si="137"/>
        <v>#REF!</v>
      </c>
      <c r="M1267" s="422" t="e">
        <f>IF(I1267="","",WORKDAY(L1267-1,1,FERIADOS!$A$2:$A$831))</f>
        <v>#REF!</v>
      </c>
      <c r="N1267" s="219" t="e">
        <f>IF(I1267="","",NETWORKDAYS(Curva!$M$2,M1267,FERIADOS!$A$2:$A$831)-1)</f>
        <v>#REF!</v>
      </c>
      <c r="O1267" s="423" t="e">
        <f>IF(C1267&lt;&gt;"",IF(ISERROR((100000/E1267)^(252/N1267)-1),Curva!$B$2,((100000/E1267)^(252/N1267)-1)),"")</f>
        <v>#REF!</v>
      </c>
      <c r="P1267" s="219" t="e">
        <f>IF(OR(G1267=1,G1267=2),dadosexternosBMF_1!B1270,"")</f>
        <v>#REF!</v>
      </c>
      <c r="Q1267" s="219" t="e">
        <f>IF(OR(G1267=1,G1267=2),dadosexternosBMF_1!D1270,"")</f>
        <v>#REF!</v>
      </c>
    </row>
    <row r="1268" spans="1:17" x14ac:dyDescent="0.2">
      <c r="A1268" s="222" t="e">
        <f t="shared" si="132"/>
        <v>#REF!</v>
      </c>
      <c r="B1268" s="222" t="str">
        <f>IF(dadosexternosBMF_1!A1271="DI1 - DI de 1 dia","DI1 - DI de 1 dia","")</f>
        <v/>
      </c>
      <c r="C1268" s="222" t="e">
        <f>IF(dadosexternosBMF_1!A1271="DOL - Dólar comercial","",IF(C1267&lt;&gt;"",dadosexternosBMF_1!B1271,IF(dadosexternosBMF_1!A1271="DI1 - DI de 1 dia",dadosexternosBMF_1!B1271,"")))</f>
        <v>#REF!</v>
      </c>
      <c r="D1268" s="222" t="e">
        <f>IF(C1268&lt;&gt;"",dadosexternosBMF_1!C1271,"")</f>
        <v>#REF!</v>
      </c>
      <c r="E1268" s="222" t="e">
        <f>IF(C1268&lt;&gt;"",dadosexternosBMF_1!D1271,"")</f>
        <v>#REF!</v>
      </c>
      <c r="G1268" s="219" t="e">
        <f t="shared" si="133"/>
        <v>#REF!</v>
      </c>
      <c r="H1268" s="219" t="e">
        <f t="shared" si="134"/>
        <v>#REF!</v>
      </c>
      <c r="I1268" s="219" t="e">
        <f t="shared" si="135"/>
        <v>#REF!</v>
      </c>
      <c r="J1268" s="219" t="e">
        <f>IF(I1268="","",VLOOKUP(LEFT(C1268,1),dadosexternosBMF_1!$L$2:$M$13,2,FALSE))</f>
        <v>#REF!</v>
      </c>
      <c r="K1268" s="219" t="e">
        <f t="shared" si="136"/>
        <v>#REF!</v>
      </c>
      <c r="L1268" s="422" t="e">
        <f t="shared" si="137"/>
        <v>#REF!</v>
      </c>
      <c r="M1268" s="422" t="e">
        <f>IF(I1268="","",WORKDAY(L1268-1,1,FERIADOS!$A$2:$A$831))</f>
        <v>#REF!</v>
      </c>
      <c r="N1268" s="219" t="e">
        <f>IF(I1268="","",NETWORKDAYS(Curva!$M$2,M1268,FERIADOS!$A$2:$A$831)-1)</f>
        <v>#REF!</v>
      </c>
      <c r="O1268" s="423" t="e">
        <f>IF(C1268&lt;&gt;"",IF(ISERROR((100000/E1268)^(252/N1268)-1),Curva!$B$2,((100000/E1268)^(252/N1268)-1)),"")</f>
        <v>#REF!</v>
      </c>
      <c r="P1268" s="219" t="e">
        <f>IF(OR(G1268=1,G1268=2),dadosexternosBMF_1!B1271,"")</f>
        <v>#REF!</v>
      </c>
      <c r="Q1268" s="219" t="e">
        <f>IF(OR(G1268=1,G1268=2),dadosexternosBMF_1!D1271,"")</f>
        <v>#REF!</v>
      </c>
    </row>
    <row r="1269" spans="1:17" x14ac:dyDescent="0.2">
      <c r="A1269" s="222" t="e">
        <f t="shared" si="132"/>
        <v>#REF!</v>
      </c>
      <c r="B1269" s="222" t="str">
        <f>IF(dadosexternosBMF_1!A1272="DI1 - DI de 1 dia","DI1 - DI de 1 dia","")</f>
        <v/>
      </c>
      <c r="C1269" s="222" t="e">
        <f>IF(dadosexternosBMF_1!A1272="DOL - Dólar comercial","",IF(C1268&lt;&gt;"",dadosexternosBMF_1!B1272,IF(dadosexternosBMF_1!A1272="DI1 - DI de 1 dia",dadosexternosBMF_1!B1272,"")))</f>
        <v>#REF!</v>
      </c>
      <c r="D1269" s="222" t="e">
        <f>IF(C1269&lt;&gt;"",dadosexternosBMF_1!C1272,"")</f>
        <v>#REF!</v>
      </c>
      <c r="E1269" s="222" t="e">
        <f>IF(C1269&lt;&gt;"",dadosexternosBMF_1!D1272,"")</f>
        <v>#REF!</v>
      </c>
      <c r="G1269" s="219" t="e">
        <f t="shared" si="133"/>
        <v>#REF!</v>
      </c>
      <c r="H1269" s="219" t="e">
        <f t="shared" si="134"/>
        <v>#REF!</v>
      </c>
      <c r="I1269" s="219" t="e">
        <f t="shared" si="135"/>
        <v>#REF!</v>
      </c>
      <c r="J1269" s="219" t="e">
        <f>IF(I1269="","",VLOOKUP(LEFT(C1269,1),dadosexternosBMF_1!$L$2:$M$13,2,FALSE))</f>
        <v>#REF!</v>
      </c>
      <c r="K1269" s="219" t="e">
        <f t="shared" si="136"/>
        <v>#REF!</v>
      </c>
      <c r="L1269" s="422" t="e">
        <f t="shared" si="137"/>
        <v>#REF!</v>
      </c>
      <c r="M1269" s="422" t="e">
        <f>IF(I1269="","",WORKDAY(L1269-1,1,FERIADOS!$A$2:$A$831))</f>
        <v>#REF!</v>
      </c>
      <c r="N1269" s="219" t="e">
        <f>IF(I1269="","",NETWORKDAYS(Curva!$M$2,M1269,FERIADOS!$A$2:$A$831)-1)</f>
        <v>#REF!</v>
      </c>
      <c r="O1269" s="423" t="e">
        <f>IF(C1269&lt;&gt;"",IF(ISERROR((100000/E1269)^(252/N1269)-1),Curva!$B$2,((100000/E1269)^(252/N1269)-1)),"")</f>
        <v>#REF!</v>
      </c>
      <c r="P1269" s="219" t="e">
        <f>IF(OR(G1269=1,G1269=2),dadosexternosBMF_1!B1272,"")</f>
        <v>#REF!</v>
      </c>
      <c r="Q1269" s="219" t="e">
        <f>IF(OR(G1269=1,G1269=2),dadosexternosBMF_1!D1272,"")</f>
        <v>#REF!</v>
      </c>
    </row>
    <row r="1270" spans="1:17" x14ac:dyDescent="0.2">
      <c r="A1270" s="222" t="e">
        <f t="shared" si="132"/>
        <v>#REF!</v>
      </c>
      <c r="B1270" s="222" t="str">
        <f>IF(dadosexternosBMF_1!A1273="DI1 - DI de 1 dia","DI1 - DI de 1 dia","")</f>
        <v/>
      </c>
      <c r="C1270" s="222" t="e">
        <f>IF(dadosexternosBMF_1!A1273="DOL - Dólar comercial","",IF(C1269&lt;&gt;"",dadosexternosBMF_1!B1273,IF(dadosexternosBMF_1!A1273="DI1 - DI de 1 dia",dadosexternosBMF_1!B1273,"")))</f>
        <v>#REF!</v>
      </c>
      <c r="D1270" s="222" t="e">
        <f>IF(C1270&lt;&gt;"",dadosexternosBMF_1!C1273,"")</f>
        <v>#REF!</v>
      </c>
      <c r="E1270" s="222" t="e">
        <f>IF(C1270&lt;&gt;"",dadosexternosBMF_1!D1273,"")</f>
        <v>#REF!</v>
      </c>
      <c r="G1270" s="219" t="e">
        <f t="shared" si="133"/>
        <v>#REF!</v>
      </c>
      <c r="H1270" s="219" t="e">
        <f t="shared" si="134"/>
        <v>#REF!</v>
      </c>
      <c r="I1270" s="219" t="e">
        <f t="shared" si="135"/>
        <v>#REF!</v>
      </c>
      <c r="J1270" s="219" t="e">
        <f>IF(I1270="","",VLOOKUP(LEFT(C1270,1),dadosexternosBMF_1!$L$2:$M$13,2,FALSE))</f>
        <v>#REF!</v>
      </c>
      <c r="K1270" s="219" t="e">
        <f t="shared" si="136"/>
        <v>#REF!</v>
      </c>
      <c r="L1270" s="422" t="e">
        <f t="shared" si="137"/>
        <v>#REF!</v>
      </c>
      <c r="M1270" s="422" t="e">
        <f>IF(I1270="","",WORKDAY(L1270-1,1,FERIADOS!$A$2:$A$831))</f>
        <v>#REF!</v>
      </c>
      <c r="N1270" s="219" t="e">
        <f>IF(I1270="","",NETWORKDAYS(Curva!$M$2,M1270,FERIADOS!$A$2:$A$831)-1)</f>
        <v>#REF!</v>
      </c>
      <c r="O1270" s="423" t="e">
        <f>IF(C1270&lt;&gt;"",IF(ISERROR((100000/E1270)^(252/N1270)-1),Curva!$B$2,((100000/E1270)^(252/N1270)-1)),"")</f>
        <v>#REF!</v>
      </c>
      <c r="P1270" s="219" t="e">
        <f>IF(OR(G1270=1,G1270=2),dadosexternosBMF_1!B1273,"")</f>
        <v>#REF!</v>
      </c>
      <c r="Q1270" s="219" t="e">
        <f>IF(OR(G1270=1,G1270=2),dadosexternosBMF_1!D1273,"")</f>
        <v>#REF!</v>
      </c>
    </row>
    <row r="1271" spans="1:17" x14ac:dyDescent="0.2">
      <c r="A1271" s="222" t="e">
        <f t="shared" si="132"/>
        <v>#REF!</v>
      </c>
      <c r="B1271" s="222" t="str">
        <f>IF(dadosexternosBMF_1!A1274="DI1 - DI de 1 dia","DI1 - DI de 1 dia","")</f>
        <v/>
      </c>
      <c r="C1271" s="222" t="e">
        <f>IF(dadosexternosBMF_1!A1274="DOL - Dólar comercial","",IF(C1270&lt;&gt;"",dadosexternosBMF_1!B1274,IF(dadosexternosBMF_1!A1274="DI1 - DI de 1 dia",dadosexternosBMF_1!B1274,"")))</f>
        <v>#REF!</v>
      </c>
      <c r="D1271" s="222" t="e">
        <f>IF(C1271&lt;&gt;"",dadosexternosBMF_1!C1274,"")</f>
        <v>#REF!</v>
      </c>
      <c r="E1271" s="222" t="e">
        <f>IF(C1271&lt;&gt;"",dadosexternosBMF_1!D1274,"")</f>
        <v>#REF!</v>
      </c>
      <c r="G1271" s="219" t="e">
        <f t="shared" si="133"/>
        <v>#REF!</v>
      </c>
      <c r="H1271" s="219" t="e">
        <f t="shared" si="134"/>
        <v>#REF!</v>
      </c>
      <c r="I1271" s="219" t="e">
        <f t="shared" si="135"/>
        <v>#REF!</v>
      </c>
      <c r="J1271" s="219" t="e">
        <f>IF(I1271="","",VLOOKUP(LEFT(C1271,1),dadosexternosBMF_1!$L$2:$M$13,2,FALSE))</f>
        <v>#REF!</v>
      </c>
      <c r="K1271" s="219" t="e">
        <f t="shared" si="136"/>
        <v>#REF!</v>
      </c>
      <c r="L1271" s="422" t="e">
        <f t="shared" si="137"/>
        <v>#REF!</v>
      </c>
      <c r="M1271" s="422" t="e">
        <f>IF(I1271="","",WORKDAY(L1271-1,1,FERIADOS!$A$2:$A$831))</f>
        <v>#REF!</v>
      </c>
      <c r="N1271" s="219" t="e">
        <f>IF(I1271="","",NETWORKDAYS(Curva!$M$2,M1271,FERIADOS!$A$2:$A$831)-1)</f>
        <v>#REF!</v>
      </c>
      <c r="O1271" s="423" t="e">
        <f>IF(C1271&lt;&gt;"",IF(ISERROR((100000/E1271)^(252/N1271)-1),Curva!$B$2,((100000/E1271)^(252/N1271)-1)),"")</f>
        <v>#REF!</v>
      </c>
      <c r="P1271" s="219" t="e">
        <f>IF(OR(G1271=1,G1271=2),dadosexternosBMF_1!B1274,"")</f>
        <v>#REF!</v>
      </c>
      <c r="Q1271" s="219" t="e">
        <f>IF(OR(G1271=1,G1271=2),dadosexternosBMF_1!D1274,"")</f>
        <v>#REF!</v>
      </c>
    </row>
    <row r="1272" spans="1:17" x14ac:dyDescent="0.2">
      <c r="A1272" s="222" t="e">
        <f t="shared" si="132"/>
        <v>#REF!</v>
      </c>
      <c r="B1272" s="222" t="str">
        <f>IF(dadosexternosBMF_1!A1275="DI1 - DI de 1 dia","DI1 - DI de 1 dia","")</f>
        <v/>
      </c>
      <c r="C1272" s="222" t="e">
        <f>IF(dadosexternosBMF_1!A1275="DOL - Dólar comercial","",IF(C1271&lt;&gt;"",dadosexternosBMF_1!B1275,IF(dadosexternosBMF_1!A1275="DI1 - DI de 1 dia",dadosexternosBMF_1!B1275,"")))</f>
        <v>#REF!</v>
      </c>
      <c r="D1272" s="222" t="e">
        <f>IF(C1272&lt;&gt;"",dadosexternosBMF_1!C1275,"")</f>
        <v>#REF!</v>
      </c>
      <c r="E1272" s="222" t="e">
        <f>IF(C1272&lt;&gt;"",dadosexternosBMF_1!D1275,"")</f>
        <v>#REF!</v>
      </c>
      <c r="G1272" s="219" t="e">
        <f t="shared" si="133"/>
        <v>#REF!</v>
      </c>
      <c r="H1272" s="219" t="e">
        <f t="shared" si="134"/>
        <v>#REF!</v>
      </c>
      <c r="I1272" s="219" t="e">
        <f t="shared" si="135"/>
        <v>#REF!</v>
      </c>
      <c r="J1272" s="219" t="e">
        <f>IF(I1272="","",VLOOKUP(LEFT(C1272,1),dadosexternosBMF_1!$L$2:$M$13,2,FALSE))</f>
        <v>#REF!</v>
      </c>
      <c r="K1272" s="219" t="e">
        <f t="shared" si="136"/>
        <v>#REF!</v>
      </c>
      <c r="L1272" s="422" t="e">
        <f t="shared" si="137"/>
        <v>#REF!</v>
      </c>
      <c r="M1272" s="422" t="e">
        <f>IF(I1272="","",WORKDAY(L1272-1,1,FERIADOS!$A$2:$A$831))</f>
        <v>#REF!</v>
      </c>
      <c r="N1272" s="219" t="e">
        <f>IF(I1272="","",NETWORKDAYS(Curva!$M$2,M1272,FERIADOS!$A$2:$A$831)-1)</f>
        <v>#REF!</v>
      </c>
      <c r="O1272" s="423" t="e">
        <f>IF(C1272&lt;&gt;"",IF(ISERROR((100000/E1272)^(252/N1272)-1),Curva!$B$2,((100000/E1272)^(252/N1272)-1)),"")</f>
        <v>#REF!</v>
      </c>
      <c r="P1272" s="219" t="e">
        <f>IF(OR(G1272=1,G1272=2),dadosexternosBMF_1!B1275,"")</f>
        <v>#REF!</v>
      </c>
      <c r="Q1272" s="219" t="e">
        <f>IF(OR(G1272=1,G1272=2),dadosexternosBMF_1!D1275,"")</f>
        <v>#REF!</v>
      </c>
    </row>
    <row r="1273" spans="1:17" x14ac:dyDescent="0.2">
      <c r="A1273" s="222" t="e">
        <f t="shared" si="132"/>
        <v>#REF!</v>
      </c>
      <c r="B1273" s="222" t="str">
        <f>IF(dadosexternosBMF_1!A1276="DI1 - DI de 1 dia","DI1 - DI de 1 dia","")</f>
        <v/>
      </c>
      <c r="C1273" s="222" t="e">
        <f>IF(dadosexternosBMF_1!A1276="DOL - Dólar comercial","",IF(C1272&lt;&gt;"",dadosexternosBMF_1!B1276,IF(dadosexternosBMF_1!A1276="DI1 - DI de 1 dia",dadosexternosBMF_1!B1276,"")))</f>
        <v>#REF!</v>
      </c>
      <c r="D1273" s="222" t="e">
        <f>IF(C1273&lt;&gt;"",dadosexternosBMF_1!C1276,"")</f>
        <v>#REF!</v>
      </c>
      <c r="E1273" s="222" t="e">
        <f>IF(C1273&lt;&gt;"",dadosexternosBMF_1!D1276,"")</f>
        <v>#REF!</v>
      </c>
      <c r="G1273" s="219" t="e">
        <f t="shared" si="133"/>
        <v>#REF!</v>
      </c>
      <c r="H1273" s="219" t="e">
        <f t="shared" si="134"/>
        <v>#REF!</v>
      </c>
      <c r="I1273" s="219" t="e">
        <f t="shared" si="135"/>
        <v>#REF!</v>
      </c>
      <c r="J1273" s="219" t="e">
        <f>IF(I1273="","",VLOOKUP(LEFT(C1273,1),dadosexternosBMF_1!$L$2:$M$13,2,FALSE))</f>
        <v>#REF!</v>
      </c>
      <c r="K1273" s="219" t="e">
        <f t="shared" si="136"/>
        <v>#REF!</v>
      </c>
      <c r="L1273" s="422" t="e">
        <f t="shared" si="137"/>
        <v>#REF!</v>
      </c>
      <c r="M1273" s="422" t="e">
        <f>IF(I1273="","",WORKDAY(L1273-1,1,FERIADOS!$A$2:$A$831))</f>
        <v>#REF!</v>
      </c>
      <c r="N1273" s="219" t="e">
        <f>IF(I1273="","",NETWORKDAYS(Curva!$M$2,M1273,FERIADOS!$A$2:$A$831)-1)</f>
        <v>#REF!</v>
      </c>
      <c r="O1273" s="423" t="e">
        <f>IF(C1273&lt;&gt;"",IF(ISERROR((100000/E1273)^(252/N1273)-1),Curva!$B$2,((100000/E1273)^(252/N1273)-1)),"")</f>
        <v>#REF!</v>
      </c>
      <c r="P1273" s="219" t="e">
        <f>IF(OR(G1273=1,G1273=2),dadosexternosBMF_1!B1276,"")</f>
        <v>#REF!</v>
      </c>
      <c r="Q1273" s="219" t="e">
        <f>IF(OR(G1273=1,G1273=2),dadosexternosBMF_1!D1276,"")</f>
        <v>#REF!</v>
      </c>
    </row>
    <row r="1274" spans="1:17" x14ac:dyDescent="0.2">
      <c r="A1274" s="222" t="e">
        <f t="shared" si="132"/>
        <v>#REF!</v>
      </c>
      <c r="B1274" s="222" t="str">
        <f>IF(dadosexternosBMF_1!A1277="DI1 - DI de 1 dia","DI1 - DI de 1 dia","")</f>
        <v/>
      </c>
      <c r="C1274" s="222" t="e">
        <f>IF(dadosexternosBMF_1!A1277="DOL - Dólar comercial","",IF(C1273&lt;&gt;"",dadosexternosBMF_1!B1277,IF(dadosexternosBMF_1!A1277="DI1 - DI de 1 dia",dadosexternosBMF_1!B1277,"")))</f>
        <v>#REF!</v>
      </c>
      <c r="D1274" s="222" t="e">
        <f>IF(C1274&lt;&gt;"",dadosexternosBMF_1!C1277,"")</f>
        <v>#REF!</v>
      </c>
      <c r="E1274" s="222" t="e">
        <f>IF(C1274&lt;&gt;"",dadosexternosBMF_1!D1277,"")</f>
        <v>#REF!</v>
      </c>
      <c r="G1274" s="219" t="e">
        <f t="shared" si="133"/>
        <v>#REF!</v>
      </c>
      <c r="H1274" s="219" t="e">
        <f t="shared" si="134"/>
        <v>#REF!</v>
      </c>
      <c r="I1274" s="219" t="e">
        <f t="shared" si="135"/>
        <v>#REF!</v>
      </c>
      <c r="J1274" s="219" t="e">
        <f>IF(I1274="","",VLOOKUP(LEFT(C1274,1),dadosexternosBMF_1!$L$2:$M$13,2,FALSE))</f>
        <v>#REF!</v>
      </c>
      <c r="K1274" s="219" t="e">
        <f t="shared" si="136"/>
        <v>#REF!</v>
      </c>
      <c r="L1274" s="422" t="e">
        <f t="shared" si="137"/>
        <v>#REF!</v>
      </c>
      <c r="M1274" s="422" t="e">
        <f>IF(I1274="","",WORKDAY(L1274-1,1,FERIADOS!$A$2:$A$831))</f>
        <v>#REF!</v>
      </c>
      <c r="N1274" s="219" t="e">
        <f>IF(I1274="","",NETWORKDAYS(Curva!$M$2,M1274,FERIADOS!$A$2:$A$831)-1)</f>
        <v>#REF!</v>
      </c>
      <c r="O1274" s="423" t="e">
        <f>IF(C1274&lt;&gt;"",IF(ISERROR((100000/E1274)^(252/N1274)-1),Curva!$B$2,((100000/E1274)^(252/N1274)-1)),"")</f>
        <v>#REF!</v>
      </c>
      <c r="P1274" s="219" t="e">
        <f>IF(OR(G1274=1,G1274=2),dadosexternosBMF_1!B1277,"")</f>
        <v>#REF!</v>
      </c>
      <c r="Q1274" s="219" t="e">
        <f>IF(OR(G1274=1,G1274=2),dadosexternosBMF_1!D1277,"")</f>
        <v>#REF!</v>
      </c>
    </row>
    <row r="1275" spans="1:17" x14ac:dyDescent="0.2">
      <c r="A1275" s="222" t="e">
        <f t="shared" si="132"/>
        <v>#REF!</v>
      </c>
      <c r="B1275" s="222" t="str">
        <f>IF(dadosexternosBMF_1!A1278="DI1 - DI de 1 dia","DI1 - DI de 1 dia","")</f>
        <v/>
      </c>
      <c r="C1275" s="222" t="e">
        <f>IF(dadosexternosBMF_1!A1278="DOL - Dólar comercial","",IF(C1274&lt;&gt;"",dadosexternosBMF_1!B1278,IF(dadosexternosBMF_1!A1278="DI1 - DI de 1 dia",dadosexternosBMF_1!B1278,"")))</f>
        <v>#REF!</v>
      </c>
      <c r="D1275" s="222" t="e">
        <f>IF(C1275&lt;&gt;"",dadosexternosBMF_1!C1278,"")</f>
        <v>#REF!</v>
      </c>
      <c r="E1275" s="222" t="e">
        <f>IF(C1275&lt;&gt;"",dadosexternosBMF_1!D1278,"")</f>
        <v>#REF!</v>
      </c>
      <c r="G1275" s="219" t="e">
        <f t="shared" si="133"/>
        <v>#REF!</v>
      </c>
      <c r="H1275" s="219" t="e">
        <f t="shared" si="134"/>
        <v>#REF!</v>
      </c>
      <c r="I1275" s="219" t="e">
        <f t="shared" si="135"/>
        <v>#REF!</v>
      </c>
      <c r="J1275" s="219" t="e">
        <f>IF(I1275="","",VLOOKUP(LEFT(C1275,1),dadosexternosBMF_1!$L$2:$M$13,2,FALSE))</f>
        <v>#REF!</v>
      </c>
      <c r="K1275" s="219" t="e">
        <f t="shared" si="136"/>
        <v>#REF!</v>
      </c>
      <c r="L1275" s="422" t="e">
        <f t="shared" si="137"/>
        <v>#REF!</v>
      </c>
      <c r="M1275" s="422" t="e">
        <f>IF(I1275="","",WORKDAY(L1275-1,1,FERIADOS!$A$2:$A$831))</f>
        <v>#REF!</v>
      </c>
      <c r="N1275" s="219" t="e">
        <f>IF(I1275="","",NETWORKDAYS(Curva!$M$2,M1275,FERIADOS!$A$2:$A$831)-1)</f>
        <v>#REF!</v>
      </c>
      <c r="O1275" s="423" t="e">
        <f>IF(C1275&lt;&gt;"",IF(ISERROR((100000/E1275)^(252/N1275)-1),Curva!$B$2,((100000/E1275)^(252/N1275)-1)),"")</f>
        <v>#REF!</v>
      </c>
      <c r="P1275" s="219" t="e">
        <f>IF(OR(G1275=1,G1275=2),dadosexternosBMF_1!B1278,"")</f>
        <v>#REF!</v>
      </c>
      <c r="Q1275" s="219" t="e">
        <f>IF(OR(G1275=1,G1275=2),dadosexternosBMF_1!D1278,"")</f>
        <v>#REF!</v>
      </c>
    </row>
    <row r="1276" spans="1:17" x14ac:dyDescent="0.2">
      <c r="A1276" s="222" t="e">
        <f t="shared" si="132"/>
        <v>#REF!</v>
      </c>
      <c r="B1276" s="222" t="str">
        <f>IF(dadosexternosBMF_1!A1279="DI1 - DI de 1 dia","DI1 - DI de 1 dia","")</f>
        <v/>
      </c>
      <c r="C1276" s="222" t="e">
        <f>IF(dadosexternosBMF_1!A1279="DOL - Dólar comercial","",IF(C1275&lt;&gt;"",dadosexternosBMF_1!B1279,IF(dadosexternosBMF_1!A1279="DI1 - DI de 1 dia",dadosexternosBMF_1!B1279,"")))</f>
        <v>#REF!</v>
      </c>
      <c r="D1276" s="222" t="e">
        <f>IF(C1276&lt;&gt;"",dadosexternosBMF_1!C1279,"")</f>
        <v>#REF!</v>
      </c>
      <c r="E1276" s="222" t="e">
        <f>IF(C1276&lt;&gt;"",dadosexternosBMF_1!D1279,"")</f>
        <v>#REF!</v>
      </c>
      <c r="G1276" s="219" t="e">
        <f t="shared" si="133"/>
        <v>#REF!</v>
      </c>
      <c r="H1276" s="219" t="e">
        <f t="shared" si="134"/>
        <v>#REF!</v>
      </c>
      <c r="I1276" s="219" t="e">
        <f t="shared" si="135"/>
        <v>#REF!</v>
      </c>
      <c r="J1276" s="219" t="e">
        <f>IF(I1276="","",VLOOKUP(LEFT(C1276,1),dadosexternosBMF_1!$L$2:$M$13,2,FALSE))</f>
        <v>#REF!</v>
      </c>
      <c r="K1276" s="219" t="e">
        <f t="shared" si="136"/>
        <v>#REF!</v>
      </c>
      <c r="L1276" s="422" t="e">
        <f t="shared" si="137"/>
        <v>#REF!</v>
      </c>
      <c r="M1276" s="422" t="e">
        <f>IF(I1276="","",WORKDAY(L1276-1,1,FERIADOS!$A$2:$A$831))</f>
        <v>#REF!</v>
      </c>
      <c r="N1276" s="219" t="e">
        <f>IF(I1276="","",NETWORKDAYS(Curva!$M$2,M1276,FERIADOS!$A$2:$A$831)-1)</f>
        <v>#REF!</v>
      </c>
      <c r="O1276" s="423" t="e">
        <f>IF(C1276&lt;&gt;"",IF(ISERROR((100000/E1276)^(252/N1276)-1),Curva!$B$2,((100000/E1276)^(252/N1276)-1)),"")</f>
        <v>#REF!</v>
      </c>
      <c r="P1276" s="219" t="e">
        <f>IF(OR(G1276=1,G1276=2),dadosexternosBMF_1!B1279,"")</f>
        <v>#REF!</v>
      </c>
      <c r="Q1276" s="219" t="e">
        <f>IF(OR(G1276=1,G1276=2),dadosexternosBMF_1!D1279,"")</f>
        <v>#REF!</v>
      </c>
    </row>
    <row r="1277" spans="1:17" x14ac:dyDescent="0.2">
      <c r="A1277" s="222" t="e">
        <f t="shared" si="132"/>
        <v>#REF!</v>
      </c>
      <c r="B1277" s="222" t="str">
        <f>IF(dadosexternosBMF_1!A1280="DI1 - DI de 1 dia","DI1 - DI de 1 dia","")</f>
        <v/>
      </c>
      <c r="C1277" s="222" t="e">
        <f>IF(dadosexternosBMF_1!A1280="DOL - Dólar comercial","",IF(C1276&lt;&gt;"",dadosexternosBMF_1!B1280,IF(dadosexternosBMF_1!A1280="DI1 - DI de 1 dia",dadosexternosBMF_1!B1280,"")))</f>
        <v>#REF!</v>
      </c>
      <c r="D1277" s="222" t="e">
        <f>IF(C1277&lt;&gt;"",dadosexternosBMF_1!C1280,"")</f>
        <v>#REF!</v>
      </c>
      <c r="E1277" s="222" t="e">
        <f>IF(C1277&lt;&gt;"",dadosexternosBMF_1!D1280,"")</f>
        <v>#REF!</v>
      </c>
      <c r="G1277" s="219" t="e">
        <f t="shared" si="133"/>
        <v>#REF!</v>
      </c>
      <c r="H1277" s="219" t="e">
        <f t="shared" si="134"/>
        <v>#REF!</v>
      </c>
      <c r="I1277" s="219" t="e">
        <f t="shared" si="135"/>
        <v>#REF!</v>
      </c>
      <c r="J1277" s="219" t="e">
        <f>IF(I1277="","",VLOOKUP(LEFT(C1277,1),dadosexternosBMF_1!$L$2:$M$13,2,FALSE))</f>
        <v>#REF!</v>
      </c>
      <c r="K1277" s="219" t="e">
        <f t="shared" si="136"/>
        <v>#REF!</v>
      </c>
      <c r="L1277" s="422" t="e">
        <f t="shared" si="137"/>
        <v>#REF!</v>
      </c>
      <c r="M1277" s="422" t="e">
        <f>IF(I1277="","",WORKDAY(L1277-1,1,FERIADOS!$A$2:$A$831))</f>
        <v>#REF!</v>
      </c>
      <c r="N1277" s="219" t="e">
        <f>IF(I1277="","",NETWORKDAYS(Curva!$M$2,M1277,FERIADOS!$A$2:$A$831)-1)</f>
        <v>#REF!</v>
      </c>
      <c r="O1277" s="423" t="e">
        <f>IF(C1277&lt;&gt;"",IF(ISERROR((100000/E1277)^(252/N1277)-1),Curva!$B$2,((100000/E1277)^(252/N1277)-1)),"")</f>
        <v>#REF!</v>
      </c>
      <c r="P1277" s="219" t="e">
        <f>IF(OR(G1277=1,G1277=2),dadosexternosBMF_1!B1280,"")</f>
        <v>#REF!</v>
      </c>
      <c r="Q1277" s="219" t="e">
        <f>IF(OR(G1277=1,G1277=2),dadosexternosBMF_1!D1280,"")</f>
        <v>#REF!</v>
      </c>
    </row>
    <row r="1278" spans="1:17" x14ac:dyDescent="0.2">
      <c r="A1278" s="222" t="e">
        <f t="shared" si="132"/>
        <v>#REF!</v>
      </c>
      <c r="B1278" s="222" t="str">
        <f>IF(dadosexternosBMF_1!A1281="DI1 - DI de 1 dia","DI1 - DI de 1 dia","")</f>
        <v/>
      </c>
      <c r="C1278" s="222" t="e">
        <f>IF(dadosexternosBMF_1!A1281="DOL - Dólar comercial","",IF(C1277&lt;&gt;"",dadosexternosBMF_1!B1281,IF(dadosexternosBMF_1!A1281="DI1 - DI de 1 dia",dadosexternosBMF_1!B1281,"")))</f>
        <v>#REF!</v>
      </c>
      <c r="D1278" s="222" t="e">
        <f>IF(C1278&lt;&gt;"",dadosexternosBMF_1!C1281,"")</f>
        <v>#REF!</v>
      </c>
      <c r="E1278" s="222" t="e">
        <f>IF(C1278&lt;&gt;"",dadosexternosBMF_1!D1281,"")</f>
        <v>#REF!</v>
      </c>
      <c r="G1278" s="219" t="e">
        <f t="shared" si="133"/>
        <v>#REF!</v>
      </c>
      <c r="H1278" s="219" t="e">
        <f t="shared" si="134"/>
        <v>#REF!</v>
      </c>
      <c r="I1278" s="219" t="e">
        <f t="shared" si="135"/>
        <v>#REF!</v>
      </c>
      <c r="J1278" s="219" t="e">
        <f>IF(I1278="","",VLOOKUP(LEFT(C1278,1),dadosexternosBMF_1!$L$2:$M$13,2,FALSE))</f>
        <v>#REF!</v>
      </c>
      <c r="K1278" s="219" t="e">
        <f t="shared" si="136"/>
        <v>#REF!</v>
      </c>
      <c r="L1278" s="422" t="e">
        <f t="shared" si="137"/>
        <v>#REF!</v>
      </c>
      <c r="M1278" s="422" t="e">
        <f>IF(I1278="","",WORKDAY(L1278-1,1,FERIADOS!$A$2:$A$831))</f>
        <v>#REF!</v>
      </c>
      <c r="N1278" s="219" t="e">
        <f>IF(I1278="","",NETWORKDAYS(Curva!$M$2,M1278,FERIADOS!$A$2:$A$831)-1)</f>
        <v>#REF!</v>
      </c>
      <c r="O1278" s="423" t="e">
        <f>IF(C1278&lt;&gt;"",IF(ISERROR((100000/E1278)^(252/N1278)-1),Curva!$B$2,((100000/E1278)^(252/N1278)-1)),"")</f>
        <v>#REF!</v>
      </c>
      <c r="P1278" s="219" t="e">
        <f>IF(OR(G1278=1,G1278=2),dadosexternosBMF_1!B1281,"")</f>
        <v>#REF!</v>
      </c>
      <c r="Q1278" s="219" t="e">
        <f>IF(OR(G1278=1,G1278=2),dadosexternosBMF_1!D1281,"")</f>
        <v>#REF!</v>
      </c>
    </row>
    <row r="1279" spans="1:17" x14ac:dyDescent="0.2">
      <c r="A1279" s="222" t="e">
        <f t="shared" si="132"/>
        <v>#REF!</v>
      </c>
      <c r="B1279" s="222" t="str">
        <f>IF(dadosexternosBMF_1!A1282="DI1 - DI de 1 dia","DI1 - DI de 1 dia","")</f>
        <v/>
      </c>
      <c r="C1279" s="222" t="e">
        <f>IF(dadosexternosBMF_1!A1282="DOL - Dólar comercial","",IF(C1278&lt;&gt;"",dadosexternosBMF_1!B1282,IF(dadosexternosBMF_1!A1282="DI1 - DI de 1 dia",dadosexternosBMF_1!B1282,"")))</f>
        <v>#REF!</v>
      </c>
      <c r="D1279" s="222" t="e">
        <f>IF(C1279&lt;&gt;"",dadosexternosBMF_1!C1282,"")</f>
        <v>#REF!</v>
      </c>
      <c r="E1279" s="222" t="e">
        <f>IF(C1279&lt;&gt;"",dadosexternosBMF_1!D1282,"")</f>
        <v>#REF!</v>
      </c>
      <c r="G1279" s="219" t="e">
        <f t="shared" si="133"/>
        <v>#REF!</v>
      </c>
      <c r="H1279" s="219" t="e">
        <f t="shared" si="134"/>
        <v>#REF!</v>
      </c>
      <c r="I1279" s="219" t="e">
        <f t="shared" si="135"/>
        <v>#REF!</v>
      </c>
      <c r="J1279" s="219" t="e">
        <f>IF(I1279="","",VLOOKUP(LEFT(C1279,1),dadosexternosBMF_1!$L$2:$M$13,2,FALSE))</f>
        <v>#REF!</v>
      </c>
      <c r="K1279" s="219" t="e">
        <f t="shared" si="136"/>
        <v>#REF!</v>
      </c>
      <c r="L1279" s="422" t="e">
        <f t="shared" si="137"/>
        <v>#REF!</v>
      </c>
      <c r="M1279" s="422" t="e">
        <f>IF(I1279="","",WORKDAY(L1279-1,1,FERIADOS!$A$2:$A$831))</f>
        <v>#REF!</v>
      </c>
      <c r="N1279" s="219" t="e">
        <f>IF(I1279="","",NETWORKDAYS(Curva!$M$2,M1279,FERIADOS!$A$2:$A$831)-1)</f>
        <v>#REF!</v>
      </c>
      <c r="O1279" s="423" t="e">
        <f>IF(C1279&lt;&gt;"",IF(ISERROR((100000/E1279)^(252/N1279)-1),Curva!$B$2,((100000/E1279)^(252/N1279)-1)),"")</f>
        <v>#REF!</v>
      </c>
      <c r="P1279" s="219" t="e">
        <f>IF(OR(G1279=1,G1279=2),dadosexternosBMF_1!B1282,"")</f>
        <v>#REF!</v>
      </c>
      <c r="Q1279" s="219" t="e">
        <f>IF(OR(G1279=1,G1279=2),dadosexternosBMF_1!D1282,"")</f>
        <v>#REF!</v>
      </c>
    </row>
    <row r="1280" spans="1:17" x14ac:dyDescent="0.2">
      <c r="A1280" s="222" t="e">
        <f t="shared" si="132"/>
        <v>#REF!</v>
      </c>
      <c r="B1280" s="222" t="str">
        <f>IF(dadosexternosBMF_1!A1283="DI1 - DI de 1 dia","DI1 - DI de 1 dia","")</f>
        <v/>
      </c>
      <c r="C1280" s="222" t="e">
        <f>IF(dadosexternosBMF_1!A1283="DOL - Dólar comercial","",IF(C1279&lt;&gt;"",dadosexternosBMF_1!B1283,IF(dadosexternosBMF_1!A1283="DI1 - DI de 1 dia",dadosexternosBMF_1!B1283,"")))</f>
        <v>#REF!</v>
      </c>
      <c r="D1280" s="222" t="e">
        <f>IF(C1280&lt;&gt;"",dadosexternosBMF_1!C1283,"")</f>
        <v>#REF!</v>
      </c>
      <c r="E1280" s="222" t="e">
        <f>IF(C1280&lt;&gt;"",dadosexternosBMF_1!D1283,"")</f>
        <v>#REF!</v>
      </c>
      <c r="G1280" s="219" t="e">
        <f t="shared" si="133"/>
        <v>#REF!</v>
      </c>
      <c r="H1280" s="219" t="e">
        <f t="shared" si="134"/>
        <v>#REF!</v>
      </c>
      <c r="I1280" s="219" t="e">
        <f t="shared" si="135"/>
        <v>#REF!</v>
      </c>
      <c r="J1280" s="219" t="e">
        <f>IF(I1280="","",VLOOKUP(LEFT(C1280,1),dadosexternosBMF_1!$L$2:$M$13,2,FALSE))</f>
        <v>#REF!</v>
      </c>
      <c r="K1280" s="219" t="e">
        <f t="shared" si="136"/>
        <v>#REF!</v>
      </c>
      <c r="L1280" s="422" t="e">
        <f t="shared" si="137"/>
        <v>#REF!</v>
      </c>
      <c r="M1280" s="422" t="e">
        <f>IF(I1280="","",WORKDAY(L1280-1,1,FERIADOS!$A$2:$A$831))</f>
        <v>#REF!</v>
      </c>
      <c r="N1280" s="219" t="e">
        <f>IF(I1280="","",NETWORKDAYS(Curva!$M$2,M1280,FERIADOS!$A$2:$A$831)-1)</f>
        <v>#REF!</v>
      </c>
      <c r="O1280" s="423" t="e">
        <f>IF(C1280&lt;&gt;"",IF(ISERROR((100000/E1280)^(252/N1280)-1),Curva!$B$2,((100000/E1280)^(252/N1280)-1)),"")</f>
        <v>#REF!</v>
      </c>
      <c r="P1280" s="219" t="e">
        <f>IF(OR(G1280=1,G1280=2),dadosexternosBMF_1!B1283,"")</f>
        <v>#REF!</v>
      </c>
      <c r="Q1280" s="219" t="e">
        <f>IF(OR(G1280=1,G1280=2),dadosexternosBMF_1!D1283,"")</f>
        <v>#REF!</v>
      </c>
    </row>
    <row r="1281" spans="1:17" x14ac:dyDescent="0.2">
      <c r="A1281" s="222" t="e">
        <f t="shared" si="132"/>
        <v>#REF!</v>
      </c>
      <c r="B1281" s="222" t="str">
        <f>IF(dadosexternosBMF_1!A1284="DI1 - DI de 1 dia","DI1 - DI de 1 dia","")</f>
        <v/>
      </c>
      <c r="C1281" s="222" t="e">
        <f>IF(dadosexternosBMF_1!A1284="DOL - Dólar comercial","",IF(C1280&lt;&gt;"",dadosexternosBMF_1!B1284,IF(dadosexternosBMF_1!A1284="DI1 - DI de 1 dia",dadosexternosBMF_1!B1284,"")))</f>
        <v>#REF!</v>
      </c>
      <c r="D1281" s="222" t="e">
        <f>IF(C1281&lt;&gt;"",dadosexternosBMF_1!C1284,"")</f>
        <v>#REF!</v>
      </c>
      <c r="E1281" s="222" t="e">
        <f>IF(C1281&lt;&gt;"",dadosexternosBMF_1!D1284,"")</f>
        <v>#REF!</v>
      </c>
      <c r="G1281" s="219" t="e">
        <f t="shared" si="133"/>
        <v>#REF!</v>
      </c>
      <c r="H1281" s="219" t="e">
        <f t="shared" si="134"/>
        <v>#REF!</v>
      </c>
      <c r="I1281" s="219" t="e">
        <f t="shared" si="135"/>
        <v>#REF!</v>
      </c>
      <c r="J1281" s="219" t="e">
        <f>IF(I1281="","",VLOOKUP(LEFT(C1281,1),dadosexternosBMF_1!$L$2:$M$13,2,FALSE))</f>
        <v>#REF!</v>
      </c>
      <c r="K1281" s="219" t="e">
        <f t="shared" si="136"/>
        <v>#REF!</v>
      </c>
      <c r="L1281" s="422" t="e">
        <f t="shared" si="137"/>
        <v>#REF!</v>
      </c>
      <c r="M1281" s="422" t="e">
        <f>IF(I1281="","",WORKDAY(L1281-1,1,FERIADOS!$A$2:$A$831))</f>
        <v>#REF!</v>
      </c>
      <c r="N1281" s="219" t="e">
        <f>IF(I1281="","",NETWORKDAYS(Curva!$M$2,M1281,FERIADOS!$A$2:$A$831)-1)</f>
        <v>#REF!</v>
      </c>
      <c r="O1281" s="423" t="e">
        <f>IF(C1281&lt;&gt;"",IF(ISERROR((100000/E1281)^(252/N1281)-1),Curva!$B$2,((100000/E1281)^(252/N1281)-1)),"")</f>
        <v>#REF!</v>
      </c>
      <c r="P1281" s="219" t="e">
        <f>IF(OR(G1281=1,G1281=2),dadosexternosBMF_1!B1284,"")</f>
        <v>#REF!</v>
      </c>
      <c r="Q1281" s="219" t="e">
        <f>IF(OR(G1281=1,G1281=2),dadosexternosBMF_1!D1284,"")</f>
        <v>#REF!</v>
      </c>
    </row>
    <row r="1282" spans="1:17" x14ac:dyDescent="0.2">
      <c r="A1282" s="222" t="e">
        <f t="shared" si="132"/>
        <v>#REF!</v>
      </c>
      <c r="B1282" s="222" t="str">
        <f>IF(dadosexternosBMF_1!A1285="DI1 - DI de 1 dia","DI1 - DI de 1 dia","")</f>
        <v/>
      </c>
      <c r="C1282" s="222" t="e">
        <f>IF(dadosexternosBMF_1!A1285="DOL - Dólar comercial","",IF(C1281&lt;&gt;"",dadosexternosBMF_1!B1285,IF(dadosexternosBMF_1!A1285="DI1 - DI de 1 dia",dadosexternosBMF_1!B1285,"")))</f>
        <v>#REF!</v>
      </c>
      <c r="D1282" s="222" t="e">
        <f>IF(C1282&lt;&gt;"",dadosexternosBMF_1!C1285,"")</f>
        <v>#REF!</v>
      </c>
      <c r="E1282" s="222" t="e">
        <f>IF(C1282&lt;&gt;"",dadosexternosBMF_1!D1285,"")</f>
        <v>#REF!</v>
      </c>
      <c r="G1282" s="219" t="e">
        <f t="shared" si="133"/>
        <v>#REF!</v>
      </c>
      <c r="H1282" s="219" t="e">
        <f t="shared" si="134"/>
        <v>#REF!</v>
      </c>
      <c r="I1282" s="219" t="e">
        <f t="shared" si="135"/>
        <v>#REF!</v>
      </c>
      <c r="J1282" s="219" t="e">
        <f>IF(I1282="","",VLOOKUP(LEFT(C1282,1),dadosexternosBMF_1!$L$2:$M$13,2,FALSE))</f>
        <v>#REF!</v>
      </c>
      <c r="K1282" s="219" t="e">
        <f t="shared" si="136"/>
        <v>#REF!</v>
      </c>
      <c r="L1282" s="422" t="e">
        <f t="shared" si="137"/>
        <v>#REF!</v>
      </c>
      <c r="M1282" s="422" t="e">
        <f>IF(I1282="","",WORKDAY(L1282-1,1,FERIADOS!$A$2:$A$831))</f>
        <v>#REF!</v>
      </c>
      <c r="N1282" s="219" t="e">
        <f>IF(I1282="","",NETWORKDAYS(Curva!$M$2,M1282,FERIADOS!$A$2:$A$831)-1)</f>
        <v>#REF!</v>
      </c>
      <c r="O1282" s="423" t="e">
        <f>IF(C1282&lt;&gt;"",IF(ISERROR((100000/E1282)^(252/N1282)-1),Curva!$B$2,((100000/E1282)^(252/N1282)-1)),"")</f>
        <v>#REF!</v>
      </c>
      <c r="P1282" s="219" t="e">
        <f>IF(OR(G1282=1,G1282=2),dadosexternosBMF_1!B1285,"")</f>
        <v>#REF!</v>
      </c>
      <c r="Q1282" s="219" t="e">
        <f>IF(OR(G1282=1,G1282=2),dadosexternosBMF_1!D1285,"")</f>
        <v>#REF!</v>
      </c>
    </row>
    <row r="1283" spans="1:17" x14ac:dyDescent="0.2">
      <c r="A1283" s="222" t="e">
        <f t="shared" si="132"/>
        <v>#REF!</v>
      </c>
      <c r="B1283" s="222" t="str">
        <f>IF(dadosexternosBMF_1!A1286="DI1 - DI de 1 dia","DI1 - DI de 1 dia","")</f>
        <v/>
      </c>
      <c r="C1283" s="222" t="e">
        <f>IF(dadosexternosBMF_1!A1286="DOL - Dólar comercial","",IF(C1282&lt;&gt;"",dadosexternosBMF_1!B1286,IF(dadosexternosBMF_1!A1286="DI1 - DI de 1 dia",dadosexternosBMF_1!B1286,"")))</f>
        <v>#REF!</v>
      </c>
      <c r="D1283" s="222" t="e">
        <f>IF(C1283&lt;&gt;"",dadosexternosBMF_1!C1286,"")</f>
        <v>#REF!</v>
      </c>
      <c r="E1283" s="222" t="e">
        <f>IF(C1283&lt;&gt;"",dadosexternosBMF_1!D1286,"")</f>
        <v>#REF!</v>
      </c>
      <c r="G1283" s="219" t="e">
        <f t="shared" si="133"/>
        <v>#REF!</v>
      </c>
      <c r="H1283" s="219" t="e">
        <f t="shared" si="134"/>
        <v>#REF!</v>
      </c>
      <c r="I1283" s="219" t="e">
        <f t="shared" si="135"/>
        <v>#REF!</v>
      </c>
      <c r="J1283" s="219" t="e">
        <f>IF(I1283="","",VLOOKUP(LEFT(C1283,1),dadosexternosBMF_1!$L$2:$M$13,2,FALSE))</f>
        <v>#REF!</v>
      </c>
      <c r="K1283" s="219" t="e">
        <f t="shared" si="136"/>
        <v>#REF!</v>
      </c>
      <c r="L1283" s="422" t="e">
        <f t="shared" si="137"/>
        <v>#REF!</v>
      </c>
      <c r="M1283" s="422" t="e">
        <f>IF(I1283="","",WORKDAY(L1283-1,1,FERIADOS!$A$2:$A$831))</f>
        <v>#REF!</v>
      </c>
      <c r="N1283" s="219" t="e">
        <f>IF(I1283="","",NETWORKDAYS(Curva!$M$2,M1283,FERIADOS!$A$2:$A$831)-1)</f>
        <v>#REF!</v>
      </c>
      <c r="O1283" s="423" t="e">
        <f>IF(C1283&lt;&gt;"",IF(ISERROR((100000/E1283)^(252/N1283)-1),Curva!$B$2,((100000/E1283)^(252/N1283)-1)),"")</f>
        <v>#REF!</v>
      </c>
      <c r="P1283" s="219" t="e">
        <f>IF(OR(G1283=1,G1283=2),dadosexternosBMF_1!B1286,"")</f>
        <v>#REF!</v>
      </c>
      <c r="Q1283" s="219" t="e">
        <f>IF(OR(G1283=1,G1283=2),dadosexternosBMF_1!D1286,"")</f>
        <v>#REF!</v>
      </c>
    </row>
    <row r="1284" spans="1:17" x14ac:dyDescent="0.2">
      <c r="A1284" s="222" t="e">
        <f t="shared" si="132"/>
        <v>#REF!</v>
      </c>
      <c r="B1284" s="222" t="str">
        <f>IF(dadosexternosBMF_1!A1287="DI1 - DI de 1 dia","DI1 - DI de 1 dia","")</f>
        <v/>
      </c>
      <c r="C1284" s="222" t="e">
        <f>IF(dadosexternosBMF_1!A1287="DOL - Dólar comercial","",IF(C1283&lt;&gt;"",dadosexternosBMF_1!B1287,IF(dadosexternosBMF_1!A1287="DI1 - DI de 1 dia",dadosexternosBMF_1!B1287,"")))</f>
        <v>#REF!</v>
      </c>
      <c r="D1284" s="222" t="e">
        <f>IF(C1284&lt;&gt;"",dadosexternosBMF_1!C1287,"")</f>
        <v>#REF!</v>
      </c>
      <c r="E1284" s="222" t="e">
        <f>IF(C1284&lt;&gt;"",dadosexternosBMF_1!D1287,"")</f>
        <v>#REF!</v>
      </c>
      <c r="G1284" s="219" t="e">
        <f t="shared" si="133"/>
        <v>#REF!</v>
      </c>
      <c r="H1284" s="219" t="e">
        <f t="shared" si="134"/>
        <v>#REF!</v>
      </c>
      <c r="I1284" s="219" t="e">
        <f t="shared" si="135"/>
        <v>#REF!</v>
      </c>
      <c r="J1284" s="219" t="e">
        <f>IF(I1284="","",VLOOKUP(LEFT(C1284,1),dadosexternosBMF_1!$L$2:$M$13,2,FALSE))</f>
        <v>#REF!</v>
      </c>
      <c r="K1284" s="219" t="e">
        <f t="shared" si="136"/>
        <v>#REF!</v>
      </c>
      <c r="L1284" s="422" t="e">
        <f t="shared" si="137"/>
        <v>#REF!</v>
      </c>
      <c r="M1284" s="422" t="e">
        <f>IF(I1284="","",WORKDAY(L1284-1,1,FERIADOS!$A$2:$A$831))</f>
        <v>#REF!</v>
      </c>
      <c r="N1284" s="219" t="e">
        <f>IF(I1284="","",NETWORKDAYS(Curva!$M$2,M1284,FERIADOS!$A$2:$A$831)-1)</f>
        <v>#REF!</v>
      </c>
      <c r="O1284" s="423" t="e">
        <f>IF(C1284&lt;&gt;"",IF(ISERROR((100000/E1284)^(252/N1284)-1),Curva!$B$2,((100000/E1284)^(252/N1284)-1)),"")</f>
        <v>#REF!</v>
      </c>
      <c r="P1284" s="219" t="e">
        <f>IF(OR(G1284=1,G1284=2),dadosexternosBMF_1!B1287,"")</f>
        <v>#REF!</v>
      </c>
      <c r="Q1284" s="219" t="e">
        <f>IF(OR(G1284=1,G1284=2),dadosexternosBMF_1!D1287,"")</f>
        <v>#REF!</v>
      </c>
    </row>
    <row r="1285" spans="1:17" x14ac:dyDescent="0.2">
      <c r="A1285" s="222" t="e">
        <f t="shared" si="132"/>
        <v>#REF!</v>
      </c>
      <c r="B1285" s="222" t="str">
        <f>IF(dadosexternosBMF_1!A1288="DI1 - DI de 1 dia","DI1 - DI de 1 dia","")</f>
        <v/>
      </c>
      <c r="C1285" s="222" t="e">
        <f>IF(dadosexternosBMF_1!A1288="DOL - Dólar comercial","",IF(C1284&lt;&gt;"",dadosexternosBMF_1!B1288,IF(dadosexternosBMF_1!A1288="DI1 - DI de 1 dia",dadosexternosBMF_1!B1288,"")))</f>
        <v>#REF!</v>
      </c>
      <c r="D1285" s="222" t="e">
        <f>IF(C1285&lt;&gt;"",dadosexternosBMF_1!C1288,"")</f>
        <v>#REF!</v>
      </c>
      <c r="E1285" s="222" t="e">
        <f>IF(C1285&lt;&gt;"",dadosexternosBMF_1!D1288,"")</f>
        <v>#REF!</v>
      </c>
      <c r="G1285" s="219" t="e">
        <f t="shared" si="133"/>
        <v>#REF!</v>
      </c>
      <c r="H1285" s="219" t="e">
        <f t="shared" si="134"/>
        <v>#REF!</v>
      </c>
      <c r="I1285" s="219" t="e">
        <f t="shared" si="135"/>
        <v>#REF!</v>
      </c>
      <c r="J1285" s="219" t="e">
        <f>IF(I1285="","",VLOOKUP(LEFT(C1285,1),dadosexternosBMF_1!$L$2:$M$13,2,FALSE))</f>
        <v>#REF!</v>
      </c>
      <c r="K1285" s="219" t="e">
        <f t="shared" si="136"/>
        <v>#REF!</v>
      </c>
      <c r="L1285" s="422" t="e">
        <f t="shared" si="137"/>
        <v>#REF!</v>
      </c>
      <c r="M1285" s="422" t="e">
        <f>IF(I1285="","",WORKDAY(L1285-1,1,FERIADOS!$A$2:$A$831))</f>
        <v>#REF!</v>
      </c>
      <c r="N1285" s="219" t="e">
        <f>IF(I1285="","",NETWORKDAYS(Curva!$M$2,M1285,FERIADOS!$A$2:$A$831)-1)</f>
        <v>#REF!</v>
      </c>
      <c r="O1285" s="423" t="e">
        <f>IF(C1285&lt;&gt;"",IF(ISERROR((100000/E1285)^(252/N1285)-1),Curva!$B$2,((100000/E1285)^(252/N1285)-1)),"")</f>
        <v>#REF!</v>
      </c>
      <c r="P1285" s="219" t="e">
        <f>IF(OR(G1285=1,G1285=2),dadosexternosBMF_1!B1288,"")</f>
        <v>#REF!</v>
      </c>
      <c r="Q1285" s="219" t="e">
        <f>IF(OR(G1285=1,G1285=2),dadosexternosBMF_1!D1288,"")</f>
        <v>#REF!</v>
      </c>
    </row>
    <row r="1286" spans="1:17" x14ac:dyDescent="0.2">
      <c r="A1286" s="222" t="e">
        <f t="shared" si="132"/>
        <v>#REF!</v>
      </c>
      <c r="B1286" s="222" t="str">
        <f>IF(dadosexternosBMF_1!A1289="DI1 - DI de 1 dia","DI1 - DI de 1 dia","")</f>
        <v/>
      </c>
      <c r="C1286" s="222" t="e">
        <f>IF(dadosexternosBMF_1!A1289="DOL - Dólar comercial","",IF(C1285&lt;&gt;"",dadosexternosBMF_1!B1289,IF(dadosexternosBMF_1!A1289="DI1 - DI de 1 dia",dadosexternosBMF_1!B1289,"")))</f>
        <v>#REF!</v>
      </c>
      <c r="D1286" s="222" t="e">
        <f>IF(C1286&lt;&gt;"",dadosexternosBMF_1!C1289,"")</f>
        <v>#REF!</v>
      </c>
      <c r="E1286" s="222" t="e">
        <f>IF(C1286&lt;&gt;"",dadosexternosBMF_1!D1289,"")</f>
        <v>#REF!</v>
      </c>
      <c r="G1286" s="219" t="e">
        <f t="shared" si="133"/>
        <v>#REF!</v>
      </c>
      <c r="H1286" s="219" t="e">
        <f t="shared" si="134"/>
        <v>#REF!</v>
      </c>
      <c r="I1286" s="219" t="e">
        <f t="shared" si="135"/>
        <v>#REF!</v>
      </c>
      <c r="J1286" s="219" t="e">
        <f>IF(I1286="","",VLOOKUP(LEFT(C1286,1),dadosexternosBMF_1!$L$2:$M$13,2,FALSE))</f>
        <v>#REF!</v>
      </c>
      <c r="K1286" s="219" t="e">
        <f t="shared" si="136"/>
        <v>#REF!</v>
      </c>
      <c r="L1286" s="422" t="e">
        <f t="shared" si="137"/>
        <v>#REF!</v>
      </c>
      <c r="M1286" s="422" t="e">
        <f>IF(I1286="","",WORKDAY(L1286-1,1,FERIADOS!$A$2:$A$831))</f>
        <v>#REF!</v>
      </c>
      <c r="N1286" s="219" t="e">
        <f>IF(I1286="","",NETWORKDAYS(Curva!$M$2,M1286,FERIADOS!$A$2:$A$831)-1)</f>
        <v>#REF!</v>
      </c>
      <c r="O1286" s="423" t="e">
        <f>IF(C1286&lt;&gt;"",IF(ISERROR((100000/E1286)^(252/N1286)-1),Curva!$B$2,((100000/E1286)^(252/N1286)-1)),"")</f>
        <v>#REF!</v>
      </c>
      <c r="P1286" s="219" t="e">
        <f>IF(OR(G1286=1,G1286=2),dadosexternosBMF_1!B1289,"")</f>
        <v>#REF!</v>
      </c>
      <c r="Q1286" s="219" t="e">
        <f>IF(OR(G1286=1,G1286=2),dadosexternosBMF_1!D1289,"")</f>
        <v>#REF!</v>
      </c>
    </row>
    <row r="1287" spans="1:17" x14ac:dyDescent="0.2">
      <c r="A1287" s="222" t="e">
        <f t="shared" si="132"/>
        <v>#REF!</v>
      </c>
      <c r="B1287" s="222" t="str">
        <f>IF(dadosexternosBMF_1!A1290="DI1 - DI de 1 dia","DI1 - DI de 1 dia","")</f>
        <v/>
      </c>
      <c r="C1287" s="222" t="e">
        <f>IF(dadosexternosBMF_1!A1290="DOL - Dólar comercial","",IF(C1286&lt;&gt;"",dadosexternosBMF_1!B1290,IF(dadosexternosBMF_1!A1290="DI1 - DI de 1 dia",dadosexternosBMF_1!B1290,"")))</f>
        <v>#REF!</v>
      </c>
      <c r="D1287" s="222" t="e">
        <f>IF(C1287&lt;&gt;"",dadosexternosBMF_1!C1290,"")</f>
        <v>#REF!</v>
      </c>
      <c r="E1287" s="222" t="e">
        <f>IF(C1287&lt;&gt;"",dadosexternosBMF_1!D1290,"")</f>
        <v>#REF!</v>
      </c>
      <c r="G1287" s="219" t="e">
        <f t="shared" si="133"/>
        <v>#REF!</v>
      </c>
      <c r="H1287" s="219" t="e">
        <f t="shared" si="134"/>
        <v>#REF!</v>
      </c>
      <c r="I1287" s="219" t="e">
        <f t="shared" si="135"/>
        <v>#REF!</v>
      </c>
      <c r="J1287" s="219" t="e">
        <f>IF(I1287="","",VLOOKUP(LEFT(C1287,1),dadosexternosBMF_1!$L$2:$M$13,2,FALSE))</f>
        <v>#REF!</v>
      </c>
      <c r="K1287" s="219" t="e">
        <f t="shared" si="136"/>
        <v>#REF!</v>
      </c>
      <c r="L1287" s="422" t="e">
        <f t="shared" si="137"/>
        <v>#REF!</v>
      </c>
      <c r="M1287" s="422" t="e">
        <f>IF(I1287="","",WORKDAY(L1287-1,1,FERIADOS!$A$2:$A$831))</f>
        <v>#REF!</v>
      </c>
      <c r="N1287" s="219" t="e">
        <f>IF(I1287="","",NETWORKDAYS(Curva!$M$2,M1287,FERIADOS!$A$2:$A$831)-1)</f>
        <v>#REF!</v>
      </c>
      <c r="O1287" s="423" t="e">
        <f>IF(C1287&lt;&gt;"",IF(ISERROR((100000/E1287)^(252/N1287)-1),Curva!$B$2,((100000/E1287)^(252/N1287)-1)),"")</f>
        <v>#REF!</v>
      </c>
      <c r="P1287" s="219" t="e">
        <f>IF(OR(G1287=1,G1287=2),dadosexternosBMF_1!B1290,"")</f>
        <v>#REF!</v>
      </c>
      <c r="Q1287" s="219" t="e">
        <f>IF(OR(G1287=1,G1287=2),dadosexternosBMF_1!D1290,"")</f>
        <v>#REF!</v>
      </c>
    </row>
    <row r="1288" spans="1:17" x14ac:dyDescent="0.2">
      <c r="A1288" s="222" t="e">
        <f t="shared" si="132"/>
        <v>#REF!</v>
      </c>
      <c r="B1288" s="222" t="str">
        <f>IF(dadosexternosBMF_1!A1291="DI1 - DI de 1 dia","DI1 - DI de 1 dia","")</f>
        <v/>
      </c>
      <c r="C1288" s="222" t="e">
        <f>IF(dadosexternosBMF_1!A1291="DOL - Dólar comercial","",IF(C1287&lt;&gt;"",dadosexternosBMF_1!B1291,IF(dadosexternosBMF_1!A1291="DI1 - DI de 1 dia",dadosexternosBMF_1!B1291,"")))</f>
        <v>#REF!</v>
      </c>
      <c r="D1288" s="222" t="e">
        <f>IF(C1288&lt;&gt;"",dadosexternosBMF_1!C1291,"")</f>
        <v>#REF!</v>
      </c>
      <c r="E1288" s="222" t="e">
        <f>IF(C1288&lt;&gt;"",dadosexternosBMF_1!D1291,"")</f>
        <v>#REF!</v>
      </c>
      <c r="G1288" s="219" t="e">
        <f t="shared" si="133"/>
        <v>#REF!</v>
      </c>
      <c r="H1288" s="219" t="e">
        <f t="shared" si="134"/>
        <v>#REF!</v>
      </c>
      <c r="I1288" s="219" t="e">
        <f t="shared" si="135"/>
        <v>#REF!</v>
      </c>
      <c r="J1288" s="219" t="e">
        <f>IF(I1288="","",VLOOKUP(LEFT(C1288,1),dadosexternosBMF_1!$L$2:$M$13,2,FALSE))</f>
        <v>#REF!</v>
      </c>
      <c r="K1288" s="219" t="e">
        <f t="shared" si="136"/>
        <v>#REF!</v>
      </c>
      <c r="L1288" s="422" t="e">
        <f t="shared" si="137"/>
        <v>#REF!</v>
      </c>
      <c r="M1288" s="422" t="e">
        <f>IF(I1288="","",WORKDAY(L1288-1,1,FERIADOS!$A$2:$A$831))</f>
        <v>#REF!</v>
      </c>
      <c r="N1288" s="219" t="e">
        <f>IF(I1288="","",NETWORKDAYS(Curva!$M$2,M1288,FERIADOS!$A$2:$A$831)-1)</f>
        <v>#REF!</v>
      </c>
      <c r="O1288" s="423" t="e">
        <f>IF(C1288&lt;&gt;"",IF(ISERROR((100000/E1288)^(252/N1288)-1),Curva!$B$2,((100000/E1288)^(252/N1288)-1)),"")</f>
        <v>#REF!</v>
      </c>
      <c r="P1288" s="219" t="e">
        <f>IF(OR(G1288=1,G1288=2),dadosexternosBMF_1!B1291,"")</f>
        <v>#REF!</v>
      </c>
      <c r="Q1288" s="219" t="e">
        <f>IF(OR(G1288=1,G1288=2),dadosexternosBMF_1!D1291,"")</f>
        <v>#REF!</v>
      </c>
    </row>
    <row r="1289" spans="1:17" x14ac:dyDescent="0.2">
      <c r="A1289" s="222" t="e">
        <f t="shared" si="132"/>
        <v>#REF!</v>
      </c>
      <c r="B1289" s="222" t="str">
        <f>IF(dadosexternosBMF_1!A1292="DI1 - DI de 1 dia","DI1 - DI de 1 dia","")</f>
        <v/>
      </c>
      <c r="C1289" s="222" t="e">
        <f>IF(dadosexternosBMF_1!A1292="DOL - Dólar comercial","",IF(C1288&lt;&gt;"",dadosexternosBMF_1!B1292,IF(dadosexternosBMF_1!A1292="DI1 - DI de 1 dia",dadosexternosBMF_1!B1292,"")))</f>
        <v>#REF!</v>
      </c>
      <c r="D1289" s="222" t="e">
        <f>IF(C1289&lt;&gt;"",dadosexternosBMF_1!C1292,"")</f>
        <v>#REF!</v>
      </c>
      <c r="E1289" s="222" t="e">
        <f>IF(C1289&lt;&gt;"",dadosexternosBMF_1!D1292,"")</f>
        <v>#REF!</v>
      </c>
      <c r="G1289" s="219" t="e">
        <f t="shared" si="133"/>
        <v>#REF!</v>
      </c>
      <c r="H1289" s="219" t="e">
        <f t="shared" si="134"/>
        <v>#REF!</v>
      </c>
      <c r="I1289" s="219" t="e">
        <f t="shared" si="135"/>
        <v>#REF!</v>
      </c>
      <c r="J1289" s="219" t="e">
        <f>IF(I1289="","",VLOOKUP(LEFT(C1289,1),dadosexternosBMF_1!$L$2:$M$13,2,FALSE))</f>
        <v>#REF!</v>
      </c>
      <c r="K1289" s="219" t="e">
        <f t="shared" si="136"/>
        <v>#REF!</v>
      </c>
      <c r="L1289" s="422" t="e">
        <f t="shared" si="137"/>
        <v>#REF!</v>
      </c>
      <c r="M1289" s="422" t="e">
        <f>IF(I1289="","",WORKDAY(L1289-1,1,FERIADOS!$A$2:$A$831))</f>
        <v>#REF!</v>
      </c>
      <c r="N1289" s="219" t="e">
        <f>IF(I1289="","",NETWORKDAYS(Curva!$M$2,M1289,FERIADOS!$A$2:$A$831)-1)</f>
        <v>#REF!</v>
      </c>
      <c r="O1289" s="423" t="e">
        <f>IF(C1289&lt;&gt;"",IF(ISERROR((100000/E1289)^(252/N1289)-1),Curva!$B$2,((100000/E1289)^(252/N1289)-1)),"")</f>
        <v>#REF!</v>
      </c>
      <c r="P1289" s="219" t="e">
        <f>IF(OR(G1289=1,G1289=2),dadosexternosBMF_1!B1292,"")</f>
        <v>#REF!</v>
      </c>
      <c r="Q1289" s="219" t="e">
        <f>IF(OR(G1289=1,G1289=2),dadosexternosBMF_1!D1292,"")</f>
        <v>#REF!</v>
      </c>
    </row>
    <row r="1290" spans="1:17" x14ac:dyDescent="0.2">
      <c r="A1290" s="222" t="e">
        <f t="shared" si="132"/>
        <v>#REF!</v>
      </c>
      <c r="B1290" s="222" t="str">
        <f>IF(dadosexternosBMF_1!A1293="DI1 - DI de 1 dia","DI1 - DI de 1 dia","")</f>
        <v/>
      </c>
      <c r="C1290" s="222" t="e">
        <f>IF(dadosexternosBMF_1!A1293="DOL - Dólar comercial","",IF(C1289&lt;&gt;"",dadosexternosBMF_1!B1293,IF(dadosexternosBMF_1!A1293="DI1 - DI de 1 dia",dadosexternosBMF_1!B1293,"")))</f>
        <v>#REF!</v>
      </c>
      <c r="D1290" s="222" t="e">
        <f>IF(C1290&lt;&gt;"",dadosexternosBMF_1!C1293,"")</f>
        <v>#REF!</v>
      </c>
      <c r="E1290" s="222" t="e">
        <f>IF(C1290&lt;&gt;"",dadosexternosBMF_1!D1293,"")</f>
        <v>#REF!</v>
      </c>
      <c r="G1290" s="219" t="e">
        <f t="shared" si="133"/>
        <v>#REF!</v>
      </c>
      <c r="H1290" s="219" t="e">
        <f t="shared" si="134"/>
        <v>#REF!</v>
      </c>
      <c r="I1290" s="219" t="e">
        <f t="shared" si="135"/>
        <v>#REF!</v>
      </c>
      <c r="J1290" s="219" t="e">
        <f>IF(I1290="","",VLOOKUP(LEFT(C1290,1),dadosexternosBMF_1!$L$2:$M$13,2,FALSE))</f>
        <v>#REF!</v>
      </c>
      <c r="K1290" s="219" t="e">
        <f t="shared" si="136"/>
        <v>#REF!</v>
      </c>
      <c r="L1290" s="422" t="e">
        <f t="shared" si="137"/>
        <v>#REF!</v>
      </c>
      <c r="M1290" s="422" t="e">
        <f>IF(I1290="","",WORKDAY(L1290-1,1,FERIADOS!$A$2:$A$831))</f>
        <v>#REF!</v>
      </c>
      <c r="N1290" s="219" t="e">
        <f>IF(I1290="","",NETWORKDAYS(Curva!$M$2,M1290,FERIADOS!$A$2:$A$831)-1)</f>
        <v>#REF!</v>
      </c>
      <c r="O1290" s="423" t="e">
        <f>IF(C1290&lt;&gt;"",IF(ISERROR((100000/E1290)^(252/N1290)-1),Curva!$B$2,((100000/E1290)^(252/N1290)-1)),"")</f>
        <v>#REF!</v>
      </c>
      <c r="P1290" s="219" t="e">
        <f>IF(OR(G1290=1,G1290=2),dadosexternosBMF_1!B1293,"")</f>
        <v>#REF!</v>
      </c>
      <c r="Q1290" s="219" t="e">
        <f>IF(OR(G1290=1,G1290=2),dadosexternosBMF_1!D1293,"")</f>
        <v>#REF!</v>
      </c>
    </row>
    <row r="1291" spans="1:17" x14ac:dyDescent="0.2">
      <c r="A1291" s="222" t="e">
        <f t="shared" si="132"/>
        <v>#REF!</v>
      </c>
      <c r="B1291" s="222" t="str">
        <f>IF(dadosexternosBMF_1!A1294="DI1 - DI de 1 dia","DI1 - DI de 1 dia","")</f>
        <v/>
      </c>
      <c r="C1291" s="222" t="e">
        <f>IF(dadosexternosBMF_1!A1294="DOL - Dólar comercial","",IF(C1290&lt;&gt;"",dadosexternosBMF_1!B1294,IF(dadosexternosBMF_1!A1294="DI1 - DI de 1 dia",dadosexternosBMF_1!B1294,"")))</f>
        <v>#REF!</v>
      </c>
      <c r="D1291" s="222" t="e">
        <f>IF(C1291&lt;&gt;"",dadosexternosBMF_1!C1294,"")</f>
        <v>#REF!</v>
      </c>
      <c r="E1291" s="222" t="e">
        <f>IF(C1291&lt;&gt;"",dadosexternosBMF_1!D1294,"")</f>
        <v>#REF!</v>
      </c>
      <c r="G1291" s="219" t="e">
        <f t="shared" si="133"/>
        <v>#REF!</v>
      </c>
      <c r="H1291" s="219" t="e">
        <f t="shared" si="134"/>
        <v>#REF!</v>
      </c>
      <c r="I1291" s="219" t="e">
        <f t="shared" si="135"/>
        <v>#REF!</v>
      </c>
      <c r="J1291" s="219" t="e">
        <f>IF(I1291="","",VLOOKUP(LEFT(C1291,1),dadosexternosBMF_1!$L$2:$M$13,2,FALSE))</f>
        <v>#REF!</v>
      </c>
      <c r="K1291" s="219" t="e">
        <f t="shared" si="136"/>
        <v>#REF!</v>
      </c>
      <c r="L1291" s="422" t="e">
        <f t="shared" si="137"/>
        <v>#REF!</v>
      </c>
      <c r="M1291" s="422" t="e">
        <f>IF(I1291="","",WORKDAY(L1291-1,1,FERIADOS!$A$2:$A$831))</f>
        <v>#REF!</v>
      </c>
      <c r="N1291" s="219" t="e">
        <f>IF(I1291="","",NETWORKDAYS(Curva!$M$2,M1291,FERIADOS!$A$2:$A$831)-1)</f>
        <v>#REF!</v>
      </c>
      <c r="O1291" s="423" t="e">
        <f>IF(C1291&lt;&gt;"",IF(ISERROR((100000/E1291)^(252/N1291)-1),Curva!$B$2,((100000/E1291)^(252/N1291)-1)),"")</f>
        <v>#REF!</v>
      </c>
      <c r="P1291" s="219" t="e">
        <f>IF(OR(G1291=1,G1291=2),dadosexternosBMF_1!B1294,"")</f>
        <v>#REF!</v>
      </c>
      <c r="Q1291" s="219" t="e">
        <f>IF(OR(G1291=1,G1291=2),dadosexternosBMF_1!D1294,"")</f>
        <v>#REF!</v>
      </c>
    </row>
    <row r="1292" spans="1:17" x14ac:dyDescent="0.2">
      <c r="A1292" s="222" t="e">
        <f t="shared" si="132"/>
        <v>#REF!</v>
      </c>
      <c r="B1292" s="222" t="str">
        <f>IF(dadosexternosBMF_1!A1295="DI1 - DI de 1 dia","DI1 - DI de 1 dia","")</f>
        <v/>
      </c>
      <c r="C1292" s="222" t="e">
        <f>IF(dadosexternosBMF_1!A1295="DOL - Dólar comercial","",IF(C1291&lt;&gt;"",dadosexternosBMF_1!B1295,IF(dadosexternosBMF_1!A1295="DI1 - DI de 1 dia",dadosexternosBMF_1!B1295,"")))</f>
        <v>#REF!</v>
      </c>
      <c r="D1292" s="222" t="e">
        <f>IF(C1292&lt;&gt;"",dadosexternosBMF_1!C1295,"")</f>
        <v>#REF!</v>
      </c>
      <c r="E1292" s="222" t="e">
        <f>IF(C1292&lt;&gt;"",dadosexternosBMF_1!D1295,"")</f>
        <v>#REF!</v>
      </c>
      <c r="G1292" s="219" t="e">
        <f t="shared" si="133"/>
        <v>#REF!</v>
      </c>
      <c r="H1292" s="219" t="e">
        <f t="shared" si="134"/>
        <v>#REF!</v>
      </c>
      <c r="I1292" s="219" t="e">
        <f t="shared" si="135"/>
        <v>#REF!</v>
      </c>
      <c r="J1292" s="219" t="e">
        <f>IF(I1292="","",VLOOKUP(LEFT(C1292,1),dadosexternosBMF_1!$L$2:$M$13,2,FALSE))</f>
        <v>#REF!</v>
      </c>
      <c r="K1292" s="219" t="e">
        <f t="shared" si="136"/>
        <v>#REF!</v>
      </c>
      <c r="L1292" s="422" t="e">
        <f t="shared" si="137"/>
        <v>#REF!</v>
      </c>
      <c r="M1292" s="422" t="e">
        <f>IF(I1292="","",WORKDAY(L1292-1,1,FERIADOS!$A$2:$A$831))</f>
        <v>#REF!</v>
      </c>
      <c r="N1292" s="219" t="e">
        <f>IF(I1292="","",NETWORKDAYS(Curva!$M$2,M1292,FERIADOS!$A$2:$A$831)-1)</f>
        <v>#REF!</v>
      </c>
      <c r="O1292" s="423" t="e">
        <f>IF(C1292&lt;&gt;"",IF(ISERROR((100000/E1292)^(252/N1292)-1),Curva!$B$2,((100000/E1292)^(252/N1292)-1)),"")</f>
        <v>#REF!</v>
      </c>
      <c r="P1292" s="219" t="e">
        <f>IF(OR(G1292=1,G1292=2),dadosexternosBMF_1!B1295,"")</f>
        <v>#REF!</v>
      </c>
      <c r="Q1292" s="219" t="e">
        <f>IF(OR(G1292=1,G1292=2),dadosexternosBMF_1!D1295,"")</f>
        <v>#REF!</v>
      </c>
    </row>
    <row r="1293" spans="1:17" x14ac:dyDescent="0.2">
      <c r="A1293" s="222" t="e">
        <f t="shared" si="132"/>
        <v>#REF!</v>
      </c>
      <c r="B1293" s="222" t="str">
        <f>IF(dadosexternosBMF_1!A1296="DI1 - DI de 1 dia","DI1 - DI de 1 dia","")</f>
        <v/>
      </c>
      <c r="C1293" s="222" t="e">
        <f>IF(dadosexternosBMF_1!A1296="DOL - Dólar comercial","",IF(C1292&lt;&gt;"",dadosexternosBMF_1!B1296,IF(dadosexternosBMF_1!A1296="DI1 - DI de 1 dia",dadosexternosBMF_1!B1296,"")))</f>
        <v>#REF!</v>
      </c>
      <c r="D1293" s="222" t="e">
        <f>IF(C1293&lt;&gt;"",dadosexternosBMF_1!C1296,"")</f>
        <v>#REF!</v>
      </c>
      <c r="E1293" s="222" t="e">
        <f>IF(C1293&lt;&gt;"",dadosexternosBMF_1!D1296,"")</f>
        <v>#REF!</v>
      </c>
      <c r="G1293" s="219" t="e">
        <f t="shared" si="133"/>
        <v>#REF!</v>
      </c>
      <c r="H1293" s="219" t="e">
        <f t="shared" si="134"/>
        <v>#REF!</v>
      </c>
      <c r="I1293" s="219" t="e">
        <f t="shared" si="135"/>
        <v>#REF!</v>
      </c>
      <c r="J1293" s="219" t="e">
        <f>IF(I1293="","",VLOOKUP(LEFT(C1293,1),dadosexternosBMF_1!$L$2:$M$13,2,FALSE))</f>
        <v>#REF!</v>
      </c>
      <c r="K1293" s="219" t="e">
        <f t="shared" si="136"/>
        <v>#REF!</v>
      </c>
      <c r="L1293" s="422" t="e">
        <f t="shared" si="137"/>
        <v>#REF!</v>
      </c>
      <c r="M1293" s="422" t="e">
        <f>IF(I1293="","",WORKDAY(L1293-1,1,FERIADOS!$A$2:$A$831))</f>
        <v>#REF!</v>
      </c>
      <c r="N1293" s="219" t="e">
        <f>IF(I1293="","",NETWORKDAYS(Curva!$M$2,M1293,FERIADOS!$A$2:$A$831)-1)</f>
        <v>#REF!</v>
      </c>
      <c r="O1293" s="423" t="e">
        <f>IF(C1293&lt;&gt;"",IF(ISERROR((100000/E1293)^(252/N1293)-1),Curva!$B$2,((100000/E1293)^(252/N1293)-1)),"")</f>
        <v>#REF!</v>
      </c>
      <c r="P1293" s="219" t="e">
        <f>IF(OR(G1293=1,G1293=2),dadosexternosBMF_1!B1296,"")</f>
        <v>#REF!</v>
      </c>
      <c r="Q1293" s="219" t="e">
        <f>IF(OR(G1293=1,G1293=2),dadosexternosBMF_1!D1296,"")</f>
        <v>#REF!</v>
      </c>
    </row>
    <row r="1294" spans="1:17" x14ac:dyDescent="0.2">
      <c r="A1294" s="222" t="e">
        <f t="shared" si="132"/>
        <v>#REF!</v>
      </c>
      <c r="B1294" s="222" t="str">
        <f>IF(dadosexternosBMF_1!A1297="DI1 - DI de 1 dia","DI1 - DI de 1 dia","")</f>
        <v/>
      </c>
      <c r="C1294" s="222" t="e">
        <f>IF(dadosexternosBMF_1!A1297="DOL - Dólar comercial","",IF(C1293&lt;&gt;"",dadosexternosBMF_1!B1297,IF(dadosexternosBMF_1!A1297="DI1 - DI de 1 dia",dadosexternosBMF_1!B1297,"")))</f>
        <v>#REF!</v>
      </c>
      <c r="D1294" s="222" t="e">
        <f>IF(C1294&lt;&gt;"",dadosexternosBMF_1!C1297,"")</f>
        <v>#REF!</v>
      </c>
      <c r="E1294" s="222" t="e">
        <f>IF(C1294&lt;&gt;"",dadosexternosBMF_1!D1297,"")</f>
        <v>#REF!</v>
      </c>
      <c r="G1294" s="219" t="e">
        <f t="shared" si="133"/>
        <v>#REF!</v>
      </c>
      <c r="H1294" s="219" t="e">
        <f t="shared" si="134"/>
        <v>#REF!</v>
      </c>
      <c r="I1294" s="219" t="e">
        <f t="shared" si="135"/>
        <v>#REF!</v>
      </c>
      <c r="J1294" s="219" t="e">
        <f>IF(I1294="","",VLOOKUP(LEFT(C1294,1),dadosexternosBMF_1!$L$2:$M$13,2,FALSE))</f>
        <v>#REF!</v>
      </c>
      <c r="K1294" s="219" t="e">
        <f t="shared" si="136"/>
        <v>#REF!</v>
      </c>
      <c r="L1294" s="422" t="e">
        <f t="shared" si="137"/>
        <v>#REF!</v>
      </c>
      <c r="M1294" s="422" t="e">
        <f>IF(I1294="","",WORKDAY(L1294-1,1,FERIADOS!$A$2:$A$831))</f>
        <v>#REF!</v>
      </c>
      <c r="N1294" s="219" t="e">
        <f>IF(I1294="","",NETWORKDAYS(Curva!$M$2,M1294,FERIADOS!$A$2:$A$831)-1)</f>
        <v>#REF!</v>
      </c>
      <c r="O1294" s="423" t="e">
        <f>IF(C1294&lt;&gt;"",IF(ISERROR((100000/E1294)^(252/N1294)-1),Curva!$B$2,((100000/E1294)^(252/N1294)-1)),"")</f>
        <v>#REF!</v>
      </c>
      <c r="P1294" s="219" t="e">
        <f>IF(OR(G1294=1,G1294=2),dadosexternosBMF_1!B1297,"")</f>
        <v>#REF!</v>
      </c>
      <c r="Q1294" s="219" t="e">
        <f>IF(OR(G1294=1,G1294=2),dadosexternosBMF_1!D1297,"")</f>
        <v>#REF!</v>
      </c>
    </row>
    <row r="1295" spans="1:17" x14ac:dyDescent="0.2">
      <c r="A1295" s="222" t="e">
        <f t="shared" si="132"/>
        <v>#REF!</v>
      </c>
      <c r="B1295" s="222" t="str">
        <f>IF(dadosexternosBMF_1!A1298="DI1 - DI de 1 dia","DI1 - DI de 1 dia","")</f>
        <v/>
      </c>
      <c r="C1295" s="222" t="e">
        <f>IF(dadosexternosBMF_1!A1298="DOL - Dólar comercial","",IF(C1294&lt;&gt;"",dadosexternosBMF_1!B1298,IF(dadosexternosBMF_1!A1298="DI1 - DI de 1 dia",dadosexternosBMF_1!B1298,"")))</f>
        <v>#REF!</v>
      </c>
      <c r="D1295" s="222" t="e">
        <f>IF(C1295&lt;&gt;"",dadosexternosBMF_1!C1298,"")</f>
        <v>#REF!</v>
      </c>
      <c r="E1295" s="222" t="e">
        <f>IF(C1295&lt;&gt;"",dadosexternosBMF_1!D1298,"")</f>
        <v>#REF!</v>
      </c>
      <c r="G1295" s="219" t="e">
        <f t="shared" si="133"/>
        <v>#REF!</v>
      </c>
      <c r="H1295" s="219" t="e">
        <f t="shared" si="134"/>
        <v>#REF!</v>
      </c>
      <c r="I1295" s="219" t="e">
        <f t="shared" si="135"/>
        <v>#REF!</v>
      </c>
      <c r="J1295" s="219" t="e">
        <f>IF(I1295="","",VLOOKUP(LEFT(C1295,1),dadosexternosBMF_1!$L$2:$M$13,2,FALSE))</f>
        <v>#REF!</v>
      </c>
      <c r="K1295" s="219" t="e">
        <f t="shared" si="136"/>
        <v>#REF!</v>
      </c>
      <c r="L1295" s="422" t="e">
        <f t="shared" si="137"/>
        <v>#REF!</v>
      </c>
      <c r="M1295" s="422" t="e">
        <f>IF(I1295="","",WORKDAY(L1295-1,1,FERIADOS!$A$2:$A$831))</f>
        <v>#REF!</v>
      </c>
      <c r="N1295" s="219" t="e">
        <f>IF(I1295="","",NETWORKDAYS(Curva!$M$2,M1295,FERIADOS!$A$2:$A$831)-1)</f>
        <v>#REF!</v>
      </c>
      <c r="O1295" s="423" t="e">
        <f>IF(C1295&lt;&gt;"",IF(ISERROR((100000/E1295)^(252/N1295)-1),Curva!$B$2,((100000/E1295)^(252/N1295)-1)),"")</f>
        <v>#REF!</v>
      </c>
      <c r="P1295" s="219" t="e">
        <f>IF(OR(G1295=1,G1295=2),dadosexternosBMF_1!B1298,"")</f>
        <v>#REF!</v>
      </c>
      <c r="Q1295" s="219" t="e">
        <f>IF(OR(G1295=1,G1295=2),dadosexternosBMF_1!D1298,"")</f>
        <v>#REF!</v>
      </c>
    </row>
    <row r="1296" spans="1:17" x14ac:dyDescent="0.2">
      <c r="A1296" s="222" t="e">
        <f t="shared" si="132"/>
        <v>#REF!</v>
      </c>
      <c r="B1296" s="222" t="str">
        <f>IF(dadosexternosBMF_1!A1299="DI1 - DI de 1 dia","DI1 - DI de 1 dia","")</f>
        <v/>
      </c>
      <c r="C1296" s="222" t="e">
        <f>IF(dadosexternosBMF_1!A1299="DOL - Dólar comercial","",IF(C1295&lt;&gt;"",dadosexternosBMF_1!B1299,IF(dadosexternosBMF_1!A1299="DI1 - DI de 1 dia",dadosexternosBMF_1!B1299,"")))</f>
        <v>#REF!</v>
      </c>
      <c r="D1296" s="222" t="e">
        <f>IF(C1296&lt;&gt;"",dadosexternosBMF_1!C1299,"")</f>
        <v>#REF!</v>
      </c>
      <c r="E1296" s="222" t="e">
        <f>IF(C1296&lt;&gt;"",dadosexternosBMF_1!D1299,"")</f>
        <v>#REF!</v>
      </c>
      <c r="G1296" s="219" t="e">
        <f t="shared" si="133"/>
        <v>#REF!</v>
      </c>
      <c r="H1296" s="219" t="e">
        <f t="shared" si="134"/>
        <v>#REF!</v>
      </c>
      <c r="I1296" s="219" t="e">
        <f t="shared" si="135"/>
        <v>#REF!</v>
      </c>
      <c r="J1296" s="219" t="e">
        <f>IF(I1296="","",VLOOKUP(LEFT(C1296,1),dadosexternosBMF_1!$L$2:$M$13,2,FALSE))</f>
        <v>#REF!</v>
      </c>
      <c r="K1296" s="219" t="e">
        <f t="shared" si="136"/>
        <v>#REF!</v>
      </c>
      <c r="L1296" s="422" t="e">
        <f t="shared" si="137"/>
        <v>#REF!</v>
      </c>
      <c r="M1296" s="422" t="e">
        <f>IF(I1296="","",WORKDAY(L1296-1,1,FERIADOS!$A$2:$A$831))</f>
        <v>#REF!</v>
      </c>
      <c r="N1296" s="219" t="e">
        <f>IF(I1296="","",NETWORKDAYS(Curva!$M$2,M1296,FERIADOS!$A$2:$A$831)-1)</f>
        <v>#REF!</v>
      </c>
      <c r="O1296" s="423" t="e">
        <f>IF(C1296&lt;&gt;"",IF(ISERROR((100000/E1296)^(252/N1296)-1),Curva!$B$2,((100000/E1296)^(252/N1296)-1)),"")</f>
        <v>#REF!</v>
      </c>
      <c r="P1296" s="219" t="e">
        <f>IF(OR(G1296=1,G1296=2),dadosexternosBMF_1!B1299,"")</f>
        <v>#REF!</v>
      </c>
      <c r="Q1296" s="219" t="e">
        <f>IF(OR(G1296=1,G1296=2),dadosexternosBMF_1!D1299,"")</f>
        <v>#REF!</v>
      </c>
    </row>
    <row r="1297" spans="1:17" x14ac:dyDescent="0.2">
      <c r="A1297" s="222" t="e">
        <f t="shared" si="132"/>
        <v>#REF!</v>
      </c>
      <c r="B1297" s="222" t="str">
        <f>IF(dadosexternosBMF_1!A1300="DI1 - DI de 1 dia","DI1 - DI de 1 dia","")</f>
        <v/>
      </c>
      <c r="C1297" s="222" t="e">
        <f>IF(dadosexternosBMF_1!A1300="DOL - Dólar comercial","",IF(C1296&lt;&gt;"",dadosexternosBMF_1!B1300,IF(dadosexternosBMF_1!A1300="DI1 - DI de 1 dia",dadosexternosBMF_1!B1300,"")))</f>
        <v>#REF!</v>
      </c>
      <c r="D1297" s="222" t="e">
        <f>IF(C1297&lt;&gt;"",dadosexternosBMF_1!C1300,"")</f>
        <v>#REF!</v>
      </c>
      <c r="E1297" s="222" t="e">
        <f>IF(C1297&lt;&gt;"",dadosexternosBMF_1!D1300,"")</f>
        <v>#REF!</v>
      </c>
      <c r="G1297" s="219" t="e">
        <f t="shared" si="133"/>
        <v>#REF!</v>
      </c>
      <c r="H1297" s="219" t="e">
        <f t="shared" si="134"/>
        <v>#REF!</v>
      </c>
      <c r="I1297" s="219" t="e">
        <f t="shared" si="135"/>
        <v>#REF!</v>
      </c>
      <c r="J1297" s="219" t="e">
        <f>IF(I1297="","",VLOOKUP(LEFT(C1297,1),dadosexternosBMF_1!$L$2:$M$13,2,FALSE))</f>
        <v>#REF!</v>
      </c>
      <c r="K1297" s="219" t="e">
        <f t="shared" si="136"/>
        <v>#REF!</v>
      </c>
      <c r="L1297" s="422" t="e">
        <f t="shared" si="137"/>
        <v>#REF!</v>
      </c>
      <c r="M1297" s="422" t="e">
        <f>IF(I1297="","",WORKDAY(L1297-1,1,FERIADOS!$A$2:$A$831))</f>
        <v>#REF!</v>
      </c>
      <c r="N1297" s="219" t="e">
        <f>IF(I1297="","",NETWORKDAYS(Curva!$M$2,M1297,FERIADOS!$A$2:$A$831)-1)</f>
        <v>#REF!</v>
      </c>
      <c r="O1297" s="423" t="e">
        <f>IF(C1297&lt;&gt;"",IF(ISERROR((100000/E1297)^(252/N1297)-1),Curva!$B$2,((100000/E1297)^(252/N1297)-1)),"")</f>
        <v>#REF!</v>
      </c>
      <c r="P1297" s="219" t="e">
        <f>IF(OR(G1297=1,G1297=2),dadosexternosBMF_1!B1300,"")</f>
        <v>#REF!</v>
      </c>
      <c r="Q1297" s="219" t="e">
        <f>IF(OR(G1297=1,G1297=2),dadosexternosBMF_1!D1300,"")</f>
        <v>#REF!</v>
      </c>
    </row>
    <row r="1298" spans="1:17" x14ac:dyDescent="0.2">
      <c r="A1298" s="222" t="e">
        <f t="shared" si="132"/>
        <v>#REF!</v>
      </c>
      <c r="B1298" s="222" t="str">
        <f>IF(dadosexternosBMF_1!A1301="DI1 - DI de 1 dia","DI1 - DI de 1 dia","")</f>
        <v/>
      </c>
      <c r="C1298" s="222" t="e">
        <f>IF(dadosexternosBMF_1!A1301="DOL - Dólar comercial","",IF(C1297&lt;&gt;"",dadosexternosBMF_1!B1301,IF(dadosexternosBMF_1!A1301="DI1 - DI de 1 dia",dadosexternosBMF_1!B1301,"")))</f>
        <v>#REF!</v>
      </c>
      <c r="D1298" s="222" t="e">
        <f>IF(C1298&lt;&gt;"",dadosexternosBMF_1!C1301,"")</f>
        <v>#REF!</v>
      </c>
      <c r="E1298" s="222" t="e">
        <f>IF(C1298&lt;&gt;"",dadosexternosBMF_1!D1301,"")</f>
        <v>#REF!</v>
      </c>
      <c r="G1298" s="219" t="e">
        <f t="shared" si="133"/>
        <v>#REF!</v>
      </c>
      <c r="H1298" s="219" t="e">
        <f t="shared" si="134"/>
        <v>#REF!</v>
      </c>
      <c r="I1298" s="219" t="e">
        <f t="shared" si="135"/>
        <v>#REF!</v>
      </c>
      <c r="J1298" s="219" t="e">
        <f>IF(I1298="","",VLOOKUP(LEFT(C1298,1),dadosexternosBMF_1!$L$2:$M$13,2,FALSE))</f>
        <v>#REF!</v>
      </c>
      <c r="K1298" s="219" t="e">
        <f t="shared" si="136"/>
        <v>#REF!</v>
      </c>
      <c r="L1298" s="422" t="e">
        <f t="shared" si="137"/>
        <v>#REF!</v>
      </c>
      <c r="M1298" s="422" t="e">
        <f>IF(I1298="","",WORKDAY(L1298-1,1,FERIADOS!$A$2:$A$831))</f>
        <v>#REF!</v>
      </c>
      <c r="N1298" s="219" t="e">
        <f>IF(I1298="","",NETWORKDAYS(Curva!$M$2,M1298,FERIADOS!$A$2:$A$831)-1)</f>
        <v>#REF!</v>
      </c>
      <c r="O1298" s="423" t="e">
        <f>IF(C1298&lt;&gt;"",IF(ISERROR((100000/E1298)^(252/N1298)-1),Curva!$B$2,((100000/E1298)^(252/N1298)-1)),"")</f>
        <v>#REF!</v>
      </c>
      <c r="P1298" s="219" t="e">
        <f>IF(OR(G1298=1,G1298=2),dadosexternosBMF_1!B1301,"")</f>
        <v>#REF!</v>
      </c>
      <c r="Q1298" s="219" t="e">
        <f>IF(OR(G1298=1,G1298=2),dadosexternosBMF_1!D1301,"")</f>
        <v>#REF!</v>
      </c>
    </row>
    <row r="1299" spans="1:17" x14ac:dyDescent="0.2">
      <c r="A1299" s="222" t="e">
        <f t="shared" si="132"/>
        <v>#REF!</v>
      </c>
      <c r="B1299" s="222" t="str">
        <f>IF(dadosexternosBMF_1!A1302="DI1 - DI de 1 dia","DI1 - DI de 1 dia","")</f>
        <v/>
      </c>
      <c r="C1299" s="222" t="e">
        <f>IF(dadosexternosBMF_1!A1302="DOL - Dólar comercial","",IF(C1298&lt;&gt;"",dadosexternosBMF_1!B1302,IF(dadosexternosBMF_1!A1302="DI1 - DI de 1 dia",dadosexternosBMF_1!B1302,"")))</f>
        <v>#REF!</v>
      </c>
      <c r="D1299" s="222" t="e">
        <f>IF(C1299&lt;&gt;"",dadosexternosBMF_1!C1302,"")</f>
        <v>#REF!</v>
      </c>
      <c r="E1299" s="222" t="e">
        <f>IF(C1299&lt;&gt;"",dadosexternosBMF_1!D1302,"")</f>
        <v>#REF!</v>
      </c>
      <c r="G1299" s="219" t="e">
        <f t="shared" si="133"/>
        <v>#REF!</v>
      </c>
      <c r="H1299" s="219" t="e">
        <f t="shared" si="134"/>
        <v>#REF!</v>
      </c>
      <c r="I1299" s="219" t="e">
        <f t="shared" si="135"/>
        <v>#REF!</v>
      </c>
      <c r="J1299" s="219" t="e">
        <f>IF(I1299="","",VLOOKUP(LEFT(C1299,1),dadosexternosBMF_1!$L$2:$M$13,2,FALSE))</f>
        <v>#REF!</v>
      </c>
      <c r="K1299" s="219" t="e">
        <f t="shared" si="136"/>
        <v>#REF!</v>
      </c>
      <c r="L1299" s="422" t="e">
        <f t="shared" si="137"/>
        <v>#REF!</v>
      </c>
      <c r="M1299" s="422" t="e">
        <f>IF(I1299="","",WORKDAY(L1299-1,1,FERIADOS!$A$2:$A$831))</f>
        <v>#REF!</v>
      </c>
      <c r="N1299" s="219" t="e">
        <f>IF(I1299="","",NETWORKDAYS(Curva!$M$2,M1299,FERIADOS!$A$2:$A$831)-1)</f>
        <v>#REF!</v>
      </c>
      <c r="O1299" s="423" t="e">
        <f>IF(C1299&lt;&gt;"",IF(ISERROR((100000/E1299)^(252/N1299)-1),Curva!$B$2,((100000/E1299)^(252/N1299)-1)),"")</f>
        <v>#REF!</v>
      </c>
      <c r="P1299" s="219" t="e">
        <f>IF(OR(G1299=1,G1299=2),dadosexternosBMF_1!B1302,"")</f>
        <v>#REF!</v>
      </c>
      <c r="Q1299" s="219" t="e">
        <f>IF(OR(G1299=1,G1299=2),dadosexternosBMF_1!D1302,"")</f>
        <v>#REF!</v>
      </c>
    </row>
    <row r="1300" spans="1:17" x14ac:dyDescent="0.2">
      <c r="A1300" s="222" t="e">
        <f t="shared" si="132"/>
        <v>#REF!</v>
      </c>
      <c r="B1300" s="222" t="str">
        <f>IF(dadosexternosBMF_1!A1303="DI1 - DI de 1 dia","DI1 - DI de 1 dia","")</f>
        <v/>
      </c>
      <c r="C1300" s="222" t="e">
        <f>IF(dadosexternosBMF_1!A1303="DOL - Dólar comercial","",IF(C1299&lt;&gt;"",dadosexternosBMF_1!B1303,IF(dadosexternosBMF_1!A1303="DI1 - DI de 1 dia",dadosexternosBMF_1!B1303,"")))</f>
        <v>#REF!</v>
      </c>
      <c r="D1300" s="222" t="e">
        <f>IF(C1300&lt;&gt;"",dadosexternosBMF_1!C1303,"")</f>
        <v>#REF!</v>
      </c>
      <c r="E1300" s="222" t="e">
        <f>IF(C1300&lt;&gt;"",dadosexternosBMF_1!D1303,"")</f>
        <v>#REF!</v>
      </c>
      <c r="G1300" s="219" t="e">
        <f t="shared" si="133"/>
        <v>#REF!</v>
      </c>
      <c r="H1300" s="219" t="e">
        <f t="shared" si="134"/>
        <v>#REF!</v>
      </c>
      <c r="I1300" s="219" t="e">
        <f t="shared" si="135"/>
        <v>#REF!</v>
      </c>
      <c r="J1300" s="219" t="e">
        <f>IF(I1300="","",VLOOKUP(LEFT(C1300,1),dadosexternosBMF_1!$L$2:$M$13,2,FALSE))</f>
        <v>#REF!</v>
      </c>
      <c r="K1300" s="219" t="e">
        <f t="shared" si="136"/>
        <v>#REF!</v>
      </c>
      <c r="L1300" s="422" t="e">
        <f t="shared" si="137"/>
        <v>#REF!</v>
      </c>
      <c r="M1300" s="422" t="e">
        <f>IF(I1300="","",WORKDAY(L1300-1,1,FERIADOS!$A$2:$A$831))</f>
        <v>#REF!</v>
      </c>
      <c r="N1300" s="219" t="e">
        <f>IF(I1300="","",NETWORKDAYS(Curva!$M$2,M1300,FERIADOS!$A$2:$A$831)-1)</f>
        <v>#REF!</v>
      </c>
      <c r="O1300" s="423" t="e">
        <f>IF(C1300&lt;&gt;"",IF(ISERROR((100000/E1300)^(252/N1300)-1),Curva!$B$2,((100000/E1300)^(252/N1300)-1)),"")</f>
        <v>#REF!</v>
      </c>
      <c r="P1300" s="219" t="e">
        <f>IF(OR(G1300=1,G1300=2),dadosexternosBMF_1!B1303,"")</f>
        <v>#REF!</v>
      </c>
      <c r="Q1300" s="219" t="e">
        <f>IF(OR(G1300=1,G1300=2),dadosexternosBMF_1!D1303,"")</f>
        <v>#REF!</v>
      </c>
    </row>
    <row r="1301" spans="1:17" x14ac:dyDescent="0.2">
      <c r="A1301" s="222" t="e">
        <f t="shared" si="132"/>
        <v>#REF!</v>
      </c>
      <c r="B1301" s="222" t="str">
        <f>IF(dadosexternosBMF_1!A1304="DI1 - DI de 1 dia","DI1 - DI de 1 dia","")</f>
        <v/>
      </c>
      <c r="C1301" s="222" t="e">
        <f>IF(dadosexternosBMF_1!A1304="DOL - Dólar comercial","",IF(C1300&lt;&gt;"",dadosexternosBMF_1!B1304,IF(dadosexternosBMF_1!A1304="DI1 - DI de 1 dia",dadosexternosBMF_1!B1304,"")))</f>
        <v>#REF!</v>
      </c>
      <c r="D1301" s="222" t="e">
        <f>IF(C1301&lt;&gt;"",dadosexternosBMF_1!C1304,"")</f>
        <v>#REF!</v>
      </c>
      <c r="E1301" s="222" t="e">
        <f>IF(C1301&lt;&gt;"",dadosexternosBMF_1!D1304,"")</f>
        <v>#REF!</v>
      </c>
      <c r="G1301" s="219" t="e">
        <f t="shared" si="133"/>
        <v>#REF!</v>
      </c>
      <c r="H1301" s="219" t="e">
        <f t="shared" si="134"/>
        <v>#REF!</v>
      </c>
      <c r="I1301" s="219" t="e">
        <f t="shared" si="135"/>
        <v>#REF!</v>
      </c>
      <c r="J1301" s="219" t="e">
        <f>IF(I1301="","",VLOOKUP(LEFT(C1301,1),dadosexternosBMF_1!$L$2:$M$13,2,FALSE))</f>
        <v>#REF!</v>
      </c>
      <c r="K1301" s="219" t="e">
        <f t="shared" si="136"/>
        <v>#REF!</v>
      </c>
      <c r="L1301" s="422" t="e">
        <f t="shared" si="137"/>
        <v>#REF!</v>
      </c>
      <c r="M1301" s="422" t="e">
        <f>IF(I1301="","",WORKDAY(L1301-1,1,FERIADOS!$A$2:$A$831))</f>
        <v>#REF!</v>
      </c>
      <c r="N1301" s="219" t="e">
        <f>IF(I1301="","",NETWORKDAYS(Curva!$M$2,M1301,FERIADOS!$A$2:$A$831)-1)</f>
        <v>#REF!</v>
      </c>
      <c r="O1301" s="423" t="e">
        <f>IF(C1301&lt;&gt;"",IF(ISERROR((100000/E1301)^(252/N1301)-1),Curva!$B$2,((100000/E1301)^(252/N1301)-1)),"")</f>
        <v>#REF!</v>
      </c>
      <c r="P1301" s="219" t="e">
        <f>IF(OR(G1301=1,G1301=2),dadosexternosBMF_1!B1304,"")</f>
        <v>#REF!</v>
      </c>
      <c r="Q1301" s="219" t="e">
        <f>IF(OR(G1301=1,G1301=2),dadosexternosBMF_1!D1304,"")</f>
        <v>#REF!</v>
      </c>
    </row>
    <row r="1302" spans="1:17" x14ac:dyDescent="0.2">
      <c r="A1302" s="222" t="e">
        <f t="shared" si="132"/>
        <v>#REF!</v>
      </c>
      <c r="B1302" s="222" t="str">
        <f>IF(dadosexternosBMF_1!A1305="DI1 - DI de 1 dia","DI1 - DI de 1 dia","")</f>
        <v/>
      </c>
      <c r="C1302" s="222" t="e">
        <f>IF(dadosexternosBMF_1!A1305="DOL - Dólar comercial","",IF(C1301&lt;&gt;"",dadosexternosBMF_1!B1305,IF(dadosexternosBMF_1!A1305="DI1 - DI de 1 dia",dadosexternosBMF_1!B1305,"")))</f>
        <v>#REF!</v>
      </c>
      <c r="D1302" s="222" t="e">
        <f>IF(C1302&lt;&gt;"",dadosexternosBMF_1!C1305,"")</f>
        <v>#REF!</v>
      </c>
      <c r="E1302" s="222" t="e">
        <f>IF(C1302&lt;&gt;"",dadosexternosBMF_1!D1305,"")</f>
        <v>#REF!</v>
      </c>
      <c r="G1302" s="219" t="e">
        <f t="shared" si="133"/>
        <v>#REF!</v>
      </c>
      <c r="H1302" s="219" t="e">
        <f t="shared" si="134"/>
        <v>#REF!</v>
      </c>
      <c r="I1302" s="219" t="e">
        <f t="shared" si="135"/>
        <v>#REF!</v>
      </c>
      <c r="J1302" s="219" t="e">
        <f>IF(I1302="","",VLOOKUP(LEFT(C1302,1),dadosexternosBMF_1!$L$2:$M$13,2,FALSE))</f>
        <v>#REF!</v>
      </c>
      <c r="K1302" s="219" t="e">
        <f t="shared" si="136"/>
        <v>#REF!</v>
      </c>
      <c r="L1302" s="422" t="e">
        <f t="shared" si="137"/>
        <v>#REF!</v>
      </c>
      <c r="M1302" s="422" t="e">
        <f>IF(I1302="","",WORKDAY(L1302-1,1,FERIADOS!$A$2:$A$831))</f>
        <v>#REF!</v>
      </c>
      <c r="N1302" s="219" t="e">
        <f>IF(I1302="","",NETWORKDAYS(Curva!$M$2,M1302,FERIADOS!$A$2:$A$831)-1)</f>
        <v>#REF!</v>
      </c>
      <c r="O1302" s="423" t="e">
        <f>IF(C1302&lt;&gt;"",IF(ISERROR((100000/E1302)^(252/N1302)-1),Curva!$B$2,((100000/E1302)^(252/N1302)-1)),"")</f>
        <v>#REF!</v>
      </c>
      <c r="P1302" s="219" t="e">
        <f>IF(OR(G1302=1,G1302=2),dadosexternosBMF_1!B1305,"")</f>
        <v>#REF!</v>
      </c>
      <c r="Q1302" s="219" t="e">
        <f>IF(OR(G1302=1,G1302=2),dadosexternosBMF_1!D1305,"")</f>
        <v>#REF!</v>
      </c>
    </row>
    <row r="1303" spans="1:17" x14ac:dyDescent="0.2">
      <c r="A1303" s="222" t="e">
        <f t="shared" si="132"/>
        <v>#REF!</v>
      </c>
      <c r="B1303" s="222" t="str">
        <f>IF(dadosexternosBMF_1!A1306="DI1 - DI de 1 dia","DI1 - DI de 1 dia","")</f>
        <v/>
      </c>
      <c r="C1303" s="222" t="e">
        <f>IF(dadosexternosBMF_1!A1306="DOL - Dólar comercial","",IF(C1302&lt;&gt;"",dadosexternosBMF_1!B1306,IF(dadosexternosBMF_1!A1306="DI1 - DI de 1 dia",dadosexternosBMF_1!B1306,"")))</f>
        <v>#REF!</v>
      </c>
      <c r="D1303" s="222" t="e">
        <f>IF(C1303&lt;&gt;"",dadosexternosBMF_1!C1306,"")</f>
        <v>#REF!</v>
      </c>
      <c r="E1303" s="222" t="e">
        <f>IF(C1303&lt;&gt;"",dadosexternosBMF_1!D1306,"")</f>
        <v>#REF!</v>
      </c>
      <c r="G1303" s="219" t="e">
        <f t="shared" si="133"/>
        <v>#REF!</v>
      </c>
      <c r="H1303" s="219" t="e">
        <f t="shared" si="134"/>
        <v>#REF!</v>
      </c>
      <c r="I1303" s="219" t="e">
        <f t="shared" si="135"/>
        <v>#REF!</v>
      </c>
      <c r="J1303" s="219" t="e">
        <f>IF(I1303="","",VLOOKUP(LEFT(C1303,1),dadosexternosBMF_1!$L$2:$M$13,2,FALSE))</f>
        <v>#REF!</v>
      </c>
      <c r="K1303" s="219" t="e">
        <f t="shared" si="136"/>
        <v>#REF!</v>
      </c>
      <c r="L1303" s="422" t="e">
        <f t="shared" si="137"/>
        <v>#REF!</v>
      </c>
      <c r="M1303" s="422" t="e">
        <f>IF(I1303="","",WORKDAY(L1303-1,1,FERIADOS!$A$2:$A$831))</f>
        <v>#REF!</v>
      </c>
      <c r="N1303" s="219" t="e">
        <f>IF(I1303="","",NETWORKDAYS(Curva!$M$2,M1303,FERIADOS!$A$2:$A$831)-1)</f>
        <v>#REF!</v>
      </c>
      <c r="O1303" s="423" t="e">
        <f>IF(C1303&lt;&gt;"",IF(ISERROR((100000/E1303)^(252/N1303)-1),Curva!$B$2,((100000/E1303)^(252/N1303)-1)),"")</f>
        <v>#REF!</v>
      </c>
      <c r="P1303" s="219" t="e">
        <f>IF(OR(G1303=1,G1303=2),dadosexternosBMF_1!B1306,"")</f>
        <v>#REF!</v>
      </c>
      <c r="Q1303" s="219" t="e">
        <f>IF(OR(G1303=1,G1303=2),dadosexternosBMF_1!D1306,"")</f>
        <v>#REF!</v>
      </c>
    </row>
    <row r="1304" spans="1:17" x14ac:dyDescent="0.2">
      <c r="A1304" s="222" t="e">
        <f t="shared" si="132"/>
        <v>#REF!</v>
      </c>
      <c r="B1304" s="222" t="str">
        <f>IF(dadosexternosBMF_1!A1307="DI1 - DI de 1 dia","DI1 - DI de 1 dia","")</f>
        <v/>
      </c>
      <c r="C1304" s="222" t="e">
        <f>IF(dadosexternosBMF_1!A1307="DOL - Dólar comercial","",IF(C1303&lt;&gt;"",dadosexternosBMF_1!B1307,IF(dadosexternosBMF_1!A1307="DI1 - DI de 1 dia",dadosexternosBMF_1!B1307,"")))</f>
        <v>#REF!</v>
      </c>
      <c r="D1304" s="222" t="e">
        <f>IF(C1304&lt;&gt;"",dadosexternosBMF_1!C1307,"")</f>
        <v>#REF!</v>
      </c>
      <c r="E1304" s="222" t="e">
        <f>IF(C1304&lt;&gt;"",dadosexternosBMF_1!D1307,"")</f>
        <v>#REF!</v>
      </c>
      <c r="G1304" s="219" t="e">
        <f t="shared" si="133"/>
        <v>#REF!</v>
      </c>
      <c r="H1304" s="219" t="e">
        <f t="shared" si="134"/>
        <v>#REF!</v>
      </c>
      <c r="I1304" s="219" t="e">
        <f t="shared" si="135"/>
        <v>#REF!</v>
      </c>
      <c r="J1304" s="219" t="e">
        <f>IF(I1304="","",VLOOKUP(LEFT(C1304,1),dadosexternosBMF_1!$L$2:$M$13,2,FALSE))</f>
        <v>#REF!</v>
      </c>
      <c r="K1304" s="219" t="e">
        <f t="shared" si="136"/>
        <v>#REF!</v>
      </c>
      <c r="L1304" s="422" t="e">
        <f t="shared" si="137"/>
        <v>#REF!</v>
      </c>
      <c r="M1304" s="422" t="e">
        <f>IF(I1304="","",WORKDAY(L1304-1,1,FERIADOS!$A$2:$A$831))</f>
        <v>#REF!</v>
      </c>
      <c r="N1304" s="219" t="e">
        <f>IF(I1304="","",NETWORKDAYS(Curva!$M$2,M1304,FERIADOS!$A$2:$A$831)-1)</f>
        <v>#REF!</v>
      </c>
      <c r="O1304" s="423" t="e">
        <f>IF(C1304&lt;&gt;"",IF(ISERROR((100000/E1304)^(252/N1304)-1),Curva!$B$2,((100000/E1304)^(252/N1304)-1)),"")</f>
        <v>#REF!</v>
      </c>
      <c r="P1304" s="219" t="e">
        <f>IF(OR(G1304=1,G1304=2),dadosexternosBMF_1!B1307,"")</f>
        <v>#REF!</v>
      </c>
      <c r="Q1304" s="219" t="e">
        <f>IF(OR(G1304=1,G1304=2),dadosexternosBMF_1!D1307,"")</f>
        <v>#REF!</v>
      </c>
    </row>
    <row r="1305" spans="1:17" x14ac:dyDescent="0.2">
      <c r="A1305" s="222" t="e">
        <f t="shared" si="132"/>
        <v>#REF!</v>
      </c>
      <c r="B1305" s="222" t="str">
        <f>IF(dadosexternosBMF_1!A1308="DI1 - DI de 1 dia","DI1 - DI de 1 dia","")</f>
        <v/>
      </c>
      <c r="C1305" s="222" t="e">
        <f>IF(dadosexternosBMF_1!A1308="DOL - Dólar comercial","",IF(C1304&lt;&gt;"",dadosexternosBMF_1!B1308,IF(dadosexternosBMF_1!A1308="DI1 - DI de 1 dia",dadosexternosBMF_1!B1308,"")))</f>
        <v>#REF!</v>
      </c>
      <c r="D1305" s="222" t="e">
        <f>IF(C1305&lt;&gt;"",dadosexternosBMF_1!C1308,"")</f>
        <v>#REF!</v>
      </c>
      <c r="E1305" s="222" t="e">
        <f>IF(C1305&lt;&gt;"",dadosexternosBMF_1!D1308,"")</f>
        <v>#REF!</v>
      </c>
      <c r="G1305" s="219" t="e">
        <f t="shared" si="133"/>
        <v>#REF!</v>
      </c>
      <c r="H1305" s="219" t="e">
        <f t="shared" si="134"/>
        <v>#REF!</v>
      </c>
      <c r="I1305" s="219" t="e">
        <f t="shared" si="135"/>
        <v>#REF!</v>
      </c>
      <c r="J1305" s="219" t="e">
        <f>IF(I1305="","",VLOOKUP(LEFT(C1305,1),dadosexternosBMF_1!$L$2:$M$13,2,FALSE))</f>
        <v>#REF!</v>
      </c>
      <c r="K1305" s="219" t="e">
        <f t="shared" si="136"/>
        <v>#REF!</v>
      </c>
      <c r="L1305" s="422" t="e">
        <f t="shared" si="137"/>
        <v>#REF!</v>
      </c>
      <c r="M1305" s="422" t="e">
        <f>IF(I1305="","",WORKDAY(L1305-1,1,FERIADOS!$A$2:$A$831))</f>
        <v>#REF!</v>
      </c>
      <c r="N1305" s="219" t="e">
        <f>IF(I1305="","",NETWORKDAYS(Curva!$M$2,M1305,FERIADOS!$A$2:$A$831)-1)</f>
        <v>#REF!</v>
      </c>
      <c r="O1305" s="423" t="e">
        <f>IF(C1305&lt;&gt;"",IF(ISERROR((100000/E1305)^(252/N1305)-1),Curva!$B$2,((100000/E1305)^(252/N1305)-1)),"")</f>
        <v>#REF!</v>
      </c>
      <c r="P1305" s="219" t="e">
        <f>IF(OR(G1305=1,G1305=2),dadosexternosBMF_1!B1308,"")</f>
        <v>#REF!</v>
      </c>
      <c r="Q1305" s="219" t="e">
        <f>IF(OR(G1305=1,G1305=2),dadosexternosBMF_1!D1308,"")</f>
        <v>#REF!</v>
      </c>
    </row>
    <row r="1306" spans="1:17" x14ac:dyDescent="0.2">
      <c r="A1306" s="222" t="e">
        <f t="shared" si="132"/>
        <v>#REF!</v>
      </c>
      <c r="B1306" s="222" t="str">
        <f>IF(dadosexternosBMF_1!A1309="DI1 - DI de 1 dia","DI1 - DI de 1 dia","")</f>
        <v/>
      </c>
      <c r="C1306" s="222" t="e">
        <f>IF(dadosexternosBMF_1!A1309="DOL - Dólar comercial","",IF(C1305&lt;&gt;"",dadosexternosBMF_1!B1309,IF(dadosexternosBMF_1!A1309="DI1 - DI de 1 dia",dadosexternosBMF_1!B1309,"")))</f>
        <v>#REF!</v>
      </c>
      <c r="D1306" s="222" t="e">
        <f>IF(C1306&lt;&gt;"",dadosexternosBMF_1!C1309,"")</f>
        <v>#REF!</v>
      </c>
      <c r="E1306" s="222" t="e">
        <f>IF(C1306&lt;&gt;"",dadosexternosBMF_1!D1309,"")</f>
        <v>#REF!</v>
      </c>
      <c r="G1306" s="219" t="e">
        <f t="shared" si="133"/>
        <v>#REF!</v>
      </c>
      <c r="H1306" s="219" t="e">
        <f t="shared" si="134"/>
        <v>#REF!</v>
      </c>
      <c r="I1306" s="219" t="e">
        <f t="shared" si="135"/>
        <v>#REF!</v>
      </c>
      <c r="J1306" s="219" t="e">
        <f>IF(I1306="","",VLOOKUP(LEFT(C1306,1),dadosexternosBMF_1!$L$2:$M$13,2,FALSE))</f>
        <v>#REF!</v>
      </c>
      <c r="K1306" s="219" t="e">
        <f t="shared" si="136"/>
        <v>#REF!</v>
      </c>
      <c r="L1306" s="422" t="e">
        <f t="shared" si="137"/>
        <v>#REF!</v>
      </c>
      <c r="M1306" s="422" t="e">
        <f>IF(I1306="","",WORKDAY(L1306-1,1,FERIADOS!$A$2:$A$831))</f>
        <v>#REF!</v>
      </c>
      <c r="N1306" s="219" t="e">
        <f>IF(I1306="","",NETWORKDAYS(Curva!$M$2,M1306,FERIADOS!$A$2:$A$831)-1)</f>
        <v>#REF!</v>
      </c>
      <c r="O1306" s="423" t="e">
        <f>IF(C1306&lt;&gt;"",IF(ISERROR((100000/E1306)^(252/N1306)-1),Curva!$B$2,((100000/E1306)^(252/N1306)-1)),"")</f>
        <v>#REF!</v>
      </c>
      <c r="P1306" s="219" t="e">
        <f>IF(OR(G1306=1,G1306=2),dadosexternosBMF_1!B1309,"")</f>
        <v>#REF!</v>
      </c>
      <c r="Q1306" s="219" t="e">
        <f>IF(OR(G1306=1,G1306=2),dadosexternosBMF_1!D1309,"")</f>
        <v>#REF!</v>
      </c>
    </row>
    <row r="1307" spans="1:17" x14ac:dyDescent="0.2">
      <c r="A1307" s="222" t="e">
        <f t="shared" ref="A1307:A1370" si="138">IF(AND(A1306&lt;&gt;"",C1307&lt;&gt;""),A1306+1,IF(B1307="DI1 - DI de 1 dia",1,""))</f>
        <v>#REF!</v>
      </c>
      <c r="B1307" s="222" t="str">
        <f>IF(dadosexternosBMF_1!A1310="DI1 - DI de 1 dia","DI1 - DI de 1 dia","")</f>
        <v/>
      </c>
      <c r="C1307" s="222" t="e">
        <f>IF(dadosexternosBMF_1!A1310="DOL - Dólar comercial","",IF(C1306&lt;&gt;"",dadosexternosBMF_1!B1310,IF(dadosexternosBMF_1!A1310="DI1 - DI de 1 dia",dadosexternosBMF_1!B1310,"")))</f>
        <v>#REF!</v>
      </c>
      <c r="D1307" s="222" t="e">
        <f>IF(C1307&lt;&gt;"",dadosexternosBMF_1!C1310,"")</f>
        <v>#REF!</v>
      </c>
      <c r="E1307" s="222" t="e">
        <f>IF(C1307&lt;&gt;"",dadosexternosBMF_1!D1310,"")</f>
        <v>#REF!</v>
      </c>
      <c r="G1307" s="219" t="e">
        <f t="shared" ref="G1307:G1370" si="139">IF(G1306=1,2,IF(AND(H1307="",H1306&lt;&gt;""),1,""))</f>
        <v>#REF!</v>
      </c>
      <c r="H1307" s="219" t="e">
        <f t="shared" ref="H1307:H1370" si="140">IF(A1307&lt;&gt;"",A1307,"")</f>
        <v>#REF!</v>
      </c>
      <c r="I1307" s="219" t="e">
        <f t="shared" ref="I1307:I1370" si="141">IF(A1307&lt;&gt;"",(CONCATENATE("DI1",C1307)),"")</f>
        <v>#REF!</v>
      </c>
      <c r="J1307" s="219" t="e">
        <f>IF(I1307="","",VLOOKUP(LEFT(C1307,1),dadosexternosBMF_1!$L$2:$M$13,2,FALSE))</f>
        <v>#REF!</v>
      </c>
      <c r="K1307" s="219" t="e">
        <f t="shared" ref="K1307:K1370" si="142">IF(I1307="","",1+CONCATENATE(20,RIGHT(C1307,2))-1)</f>
        <v>#REF!</v>
      </c>
      <c r="L1307" s="422" t="e">
        <f t="shared" ref="L1307:L1370" si="143">IF(I1307="","",CONCATENATE(1,"/",J1307,"/",K1307)+1-1)</f>
        <v>#REF!</v>
      </c>
      <c r="M1307" s="422" t="e">
        <f>IF(I1307="","",WORKDAY(L1307-1,1,FERIADOS!$A$2:$A$831))</f>
        <v>#REF!</v>
      </c>
      <c r="N1307" s="219" t="e">
        <f>IF(I1307="","",NETWORKDAYS(Curva!$M$2,M1307,FERIADOS!$A$2:$A$831)-1)</f>
        <v>#REF!</v>
      </c>
      <c r="O1307" s="423" t="e">
        <f>IF(C1307&lt;&gt;"",IF(ISERROR((100000/E1307)^(252/N1307)-1),Curva!$B$2,((100000/E1307)^(252/N1307)-1)),"")</f>
        <v>#REF!</v>
      </c>
      <c r="P1307" s="219" t="e">
        <f>IF(OR(G1307=1,G1307=2),dadosexternosBMF_1!B1310,"")</f>
        <v>#REF!</v>
      </c>
      <c r="Q1307" s="219" t="e">
        <f>IF(OR(G1307=1,G1307=2),dadosexternosBMF_1!D1310,"")</f>
        <v>#REF!</v>
      </c>
    </row>
    <row r="1308" spans="1:17" x14ac:dyDescent="0.2">
      <c r="A1308" s="222" t="e">
        <f t="shared" si="138"/>
        <v>#REF!</v>
      </c>
      <c r="B1308" s="222" t="str">
        <f>IF(dadosexternosBMF_1!A1311="DI1 - DI de 1 dia","DI1 - DI de 1 dia","")</f>
        <v/>
      </c>
      <c r="C1308" s="222" t="e">
        <f>IF(dadosexternosBMF_1!A1311="DOL - Dólar comercial","",IF(C1307&lt;&gt;"",dadosexternosBMF_1!B1311,IF(dadosexternosBMF_1!A1311="DI1 - DI de 1 dia",dadosexternosBMF_1!B1311,"")))</f>
        <v>#REF!</v>
      </c>
      <c r="D1308" s="222" t="e">
        <f>IF(C1308&lt;&gt;"",dadosexternosBMF_1!C1311,"")</f>
        <v>#REF!</v>
      </c>
      <c r="E1308" s="222" t="e">
        <f>IF(C1308&lt;&gt;"",dadosexternosBMF_1!D1311,"")</f>
        <v>#REF!</v>
      </c>
      <c r="G1308" s="219" t="e">
        <f t="shared" si="139"/>
        <v>#REF!</v>
      </c>
      <c r="H1308" s="219" t="e">
        <f t="shared" si="140"/>
        <v>#REF!</v>
      </c>
      <c r="I1308" s="219" t="e">
        <f t="shared" si="141"/>
        <v>#REF!</v>
      </c>
      <c r="J1308" s="219" t="e">
        <f>IF(I1308="","",VLOOKUP(LEFT(C1308,1),dadosexternosBMF_1!$L$2:$M$13,2,FALSE))</f>
        <v>#REF!</v>
      </c>
      <c r="K1308" s="219" t="e">
        <f t="shared" si="142"/>
        <v>#REF!</v>
      </c>
      <c r="L1308" s="422" t="e">
        <f t="shared" si="143"/>
        <v>#REF!</v>
      </c>
      <c r="M1308" s="422" t="e">
        <f>IF(I1308="","",WORKDAY(L1308-1,1,FERIADOS!$A$2:$A$831))</f>
        <v>#REF!</v>
      </c>
      <c r="N1308" s="219" t="e">
        <f>IF(I1308="","",NETWORKDAYS(Curva!$M$2,M1308,FERIADOS!$A$2:$A$831)-1)</f>
        <v>#REF!</v>
      </c>
      <c r="O1308" s="423" t="e">
        <f>IF(C1308&lt;&gt;"",IF(ISERROR((100000/E1308)^(252/N1308)-1),Curva!$B$2,((100000/E1308)^(252/N1308)-1)),"")</f>
        <v>#REF!</v>
      </c>
      <c r="P1308" s="219" t="e">
        <f>IF(OR(G1308=1,G1308=2),dadosexternosBMF_1!B1311,"")</f>
        <v>#REF!</v>
      </c>
      <c r="Q1308" s="219" t="e">
        <f>IF(OR(G1308=1,G1308=2),dadosexternosBMF_1!D1311,"")</f>
        <v>#REF!</v>
      </c>
    </row>
    <row r="1309" spans="1:17" x14ac:dyDescent="0.2">
      <c r="A1309" s="222" t="e">
        <f t="shared" si="138"/>
        <v>#REF!</v>
      </c>
      <c r="B1309" s="222" t="str">
        <f>IF(dadosexternosBMF_1!A1312="DI1 - DI de 1 dia","DI1 - DI de 1 dia","")</f>
        <v/>
      </c>
      <c r="C1309" s="222" t="e">
        <f>IF(dadosexternosBMF_1!A1312="DOL - Dólar comercial","",IF(C1308&lt;&gt;"",dadosexternosBMF_1!B1312,IF(dadosexternosBMF_1!A1312="DI1 - DI de 1 dia",dadosexternosBMF_1!B1312,"")))</f>
        <v>#REF!</v>
      </c>
      <c r="D1309" s="222" t="e">
        <f>IF(C1309&lt;&gt;"",dadosexternosBMF_1!C1312,"")</f>
        <v>#REF!</v>
      </c>
      <c r="E1309" s="222" t="e">
        <f>IF(C1309&lt;&gt;"",dadosexternosBMF_1!D1312,"")</f>
        <v>#REF!</v>
      </c>
      <c r="G1309" s="219" t="e">
        <f t="shared" si="139"/>
        <v>#REF!</v>
      </c>
      <c r="H1309" s="219" t="e">
        <f t="shared" si="140"/>
        <v>#REF!</v>
      </c>
      <c r="I1309" s="219" t="e">
        <f t="shared" si="141"/>
        <v>#REF!</v>
      </c>
      <c r="J1309" s="219" t="e">
        <f>IF(I1309="","",VLOOKUP(LEFT(C1309,1),dadosexternosBMF_1!$L$2:$M$13,2,FALSE))</f>
        <v>#REF!</v>
      </c>
      <c r="K1309" s="219" t="e">
        <f t="shared" si="142"/>
        <v>#REF!</v>
      </c>
      <c r="L1309" s="422" t="e">
        <f t="shared" si="143"/>
        <v>#REF!</v>
      </c>
      <c r="M1309" s="422" t="e">
        <f>IF(I1309="","",WORKDAY(L1309-1,1,FERIADOS!$A$2:$A$831))</f>
        <v>#REF!</v>
      </c>
      <c r="N1309" s="219" t="e">
        <f>IF(I1309="","",NETWORKDAYS(Curva!$M$2,M1309,FERIADOS!$A$2:$A$831)-1)</f>
        <v>#REF!</v>
      </c>
      <c r="O1309" s="423" t="e">
        <f>IF(C1309&lt;&gt;"",IF(ISERROR((100000/E1309)^(252/N1309)-1),Curva!$B$2,((100000/E1309)^(252/N1309)-1)),"")</f>
        <v>#REF!</v>
      </c>
      <c r="P1309" s="219" t="e">
        <f>IF(OR(G1309=1,G1309=2),dadosexternosBMF_1!B1312,"")</f>
        <v>#REF!</v>
      </c>
      <c r="Q1309" s="219" t="e">
        <f>IF(OR(G1309=1,G1309=2),dadosexternosBMF_1!D1312,"")</f>
        <v>#REF!</v>
      </c>
    </row>
    <row r="1310" spans="1:17" x14ac:dyDescent="0.2">
      <c r="A1310" s="222" t="e">
        <f t="shared" si="138"/>
        <v>#REF!</v>
      </c>
      <c r="B1310" s="222" t="str">
        <f>IF(dadosexternosBMF_1!A1313="DI1 - DI de 1 dia","DI1 - DI de 1 dia","")</f>
        <v/>
      </c>
      <c r="C1310" s="222" t="e">
        <f>IF(dadosexternosBMF_1!A1313="DOL - Dólar comercial","",IF(C1309&lt;&gt;"",dadosexternosBMF_1!B1313,IF(dadosexternosBMF_1!A1313="DI1 - DI de 1 dia",dadosexternosBMF_1!B1313,"")))</f>
        <v>#REF!</v>
      </c>
      <c r="D1310" s="222" t="e">
        <f>IF(C1310&lt;&gt;"",dadosexternosBMF_1!C1313,"")</f>
        <v>#REF!</v>
      </c>
      <c r="E1310" s="222" t="e">
        <f>IF(C1310&lt;&gt;"",dadosexternosBMF_1!D1313,"")</f>
        <v>#REF!</v>
      </c>
      <c r="G1310" s="219" t="e">
        <f t="shared" si="139"/>
        <v>#REF!</v>
      </c>
      <c r="H1310" s="219" t="e">
        <f t="shared" si="140"/>
        <v>#REF!</v>
      </c>
      <c r="I1310" s="219" t="e">
        <f t="shared" si="141"/>
        <v>#REF!</v>
      </c>
      <c r="J1310" s="219" t="e">
        <f>IF(I1310="","",VLOOKUP(LEFT(C1310,1),dadosexternosBMF_1!$L$2:$M$13,2,FALSE))</f>
        <v>#REF!</v>
      </c>
      <c r="K1310" s="219" t="e">
        <f t="shared" si="142"/>
        <v>#REF!</v>
      </c>
      <c r="L1310" s="422" t="e">
        <f t="shared" si="143"/>
        <v>#REF!</v>
      </c>
      <c r="M1310" s="422" t="e">
        <f>IF(I1310="","",WORKDAY(L1310-1,1,FERIADOS!$A$2:$A$831))</f>
        <v>#REF!</v>
      </c>
      <c r="N1310" s="219" t="e">
        <f>IF(I1310="","",NETWORKDAYS(Curva!$M$2,M1310,FERIADOS!$A$2:$A$831)-1)</f>
        <v>#REF!</v>
      </c>
      <c r="O1310" s="423" t="e">
        <f>IF(C1310&lt;&gt;"",IF(ISERROR((100000/E1310)^(252/N1310)-1),Curva!$B$2,((100000/E1310)^(252/N1310)-1)),"")</f>
        <v>#REF!</v>
      </c>
      <c r="P1310" s="219" t="e">
        <f>IF(OR(G1310=1,G1310=2),dadosexternosBMF_1!B1313,"")</f>
        <v>#REF!</v>
      </c>
      <c r="Q1310" s="219" t="e">
        <f>IF(OR(G1310=1,G1310=2),dadosexternosBMF_1!D1313,"")</f>
        <v>#REF!</v>
      </c>
    </row>
    <row r="1311" spans="1:17" x14ac:dyDescent="0.2">
      <c r="A1311" s="222" t="e">
        <f t="shared" si="138"/>
        <v>#REF!</v>
      </c>
      <c r="B1311" s="222" t="str">
        <f>IF(dadosexternosBMF_1!A1314="DI1 - DI de 1 dia","DI1 - DI de 1 dia","")</f>
        <v/>
      </c>
      <c r="C1311" s="222" t="e">
        <f>IF(dadosexternosBMF_1!A1314="DOL - Dólar comercial","",IF(C1310&lt;&gt;"",dadosexternosBMF_1!B1314,IF(dadosexternosBMF_1!A1314="DI1 - DI de 1 dia",dadosexternosBMF_1!B1314,"")))</f>
        <v>#REF!</v>
      </c>
      <c r="D1311" s="222" t="e">
        <f>IF(C1311&lt;&gt;"",dadosexternosBMF_1!C1314,"")</f>
        <v>#REF!</v>
      </c>
      <c r="E1311" s="222" t="e">
        <f>IF(C1311&lt;&gt;"",dadosexternosBMF_1!D1314,"")</f>
        <v>#REF!</v>
      </c>
      <c r="G1311" s="219" t="e">
        <f t="shared" si="139"/>
        <v>#REF!</v>
      </c>
      <c r="H1311" s="219" t="e">
        <f t="shared" si="140"/>
        <v>#REF!</v>
      </c>
      <c r="I1311" s="219" t="e">
        <f t="shared" si="141"/>
        <v>#REF!</v>
      </c>
      <c r="J1311" s="219" t="e">
        <f>IF(I1311="","",VLOOKUP(LEFT(C1311,1),dadosexternosBMF_1!$L$2:$M$13,2,FALSE))</f>
        <v>#REF!</v>
      </c>
      <c r="K1311" s="219" t="e">
        <f t="shared" si="142"/>
        <v>#REF!</v>
      </c>
      <c r="L1311" s="422" t="e">
        <f t="shared" si="143"/>
        <v>#REF!</v>
      </c>
      <c r="M1311" s="422" t="e">
        <f>IF(I1311="","",WORKDAY(L1311-1,1,FERIADOS!$A$2:$A$831))</f>
        <v>#REF!</v>
      </c>
      <c r="N1311" s="219" t="e">
        <f>IF(I1311="","",NETWORKDAYS(Curva!$M$2,M1311,FERIADOS!$A$2:$A$831)-1)</f>
        <v>#REF!</v>
      </c>
      <c r="O1311" s="423" t="e">
        <f>IF(C1311&lt;&gt;"",IF(ISERROR((100000/E1311)^(252/N1311)-1),Curva!$B$2,((100000/E1311)^(252/N1311)-1)),"")</f>
        <v>#REF!</v>
      </c>
      <c r="P1311" s="219" t="e">
        <f>IF(OR(G1311=1,G1311=2),dadosexternosBMF_1!B1314,"")</f>
        <v>#REF!</v>
      </c>
      <c r="Q1311" s="219" t="e">
        <f>IF(OR(G1311=1,G1311=2),dadosexternosBMF_1!D1314,"")</f>
        <v>#REF!</v>
      </c>
    </row>
    <row r="1312" spans="1:17" x14ac:dyDescent="0.2">
      <c r="A1312" s="222" t="e">
        <f t="shared" si="138"/>
        <v>#REF!</v>
      </c>
      <c r="B1312" s="222" t="str">
        <f>IF(dadosexternosBMF_1!A1315="DI1 - DI de 1 dia","DI1 - DI de 1 dia","")</f>
        <v/>
      </c>
      <c r="C1312" s="222" t="e">
        <f>IF(dadosexternosBMF_1!A1315="DOL - Dólar comercial","",IF(C1311&lt;&gt;"",dadosexternosBMF_1!B1315,IF(dadosexternosBMF_1!A1315="DI1 - DI de 1 dia",dadosexternosBMF_1!B1315,"")))</f>
        <v>#REF!</v>
      </c>
      <c r="D1312" s="222" t="e">
        <f>IF(C1312&lt;&gt;"",dadosexternosBMF_1!C1315,"")</f>
        <v>#REF!</v>
      </c>
      <c r="E1312" s="222" t="e">
        <f>IF(C1312&lt;&gt;"",dadosexternosBMF_1!D1315,"")</f>
        <v>#REF!</v>
      </c>
      <c r="G1312" s="219" t="e">
        <f t="shared" si="139"/>
        <v>#REF!</v>
      </c>
      <c r="H1312" s="219" t="e">
        <f t="shared" si="140"/>
        <v>#REF!</v>
      </c>
      <c r="I1312" s="219" t="e">
        <f t="shared" si="141"/>
        <v>#REF!</v>
      </c>
      <c r="J1312" s="219" t="e">
        <f>IF(I1312="","",VLOOKUP(LEFT(C1312,1),dadosexternosBMF_1!$L$2:$M$13,2,FALSE))</f>
        <v>#REF!</v>
      </c>
      <c r="K1312" s="219" t="e">
        <f t="shared" si="142"/>
        <v>#REF!</v>
      </c>
      <c r="L1312" s="422" t="e">
        <f t="shared" si="143"/>
        <v>#REF!</v>
      </c>
      <c r="M1312" s="422" t="e">
        <f>IF(I1312="","",WORKDAY(L1312-1,1,FERIADOS!$A$2:$A$831))</f>
        <v>#REF!</v>
      </c>
      <c r="N1312" s="219" t="e">
        <f>IF(I1312="","",NETWORKDAYS(Curva!$M$2,M1312,FERIADOS!$A$2:$A$831)-1)</f>
        <v>#REF!</v>
      </c>
      <c r="O1312" s="423" t="e">
        <f>IF(C1312&lt;&gt;"",IF(ISERROR((100000/E1312)^(252/N1312)-1),Curva!$B$2,((100000/E1312)^(252/N1312)-1)),"")</f>
        <v>#REF!</v>
      </c>
      <c r="P1312" s="219" t="e">
        <f>IF(OR(G1312=1,G1312=2),dadosexternosBMF_1!B1315,"")</f>
        <v>#REF!</v>
      </c>
      <c r="Q1312" s="219" t="e">
        <f>IF(OR(G1312=1,G1312=2),dadosexternosBMF_1!D1315,"")</f>
        <v>#REF!</v>
      </c>
    </row>
    <row r="1313" spans="1:17" x14ac:dyDescent="0.2">
      <c r="A1313" s="222" t="e">
        <f t="shared" si="138"/>
        <v>#REF!</v>
      </c>
      <c r="B1313" s="222" t="str">
        <f>IF(dadosexternosBMF_1!A1316="DI1 - DI de 1 dia","DI1 - DI de 1 dia","")</f>
        <v/>
      </c>
      <c r="C1313" s="222" t="e">
        <f>IF(dadosexternosBMF_1!A1316="DOL - Dólar comercial","",IF(C1312&lt;&gt;"",dadosexternosBMF_1!B1316,IF(dadosexternosBMF_1!A1316="DI1 - DI de 1 dia",dadosexternosBMF_1!B1316,"")))</f>
        <v>#REF!</v>
      </c>
      <c r="D1313" s="222" t="e">
        <f>IF(C1313&lt;&gt;"",dadosexternosBMF_1!C1316,"")</f>
        <v>#REF!</v>
      </c>
      <c r="E1313" s="222" t="e">
        <f>IF(C1313&lt;&gt;"",dadosexternosBMF_1!D1316,"")</f>
        <v>#REF!</v>
      </c>
      <c r="G1313" s="219" t="e">
        <f t="shared" si="139"/>
        <v>#REF!</v>
      </c>
      <c r="H1313" s="219" t="e">
        <f t="shared" si="140"/>
        <v>#REF!</v>
      </c>
      <c r="I1313" s="219" t="e">
        <f t="shared" si="141"/>
        <v>#REF!</v>
      </c>
      <c r="J1313" s="219" t="e">
        <f>IF(I1313="","",VLOOKUP(LEFT(C1313,1),dadosexternosBMF_1!$L$2:$M$13,2,FALSE))</f>
        <v>#REF!</v>
      </c>
      <c r="K1313" s="219" t="e">
        <f t="shared" si="142"/>
        <v>#REF!</v>
      </c>
      <c r="L1313" s="422" t="e">
        <f t="shared" si="143"/>
        <v>#REF!</v>
      </c>
      <c r="M1313" s="422" t="e">
        <f>IF(I1313="","",WORKDAY(L1313-1,1,FERIADOS!$A$2:$A$831))</f>
        <v>#REF!</v>
      </c>
      <c r="N1313" s="219" t="e">
        <f>IF(I1313="","",NETWORKDAYS(Curva!$M$2,M1313,FERIADOS!$A$2:$A$831)-1)</f>
        <v>#REF!</v>
      </c>
      <c r="O1313" s="423" t="e">
        <f>IF(C1313&lt;&gt;"",IF(ISERROR((100000/E1313)^(252/N1313)-1),Curva!$B$2,((100000/E1313)^(252/N1313)-1)),"")</f>
        <v>#REF!</v>
      </c>
      <c r="P1313" s="219" t="e">
        <f>IF(OR(G1313=1,G1313=2),dadosexternosBMF_1!B1316,"")</f>
        <v>#REF!</v>
      </c>
      <c r="Q1313" s="219" t="e">
        <f>IF(OR(G1313=1,G1313=2),dadosexternosBMF_1!D1316,"")</f>
        <v>#REF!</v>
      </c>
    </row>
    <row r="1314" spans="1:17" x14ac:dyDescent="0.2">
      <c r="A1314" s="222" t="e">
        <f t="shared" si="138"/>
        <v>#REF!</v>
      </c>
      <c r="B1314" s="222" t="str">
        <f>IF(dadosexternosBMF_1!A1317="DI1 - DI de 1 dia","DI1 - DI de 1 dia","")</f>
        <v/>
      </c>
      <c r="C1314" s="222" t="e">
        <f>IF(dadosexternosBMF_1!A1317="DOL - Dólar comercial","",IF(C1313&lt;&gt;"",dadosexternosBMF_1!B1317,IF(dadosexternosBMF_1!A1317="DI1 - DI de 1 dia",dadosexternosBMF_1!B1317,"")))</f>
        <v>#REF!</v>
      </c>
      <c r="D1314" s="222" t="e">
        <f>IF(C1314&lt;&gt;"",dadosexternosBMF_1!C1317,"")</f>
        <v>#REF!</v>
      </c>
      <c r="E1314" s="222" t="e">
        <f>IF(C1314&lt;&gt;"",dadosexternosBMF_1!D1317,"")</f>
        <v>#REF!</v>
      </c>
      <c r="G1314" s="219" t="e">
        <f t="shared" si="139"/>
        <v>#REF!</v>
      </c>
      <c r="H1314" s="219" t="e">
        <f t="shared" si="140"/>
        <v>#REF!</v>
      </c>
      <c r="I1314" s="219" t="e">
        <f t="shared" si="141"/>
        <v>#REF!</v>
      </c>
      <c r="J1314" s="219" t="e">
        <f>IF(I1314="","",VLOOKUP(LEFT(C1314,1),dadosexternosBMF_1!$L$2:$M$13,2,FALSE))</f>
        <v>#REF!</v>
      </c>
      <c r="K1314" s="219" t="e">
        <f t="shared" si="142"/>
        <v>#REF!</v>
      </c>
      <c r="L1314" s="422" t="e">
        <f t="shared" si="143"/>
        <v>#REF!</v>
      </c>
      <c r="M1314" s="422" t="e">
        <f>IF(I1314="","",WORKDAY(L1314-1,1,FERIADOS!$A$2:$A$831))</f>
        <v>#REF!</v>
      </c>
      <c r="N1314" s="219" t="e">
        <f>IF(I1314="","",NETWORKDAYS(Curva!$M$2,M1314,FERIADOS!$A$2:$A$831)-1)</f>
        <v>#REF!</v>
      </c>
      <c r="O1314" s="423" t="e">
        <f>IF(C1314&lt;&gt;"",IF(ISERROR((100000/E1314)^(252/N1314)-1),Curva!$B$2,((100000/E1314)^(252/N1314)-1)),"")</f>
        <v>#REF!</v>
      </c>
      <c r="P1314" s="219" t="e">
        <f>IF(OR(G1314=1,G1314=2),dadosexternosBMF_1!B1317,"")</f>
        <v>#REF!</v>
      </c>
      <c r="Q1314" s="219" t="e">
        <f>IF(OR(G1314=1,G1314=2),dadosexternosBMF_1!D1317,"")</f>
        <v>#REF!</v>
      </c>
    </row>
    <row r="1315" spans="1:17" x14ac:dyDescent="0.2">
      <c r="A1315" s="222" t="e">
        <f t="shared" si="138"/>
        <v>#REF!</v>
      </c>
      <c r="B1315" s="222" t="str">
        <f>IF(dadosexternosBMF_1!A1318="DI1 - DI de 1 dia","DI1 - DI de 1 dia","")</f>
        <v/>
      </c>
      <c r="C1315" s="222" t="e">
        <f>IF(dadosexternosBMF_1!A1318="DOL - Dólar comercial","",IF(C1314&lt;&gt;"",dadosexternosBMF_1!B1318,IF(dadosexternosBMF_1!A1318="DI1 - DI de 1 dia",dadosexternosBMF_1!B1318,"")))</f>
        <v>#REF!</v>
      </c>
      <c r="D1315" s="222" t="e">
        <f>IF(C1315&lt;&gt;"",dadosexternosBMF_1!C1318,"")</f>
        <v>#REF!</v>
      </c>
      <c r="E1315" s="222" t="e">
        <f>IF(C1315&lt;&gt;"",dadosexternosBMF_1!D1318,"")</f>
        <v>#REF!</v>
      </c>
      <c r="G1315" s="219" t="e">
        <f t="shared" si="139"/>
        <v>#REF!</v>
      </c>
      <c r="H1315" s="219" t="e">
        <f t="shared" si="140"/>
        <v>#REF!</v>
      </c>
      <c r="I1315" s="219" t="e">
        <f t="shared" si="141"/>
        <v>#REF!</v>
      </c>
      <c r="J1315" s="219" t="e">
        <f>IF(I1315="","",VLOOKUP(LEFT(C1315,1),dadosexternosBMF_1!$L$2:$M$13,2,FALSE))</f>
        <v>#REF!</v>
      </c>
      <c r="K1315" s="219" t="e">
        <f t="shared" si="142"/>
        <v>#REF!</v>
      </c>
      <c r="L1315" s="422" t="e">
        <f t="shared" si="143"/>
        <v>#REF!</v>
      </c>
      <c r="M1315" s="422" t="e">
        <f>IF(I1315="","",WORKDAY(L1315-1,1,FERIADOS!$A$2:$A$831))</f>
        <v>#REF!</v>
      </c>
      <c r="N1315" s="219" t="e">
        <f>IF(I1315="","",NETWORKDAYS(Curva!$M$2,M1315,FERIADOS!$A$2:$A$831)-1)</f>
        <v>#REF!</v>
      </c>
      <c r="O1315" s="423" t="e">
        <f>IF(C1315&lt;&gt;"",IF(ISERROR((100000/E1315)^(252/N1315)-1),Curva!$B$2,((100000/E1315)^(252/N1315)-1)),"")</f>
        <v>#REF!</v>
      </c>
      <c r="P1315" s="219" t="e">
        <f>IF(OR(G1315=1,G1315=2),dadosexternosBMF_1!B1318,"")</f>
        <v>#REF!</v>
      </c>
      <c r="Q1315" s="219" t="e">
        <f>IF(OR(G1315=1,G1315=2),dadosexternosBMF_1!D1318,"")</f>
        <v>#REF!</v>
      </c>
    </row>
    <row r="1316" spans="1:17" x14ac:dyDescent="0.2">
      <c r="A1316" s="222" t="e">
        <f t="shared" si="138"/>
        <v>#REF!</v>
      </c>
      <c r="B1316" s="222" t="str">
        <f>IF(dadosexternosBMF_1!A1319="DI1 - DI de 1 dia","DI1 - DI de 1 dia","")</f>
        <v/>
      </c>
      <c r="C1316" s="222" t="e">
        <f>IF(dadosexternosBMF_1!A1319="DOL - Dólar comercial","",IF(C1315&lt;&gt;"",dadosexternosBMF_1!B1319,IF(dadosexternosBMF_1!A1319="DI1 - DI de 1 dia",dadosexternosBMF_1!B1319,"")))</f>
        <v>#REF!</v>
      </c>
      <c r="D1316" s="222" t="e">
        <f>IF(C1316&lt;&gt;"",dadosexternosBMF_1!C1319,"")</f>
        <v>#REF!</v>
      </c>
      <c r="E1316" s="222" t="e">
        <f>IF(C1316&lt;&gt;"",dadosexternosBMF_1!D1319,"")</f>
        <v>#REF!</v>
      </c>
      <c r="G1316" s="219" t="e">
        <f t="shared" si="139"/>
        <v>#REF!</v>
      </c>
      <c r="H1316" s="219" t="e">
        <f t="shared" si="140"/>
        <v>#REF!</v>
      </c>
      <c r="I1316" s="219" t="e">
        <f t="shared" si="141"/>
        <v>#REF!</v>
      </c>
      <c r="J1316" s="219" t="e">
        <f>IF(I1316="","",VLOOKUP(LEFT(C1316,1),dadosexternosBMF_1!$L$2:$M$13,2,FALSE))</f>
        <v>#REF!</v>
      </c>
      <c r="K1316" s="219" t="e">
        <f t="shared" si="142"/>
        <v>#REF!</v>
      </c>
      <c r="L1316" s="422" t="e">
        <f t="shared" si="143"/>
        <v>#REF!</v>
      </c>
      <c r="M1316" s="422" t="e">
        <f>IF(I1316="","",WORKDAY(L1316-1,1,FERIADOS!$A$2:$A$831))</f>
        <v>#REF!</v>
      </c>
      <c r="N1316" s="219" t="e">
        <f>IF(I1316="","",NETWORKDAYS(Curva!$M$2,M1316,FERIADOS!$A$2:$A$831)-1)</f>
        <v>#REF!</v>
      </c>
      <c r="O1316" s="423" t="e">
        <f>IF(C1316&lt;&gt;"",IF(ISERROR((100000/E1316)^(252/N1316)-1),Curva!$B$2,((100000/E1316)^(252/N1316)-1)),"")</f>
        <v>#REF!</v>
      </c>
      <c r="P1316" s="219" t="e">
        <f>IF(OR(G1316=1,G1316=2),dadosexternosBMF_1!B1319,"")</f>
        <v>#REF!</v>
      </c>
      <c r="Q1316" s="219" t="e">
        <f>IF(OR(G1316=1,G1316=2),dadosexternosBMF_1!D1319,"")</f>
        <v>#REF!</v>
      </c>
    </row>
    <row r="1317" spans="1:17" x14ac:dyDescent="0.2">
      <c r="A1317" s="222" t="e">
        <f t="shared" si="138"/>
        <v>#REF!</v>
      </c>
      <c r="B1317" s="222" t="str">
        <f>IF(dadosexternosBMF_1!A1320="DI1 - DI de 1 dia","DI1 - DI de 1 dia","")</f>
        <v/>
      </c>
      <c r="C1317" s="222" t="e">
        <f>IF(dadosexternosBMF_1!A1320="DOL - Dólar comercial","",IF(C1316&lt;&gt;"",dadosexternosBMF_1!B1320,IF(dadosexternosBMF_1!A1320="DI1 - DI de 1 dia",dadosexternosBMF_1!B1320,"")))</f>
        <v>#REF!</v>
      </c>
      <c r="D1317" s="222" t="e">
        <f>IF(C1317&lt;&gt;"",dadosexternosBMF_1!C1320,"")</f>
        <v>#REF!</v>
      </c>
      <c r="E1317" s="222" t="e">
        <f>IF(C1317&lt;&gt;"",dadosexternosBMF_1!D1320,"")</f>
        <v>#REF!</v>
      </c>
      <c r="G1317" s="219" t="e">
        <f t="shared" si="139"/>
        <v>#REF!</v>
      </c>
      <c r="H1317" s="219" t="e">
        <f t="shared" si="140"/>
        <v>#REF!</v>
      </c>
      <c r="I1317" s="219" t="e">
        <f t="shared" si="141"/>
        <v>#REF!</v>
      </c>
      <c r="J1317" s="219" t="e">
        <f>IF(I1317="","",VLOOKUP(LEFT(C1317,1),dadosexternosBMF_1!$L$2:$M$13,2,FALSE))</f>
        <v>#REF!</v>
      </c>
      <c r="K1317" s="219" t="e">
        <f t="shared" si="142"/>
        <v>#REF!</v>
      </c>
      <c r="L1317" s="422" t="e">
        <f t="shared" si="143"/>
        <v>#REF!</v>
      </c>
      <c r="M1317" s="422" t="e">
        <f>IF(I1317="","",WORKDAY(L1317-1,1,FERIADOS!$A$2:$A$831))</f>
        <v>#REF!</v>
      </c>
      <c r="N1317" s="219" t="e">
        <f>IF(I1317="","",NETWORKDAYS(Curva!$M$2,M1317,FERIADOS!$A$2:$A$831)-1)</f>
        <v>#REF!</v>
      </c>
      <c r="O1317" s="423" t="e">
        <f>IF(C1317&lt;&gt;"",IF(ISERROR((100000/E1317)^(252/N1317)-1),Curva!$B$2,((100000/E1317)^(252/N1317)-1)),"")</f>
        <v>#REF!</v>
      </c>
      <c r="P1317" s="219" t="e">
        <f>IF(OR(G1317=1,G1317=2),dadosexternosBMF_1!B1320,"")</f>
        <v>#REF!</v>
      </c>
      <c r="Q1317" s="219" t="e">
        <f>IF(OR(G1317=1,G1317=2),dadosexternosBMF_1!D1320,"")</f>
        <v>#REF!</v>
      </c>
    </row>
    <row r="1318" spans="1:17" x14ac:dyDescent="0.2">
      <c r="A1318" s="222" t="e">
        <f t="shared" si="138"/>
        <v>#REF!</v>
      </c>
      <c r="B1318" s="222" t="str">
        <f>IF(dadosexternosBMF_1!A1321="DI1 - DI de 1 dia","DI1 - DI de 1 dia","")</f>
        <v/>
      </c>
      <c r="C1318" s="222" t="e">
        <f>IF(dadosexternosBMF_1!A1321="DOL - Dólar comercial","",IF(C1317&lt;&gt;"",dadosexternosBMF_1!B1321,IF(dadosexternosBMF_1!A1321="DI1 - DI de 1 dia",dadosexternosBMF_1!B1321,"")))</f>
        <v>#REF!</v>
      </c>
      <c r="D1318" s="222" t="e">
        <f>IF(C1318&lt;&gt;"",dadosexternosBMF_1!C1321,"")</f>
        <v>#REF!</v>
      </c>
      <c r="E1318" s="222" t="e">
        <f>IF(C1318&lt;&gt;"",dadosexternosBMF_1!D1321,"")</f>
        <v>#REF!</v>
      </c>
      <c r="G1318" s="219" t="e">
        <f t="shared" si="139"/>
        <v>#REF!</v>
      </c>
      <c r="H1318" s="219" t="e">
        <f t="shared" si="140"/>
        <v>#REF!</v>
      </c>
      <c r="I1318" s="219" t="e">
        <f t="shared" si="141"/>
        <v>#REF!</v>
      </c>
      <c r="J1318" s="219" t="e">
        <f>IF(I1318="","",VLOOKUP(LEFT(C1318,1),dadosexternosBMF_1!$L$2:$M$13,2,FALSE))</f>
        <v>#REF!</v>
      </c>
      <c r="K1318" s="219" t="e">
        <f t="shared" si="142"/>
        <v>#REF!</v>
      </c>
      <c r="L1318" s="422" t="e">
        <f t="shared" si="143"/>
        <v>#REF!</v>
      </c>
      <c r="M1318" s="422" t="e">
        <f>IF(I1318="","",WORKDAY(L1318-1,1,FERIADOS!$A$2:$A$831))</f>
        <v>#REF!</v>
      </c>
      <c r="N1318" s="219" t="e">
        <f>IF(I1318="","",NETWORKDAYS(Curva!$M$2,M1318,FERIADOS!$A$2:$A$831)-1)</f>
        <v>#REF!</v>
      </c>
      <c r="O1318" s="423" t="e">
        <f>IF(C1318&lt;&gt;"",IF(ISERROR((100000/E1318)^(252/N1318)-1),Curva!$B$2,((100000/E1318)^(252/N1318)-1)),"")</f>
        <v>#REF!</v>
      </c>
      <c r="P1318" s="219" t="e">
        <f>IF(OR(G1318=1,G1318=2),dadosexternosBMF_1!B1321,"")</f>
        <v>#REF!</v>
      </c>
      <c r="Q1318" s="219" t="e">
        <f>IF(OR(G1318=1,G1318=2),dadosexternosBMF_1!D1321,"")</f>
        <v>#REF!</v>
      </c>
    </row>
    <row r="1319" spans="1:17" x14ac:dyDescent="0.2">
      <c r="A1319" s="222" t="e">
        <f t="shared" si="138"/>
        <v>#REF!</v>
      </c>
      <c r="B1319" s="222" t="str">
        <f>IF(dadosexternosBMF_1!A1322="DI1 - DI de 1 dia","DI1 - DI de 1 dia","")</f>
        <v/>
      </c>
      <c r="C1319" s="222" t="e">
        <f>IF(dadosexternosBMF_1!A1322="DOL - Dólar comercial","",IF(C1318&lt;&gt;"",dadosexternosBMF_1!B1322,IF(dadosexternosBMF_1!A1322="DI1 - DI de 1 dia",dadosexternosBMF_1!B1322,"")))</f>
        <v>#REF!</v>
      </c>
      <c r="D1319" s="222" t="e">
        <f>IF(C1319&lt;&gt;"",dadosexternosBMF_1!C1322,"")</f>
        <v>#REF!</v>
      </c>
      <c r="E1319" s="222" t="e">
        <f>IF(C1319&lt;&gt;"",dadosexternosBMF_1!D1322,"")</f>
        <v>#REF!</v>
      </c>
      <c r="G1319" s="219" t="e">
        <f t="shared" si="139"/>
        <v>#REF!</v>
      </c>
      <c r="H1319" s="219" t="e">
        <f t="shared" si="140"/>
        <v>#REF!</v>
      </c>
      <c r="I1319" s="219" t="e">
        <f t="shared" si="141"/>
        <v>#REF!</v>
      </c>
      <c r="J1319" s="219" t="e">
        <f>IF(I1319="","",VLOOKUP(LEFT(C1319,1),dadosexternosBMF_1!$L$2:$M$13,2,FALSE))</f>
        <v>#REF!</v>
      </c>
      <c r="K1319" s="219" t="e">
        <f t="shared" si="142"/>
        <v>#REF!</v>
      </c>
      <c r="L1319" s="422" t="e">
        <f t="shared" si="143"/>
        <v>#REF!</v>
      </c>
      <c r="M1319" s="422" t="e">
        <f>IF(I1319="","",WORKDAY(L1319-1,1,FERIADOS!$A$2:$A$831))</f>
        <v>#REF!</v>
      </c>
      <c r="N1319" s="219" t="e">
        <f>IF(I1319="","",NETWORKDAYS(Curva!$M$2,M1319,FERIADOS!$A$2:$A$831)-1)</f>
        <v>#REF!</v>
      </c>
      <c r="O1319" s="423" t="e">
        <f>IF(C1319&lt;&gt;"",IF(ISERROR((100000/E1319)^(252/N1319)-1),Curva!$B$2,((100000/E1319)^(252/N1319)-1)),"")</f>
        <v>#REF!</v>
      </c>
      <c r="P1319" s="219" t="e">
        <f>IF(OR(G1319=1,G1319=2),dadosexternosBMF_1!B1322,"")</f>
        <v>#REF!</v>
      </c>
      <c r="Q1319" s="219" t="e">
        <f>IF(OR(G1319=1,G1319=2),dadosexternosBMF_1!D1322,"")</f>
        <v>#REF!</v>
      </c>
    </row>
    <row r="1320" spans="1:17" x14ac:dyDescent="0.2">
      <c r="A1320" s="222" t="e">
        <f t="shared" si="138"/>
        <v>#REF!</v>
      </c>
      <c r="B1320" s="222" t="str">
        <f>IF(dadosexternosBMF_1!A1323="DI1 - DI de 1 dia","DI1 - DI de 1 dia","")</f>
        <v/>
      </c>
      <c r="C1320" s="222" t="e">
        <f>IF(dadosexternosBMF_1!A1323="DOL - Dólar comercial","",IF(C1319&lt;&gt;"",dadosexternosBMF_1!B1323,IF(dadosexternosBMF_1!A1323="DI1 - DI de 1 dia",dadosexternosBMF_1!B1323,"")))</f>
        <v>#REF!</v>
      </c>
      <c r="D1320" s="222" t="e">
        <f>IF(C1320&lt;&gt;"",dadosexternosBMF_1!C1323,"")</f>
        <v>#REF!</v>
      </c>
      <c r="E1320" s="222" t="e">
        <f>IF(C1320&lt;&gt;"",dadosexternosBMF_1!D1323,"")</f>
        <v>#REF!</v>
      </c>
      <c r="G1320" s="219" t="e">
        <f t="shared" si="139"/>
        <v>#REF!</v>
      </c>
      <c r="H1320" s="219" t="e">
        <f t="shared" si="140"/>
        <v>#REF!</v>
      </c>
      <c r="I1320" s="219" t="e">
        <f t="shared" si="141"/>
        <v>#REF!</v>
      </c>
      <c r="J1320" s="219" t="e">
        <f>IF(I1320="","",VLOOKUP(LEFT(C1320,1),dadosexternosBMF_1!$L$2:$M$13,2,FALSE))</f>
        <v>#REF!</v>
      </c>
      <c r="K1320" s="219" t="e">
        <f t="shared" si="142"/>
        <v>#REF!</v>
      </c>
      <c r="L1320" s="422" t="e">
        <f t="shared" si="143"/>
        <v>#REF!</v>
      </c>
      <c r="M1320" s="422" t="e">
        <f>IF(I1320="","",WORKDAY(L1320-1,1,FERIADOS!$A$2:$A$831))</f>
        <v>#REF!</v>
      </c>
      <c r="N1320" s="219" t="e">
        <f>IF(I1320="","",NETWORKDAYS(Curva!$M$2,M1320,FERIADOS!$A$2:$A$831)-1)</f>
        <v>#REF!</v>
      </c>
      <c r="O1320" s="423" t="e">
        <f>IF(C1320&lt;&gt;"",IF(ISERROR((100000/E1320)^(252/N1320)-1),Curva!$B$2,((100000/E1320)^(252/N1320)-1)),"")</f>
        <v>#REF!</v>
      </c>
      <c r="P1320" s="219" t="e">
        <f>IF(OR(G1320=1,G1320=2),dadosexternosBMF_1!B1323,"")</f>
        <v>#REF!</v>
      </c>
      <c r="Q1320" s="219" t="e">
        <f>IF(OR(G1320=1,G1320=2),dadosexternosBMF_1!D1323,"")</f>
        <v>#REF!</v>
      </c>
    </row>
    <row r="1321" spans="1:17" x14ac:dyDescent="0.2">
      <c r="A1321" s="222" t="e">
        <f t="shared" si="138"/>
        <v>#REF!</v>
      </c>
      <c r="B1321" s="222" t="str">
        <f>IF(dadosexternosBMF_1!A1324="DI1 - DI de 1 dia","DI1 - DI de 1 dia","")</f>
        <v/>
      </c>
      <c r="C1321" s="222" t="e">
        <f>IF(dadosexternosBMF_1!A1324="DOL - Dólar comercial","",IF(C1320&lt;&gt;"",dadosexternosBMF_1!B1324,IF(dadosexternosBMF_1!A1324="DI1 - DI de 1 dia",dadosexternosBMF_1!B1324,"")))</f>
        <v>#REF!</v>
      </c>
      <c r="D1321" s="222" t="e">
        <f>IF(C1321&lt;&gt;"",dadosexternosBMF_1!C1324,"")</f>
        <v>#REF!</v>
      </c>
      <c r="E1321" s="222" t="e">
        <f>IF(C1321&lt;&gt;"",dadosexternosBMF_1!D1324,"")</f>
        <v>#REF!</v>
      </c>
      <c r="G1321" s="219" t="e">
        <f t="shared" si="139"/>
        <v>#REF!</v>
      </c>
      <c r="H1321" s="219" t="e">
        <f t="shared" si="140"/>
        <v>#REF!</v>
      </c>
      <c r="I1321" s="219" t="e">
        <f t="shared" si="141"/>
        <v>#REF!</v>
      </c>
      <c r="J1321" s="219" t="e">
        <f>IF(I1321="","",VLOOKUP(LEFT(C1321,1),dadosexternosBMF_1!$L$2:$M$13,2,FALSE))</f>
        <v>#REF!</v>
      </c>
      <c r="K1321" s="219" t="e">
        <f t="shared" si="142"/>
        <v>#REF!</v>
      </c>
      <c r="L1321" s="422" t="e">
        <f t="shared" si="143"/>
        <v>#REF!</v>
      </c>
      <c r="M1321" s="422" t="e">
        <f>IF(I1321="","",WORKDAY(L1321-1,1,FERIADOS!$A$2:$A$831))</f>
        <v>#REF!</v>
      </c>
      <c r="N1321" s="219" t="e">
        <f>IF(I1321="","",NETWORKDAYS(Curva!$M$2,M1321,FERIADOS!$A$2:$A$831)-1)</f>
        <v>#REF!</v>
      </c>
      <c r="O1321" s="423" t="e">
        <f>IF(C1321&lt;&gt;"",IF(ISERROR((100000/E1321)^(252/N1321)-1),Curva!$B$2,((100000/E1321)^(252/N1321)-1)),"")</f>
        <v>#REF!</v>
      </c>
      <c r="P1321" s="219" t="e">
        <f>IF(OR(G1321=1,G1321=2),dadosexternosBMF_1!B1324,"")</f>
        <v>#REF!</v>
      </c>
      <c r="Q1321" s="219" t="e">
        <f>IF(OR(G1321=1,G1321=2),dadosexternosBMF_1!D1324,"")</f>
        <v>#REF!</v>
      </c>
    </row>
    <row r="1322" spans="1:17" x14ac:dyDescent="0.2">
      <c r="A1322" s="222" t="e">
        <f t="shared" si="138"/>
        <v>#REF!</v>
      </c>
      <c r="B1322" s="222" t="str">
        <f>IF(dadosexternosBMF_1!A1325="DI1 - DI de 1 dia","DI1 - DI de 1 dia","")</f>
        <v/>
      </c>
      <c r="C1322" s="222" t="e">
        <f>IF(dadosexternosBMF_1!A1325="DOL - Dólar comercial","",IF(C1321&lt;&gt;"",dadosexternosBMF_1!B1325,IF(dadosexternosBMF_1!A1325="DI1 - DI de 1 dia",dadosexternosBMF_1!B1325,"")))</f>
        <v>#REF!</v>
      </c>
      <c r="D1322" s="222" t="e">
        <f>IF(C1322&lt;&gt;"",dadosexternosBMF_1!C1325,"")</f>
        <v>#REF!</v>
      </c>
      <c r="E1322" s="222" t="e">
        <f>IF(C1322&lt;&gt;"",dadosexternosBMF_1!D1325,"")</f>
        <v>#REF!</v>
      </c>
      <c r="G1322" s="219" t="e">
        <f t="shared" si="139"/>
        <v>#REF!</v>
      </c>
      <c r="H1322" s="219" t="e">
        <f t="shared" si="140"/>
        <v>#REF!</v>
      </c>
      <c r="I1322" s="219" t="e">
        <f t="shared" si="141"/>
        <v>#REF!</v>
      </c>
      <c r="J1322" s="219" t="e">
        <f>IF(I1322="","",VLOOKUP(LEFT(C1322,1),dadosexternosBMF_1!$L$2:$M$13,2,FALSE))</f>
        <v>#REF!</v>
      </c>
      <c r="K1322" s="219" t="e">
        <f t="shared" si="142"/>
        <v>#REF!</v>
      </c>
      <c r="L1322" s="422" t="e">
        <f t="shared" si="143"/>
        <v>#REF!</v>
      </c>
      <c r="M1322" s="422" t="e">
        <f>IF(I1322="","",WORKDAY(L1322-1,1,FERIADOS!$A$2:$A$831))</f>
        <v>#REF!</v>
      </c>
      <c r="N1322" s="219" t="e">
        <f>IF(I1322="","",NETWORKDAYS(Curva!$M$2,M1322,FERIADOS!$A$2:$A$831)-1)</f>
        <v>#REF!</v>
      </c>
      <c r="O1322" s="423" t="e">
        <f>IF(C1322&lt;&gt;"",IF(ISERROR((100000/E1322)^(252/N1322)-1),Curva!$B$2,((100000/E1322)^(252/N1322)-1)),"")</f>
        <v>#REF!</v>
      </c>
      <c r="P1322" s="219" t="e">
        <f>IF(OR(G1322=1,G1322=2),dadosexternosBMF_1!B1325,"")</f>
        <v>#REF!</v>
      </c>
      <c r="Q1322" s="219" t="e">
        <f>IF(OR(G1322=1,G1322=2),dadosexternosBMF_1!D1325,"")</f>
        <v>#REF!</v>
      </c>
    </row>
    <row r="1323" spans="1:17" x14ac:dyDescent="0.2">
      <c r="A1323" s="222" t="e">
        <f t="shared" si="138"/>
        <v>#REF!</v>
      </c>
      <c r="B1323" s="222" t="str">
        <f>IF(dadosexternosBMF_1!A1326="DI1 - DI de 1 dia","DI1 - DI de 1 dia","")</f>
        <v/>
      </c>
      <c r="C1323" s="222" t="e">
        <f>IF(dadosexternosBMF_1!A1326="DOL - Dólar comercial","",IF(C1322&lt;&gt;"",dadosexternosBMF_1!B1326,IF(dadosexternosBMF_1!A1326="DI1 - DI de 1 dia",dadosexternosBMF_1!B1326,"")))</f>
        <v>#REF!</v>
      </c>
      <c r="D1323" s="222" t="e">
        <f>IF(C1323&lt;&gt;"",dadosexternosBMF_1!C1326,"")</f>
        <v>#REF!</v>
      </c>
      <c r="E1323" s="222" t="e">
        <f>IF(C1323&lt;&gt;"",dadosexternosBMF_1!D1326,"")</f>
        <v>#REF!</v>
      </c>
      <c r="G1323" s="219" t="e">
        <f t="shared" si="139"/>
        <v>#REF!</v>
      </c>
      <c r="H1323" s="219" t="e">
        <f t="shared" si="140"/>
        <v>#REF!</v>
      </c>
      <c r="I1323" s="219" t="e">
        <f t="shared" si="141"/>
        <v>#REF!</v>
      </c>
      <c r="J1323" s="219" t="e">
        <f>IF(I1323="","",VLOOKUP(LEFT(C1323,1),dadosexternosBMF_1!$L$2:$M$13,2,FALSE))</f>
        <v>#REF!</v>
      </c>
      <c r="K1323" s="219" t="e">
        <f t="shared" si="142"/>
        <v>#REF!</v>
      </c>
      <c r="L1323" s="422" t="e">
        <f t="shared" si="143"/>
        <v>#REF!</v>
      </c>
      <c r="M1323" s="422" t="e">
        <f>IF(I1323="","",WORKDAY(L1323-1,1,FERIADOS!$A$2:$A$831))</f>
        <v>#REF!</v>
      </c>
      <c r="N1323" s="219" t="e">
        <f>IF(I1323="","",NETWORKDAYS(Curva!$M$2,M1323,FERIADOS!$A$2:$A$831)-1)</f>
        <v>#REF!</v>
      </c>
      <c r="O1323" s="423" t="e">
        <f>IF(C1323&lt;&gt;"",IF(ISERROR((100000/E1323)^(252/N1323)-1),Curva!$B$2,((100000/E1323)^(252/N1323)-1)),"")</f>
        <v>#REF!</v>
      </c>
      <c r="P1323" s="219" t="e">
        <f>IF(OR(G1323=1,G1323=2),dadosexternosBMF_1!B1326,"")</f>
        <v>#REF!</v>
      </c>
      <c r="Q1323" s="219" t="e">
        <f>IF(OR(G1323=1,G1323=2),dadosexternosBMF_1!D1326,"")</f>
        <v>#REF!</v>
      </c>
    </row>
    <row r="1324" spans="1:17" x14ac:dyDescent="0.2">
      <c r="A1324" s="222" t="e">
        <f t="shared" si="138"/>
        <v>#REF!</v>
      </c>
      <c r="B1324" s="222" t="str">
        <f>IF(dadosexternosBMF_1!A1327="DI1 - DI de 1 dia","DI1 - DI de 1 dia","")</f>
        <v/>
      </c>
      <c r="C1324" s="222" t="e">
        <f>IF(dadosexternosBMF_1!A1327="DOL - Dólar comercial","",IF(C1323&lt;&gt;"",dadosexternosBMF_1!B1327,IF(dadosexternosBMF_1!A1327="DI1 - DI de 1 dia",dadosexternosBMF_1!B1327,"")))</f>
        <v>#REF!</v>
      </c>
      <c r="D1324" s="222" t="e">
        <f>IF(C1324&lt;&gt;"",dadosexternosBMF_1!C1327,"")</f>
        <v>#REF!</v>
      </c>
      <c r="E1324" s="222" t="e">
        <f>IF(C1324&lt;&gt;"",dadosexternosBMF_1!D1327,"")</f>
        <v>#REF!</v>
      </c>
      <c r="G1324" s="219" t="e">
        <f t="shared" si="139"/>
        <v>#REF!</v>
      </c>
      <c r="H1324" s="219" t="e">
        <f t="shared" si="140"/>
        <v>#REF!</v>
      </c>
      <c r="I1324" s="219" t="e">
        <f t="shared" si="141"/>
        <v>#REF!</v>
      </c>
      <c r="J1324" s="219" t="e">
        <f>IF(I1324="","",VLOOKUP(LEFT(C1324,1),dadosexternosBMF_1!$L$2:$M$13,2,FALSE))</f>
        <v>#REF!</v>
      </c>
      <c r="K1324" s="219" t="e">
        <f t="shared" si="142"/>
        <v>#REF!</v>
      </c>
      <c r="L1324" s="422" t="e">
        <f t="shared" si="143"/>
        <v>#REF!</v>
      </c>
      <c r="M1324" s="422" t="e">
        <f>IF(I1324="","",WORKDAY(L1324-1,1,FERIADOS!$A$2:$A$831))</f>
        <v>#REF!</v>
      </c>
      <c r="N1324" s="219" t="e">
        <f>IF(I1324="","",NETWORKDAYS(Curva!$M$2,M1324,FERIADOS!$A$2:$A$831)-1)</f>
        <v>#REF!</v>
      </c>
      <c r="O1324" s="423" t="e">
        <f>IF(C1324&lt;&gt;"",IF(ISERROR((100000/E1324)^(252/N1324)-1),Curva!$B$2,((100000/E1324)^(252/N1324)-1)),"")</f>
        <v>#REF!</v>
      </c>
      <c r="P1324" s="219" t="e">
        <f>IF(OR(G1324=1,G1324=2),dadosexternosBMF_1!B1327,"")</f>
        <v>#REF!</v>
      </c>
      <c r="Q1324" s="219" t="e">
        <f>IF(OR(G1324=1,G1324=2),dadosexternosBMF_1!D1327,"")</f>
        <v>#REF!</v>
      </c>
    </row>
    <row r="1325" spans="1:17" x14ac:dyDescent="0.2">
      <c r="A1325" s="222" t="e">
        <f t="shared" si="138"/>
        <v>#REF!</v>
      </c>
      <c r="B1325" s="222" t="str">
        <f>IF(dadosexternosBMF_1!A1328="DI1 - DI de 1 dia","DI1 - DI de 1 dia","")</f>
        <v/>
      </c>
      <c r="C1325" s="222" t="e">
        <f>IF(dadosexternosBMF_1!A1328="DOL - Dólar comercial","",IF(C1324&lt;&gt;"",dadosexternosBMF_1!B1328,IF(dadosexternosBMF_1!A1328="DI1 - DI de 1 dia",dadosexternosBMF_1!B1328,"")))</f>
        <v>#REF!</v>
      </c>
      <c r="D1325" s="222" t="e">
        <f>IF(C1325&lt;&gt;"",dadosexternosBMF_1!C1328,"")</f>
        <v>#REF!</v>
      </c>
      <c r="E1325" s="222" t="e">
        <f>IF(C1325&lt;&gt;"",dadosexternosBMF_1!D1328,"")</f>
        <v>#REF!</v>
      </c>
      <c r="G1325" s="219" t="e">
        <f t="shared" si="139"/>
        <v>#REF!</v>
      </c>
      <c r="H1325" s="219" t="e">
        <f t="shared" si="140"/>
        <v>#REF!</v>
      </c>
      <c r="I1325" s="219" t="e">
        <f t="shared" si="141"/>
        <v>#REF!</v>
      </c>
      <c r="J1325" s="219" t="e">
        <f>IF(I1325="","",VLOOKUP(LEFT(C1325,1),dadosexternosBMF_1!$L$2:$M$13,2,FALSE))</f>
        <v>#REF!</v>
      </c>
      <c r="K1325" s="219" t="e">
        <f t="shared" si="142"/>
        <v>#REF!</v>
      </c>
      <c r="L1325" s="422" t="e">
        <f t="shared" si="143"/>
        <v>#REF!</v>
      </c>
      <c r="M1325" s="422" t="e">
        <f>IF(I1325="","",WORKDAY(L1325-1,1,FERIADOS!$A$2:$A$831))</f>
        <v>#REF!</v>
      </c>
      <c r="N1325" s="219" t="e">
        <f>IF(I1325="","",NETWORKDAYS(Curva!$M$2,M1325,FERIADOS!$A$2:$A$831)-1)</f>
        <v>#REF!</v>
      </c>
      <c r="O1325" s="423" t="e">
        <f>IF(C1325&lt;&gt;"",IF(ISERROR((100000/E1325)^(252/N1325)-1),Curva!$B$2,((100000/E1325)^(252/N1325)-1)),"")</f>
        <v>#REF!</v>
      </c>
      <c r="P1325" s="219" t="e">
        <f>IF(OR(G1325=1,G1325=2),dadosexternosBMF_1!B1328,"")</f>
        <v>#REF!</v>
      </c>
      <c r="Q1325" s="219" t="e">
        <f>IF(OR(G1325=1,G1325=2),dadosexternosBMF_1!D1328,"")</f>
        <v>#REF!</v>
      </c>
    </row>
    <row r="1326" spans="1:17" x14ac:dyDescent="0.2">
      <c r="A1326" s="222" t="e">
        <f t="shared" si="138"/>
        <v>#REF!</v>
      </c>
      <c r="B1326" s="222" t="str">
        <f>IF(dadosexternosBMF_1!A1329="DI1 - DI de 1 dia","DI1 - DI de 1 dia","")</f>
        <v/>
      </c>
      <c r="C1326" s="222" t="e">
        <f>IF(dadosexternosBMF_1!A1329="DOL - Dólar comercial","",IF(C1325&lt;&gt;"",dadosexternosBMF_1!B1329,IF(dadosexternosBMF_1!A1329="DI1 - DI de 1 dia",dadosexternosBMF_1!B1329,"")))</f>
        <v>#REF!</v>
      </c>
      <c r="D1326" s="222" t="e">
        <f>IF(C1326&lt;&gt;"",dadosexternosBMF_1!C1329,"")</f>
        <v>#REF!</v>
      </c>
      <c r="E1326" s="222" t="e">
        <f>IF(C1326&lt;&gt;"",dadosexternosBMF_1!D1329,"")</f>
        <v>#REF!</v>
      </c>
      <c r="G1326" s="219" t="e">
        <f t="shared" si="139"/>
        <v>#REF!</v>
      </c>
      <c r="H1326" s="219" t="e">
        <f t="shared" si="140"/>
        <v>#REF!</v>
      </c>
      <c r="I1326" s="219" t="e">
        <f t="shared" si="141"/>
        <v>#REF!</v>
      </c>
      <c r="J1326" s="219" t="e">
        <f>IF(I1326="","",VLOOKUP(LEFT(C1326,1),dadosexternosBMF_1!$L$2:$M$13,2,FALSE))</f>
        <v>#REF!</v>
      </c>
      <c r="K1326" s="219" t="e">
        <f t="shared" si="142"/>
        <v>#REF!</v>
      </c>
      <c r="L1326" s="422" t="e">
        <f t="shared" si="143"/>
        <v>#REF!</v>
      </c>
      <c r="M1326" s="422" t="e">
        <f>IF(I1326="","",WORKDAY(L1326-1,1,FERIADOS!$A$2:$A$831))</f>
        <v>#REF!</v>
      </c>
      <c r="N1326" s="219" t="e">
        <f>IF(I1326="","",NETWORKDAYS(Curva!$M$2,M1326,FERIADOS!$A$2:$A$831)-1)</f>
        <v>#REF!</v>
      </c>
      <c r="O1326" s="423" t="e">
        <f>IF(C1326&lt;&gt;"",IF(ISERROR((100000/E1326)^(252/N1326)-1),Curva!$B$2,((100000/E1326)^(252/N1326)-1)),"")</f>
        <v>#REF!</v>
      </c>
      <c r="P1326" s="219" t="e">
        <f>IF(OR(G1326=1,G1326=2),dadosexternosBMF_1!B1329,"")</f>
        <v>#REF!</v>
      </c>
      <c r="Q1326" s="219" t="e">
        <f>IF(OR(G1326=1,G1326=2),dadosexternosBMF_1!D1329,"")</f>
        <v>#REF!</v>
      </c>
    </row>
    <row r="1327" spans="1:17" x14ac:dyDescent="0.2">
      <c r="A1327" s="222" t="e">
        <f t="shared" si="138"/>
        <v>#REF!</v>
      </c>
      <c r="B1327" s="222" t="str">
        <f>IF(dadosexternosBMF_1!A1330="DI1 - DI de 1 dia","DI1 - DI de 1 dia","")</f>
        <v/>
      </c>
      <c r="C1327" s="222" t="e">
        <f>IF(dadosexternosBMF_1!A1330="DOL - Dólar comercial","",IF(C1326&lt;&gt;"",dadosexternosBMF_1!B1330,IF(dadosexternosBMF_1!A1330="DI1 - DI de 1 dia",dadosexternosBMF_1!B1330,"")))</f>
        <v>#REF!</v>
      </c>
      <c r="D1327" s="222" t="e">
        <f>IF(C1327&lt;&gt;"",dadosexternosBMF_1!C1330,"")</f>
        <v>#REF!</v>
      </c>
      <c r="E1327" s="222" t="e">
        <f>IF(C1327&lt;&gt;"",dadosexternosBMF_1!D1330,"")</f>
        <v>#REF!</v>
      </c>
      <c r="G1327" s="219" t="e">
        <f t="shared" si="139"/>
        <v>#REF!</v>
      </c>
      <c r="H1327" s="219" t="e">
        <f t="shared" si="140"/>
        <v>#REF!</v>
      </c>
      <c r="I1327" s="219" t="e">
        <f t="shared" si="141"/>
        <v>#REF!</v>
      </c>
      <c r="J1327" s="219" t="e">
        <f>IF(I1327="","",VLOOKUP(LEFT(C1327,1),dadosexternosBMF_1!$L$2:$M$13,2,FALSE))</f>
        <v>#REF!</v>
      </c>
      <c r="K1327" s="219" t="e">
        <f t="shared" si="142"/>
        <v>#REF!</v>
      </c>
      <c r="L1327" s="422" t="e">
        <f t="shared" si="143"/>
        <v>#REF!</v>
      </c>
      <c r="M1327" s="422" t="e">
        <f>IF(I1327="","",WORKDAY(L1327-1,1,FERIADOS!$A$2:$A$831))</f>
        <v>#REF!</v>
      </c>
      <c r="N1327" s="219" t="e">
        <f>IF(I1327="","",NETWORKDAYS(Curva!$M$2,M1327,FERIADOS!$A$2:$A$831)-1)</f>
        <v>#REF!</v>
      </c>
      <c r="O1327" s="423" t="e">
        <f>IF(C1327&lt;&gt;"",IF(ISERROR((100000/E1327)^(252/N1327)-1),Curva!$B$2,((100000/E1327)^(252/N1327)-1)),"")</f>
        <v>#REF!</v>
      </c>
      <c r="P1327" s="219" t="e">
        <f>IF(OR(G1327=1,G1327=2),dadosexternosBMF_1!B1330,"")</f>
        <v>#REF!</v>
      </c>
      <c r="Q1327" s="219" t="e">
        <f>IF(OR(G1327=1,G1327=2),dadosexternosBMF_1!D1330,"")</f>
        <v>#REF!</v>
      </c>
    </row>
    <row r="1328" spans="1:17" x14ac:dyDescent="0.2">
      <c r="A1328" s="222" t="e">
        <f t="shared" si="138"/>
        <v>#REF!</v>
      </c>
      <c r="B1328" s="222" t="str">
        <f>IF(dadosexternosBMF_1!A1331="DI1 - DI de 1 dia","DI1 - DI de 1 dia","")</f>
        <v/>
      </c>
      <c r="C1328" s="222" t="e">
        <f>IF(dadosexternosBMF_1!A1331="DOL - Dólar comercial","",IF(C1327&lt;&gt;"",dadosexternosBMF_1!B1331,IF(dadosexternosBMF_1!A1331="DI1 - DI de 1 dia",dadosexternosBMF_1!B1331,"")))</f>
        <v>#REF!</v>
      </c>
      <c r="D1328" s="222" t="e">
        <f>IF(C1328&lt;&gt;"",dadosexternosBMF_1!C1331,"")</f>
        <v>#REF!</v>
      </c>
      <c r="E1328" s="222" t="e">
        <f>IF(C1328&lt;&gt;"",dadosexternosBMF_1!D1331,"")</f>
        <v>#REF!</v>
      </c>
      <c r="G1328" s="219" t="e">
        <f t="shared" si="139"/>
        <v>#REF!</v>
      </c>
      <c r="H1328" s="219" t="e">
        <f t="shared" si="140"/>
        <v>#REF!</v>
      </c>
      <c r="I1328" s="219" t="e">
        <f t="shared" si="141"/>
        <v>#REF!</v>
      </c>
      <c r="J1328" s="219" t="e">
        <f>IF(I1328="","",VLOOKUP(LEFT(C1328,1),dadosexternosBMF_1!$L$2:$M$13,2,FALSE))</f>
        <v>#REF!</v>
      </c>
      <c r="K1328" s="219" t="e">
        <f t="shared" si="142"/>
        <v>#REF!</v>
      </c>
      <c r="L1328" s="422" t="e">
        <f t="shared" si="143"/>
        <v>#REF!</v>
      </c>
      <c r="M1328" s="422" t="e">
        <f>IF(I1328="","",WORKDAY(L1328-1,1,FERIADOS!$A$2:$A$831))</f>
        <v>#REF!</v>
      </c>
      <c r="N1328" s="219" t="e">
        <f>IF(I1328="","",NETWORKDAYS(Curva!$M$2,M1328,FERIADOS!$A$2:$A$831)-1)</f>
        <v>#REF!</v>
      </c>
      <c r="O1328" s="423" t="e">
        <f>IF(C1328&lt;&gt;"",IF(ISERROR((100000/E1328)^(252/N1328)-1),Curva!$B$2,((100000/E1328)^(252/N1328)-1)),"")</f>
        <v>#REF!</v>
      </c>
      <c r="P1328" s="219" t="e">
        <f>IF(OR(G1328=1,G1328=2),dadosexternosBMF_1!B1331,"")</f>
        <v>#REF!</v>
      </c>
      <c r="Q1328" s="219" t="e">
        <f>IF(OR(G1328=1,G1328=2),dadosexternosBMF_1!D1331,"")</f>
        <v>#REF!</v>
      </c>
    </row>
    <row r="1329" spans="1:17" x14ac:dyDescent="0.2">
      <c r="A1329" s="222" t="e">
        <f t="shared" si="138"/>
        <v>#REF!</v>
      </c>
      <c r="B1329" s="222" t="str">
        <f>IF(dadosexternosBMF_1!A1332="DI1 - DI de 1 dia","DI1 - DI de 1 dia","")</f>
        <v/>
      </c>
      <c r="C1329" s="222" t="e">
        <f>IF(dadosexternosBMF_1!A1332="DOL - Dólar comercial","",IF(C1328&lt;&gt;"",dadosexternosBMF_1!B1332,IF(dadosexternosBMF_1!A1332="DI1 - DI de 1 dia",dadosexternosBMF_1!B1332,"")))</f>
        <v>#REF!</v>
      </c>
      <c r="D1329" s="222" t="e">
        <f>IF(C1329&lt;&gt;"",dadosexternosBMF_1!C1332,"")</f>
        <v>#REF!</v>
      </c>
      <c r="E1329" s="222" t="e">
        <f>IF(C1329&lt;&gt;"",dadosexternosBMF_1!D1332,"")</f>
        <v>#REF!</v>
      </c>
      <c r="G1329" s="219" t="e">
        <f t="shared" si="139"/>
        <v>#REF!</v>
      </c>
      <c r="H1329" s="219" t="e">
        <f t="shared" si="140"/>
        <v>#REF!</v>
      </c>
      <c r="I1329" s="219" t="e">
        <f t="shared" si="141"/>
        <v>#REF!</v>
      </c>
      <c r="J1329" s="219" t="e">
        <f>IF(I1329="","",VLOOKUP(LEFT(C1329,1),dadosexternosBMF_1!$L$2:$M$13,2,FALSE))</f>
        <v>#REF!</v>
      </c>
      <c r="K1329" s="219" t="e">
        <f t="shared" si="142"/>
        <v>#REF!</v>
      </c>
      <c r="L1329" s="422" t="e">
        <f t="shared" si="143"/>
        <v>#REF!</v>
      </c>
      <c r="M1329" s="422" t="e">
        <f>IF(I1329="","",WORKDAY(L1329-1,1,FERIADOS!$A$2:$A$831))</f>
        <v>#REF!</v>
      </c>
      <c r="N1329" s="219" t="e">
        <f>IF(I1329="","",NETWORKDAYS(Curva!$M$2,M1329,FERIADOS!$A$2:$A$831)-1)</f>
        <v>#REF!</v>
      </c>
      <c r="O1329" s="423" t="e">
        <f>IF(C1329&lt;&gt;"",IF(ISERROR((100000/E1329)^(252/N1329)-1),Curva!$B$2,((100000/E1329)^(252/N1329)-1)),"")</f>
        <v>#REF!</v>
      </c>
      <c r="P1329" s="219" t="e">
        <f>IF(OR(G1329=1,G1329=2),dadosexternosBMF_1!B1332,"")</f>
        <v>#REF!</v>
      </c>
      <c r="Q1329" s="219" t="e">
        <f>IF(OR(G1329=1,G1329=2),dadosexternosBMF_1!D1332,"")</f>
        <v>#REF!</v>
      </c>
    </row>
    <row r="1330" spans="1:17" x14ac:dyDescent="0.2">
      <c r="A1330" s="222" t="e">
        <f t="shared" si="138"/>
        <v>#REF!</v>
      </c>
      <c r="B1330" s="222" t="str">
        <f>IF(dadosexternosBMF_1!A1333="DI1 - DI de 1 dia","DI1 - DI de 1 dia","")</f>
        <v/>
      </c>
      <c r="C1330" s="222" t="e">
        <f>IF(dadosexternosBMF_1!A1333="DOL - Dólar comercial","",IF(C1329&lt;&gt;"",dadosexternosBMF_1!B1333,IF(dadosexternosBMF_1!A1333="DI1 - DI de 1 dia",dadosexternosBMF_1!B1333,"")))</f>
        <v>#REF!</v>
      </c>
      <c r="D1330" s="222" t="e">
        <f>IF(C1330&lt;&gt;"",dadosexternosBMF_1!C1333,"")</f>
        <v>#REF!</v>
      </c>
      <c r="E1330" s="222" t="e">
        <f>IF(C1330&lt;&gt;"",dadosexternosBMF_1!D1333,"")</f>
        <v>#REF!</v>
      </c>
      <c r="G1330" s="219" t="e">
        <f t="shared" si="139"/>
        <v>#REF!</v>
      </c>
      <c r="H1330" s="219" t="e">
        <f t="shared" si="140"/>
        <v>#REF!</v>
      </c>
      <c r="I1330" s="219" t="e">
        <f t="shared" si="141"/>
        <v>#REF!</v>
      </c>
      <c r="J1330" s="219" t="e">
        <f>IF(I1330="","",VLOOKUP(LEFT(C1330,1),dadosexternosBMF_1!$L$2:$M$13,2,FALSE))</f>
        <v>#REF!</v>
      </c>
      <c r="K1330" s="219" t="e">
        <f t="shared" si="142"/>
        <v>#REF!</v>
      </c>
      <c r="L1330" s="422" t="e">
        <f t="shared" si="143"/>
        <v>#REF!</v>
      </c>
      <c r="M1330" s="422" t="e">
        <f>IF(I1330="","",WORKDAY(L1330-1,1,FERIADOS!$A$2:$A$831))</f>
        <v>#REF!</v>
      </c>
      <c r="N1330" s="219" t="e">
        <f>IF(I1330="","",NETWORKDAYS(Curva!$M$2,M1330,FERIADOS!$A$2:$A$831)-1)</f>
        <v>#REF!</v>
      </c>
      <c r="O1330" s="423" t="e">
        <f>IF(C1330&lt;&gt;"",IF(ISERROR((100000/E1330)^(252/N1330)-1),Curva!$B$2,((100000/E1330)^(252/N1330)-1)),"")</f>
        <v>#REF!</v>
      </c>
      <c r="P1330" s="219" t="e">
        <f>IF(OR(G1330=1,G1330=2),dadosexternosBMF_1!B1333,"")</f>
        <v>#REF!</v>
      </c>
      <c r="Q1330" s="219" t="e">
        <f>IF(OR(G1330=1,G1330=2),dadosexternosBMF_1!D1333,"")</f>
        <v>#REF!</v>
      </c>
    </row>
    <row r="1331" spans="1:17" x14ac:dyDescent="0.2">
      <c r="A1331" s="222" t="e">
        <f t="shared" si="138"/>
        <v>#REF!</v>
      </c>
      <c r="B1331" s="222" t="str">
        <f>IF(dadosexternosBMF_1!A1334="DI1 - DI de 1 dia","DI1 - DI de 1 dia","")</f>
        <v/>
      </c>
      <c r="C1331" s="222" t="e">
        <f>IF(dadosexternosBMF_1!A1334="DOL - Dólar comercial","",IF(C1330&lt;&gt;"",dadosexternosBMF_1!B1334,IF(dadosexternosBMF_1!A1334="DI1 - DI de 1 dia",dadosexternosBMF_1!B1334,"")))</f>
        <v>#REF!</v>
      </c>
      <c r="D1331" s="222" t="e">
        <f>IF(C1331&lt;&gt;"",dadosexternosBMF_1!C1334,"")</f>
        <v>#REF!</v>
      </c>
      <c r="E1331" s="222" t="e">
        <f>IF(C1331&lt;&gt;"",dadosexternosBMF_1!D1334,"")</f>
        <v>#REF!</v>
      </c>
      <c r="G1331" s="219" t="e">
        <f t="shared" si="139"/>
        <v>#REF!</v>
      </c>
      <c r="H1331" s="219" t="e">
        <f t="shared" si="140"/>
        <v>#REF!</v>
      </c>
      <c r="I1331" s="219" t="e">
        <f t="shared" si="141"/>
        <v>#REF!</v>
      </c>
      <c r="J1331" s="219" t="e">
        <f>IF(I1331="","",VLOOKUP(LEFT(C1331,1),dadosexternosBMF_1!$L$2:$M$13,2,FALSE))</f>
        <v>#REF!</v>
      </c>
      <c r="K1331" s="219" t="e">
        <f t="shared" si="142"/>
        <v>#REF!</v>
      </c>
      <c r="L1331" s="422" t="e">
        <f t="shared" si="143"/>
        <v>#REF!</v>
      </c>
      <c r="M1331" s="422" t="e">
        <f>IF(I1331="","",WORKDAY(L1331-1,1,FERIADOS!$A$2:$A$831))</f>
        <v>#REF!</v>
      </c>
      <c r="N1331" s="219" t="e">
        <f>IF(I1331="","",NETWORKDAYS(Curva!$M$2,M1331,FERIADOS!$A$2:$A$831)-1)</f>
        <v>#REF!</v>
      </c>
      <c r="O1331" s="423" t="e">
        <f>IF(C1331&lt;&gt;"",IF(ISERROR((100000/E1331)^(252/N1331)-1),Curva!$B$2,((100000/E1331)^(252/N1331)-1)),"")</f>
        <v>#REF!</v>
      </c>
      <c r="P1331" s="219" t="e">
        <f>IF(OR(G1331=1,G1331=2),dadosexternosBMF_1!B1334,"")</f>
        <v>#REF!</v>
      </c>
      <c r="Q1331" s="219" t="e">
        <f>IF(OR(G1331=1,G1331=2),dadosexternosBMF_1!D1334,"")</f>
        <v>#REF!</v>
      </c>
    </row>
    <row r="1332" spans="1:17" x14ac:dyDescent="0.2">
      <c r="A1332" s="222" t="e">
        <f t="shared" si="138"/>
        <v>#REF!</v>
      </c>
      <c r="B1332" s="222" t="str">
        <f>IF(dadosexternosBMF_1!A1335="DI1 - DI de 1 dia","DI1 - DI de 1 dia","")</f>
        <v/>
      </c>
      <c r="C1332" s="222" t="e">
        <f>IF(dadosexternosBMF_1!A1335="DOL - Dólar comercial","",IF(C1331&lt;&gt;"",dadosexternosBMF_1!B1335,IF(dadosexternosBMF_1!A1335="DI1 - DI de 1 dia",dadosexternosBMF_1!B1335,"")))</f>
        <v>#REF!</v>
      </c>
      <c r="D1332" s="222" t="e">
        <f>IF(C1332&lt;&gt;"",dadosexternosBMF_1!C1335,"")</f>
        <v>#REF!</v>
      </c>
      <c r="E1332" s="222" t="e">
        <f>IF(C1332&lt;&gt;"",dadosexternosBMF_1!D1335,"")</f>
        <v>#REF!</v>
      </c>
      <c r="G1332" s="219" t="e">
        <f t="shared" si="139"/>
        <v>#REF!</v>
      </c>
      <c r="H1332" s="219" t="e">
        <f t="shared" si="140"/>
        <v>#REF!</v>
      </c>
      <c r="I1332" s="219" t="e">
        <f t="shared" si="141"/>
        <v>#REF!</v>
      </c>
      <c r="J1332" s="219" t="e">
        <f>IF(I1332="","",VLOOKUP(LEFT(C1332,1),dadosexternosBMF_1!$L$2:$M$13,2,FALSE))</f>
        <v>#REF!</v>
      </c>
      <c r="K1332" s="219" t="e">
        <f t="shared" si="142"/>
        <v>#REF!</v>
      </c>
      <c r="L1332" s="422" t="e">
        <f t="shared" si="143"/>
        <v>#REF!</v>
      </c>
      <c r="M1332" s="422" t="e">
        <f>IF(I1332="","",WORKDAY(L1332-1,1,FERIADOS!$A$2:$A$831))</f>
        <v>#REF!</v>
      </c>
      <c r="N1332" s="219" t="e">
        <f>IF(I1332="","",NETWORKDAYS(Curva!$M$2,M1332,FERIADOS!$A$2:$A$831)-1)</f>
        <v>#REF!</v>
      </c>
      <c r="O1332" s="423" t="e">
        <f>IF(C1332&lt;&gt;"",IF(ISERROR((100000/E1332)^(252/N1332)-1),Curva!$B$2,((100000/E1332)^(252/N1332)-1)),"")</f>
        <v>#REF!</v>
      </c>
      <c r="P1332" s="219" t="e">
        <f>IF(OR(G1332=1,G1332=2),dadosexternosBMF_1!B1335,"")</f>
        <v>#REF!</v>
      </c>
      <c r="Q1332" s="219" t="e">
        <f>IF(OR(G1332=1,G1332=2),dadosexternosBMF_1!D1335,"")</f>
        <v>#REF!</v>
      </c>
    </row>
    <row r="1333" spans="1:17" x14ac:dyDescent="0.2">
      <c r="A1333" s="222" t="e">
        <f t="shared" si="138"/>
        <v>#REF!</v>
      </c>
      <c r="B1333" s="222" t="str">
        <f>IF(dadosexternosBMF_1!A1336="DI1 - DI de 1 dia","DI1 - DI de 1 dia","")</f>
        <v/>
      </c>
      <c r="C1333" s="222" t="e">
        <f>IF(dadosexternosBMF_1!A1336="DOL - Dólar comercial","",IF(C1332&lt;&gt;"",dadosexternosBMF_1!B1336,IF(dadosexternosBMF_1!A1336="DI1 - DI de 1 dia",dadosexternosBMF_1!B1336,"")))</f>
        <v>#REF!</v>
      </c>
      <c r="D1333" s="222" t="e">
        <f>IF(C1333&lt;&gt;"",dadosexternosBMF_1!C1336,"")</f>
        <v>#REF!</v>
      </c>
      <c r="E1333" s="222" t="e">
        <f>IF(C1333&lt;&gt;"",dadosexternosBMF_1!D1336,"")</f>
        <v>#REF!</v>
      </c>
      <c r="G1333" s="219" t="e">
        <f t="shared" si="139"/>
        <v>#REF!</v>
      </c>
      <c r="H1333" s="219" t="e">
        <f t="shared" si="140"/>
        <v>#REF!</v>
      </c>
      <c r="I1333" s="219" t="e">
        <f t="shared" si="141"/>
        <v>#REF!</v>
      </c>
      <c r="J1333" s="219" t="e">
        <f>IF(I1333="","",VLOOKUP(LEFT(C1333,1),dadosexternosBMF_1!$L$2:$M$13,2,FALSE))</f>
        <v>#REF!</v>
      </c>
      <c r="K1333" s="219" t="e">
        <f t="shared" si="142"/>
        <v>#REF!</v>
      </c>
      <c r="L1333" s="422" t="e">
        <f t="shared" si="143"/>
        <v>#REF!</v>
      </c>
      <c r="M1333" s="422" t="e">
        <f>IF(I1333="","",WORKDAY(L1333-1,1,FERIADOS!$A$2:$A$831))</f>
        <v>#REF!</v>
      </c>
      <c r="N1333" s="219" t="e">
        <f>IF(I1333="","",NETWORKDAYS(Curva!$M$2,M1333,FERIADOS!$A$2:$A$831)-1)</f>
        <v>#REF!</v>
      </c>
      <c r="O1333" s="423" t="e">
        <f>IF(C1333&lt;&gt;"",IF(ISERROR((100000/E1333)^(252/N1333)-1),Curva!$B$2,((100000/E1333)^(252/N1333)-1)),"")</f>
        <v>#REF!</v>
      </c>
      <c r="P1333" s="219" t="e">
        <f>IF(OR(G1333=1,G1333=2),dadosexternosBMF_1!B1336,"")</f>
        <v>#REF!</v>
      </c>
      <c r="Q1333" s="219" t="e">
        <f>IF(OR(G1333=1,G1333=2),dadosexternosBMF_1!D1336,"")</f>
        <v>#REF!</v>
      </c>
    </row>
    <row r="1334" spans="1:17" x14ac:dyDescent="0.2">
      <c r="A1334" s="222" t="e">
        <f t="shared" si="138"/>
        <v>#REF!</v>
      </c>
      <c r="B1334" s="222" t="str">
        <f>IF(dadosexternosBMF_1!A1337="DI1 - DI de 1 dia","DI1 - DI de 1 dia","")</f>
        <v/>
      </c>
      <c r="C1334" s="222" t="e">
        <f>IF(dadosexternosBMF_1!A1337="DOL - Dólar comercial","",IF(C1333&lt;&gt;"",dadosexternosBMF_1!B1337,IF(dadosexternosBMF_1!A1337="DI1 - DI de 1 dia",dadosexternosBMF_1!B1337,"")))</f>
        <v>#REF!</v>
      </c>
      <c r="D1334" s="222" t="e">
        <f>IF(C1334&lt;&gt;"",dadosexternosBMF_1!C1337,"")</f>
        <v>#REF!</v>
      </c>
      <c r="E1334" s="222" t="e">
        <f>IF(C1334&lt;&gt;"",dadosexternosBMF_1!D1337,"")</f>
        <v>#REF!</v>
      </c>
      <c r="G1334" s="219" t="e">
        <f t="shared" si="139"/>
        <v>#REF!</v>
      </c>
      <c r="H1334" s="219" t="e">
        <f t="shared" si="140"/>
        <v>#REF!</v>
      </c>
      <c r="I1334" s="219" t="e">
        <f t="shared" si="141"/>
        <v>#REF!</v>
      </c>
      <c r="J1334" s="219" t="e">
        <f>IF(I1334="","",VLOOKUP(LEFT(C1334,1),dadosexternosBMF_1!$L$2:$M$13,2,FALSE))</f>
        <v>#REF!</v>
      </c>
      <c r="K1334" s="219" t="e">
        <f t="shared" si="142"/>
        <v>#REF!</v>
      </c>
      <c r="L1334" s="422" t="e">
        <f t="shared" si="143"/>
        <v>#REF!</v>
      </c>
      <c r="M1334" s="422" t="e">
        <f>IF(I1334="","",WORKDAY(L1334-1,1,FERIADOS!$A$2:$A$831))</f>
        <v>#REF!</v>
      </c>
      <c r="N1334" s="219" t="e">
        <f>IF(I1334="","",NETWORKDAYS(Curva!$M$2,M1334,FERIADOS!$A$2:$A$831)-1)</f>
        <v>#REF!</v>
      </c>
      <c r="O1334" s="423" t="e">
        <f>IF(C1334&lt;&gt;"",IF(ISERROR((100000/E1334)^(252/N1334)-1),Curva!$B$2,((100000/E1334)^(252/N1334)-1)),"")</f>
        <v>#REF!</v>
      </c>
      <c r="P1334" s="219" t="e">
        <f>IF(OR(G1334=1,G1334=2),dadosexternosBMF_1!B1337,"")</f>
        <v>#REF!</v>
      </c>
      <c r="Q1334" s="219" t="e">
        <f>IF(OR(G1334=1,G1334=2),dadosexternosBMF_1!D1337,"")</f>
        <v>#REF!</v>
      </c>
    </row>
    <row r="1335" spans="1:17" x14ac:dyDescent="0.2">
      <c r="A1335" s="222" t="e">
        <f t="shared" si="138"/>
        <v>#REF!</v>
      </c>
      <c r="B1335" s="222" t="str">
        <f>IF(dadosexternosBMF_1!A1338="DI1 - DI de 1 dia","DI1 - DI de 1 dia","")</f>
        <v/>
      </c>
      <c r="C1335" s="222" t="e">
        <f>IF(dadosexternosBMF_1!A1338="DOL - Dólar comercial","",IF(C1334&lt;&gt;"",dadosexternosBMF_1!B1338,IF(dadosexternosBMF_1!A1338="DI1 - DI de 1 dia",dadosexternosBMF_1!B1338,"")))</f>
        <v>#REF!</v>
      </c>
      <c r="D1335" s="222" t="e">
        <f>IF(C1335&lt;&gt;"",dadosexternosBMF_1!C1338,"")</f>
        <v>#REF!</v>
      </c>
      <c r="E1335" s="222" t="e">
        <f>IF(C1335&lt;&gt;"",dadosexternosBMF_1!D1338,"")</f>
        <v>#REF!</v>
      </c>
      <c r="G1335" s="219" t="e">
        <f t="shared" si="139"/>
        <v>#REF!</v>
      </c>
      <c r="H1335" s="219" t="e">
        <f t="shared" si="140"/>
        <v>#REF!</v>
      </c>
      <c r="I1335" s="219" t="e">
        <f t="shared" si="141"/>
        <v>#REF!</v>
      </c>
      <c r="J1335" s="219" t="e">
        <f>IF(I1335="","",VLOOKUP(LEFT(C1335,1),dadosexternosBMF_1!$L$2:$M$13,2,FALSE))</f>
        <v>#REF!</v>
      </c>
      <c r="K1335" s="219" t="e">
        <f t="shared" si="142"/>
        <v>#REF!</v>
      </c>
      <c r="L1335" s="422" t="e">
        <f t="shared" si="143"/>
        <v>#REF!</v>
      </c>
      <c r="M1335" s="422" t="e">
        <f>IF(I1335="","",WORKDAY(L1335-1,1,FERIADOS!$A$2:$A$831))</f>
        <v>#REF!</v>
      </c>
      <c r="N1335" s="219" t="e">
        <f>IF(I1335="","",NETWORKDAYS(Curva!$M$2,M1335,FERIADOS!$A$2:$A$831)-1)</f>
        <v>#REF!</v>
      </c>
      <c r="O1335" s="423" t="e">
        <f>IF(C1335&lt;&gt;"",IF(ISERROR((100000/E1335)^(252/N1335)-1),Curva!$B$2,((100000/E1335)^(252/N1335)-1)),"")</f>
        <v>#REF!</v>
      </c>
      <c r="P1335" s="219" t="e">
        <f>IF(OR(G1335=1,G1335=2),dadosexternosBMF_1!B1338,"")</f>
        <v>#REF!</v>
      </c>
      <c r="Q1335" s="219" t="e">
        <f>IF(OR(G1335=1,G1335=2),dadosexternosBMF_1!D1338,"")</f>
        <v>#REF!</v>
      </c>
    </row>
    <row r="1336" spans="1:17" x14ac:dyDescent="0.2">
      <c r="A1336" s="222" t="e">
        <f t="shared" si="138"/>
        <v>#REF!</v>
      </c>
      <c r="B1336" s="222" t="str">
        <f>IF(dadosexternosBMF_1!A1339="DI1 - DI de 1 dia","DI1 - DI de 1 dia","")</f>
        <v/>
      </c>
      <c r="C1336" s="222" t="e">
        <f>IF(dadosexternosBMF_1!A1339="DOL - Dólar comercial","",IF(C1335&lt;&gt;"",dadosexternosBMF_1!B1339,IF(dadosexternosBMF_1!A1339="DI1 - DI de 1 dia",dadosexternosBMF_1!B1339,"")))</f>
        <v>#REF!</v>
      </c>
      <c r="D1336" s="222" t="e">
        <f>IF(C1336&lt;&gt;"",dadosexternosBMF_1!C1339,"")</f>
        <v>#REF!</v>
      </c>
      <c r="E1336" s="222" t="e">
        <f>IF(C1336&lt;&gt;"",dadosexternosBMF_1!D1339,"")</f>
        <v>#REF!</v>
      </c>
      <c r="G1336" s="219" t="e">
        <f t="shared" si="139"/>
        <v>#REF!</v>
      </c>
      <c r="H1336" s="219" t="e">
        <f t="shared" si="140"/>
        <v>#REF!</v>
      </c>
      <c r="I1336" s="219" t="e">
        <f t="shared" si="141"/>
        <v>#REF!</v>
      </c>
      <c r="J1336" s="219" t="e">
        <f>IF(I1336="","",VLOOKUP(LEFT(C1336,1),dadosexternosBMF_1!$L$2:$M$13,2,FALSE))</f>
        <v>#REF!</v>
      </c>
      <c r="K1336" s="219" t="e">
        <f t="shared" si="142"/>
        <v>#REF!</v>
      </c>
      <c r="L1336" s="422" t="e">
        <f t="shared" si="143"/>
        <v>#REF!</v>
      </c>
      <c r="M1336" s="422" t="e">
        <f>IF(I1336="","",WORKDAY(L1336-1,1,FERIADOS!$A$2:$A$831))</f>
        <v>#REF!</v>
      </c>
      <c r="N1336" s="219" t="e">
        <f>IF(I1336="","",NETWORKDAYS(Curva!$M$2,M1336,FERIADOS!$A$2:$A$831)-1)</f>
        <v>#REF!</v>
      </c>
      <c r="O1336" s="423" t="e">
        <f>IF(C1336&lt;&gt;"",IF(ISERROR((100000/E1336)^(252/N1336)-1),Curva!$B$2,((100000/E1336)^(252/N1336)-1)),"")</f>
        <v>#REF!</v>
      </c>
      <c r="P1336" s="219" t="e">
        <f>IF(OR(G1336=1,G1336=2),dadosexternosBMF_1!B1339,"")</f>
        <v>#REF!</v>
      </c>
      <c r="Q1336" s="219" t="e">
        <f>IF(OR(G1336=1,G1336=2),dadosexternosBMF_1!D1339,"")</f>
        <v>#REF!</v>
      </c>
    </row>
    <row r="1337" spans="1:17" x14ac:dyDescent="0.2">
      <c r="A1337" s="222" t="e">
        <f t="shared" si="138"/>
        <v>#REF!</v>
      </c>
      <c r="B1337" s="222" t="str">
        <f>IF(dadosexternosBMF_1!A1340="DI1 - DI de 1 dia","DI1 - DI de 1 dia","")</f>
        <v/>
      </c>
      <c r="C1337" s="222" t="e">
        <f>IF(dadosexternosBMF_1!A1340="DOL - Dólar comercial","",IF(C1336&lt;&gt;"",dadosexternosBMF_1!B1340,IF(dadosexternosBMF_1!A1340="DI1 - DI de 1 dia",dadosexternosBMF_1!B1340,"")))</f>
        <v>#REF!</v>
      </c>
      <c r="D1337" s="222" t="e">
        <f>IF(C1337&lt;&gt;"",dadosexternosBMF_1!C1340,"")</f>
        <v>#REF!</v>
      </c>
      <c r="E1337" s="222" t="e">
        <f>IF(C1337&lt;&gt;"",dadosexternosBMF_1!D1340,"")</f>
        <v>#REF!</v>
      </c>
      <c r="G1337" s="219" t="e">
        <f t="shared" si="139"/>
        <v>#REF!</v>
      </c>
      <c r="H1337" s="219" t="e">
        <f t="shared" si="140"/>
        <v>#REF!</v>
      </c>
      <c r="I1337" s="219" t="e">
        <f t="shared" si="141"/>
        <v>#REF!</v>
      </c>
      <c r="J1337" s="219" t="e">
        <f>IF(I1337="","",VLOOKUP(LEFT(C1337,1),dadosexternosBMF_1!$L$2:$M$13,2,FALSE))</f>
        <v>#REF!</v>
      </c>
      <c r="K1337" s="219" t="e">
        <f t="shared" si="142"/>
        <v>#REF!</v>
      </c>
      <c r="L1337" s="422" t="e">
        <f t="shared" si="143"/>
        <v>#REF!</v>
      </c>
      <c r="M1337" s="422" t="e">
        <f>IF(I1337="","",WORKDAY(L1337-1,1,FERIADOS!$A$2:$A$831))</f>
        <v>#REF!</v>
      </c>
      <c r="N1337" s="219" t="e">
        <f>IF(I1337="","",NETWORKDAYS(Curva!$M$2,M1337,FERIADOS!$A$2:$A$831)-1)</f>
        <v>#REF!</v>
      </c>
      <c r="O1337" s="423" t="e">
        <f>IF(C1337&lt;&gt;"",IF(ISERROR((100000/E1337)^(252/N1337)-1),Curva!$B$2,((100000/E1337)^(252/N1337)-1)),"")</f>
        <v>#REF!</v>
      </c>
      <c r="P1337" s="219" t="e">
        <f>IF(OR(G1337=1,G1337=2),dadosexternosBMF_1!B1340,"")</f>
        <v>#REF!</v>
      </c>
      <c r="Q1337" s="219" t="e">
        <f>IF(OR(G1337=1,G1337=2),dadosexternosBMF_1!D1340,"")</f>
        <v>#REF!</v>
      </c>
    </row>
    <row r="1338" spans="1:17" x14ac:dyDescent="0.2">
      <c r="A1338" s="222" t="e">
        <f t="shared" si="138"/>
        <v>#REF!</v>
      </c>
      <c r="B1338" s="222" t="str">
        <f>IF(dadosexternosBMF_1!A1341="DI1 - DI de 1 dia","DI1 - DI de 1 dia","")</f>
        <v/>
      </c>
      <c r="C1338" s="222" t="e">
        <f>IF(dadosexternosBMF_1!A1341="DOL - Dólar comercial","",IF(C1337&lt;&gt;"",dadosexternosBMF_1!B1341,IF(dadosexternosBMF_1!A1341="DI1 - DI de 1 dia",dadosexternosBMF_1!B1341,"")))</f>
        <v>#REF!</v>
      </c>
      <c r="D1338" s="222" t="e">
        <f>IF(C1338&lt;&gt;"",dadosexternosBMF_1!C1341,"")</f>
        <v>#REF!</v>
      </c>
      <c r="E1338" s="222" t="e">
        <f>IF(C1338&lt;&gt;"",dadosexternosBMF_1!D1341,"")</f>
        <v>#REF!</v>
      </c>
      <c r="G1338" s="219" t="e">
        <f t="shared" si="139"/>
        <v>#REF!</v>
      </c>
      <c r="H1338" s="219" t="e">
        <f t="shared" si="140"/>
        <v>#REF!</v>
      </c>
      <c r="I1338" s="219" t="e">
        <f t="shared" si="141"/>
        <v>#REF!</v>
      </c>
      <c r="J1338" s="219" t="e">
        <f>IF(I1338="","",VLOOKUP(LEFT(C1338,1),dadosexternosBMF_1!$L$2:$M$13,2,FALSE))</f>
        <v>#REF!</v>
      </c>
      <c r="K1338" s="219" t="e">
        <f t="shared" si="142"/>
        <v>#REF!</v>
      </c>
      <c r="L1338" s="422" t="e">
        <f t="shared" si="143"/>
        <v>#REF!</v>
      </c>
      <c r="M1338" s="422" t="e">
        <f>IF(I1338="","",WORKDAY(L1338-1,1,FERIADOS!$A$2:$A$831))</f>
        <v>#REF!</v>
      </c>
      <c r="N1338" s="219" t="e">
        <f>IF(I1338="","",NETWORKDAYS(Curva!$M$2,M1338,FERIADOS!$A$2:$A$831)-1)</f>
        <v>#REF!</v>
      </c>
      <c r="O1338" s="423" t="e">
        <f>IF(C1338&lt;&gt;"",IF(ISERROR((100000/E1338)^(252/N1338)-1),Curva!$B$2,((100000/E1338)^(252/N1338)-1)),"")</f>
        <v>#REF!</v>
      </c>
      <c r="P1338" s="219" t="e">
        <f>IF(OR(G1338=1,G1338=2),dadosexternosBMF_1!B1341,"")</f>
        <v>#REF!</v>
      </c>
      <c r="Q1338" s="219" t="e">
        <f>IF(OR(G1338=1,G1338=2),dadosexternosBMF_1!D1341,"")</f>
        <v>#REF!</v>
      </c>
    </row>
    <row r="1339" spans="1:17" x14ac:dyDescent="0.2">
      <c r="A1339" s="222" t="e">
        <f t="shared" si="138"/>
        <v>#REF!</v>
      </c>
      <c r="B1339" s="222" t="str">
        <f>IF(dadosexternosBMF_1!A1342="DI1 - DI de 1 dia","DI1 - DI de 1 dia","")</f>
        <v/>
      </c>
      <c r="C1339" s="222" t="e">
        <f>IF(dadosexternosBMF_1!A1342="DOL - Dólar comercial","",IF(C1338&lt;&gt;"",dadosexternosBMF_1!B1342,IF(dadosexternosBMF_1!A1342="DI1 - DI de 1 dia",dadosexternosBMF_1!B1342,"")))</f>
        <v>#REF!</v>
      </c>
      <c r="D1339" s="222" t="e">
        <f>IF(C1339&lt;&gt;"",dadosexternosBMF_1!C1342,"")</f>
        <v>#REF!</v>
      </c>
      <c r="E1339" s="222" t="e">
        <f>IF(C1339&lt;&gt;"",dadosexternosBMF_1!D1342,"")</f>
        <v>#REF!</v>
      </c>
      <c r="G1339" s="219" t="e">
        <f t="shared" si="139"/>
        <v>#REF!</v>
      </c>
      <c r="H1339" s="219" t="e">
        <f t="shared" si="140"/>
        <v>#REF!</v>
      </c>
      <c r="I1339" s="219" t="e">
        <f t="shared" si="141"/>
        <v>#REF!</v>
      </c>
      <c r="J1339" s="219" t="e">
        <f>IF(I1339="","",VLOOKUP(LEFT(C1339,1),dadosexternosBMF_1!$L$2:$M$13,2,FALSE))</f>
        <v>#REF!</v>
      </c>
      <c r="K1339" s="219" t="e">
        <f t="shared" si="142"/>
        <v>#REF!</v>
      </c>
      <c r="L1339" s="422" t="e">
        <f t="shared" si="143"/>
        <v>#REF!</v>
      </c>
      <c r="M1339" s="422" t="e">
        <f>IF(I1339="","",WORKDAY(L1339-1,1,FERIADOS!$A$2:$A$831))</f>
        <v>#REF!</v>
      </c>
      <c r="N1339" s="219" t="e">
        <f>IF(I1339="","",NETWORKDAYS(Curva!$M$2,M1339,FERIADOS!$A$2:$A$831)-1)</f>
        <v>#REF!</v>
      </c>
      <c r="O1339" s="423" t="e">
        <f>IF(C1339&lt;&gt;"",IF(ISERROR((100000/E1339)^(252/N1339)-1),Curva!$B$2,((100000/E1339)^(252/N1339)-1)),"")</f>
        <v>#REF!</v>
      </c>
      <c r="P1339" s="219" t="e">
        <f>IF(OR(G1339=1,G1339=2),dadosexternosBMF_1!B1342,"")</f>
        <v>#REF!</v>
      </c>
      <c r="Q1339" s="219" t="e">
        <f>IF(OR(G1339=1,G1339=2),dadosexternosBMF_1!D1342,"")</f>
        <v>#REF!</v>
      </c>
    </row>
    <row r="1340" spans="1:17" x14ac:dyDescent="0.2">
      <c r="A1340" s="222" t="e">
        <f t="shared" si="138"/>
        <v>#REF!</v>
      </c>
      <c r="B1340" s="222" t="str">
        <f>IF(dadosexternosBMF_1!A1343="DI1 - DI de 1 dia","DI1 - DI de 1 dia","")</f>
        <v/>
      </c>
      <c r="C1340" s="222" t="e">
        <f>IF(dadosexternosBMF_1!A1343="DOL - Dólar comercial","",IF(C1339&lt;&gt;"",dadosexternosBMF_1!B1343,IF(dadosexternosBMF_1!A1343="DI1 - DI de 1 dia",dadosexternosBMF_1!B1343,"")))</f>
        <v>#REF!</v>
      </c>
      <c r="D1340" s="222" t="e">
        <f>IF(C1340&lt;&gt;"",dadosexternosBMF_1!C1343,"")</f>
        <v>#REF!</v>
      </c>
      <c r="E1340" s="222" t="e">
        <f>IF(C1340&lt;&gt;"",dadosexternosBMF_1!D1343,"")</f>
        <v>#REF!</v>
      </c>
      <c r="G1340" s="219" t="e">
        <f t="shared" si="139"/>
        <v>#REF!</v>
      </c>
      <c r="H1340" s="219" t="e">
        <f t="shared" si="140"/>
        <v>#REF!</v>
      </c>
      <c r="I1340" s="219" t="e">
        <f t="shared" si="141"/>
        <v>#REF!</v>
      </c>
      <c r="J1340" s="219" t="e">
        <f>IF(I1340="","",VLOOKUP(LEFT(C1340,1),dadosexternosBMF_1!$L$2:$M$13,2,FALSE))</f>
        <v>#REF!</v>
      </c>
      <c r="K1340" s="219" t="e">
        <f t="shared" si="142"/>
        <v>#REF!</v>
      </c>
      <c r="L1340" s="422" t="e">
        <f t="shared" si="143"/>
        <v>#REF!</v>
      </c>
      <c r="M1340" s="422" t="e">
        <f>IF(I1340="","",WORKDAY(L1340-1,1,FERIADOS!$A$2:$A$831))</f>
        <v>#REF!</v>
      </c>
      <c r="N1340" s="219" t="e">
        <f>IF(I1340="","",NETWORKDAYS(Curva!$M$2,M1340,FERIADOS!$A$2:$A$831)-1)</f>
        <v>#REF!</v>
      </c>
      <c r="O1340" s="423" t="e">
        <f>IF(C1340&lt;&gt;"",IF(ISERROR((100000/E1340)^(252/N1340)-1),Curva!$B$2,((100000/E1340)^(252/N1340)-1)),"")</f>
        <v>#REF!</v>
      </c>
      <c r="P1340" s="219" t="e">
        <f>IF(OR(G1340=1,G1340=2),dadosexternosBMF_1!B1343,"")</f>
        <v>#REF!</v>
      </c>
      <c r="Q1340" s="219" t="e">
        <f>IF(OR(G1340=1,G1340=2),dadosexternosBMF_1!D1343,"")</f>
        <v>#REF!</v>
      </c>
    </row>
    <row r="1341" spans="1:17" x14ac:dyDescent="0.2">
      <c r="A1341" s="222" t="e">
        <f t="shared" si="138"/>
        <v>#REF!</v>
      </c>
      <c r="B1341" s="222" t="str">
        <f>IF(dadosexternosBMF_1!A1344="DI1 - DI de 1 dia","DI1 - DI de 1 dia","")</f>
        <v/>
      </c>
      <c r="C1341" s="222" t="e">
        <f>IF(dadosexternosBMF_1!A1344="DOL - Dólar comercial","",IF(C1340&lt;&gt;"",dadosexternosBMF_1!B1344,IF(dadosexternosBMF_1!A1344="DI1 - DI de 1 dia",dadosexternosBMF_1!B1344,"")))</f>
        <v>#REF!</v>
      </c>
      <c r="D1341" s="222" t="e">
        <f>IF(C1341&lt;&gt;"",dadosexternosBMF_1!C1344,"")</f>
        <v>#REF!</v>
      </c>
      <c r="E1341" s="222" t="e">
        <f>IF(C1341&lt;&gt;"",dadosexternosBMF_1!D1344,"")</f>
        <v>#REF!</v>
      </c>
      <c r="G1341" s="219" t="e">
        <f t="shared" si="139"/>
        <v>#REF!</v>
      </c>
      <c r="H1341" s="219" t="e">
        <f t="shared" si="140"/>
        <v>#REF!</v>
      </c>
      <c r="I1341" s="219" t="e">
        <f t="shared" si="141"/>
        <v>#REF!</v>
      </c>
      <c r="J1341" s="219" t="e">
        <f>IF(I1341="","",VLOOKUP(LEFT(C1341,1),dadosexternosBMF_1!$L$2:$M$13,2,FALSE))</f>
        <v>#REF!</v>
      </c>
      <c r="K1341" s="219" t="e">
        <f t="shared" si="142"/>
        <v>#REF!</v>
      </c>
      <c r="L1341" s="422" t="e">
        <f t="shared" si="143"/>
        <v>#REF!</v>
      </c>
      <c r="M1341" s="422" t="e">
        <f>IF(I1341="","",WORKDAY(L1341-1,1,FERIADOS!$A$2:$A$831))</f>
        <v>#REF!</v>
      </c>
      <c r="N1341" s="219" t="e">
        <f>IF(I1341="","",NETWORKDAYS(Curva!$M$2,M1341,FERIADOS!$A$2:$A$831)-1)</f>
        <v>#REF!</v>
      </c>
      <c r="O1341" s="423" t="e">
        <f>IF(C1341&lt;&gt;"",IF(ISERROR((100000/E1341)^(252/N1341)-1),Curva!$B$2,((100000/E1341)^(252/N1341)-1)),"")</f>
        <v>#REF!</v>
      </c>
      <c r="P1341" s="219" t="e">
        <f>IF(OR(G1341=1,G1341=2),dadosexternosBMF_1!B1344,"")</f>
        <v>#REF!</v>
      </c>
      <c r="Q1341" s="219" t="e">
        <f>IF(OR(G1341=1,G1341=2),dadosexternosBMF_1!D1344,"")</f>
        <v>#REF!</v>
      </c>
    </row>
    <row r="1342" spans="1:17" x14ac:dyDescent="0.2">
      <c r="A1342" s="222" t="e">
        <f t="shared" si="138"/>
        <v>#REF!</v>
      </c>
      <c r="B1342" s="222" t="str">
        <f>IF(dadosexternosBMF_1!A1345="DI1 - DI de 1 dia","DI1 - DI de 1 dia","")</f>
        <v/>
      </c>
      <c r="C1342" s="222" t="e">
        <f>IF(dadosexternosBMF_1!A1345="DOL - Dólar comercial","",IF(C1341&lt;&gt;"",dadosexternosBMF_1!B1345,IF(dadosexternosBMF_1!A1345="DI1 - DI de 1 dia",dadosexternosBMF_1!B1345,"")))</f>
        <v>#REF!</v>
      </c>
      <c r="D1342" s="222" t="e">
        <f>IF(C1342&lt;&gt;"",dadosexternosBMF_1!C1345,"")</f>
        <v>#REF!</v>
      </c>
      <c r="E1342" s="222" t="e">
        <f>IF(C1342&lt;&gt;"",dadosexternosBMF_1!D1345,"")</f>
        <v>#REF!</v>
      </c>
      <c r="G1342" s="219" t="e">
        <f t="shared" si="139"/>
        <v>#REF!</v>
      </c>
      <c r="H1342" s="219" t="e">
        <f t="shared" si="140"/>
        <v>#REF!</v>
      </c>
      <c r="I1342" s="219" t="e">
        <f t="shared" si="141"/>
        <v>#REF!</v>
      </c>
      <c r="J1342" s="219" t="e">
        <f>IF(I1342="","",VLOOKUP(LEFT(C1342,1),dadosexternosBMF_1!$L$2:$M$13,2,FALSE))</f>
        <v>#REF!</v>
      </c>
      <c r="K1342" s="219" t="e">
        <f t="shared" si="142"/>
        <v>#REF!</v>
      </c>
      <c r="L1342" s="422" t="e">
        <f t="shared" si="143"/>
        <v>#REF!</v>
      </c>
      <c r="M1342" s="422" t="e">
        <f>IF(I1342="","",WORKDAY(L1342-1,1,FERIADOS!$A$2:$A$831))</f>
        <v>#REF!</v>
      </c>
      <c r="N1342" s="219" t="e">
        <f>IF(I1342="","",NETWORKDAYS(Curva!$M$2,M1342,FERIADOS!$A$2:$A$831)-1)</f>
        <v>#REF!</v>
      </c>
      <c r="O1342" s="423" t="e">
        <f>IF(C1342&lt;&gt;"",IF(ISERROR((100000/E1342)^(252/N1342)-1),Curva!$B$2,((100000/E1342)^(252/N1342)-1)),"")</f>
        <v>#REF!</v>
      </c>
      <c r="P1342" s="219" t="e">
        <f>IF(OR(G1342=1,G1342=2),dadosexternosBMF_1!B1345,"")</f>
        <v>#REF!</v>
      </c>
      <c r="Q1342" s="219" t="e">
        <f>IF(OR(G1342=1,G1342=2),dadosexternosBMF_1!D1345,"")</f>
        <v>#REF!</v>
      </c>
    </row>
    <row r="1343" spans="1:17" x14ac:dyDescent="0.2">
      <c r="A1343" s="222" t="e">
        <f t="shared" si="138"/>
        <v>#REF!</v>
      </c>
      <c r="B1343" s="222" t="str">
        <f>IF(dadosexternosBMF_1!A1346="DI1 - DI de 1 dia","DI1 - DI de 1 dia","")</f>
        <v/>
      </c>
      <c r="C1343" s="222" t="e">
        <f>IF(dadosexternosBMF_1!A1346="DOL - Dólar comercial","",IF(C1342&lt;&gt;"",dadosexternosBMF_1!B1346,IF(dadosexternosBMF_1!A1346="DI1 - DI de 1 dia",dadosexternosBMF_1!B1346,"")))</f>
        <v>#REF!</v>
      </c>
      <c r="D1343" s="222" t="e">
        <f>IF(C1343&lt;&gt;"",dadosexternosBMF_1!C1346,"")</f>
        <v>#REF!</v>
      </c>
      <c r="E1343" s="222" t="e">
        <f>IF(C1343&lt;&gt;"",dadosexternosBMF_1!D1346,"")</f>
        <v>#REF!</v>
      </c>
      <c r="G1343" s="219" t="e">
        <f t="shared" si="139"/>
        <v>#REF!</v>
      </c>
      <c r="H1343" s="219" t="e">
        <f t="shared" si="140"/>
        <v>#REF!</v>
      </c>
      <c r="I1343" s="219" t="e">
        <f t="shared" si="141"/>
        <v>#REF!</v>
      </c>
      <c r="J1343" s="219" t="e">
        <f>IF(I1343="","",VLOOKUP(LEFT(C1343,1),dadosexternosBMF_1!$L$2:$M$13,2,FALSE))</f>
        <v>#REF!</v>
      </c>
      <c r="K1343" s="219" t="e">
        <f t="shared" si="142"/>
        <v>#REF!</v>
      </c>
      <c r="L1343" s="422" t="e">
        <f t="shared" si="143"/>
        <v>#REF!</v>
      </c>
      <c r="M1343" s="422" t="e">
        <f>IF(I1343="","",WORKDAY(L1343-1,1,FERIADOS!$A$2:$A$831))</f>
        <v>#REF!</v>
      </c>
      <c r="N1343" s="219" t="e">
        <f>IF(I1343="","",NETWORKDAYS(Curva!$M$2,M1343,FERIADOS!$A$2:$A$831)-1)</f>
        <v>#REF!</v>
      </c>
      <c r="O1343" s="423" t="e">
        <f>IF(C1343&lt;&gt;"",IF(ISERROR((100000/E1343)^(252/N1343)-1),Curva!$B$2,((100000/E1343)^(252/N1343)-1)),"")</f>
        <v>#REF!</v>
      </c>
      <c r="P1343" s="219" t="e">
        <f>IF(OR(G1343=1,G1343=2),dadosexternosBMF_1!B1346,"")</f>
        <v>#REF!</v>
      </c>
      <c r="Q1343" s="219" t="e">
        <f>IF(OR(G1343=1,G1343=2),dadosexternosBMF_1!D1346,"")</f>
        <v>#REF!</v>
      </c>
    </row>
    <row r="1344" spans="1:17" x14ac:dyDescent="0.2">
      <c r="A1344" s="222" t="e">
        <f t="shared" si="138"/>
        <v>#REF!</v>
      </c>
      <c r="B1344" s="222" t="str">
        <f>IF(dadosexternosBMF_1!A1347="DI1 - DI de 1 dia","DI1 - DI de 1 dia","")</f>
        <v/>
      </c>
      <c r="C1344" s="222" t="e">
        <f>IF(dadosexternosBMF_1!A1347="DOL - Dólar comercial","",IF(C1343&lt;&gt;"",dadosexternosBMF_1!B1347,IF(dadosexternosBMF_1!A1347="DI1 - DI de 1 dia",dadosexternosBMF_1!B1347,"")))</f>
        <v>#REF!</v>
      </c>
      <c r="D1344" s="222" t="e">
        <f>IF(C1344&lt;&gt;"",dadosexternosBMF_1!C1347,"")</f>
        <v>#REF!</v>
      </c>
      <c r="E1344" s="222" t="e">
        <f>IF(C1344&lt;&gt;"",dadosexternosBMF_1!D1347,"")</f>
        <v>#REF!</v>
      </c>
      <c r="G1344" s="219" t="e">
        <f t="shared" si="139"/>
        <v>#REF!</v>
      </c>
      <c r="H1344" s="219" t="e">
        <f t="shared" si="140"/>
        <v>#REF!</v>
      </c>
      <c r="I1344" s="219" t="e">
        <f t="shared" si="141"/>
        <v>#REF!</v>
      </c>
      <c r="J1344" s="219" t="e">
        <f>IF(I1344="","",VLOOKUP(LEFT(C1344,1),dadosexternosBMF_1!$L$2:$M$13,2,FALSE))</f>
        <v>#REF!</v>
      </c>
      <c r="K1344" s="219" t="e">
        <f t="shared" si="142"/>
        <v>#REF!</v>
      </c>
      <c r="L1344" s="422" t="e">
        <f t="shared" si="143"/>
        <v>#REF!</v>
      </c>
      <c r="M1344" s="422" t="e">
        <f>IF(I1344="","",WORKDAY(L1344-1,1,FERIADOS!$A$2:$A$831))</f>
        <v>#REF!</v>
      </c>
      <c r="N1344" s="219" t="e">
        <f>IF(I1344="","",NETWORKDAYS(Curva!$M$2,M1344,FERIADOS!$A$2:$A$831)-1)</f>
        <v>#REF!</v>
      </c>
      <c r="O1344" s="423" t="e">
        <f>IF(C1344&lt;&gt;"",IF(ISERROR((100000/E1344)^(252/N1344)-1),Curva!$B$2,((100000/E1344)^(252/N1344)-1)),"")</f>
        <v>#REF!</v>
      </c>
      <c r="P1344" s="219" t="e">
        <f>IF(OR(G1344=1,G1344=2),dadosexternosBMF_1!B1347,"")</f>
        <v>#REF!</v>
      </c>
      <c r="Q1344" s="219" t="e">
        <f>IF(OR(G1344=1,G1344=2),dadosexternosBMF_1!D1347,"")</f>
        <v>#REF!</v>
      </c>
    </row>
    <row r="1345" spans="1:17" x14ac:dyDescent="0.2">
      <c r="A1345" s="222" t="e">
        <f t="shared" si="138"/>
        <v>#REF!</v>
      </c>
      <c r="B1345" s="222" t="str">
        <f>IF(dadosexternosBMF_1!A1348="DI1 - DI de 1 dia","DI1 - DI de 1 dia","")</f>
        <v/>
      </c>
      <c r="C1345" s="222" t="e">
        <f>IF(dadosexternosBMF_1!A1348="DOL - Dólar comercial","",IF(C1344&lt;&gt;"",dadosexternosBMF_1!B1348,IF(dadosexternosBMF_1!A1348="DI1 - DI de 1 dia",dadosexternosBMF_1!B1348,"")))</f>
        <v>#REF!</v>
      </c>
      <c r="D1345" s="222" t="e">
        <f>IF(C1345&lt;&gt;"",dadosexternosBMF_1!C1348,"")</f>
        <v>#REF!</v>
      </c>
      <c r="E1345" s="222" t="e">
        <f>IF(C1345&lt;&gt;"",dadosexternosBMF_1!D1348,"")</f>
        <v>#REF!</v>
      </c>
      <c r="G1345" s="219" t="e">
        <f t="shared" si="139"/>
        <v>#REF!</v>
      </c>
      <c r="H1345" s="219" t="e">
        <f t="shared" si="140"/>
        <v>#REF!</v>
      </c>
      <c r="I1345" s="219" t="e">
        <f t="shared" si="141"/>
        <v>#REF!</v>
      </c>
      <c r="J1345" s="219" t="e">
        <f>IF(I1345="","",VLOOKUP(LEFT(C1345,1),dadosexternosBMF_1!$L$2:$M$13,2,FALSE))</f>
        <v>#REF!</v>
      </c>
      <c r="K1345" s="219" t="e">
        <f t="shared" si="142"/>
        <v>#REF!</v>
      </c>
      <c r="L1345" s="422" t="e">
        <f t="shared" si="143"/>
        <v>#REF!</v>
      </c>
      <c r="M1345" s="422" t="e">
        <f>IF(I1345="","",WORKDAY(L1345-1,1,FERIADOS!$A$2:$A$831))</f>
        <v>#REF!</v>
      </c>
      <c r="N1345" s="219" t="e">
        <f>IF(I1345="","",NETWORKDAYS(Curva!$M$2,M1345,FERIADOS!$A$2:$A$831)-1)</f>
        <v>#REF!</v>
      </c>
      <c r="O1345" s="423" t="e">
        <f>IF(C1345&lt;&gt;"",IF(ISERROR((100000/E1345)^(252/N1345)-1),Curva!$B$2,((100000/E1345)^(252/N1345)-1)),"")</f>
        <v>#REF!</v>
      </c>
      <c r="P1345" s="219" t="e">
        <f>IF(OR(G1345=1,G1345=2),dadosexternosBMF_1!B1348,"")</f>
        <v>#REF!</v>
      </c>
      <c r="Q1345" s="219" t="e">
        <f>IF(OR(G1345=1,G1345=2),dadosexternosBMF_1!D1348,"")</f>
        <v>#REF!</v>
      </c>
    </row>
    <row r="1346" spans="1:17" x14ac:dyDescent="0.2">
      <c r="A1346" s="222" t="e">
        <f t="shared" si="138"/>
        <v>#REF!</v>
      </c>
      <c r="B1346" s="222" t="str">
        <f>IF(dadosexternosBMF_1!A1349="DI1 - DI de 1 dia","DI1 - DI de 1 dia","")</f>
        <v/>
      </c>
      <c r="C1346" s="222" t="e">
        <f>IF(dadosexternosBMF_1!A1349="DOL - Dólar comercial","",IF(C1345&lt;&gt;"",dadosexternosBMF_1!B1349,IF(dadosexternosBMF_1!A1349="DI1 - DI de 1 dia",dadosexternosBMF_1!B1349,"")))</f>
        <v>#REF!</v>
      </c>
      <c r="D1346" s="222" t="e">
        <f>IF(C1346&lt;&gt;"",dadosexternosBMF_1!C1349,"")</f>
        <v>#REF!</v>
      </c>
      <c r="E1346" s="222" t="e">
        <f>IF(C1346&lt;&gt;"",dadosexternosBMF_1!D1349,"")</f>
        <v>#REF!</v>
      </c>
      <c r="G1346" s="219" t="e">
        <f t="shared" si="139"/>
        <v>#REF!</v>
      </c>
      <c r="H1346" s="219" t="e">
        <f t="shared" si="140"/>
        <v>#REF!</v>
      </c>
      <c r="I1346" s="219" t="e">
        <f t="shared" si="141"/>
        <v>#REF!</v>
      </c>
      <c r="J1346" s="219" t="e">
        <f>IF(I1346="","",VLOOKUP(LEFT(C1346,1),dadosexternosBMF_1!$L$2:$M$13,2,FALSE))</f>
        <v>#REF!</v>
      </c>
      <c r="K1346" s="219" t="e">
        <f t="shared" si="142"/>
        <v>#REF!</v>
      </c>
      <c r="L1346" s="422" t="e">
        <f t="shared" si="143"/>
        <v>#REF!</v>
      </c>
      <c r="M1346" s="422" t="e">
        <f>IF(I1346="","",WORKDAY(L1346-1,1,FERIADOS!$A$2:$A$831))</f>
        <v>#REF!</v>
      </c>
      <c r="N1346" s="219" t="e">
        <f>IF(I1346="","",NETWORKDAYS(Curva!$M$2,M1346,FERIADOS!$A$2:$A$831)-1)</f>
        <v>#REF!</v>
      </c>
      <c r="O1346" s="423" t="e">
        <f>IF(C1346&lt;&gt;"",IF(ISERROR((100000/E1346)^(252/N1346)-1),Curva!$B$2,((100000/E1346)^(252/N1346)-1)),"")</f>
        <v>#REF!</v>
      </c>
      <c r="P1346" s="219" t="e">
        <f>IF(OR(G1346=1,G1346=2),dadosexternosBMF_1!B1349,"")</f>
        <v>#REF!</v>
      </c>
      <c r="Q1346" s="219" t="e">
        <f>IF(OR(G1346=1,G1346=2),dadosexternosBMF_1!D1349,"")</f>
        <v>#REF!</v>
      </c>
    </row>
    <row r="1347" spans="1:17" x14ac:dyDescent="0.2">
      <c r="A1347" s="222" t="e">
        <f t="shared" si="138"/>
        <v>#REF!</v>
      </c>
      <c r="B1347" s="222" t="str">
        <f>IF(dadosexternosBMF_1!A1350="DI1 - DI de 1 dia","DI1 - DI de 1 dia","")</f>
        <v/>
      </c>
      <c r="C1347" s="222" t="e">
        <f>IF(dadosexternosBMF_1!A1350="DOL - Dólar comercial","",IF(C1346&lt;&gt;"",dadosexternosBMF_1!B1350,IF(dadosexternosBMF_1!A1350="DI1 - DI de 1 dia",dadosexternosBMF_1!B1350,"")))</f>
        <v>#REF!</v>
      </c>
      <c r="D1347" s="222" t="e">
        <f>IF(C1347&lt;&gt;"",dadosexternosBMF_1!C1350,"")</f>
        <v>#REF!</v>
      </c>
      <c r="E1347" s="222" t="e">
        <f>IF(C1347&lt;&gt;"",dadosexternosBMF_1!D1350,"")</f>
        <v>#REF!</v>
      </c>
      <c r="G1347" s="219" t="e">
        <f t="shared" si="139"/>
        <v>#REF!</v>
      </c>
      <c r="H1347" s="219" t="e">
        <f t="shared" si="140"/>
        <v>#REF!</v>
      </c>
      <c r="I1347" s="219" t="e">
        <f t="shared" si="141"/>
        <v>#REF!</v>
      </c>
      <c r="J1347" s="219" t="e">
        <f>IF(I1347="","",VLOOKUP(LEFT(C1347,1),dadosexternosBMF_1!$L$2:$M$13,2,FALSE))</f>
        <v>#REF!</v>
      </c>
      <c r="K1347" s="219" t="e">
        <f t="shared" si="142"/>
        <v>#REF!</v>
      </c>
      <c r="L1347" s="422" t="e">
        <f t="shared" si="143"/>
        <v>#REF!</v>
      </c>
      <c r="M1347" s="422" t="e">
        <f>IF(I1347="","",WORKDAY(L1347-1,1,FERIADOS!$A$2:$A$831))</f>
        <v>#REF!</v>
      </c>
      <c r="N1347" s="219" t="e">
        <f>IF(I1347="","",NETWORKDAYS(Curva!$M$2,M1347,FERIADOS!$A$2:$A$831)-1)</f>
        <v>#REF!</v>
      </c>
      <c r="O1347" s="423" t="e">
        <f>IF(C1347&lt;&gt;"",IF(ISERROR((100000/E1347)^(252/N1347)-1),Curva!$B$2,((100000/E1347)^(252/N1347)-1)),"")</f>
        <v>#REF!</v>
      </c>
      <c r="P1347" s="219" t="e">
        <f>IF(OR(G1347=1,G1347=2),dadosexternosBMF_1!B1350,"")</f>
        <v>#REF!</v>
      </c>
      <c r="Q1347" s="219" t="e">
        <f>IF(OR(G1347=1,G1347=2),dadosexternosBMF_1!D1350,"")</f>
        <v>#REF!</v>
      </c>
    </row>
    <row r="1348" spans="1:17" x14ac:dyDescent="0.2">
      <c r="A1348" s="222" t="e">
        <f t="shared" si="138"/>
        <v>#REF!</v>
      </c>
      <c r="B1348" s="222" t="str">
        <f>IF(dadosexternosBMF_1!A1351="DI1 - DI de 1 dia","DI1 - DI de 1 dia","")</f>
        <v/>
      </c>
      <c r="C1348" s="222" t="e">
        <f>IF(dadosexternosBMF_1!A1351="DOL - Dólar comercial","",IF(C1347&lt;&gt;"",dadosexternosBMF_1!B1351,IF(dadosexternosBMF_1!A1351="DI1 - DI de 1 dia",dadosexternosBMF_1!B1351,"")))</f>
        <v>#REF!</v>
      </c>
      <c r="D1348" s="222" t="e">
        <f>IF(C1348&lt;&gt;"",dadosexternosBMF_1!C1351,"")</f>
        <v>#REF!</v>
      </c>
      <c r="E1348" s="222" t="e">
        <f>IF(C1348&lt;&gt;"",dadosexternosBMF_1!D1351,"")</f>
        <v>#REF!</v>
      </c>
      <c r="G1348" s="219" t="e">
        <f t="shared" si="139"/>
        <v>#REF!</v>
      </c>
      <c r="H1348" s="219" t="e">
        <f t="shared" si="140"/>
        <v>#REF!</v>
      </c>
      <c r="I1348" s="219" t="e">
        <f t="shared" si="141"/>
        <v>#REF!</v>
      </c>
      <c r="J1348" s="219" t="e">
        <f>IF(I1348="","",VLOOKUP(LEFT(C1348,1),dadosexternosBMF_1!$L$2:$M$13,2,FALSE))</f>
        <v>#REF!</v>
      </c>
      <c r="K1348" s="219" t="e">
        <f t="shared" si="142"/>
        <v>#REF!</v>
      </c>
      <c r="L1348" s="422" t="e">
        <f t="shared" si="143"/>
        <v>#REF!</v>
      </c>
      <c r="M1348" s="422" t="e">
        <f>IF(I1348="","",WORKDAY(L1348-1,1,FERIADOS!$A$2:$A$831))</f>
        <v>#REF!</v>
      </c>
      <c r="N1348" s="219" t="e">
        <f>IF(I1348="","",NETWORKDAYS(Curva!$M$2,M1348,FERIADOS!$A$2:$A$831)-1)</f>
        <v>#REF!</v>
      </c>
      <c r="O1348" s="423" t="e">
        <f>IF(C1348&lt;&gt;"",IF(ISERROR((100000/E1348)^(252/N1348)-1),Curva!$B$2,((100000/E1348)^(252/N1348)-1)),"")</f>
        <v>#REF!</v>
      </c>
      <c r="P1348" s="219" t="e">
        <f>IF(OR(G1348=1,G1348=2),dadosexternosBMF_1!B1351,"")</f>
        <v>#REF!</v>
      </c>
      <c r="Q1348" s="219" t="e">
        <f>IF(OR(G1348=1,G1348=2),dadosexternosBMF_1!D1351,"")</f>
        <v>#REF!</v>
      </c>
    </row>
    <row r="1349" spans="1:17" x14ac:dyDescent="0.2">
      <c r="A1349" s="222" t="e">
        <f t="shared" si="138"/>
        <v>#REF!</v>
      </c>
      <c r="B1349" s="222" t="str">
        <f>IF(dadosexternosBMF_1!A1352="DI1 - DI de 1 dia","DI1 - DI de 1 dia","")</f>
        <v/>
      </c>
      <c r="C1349" s="222" t="e">
        <f>IF(dadosexternosBMF_1!A1352="DOL - Dólar comercial","",IF(C1348&lt;&gt;"",dadosexternosBMF_1!B1352,IF(dadosexternosBMF_1!A1352="DI1 - DI de 1 dia",dadosexternosBMF_1!B1352,"")))</f>
        <v>#REF!</v>
      </c>
      <c r="D1349" s="222" t="e">
        <f>IF(C1349&lt;&gt;"",dadosexternosBMF_1!C1352,"")</f>
        <v>#REF!</v>
      </c>
      <c r="E1349" s="222" t="e">
        <f>IF(C1349&lt;&gt;"",dadosexternosBMF_1!D1352,"")</f>
        <v>#REF!</v>
      </c>
      <c r="G1349" s="219" t="e">
        <f t="shared" si="139"/>
        <v>#REF!</v>
      </c>
      <c r="H1349" s="219" t="e">
        <f t="shared" si="140"/>
        <v>#REF!</v>
      </c>
      <c r="I1349" s="219" t="e">
        <f t="shared" si="141"/>
        <v>#REF!</v>
      </c>
      <c r="J1349" s="219" t="e">
        <f>IF(I1349="","",VLOOKUP(LEFT(C1349,1),dadosexternosBMF_1!$L$2:$M$13,2,FALSE))</f>
        <v>#REF!</v>
      </c>
      <c r="K1349" s="219" t="e">
        <f t="shared" si="142"/>
        <v>#REF!</v>
      </c>
      <c r="L1349" s="422" t="e">
        <f t="shared" si="143"/>
        <v>#REF!</v>
      </c>
      <c r="M1349" s="422" t="e">
        <f>IF(I1349="","",WORKDAY(L1349-1,1,FERIADOS!$A$2:$A$831))</f>
        <v>#REF!</v>
      </c>
      <c r="N1349" s="219" t="e">
        <f>IF(I1349="","",NETWORKDAYS(Curva!$M$2,M1349,FERIADOS!$A$2:$A$831)-1)</f>
        <v>#REF!</v>
      </c>
      <c r="O1349" s="423" t="e">
        <f>IF(C1349&lt;&gt;"",IF(ISERROR((100000/E1349)^(252/N1349)-1),Curva!$B$2,((100000/E1349)^(252/N1349)-1)),"")</f>
        <v>#REF!</v>
      </c>
      <c r="P1349" s="219" t="e">
        <f>IF(OR(G1349=1,G1349=2),dadosexternosBMF_1!B1352,"")</f>
        <v>#REF!</v>
      </c>
      <c r="Q1349" s="219" t="e">
        <f>IF(OR(G1349=1,G1349=2),dadosexternosBMF_1!D1352,"")</f>
        <v>#REF!</v>
      </c>
    </row>
    <row r="1350" spans="1:17" x14ac:dyDescent="0.2">
      <c r="A1350" s="222" t="e">
        <f t="shared" si="138"/>
        <v>#REF!</v>
      </c>
      <c r="B1350" s="222" t="str">
        <f>IF(dadosexternosBMF_1!A1353="DI1 - DI de 1 dia","DI1 - DI de 1 dia","")</f>
        <v/>
      </c>
      <c r="C1350" s="222" t="e">
        <f>IF(dadosexternosBMF_1!A1353="DOL - Dólar comercial","",IF(C1349&lt;&gt;"",dadosexternosBMF_1!B1353,IF(dadosexternosBMF_1!A1353="DI1 - DI de 1 dia",dadosexternosBMF_1!B1353,"")))</f>
        <v>#REF!</v>
      </c>
      <c r="D1350" s="222" t="e">
        <f>IF(C1350&lt;&gt;"",dadosexternosBMF_1!C1353,"")</f>
        <v>#REF!</v>
      </c>
      <c r="E1350" s="222" t="e">
        <f>IF(C1350&lt;&gt;"",dadosexternosBMF_1!D1353,"")</f>
        <v>#REF!</v>
      </c>
      <c r="G1350" s="219" t="e">
        <f t="shared" si="139"/>
        <v>#REF!</v>
      </c>
      <c r="H1350" s="219" t="e">
        <f t="shared" si="140"/>
        <v>#REF!</v>
      </c>
      <c r="I1350" s="219" t="e">
        <f t="shared" si="141"/>
        <v>#REF!</v>
      </c>
      <c r="J1350" s="219" t="e">
        <f>IF(I1350="","",VLOOKUP(LEFT(C1350,1),dadosexternosBMF_1!$L$2:$M$13,2,FALSE))</f>
        <v>#REF!</v>
      </c>
      <c r="K1350" s="219" t="e">
        <f t="shared" si="142"/>
        <v>#REF!</v>
      </c>
      <c r="L1350" s="422" t="e">
        <f t="shared" si="143"/>
        <v>#REF!</v>
      </c>
      <c r="M1350" s="422" t="e">
        <f>IF(I1350="","",WORKDAY(L1350-1,1,FERIADOS!$A$2:$A$831))</f>
        <v>#REF!</v>
      </c>
      <c r="N1350" s="219" t="e">
        <f>IF(I1350="","",NETWORKDAYS(Curva!$M$2,M1350,FERIADOS!$A$2:$A$831)-1)</f>
        <v>#REF!</v>
      </c>
      <c r="O1350" s="423" t="e">
        <f>IF(C1350&lt;&gt;"",IF(ISERROR((100000/E1350)^(252/N1350)-1),Curva!$B$2,((100000/E1350)^(252/N1350)-1)),"")</f>
        <v>#REF!</v>
      </c>
      <c r="P1350" s="219" t="e">
        <f>IF(OR(G1350=1,G1350=2),dadosexternosBMF_1!B1353,"")</f>
        <v>#REF!</v>
      </c>
      <c r="Q1350" s="219" t="e">
        <f>IF(OR(G1350=1,G1350=2),dadosexternosBMF_1!D1353,"")</f>
        <v>#REF!</v>
      </c>
    </row>
    <row r="1351" spans="1:17" x14ac:dyDescent="0.2">
      <c r="A1351" s="222" t="e">
        <f t="shared" si="138"/>
        <v>#REF!</v>
      </c>
      <c r="B1351" s="222" t="str">
        <f>IF(dadosexternosBMF_1!A1354="DI1 - DI de 1 dia","DI1 - DI de 1 dia","")</f>
        <v/>
      </c>
      <c r="C1351" s="222" t="e">
        <f>IF(dadosexternosBMF_1!A1354="DOL - Dólar comercial","",IF(C1350&lt;&gt;"",dadosexternosBMF_1!B1354,IF(dadosexternosBMF_1!A1354="DI1 - DI de 1 dia",dadosexternosBMF_1!B1354,"")))</f>
        <v>#REF!</v>
      </c>
      <c r="D1351" s="222" t="e">
        <f>IF(C1351&lt;&gt;"",dadosexternosBMF_1!C1354,"")</f>
        <v>#REF!</v>
      </c>
      <c r="E1351" s="222" t="e">
        <f>IF(C1351&lt;&gt;"",dadosexternosBMF_1!D1354,"")</f>
        <v>#REF!</v>
      </c>
      <c r="G1351" s="219" t="e">
        <f t="shared" si="139"/>
        <v>#REF!</v>
      </c>
      <c r="H1351" s="219" t="e">
        <f t="shared" si="140"/>
        <v>#REF!</v>
      </c>
      <c r="I1351" s="219" t="e">
        <f t="shared" si="141"/>
        <v>#REF!</v>
      </c>
      <c r="J1351" s="219" t="e">
        <f>IF(I1351="","",VLOOKUP(LEFT(C1351,1),dadosexternosBMF_1!$L$2:$M$13,2,FALSE))</f>
        <v>#REF!</v>
      </c>
      <c r="K1351" s="219" t="e">
        <f t="shared" si="142"/>
        <v>#REF!</v>
      </c>
      <c r="L1351" s="422" t="e">
        <f t="shared" si="143"/>
        <v>#REF!</v>
      </c>
      <c r="M1351" s="422" t="e">
        <f>IF(I1351="","",WORKDAY(L1351-1,1,FERIADOS!$A$2:$A$831))</f>
        <v>#REF!</v>
      </c>
      <c r="N1351" s="219" t="e">
        <f>IF(I1351="","",NETWORKDAYS(Curva!$M$2,M1351,FERIADOS!$A$2:$A$831)-1)</f>
        <v>#REF!</v>
      </c>
      <c r="O1351" s="423" t="e">
        <f>IF(C1351&lt;&gt;"",IF(ISERROR((100000/E1351)^(252/N1351)-1),Curva!$B$2,((100000/E1351)^(252/N1351)-1)),"")</f>
        <v>#REF!</v>
      </c>
      <c r="P1351" s="219" t="e">
        <f>IF(OR(G1351=1,G1351=2),dadosexternosBMF_1!B1354,"")</f>
        <v>#REF!</v>
      </c>
      <c r="Q1351" s="219" t="e">
        <f>IF(OR(G1351=1,G1351=2),dadosexternosBMF_1!D1354,"")</f>
        <v>#REF!</v>
      </c>
    </row>
    <row r="1352" spans="1:17" x14ac:dyDescent="0.2">
      <c r="A1352" s="222" t="e">
        <f t="shared" si="138"/>
        <v>#REF!</v>
      </c>
      <c r="B1352" s="222" t="str">
        <f>IF(dadosexternosBMF_1!A1355="DI1 - DI de 1 dia","DI1 - DI de 1 dia","")</f>
        <v/>
      </c>
      <c r="C1352" s="222" t="e">
        <f>IF(dadosexternosBMF_1!A1355="DOL - Dólar comercial","",IF(C1351&lt;&gt;"",dadosexternosBMF_1!B1355,IF(dadosexternosBMF_1!A1355="DI1 - DI de 1 dia",dadosexternosBMF_1!B1355,"")))</f>
        <v>#REF!</v>
      </c>
      <c r="D1352" s="222" t="e">
        <f>IF(C1352&lt;&gt;"",dadosexternosBMF_1!C1355,"")</f>
        <v>#REF!</v>
      </c>
      <c r="E1352" s="222" t="e">
        <f>IF(C1352&lt;&gt;"",dadosexternosBMF_1!D1355,"")</f>
        <v>#REF!</v>
      </c>
      <c r="G1352" s="219" t="e">
        <f t="shared" si="139"/>
        <v>#REF!</v>
      </c>
      <c r="H1352" s="219" t="e">
        <f t="shared" si="140"/>
        <v>#REF!</v>
      </c>
      <c r="I1352" s="219" t="e">
        <f t="shared" si="141"/>
        <v>#REF!</v>
      </c>
      <c r="J1352" s="219" t="e">
        <f>IF(I1352="","",VLOOKUP(LEFT(C1352,1),dadosexternosBMF_1!$L$2:$M$13,2,FALSE))</f>
        <v>#REF!</v>
      </c>
      <c r="K1352" s="219" t="e">
        <f t="shared" si="142"/>
        <v>#REF!</v>
      </c>
      <c r="L1352" s="422" t="e">
        <f t="shared" si="143"/>
        <v>#REF!</v>
      </c>
      <c r="M1352" s="422" t="e">
        <f>IF(I1352="","",WORKDAY(L1352-1,1,FERIADOS!$A$2:$A$831))</f>
        <v>#REF!</v>
      </c>
      <c r="N1352" s="219" t="e">
        <f>IF(I1352="","",NETWORKDAYS(Curva!$M$2,M1352,FERIADOS!$A$2:$A$831)-1)</f>
        <v>#REF!</v>
      </c>
      <c r="O1352" s="423" t="e">
        <f>IF(C1352&lt;&gt;"",IF(ISERROR((100000/E1352)^(252/N1352)-1),Curva!$B$2,((100000/E1352)^(252/N1352)-1)),"")</f>
        <v>#REF!</v>
      </c>
      <c r="P1352" s="219" t="e">
        <f>IF(OR(G1352=1,G1352=2),dadosexternosBMF_1!B1355,"")</f>
        <v>#REF!</v>
      </c>
      <c r="Q1352" s="219" t="e">
        <f>IF(OR(G1352=1,G1352=2),dadosexternosBMF_1!D1355,"")</f>
        <v>#REF!</v>
      </c>
    </row>
    <row r="1353" spans="1:17" x14ac:dyDescent="0.2">
      <c r="A1353" s="222" t="e">
        <f t="shared" si="138"/>
        <v>#REF!</v>
      </c>
      <c r="B1353" s="222" t="str">
        <f>IF(dadosexternosBMF_1!A1356="DI1 - DI de 1 dia","DI1 - DI de 1 dia","")</f>
        <v/>
      </c>
      <c r="C1353" s="222" t="e">
        <f>IF(dadosexternosBMF_1!A1356="DOL - Dólar comercial","",IF(C1352&lt;&gt;"",dadosexternosBMF_1!B1356,IF(dadosexternosBMF_1!A1356="DI1 - DI de 1 dia",dadosexternosBMF_1!B1356,"")))</f>
        <v>#REF!</v>
      </c>
      <c r="D1353" s="222" t="e">
        <f>IF(C1353&lt;&gt;"",dadosexternosBMF_1!C1356,"")</f>
        <v>#REF!</v>
      </c>
      <c r="E1353" s="222" t="e">
        <f>IF(C1353&lt;&gt;"",dadosexternosBMF_1!D1356,"")</f>
        <v>#REF!</v>
      </c>
      <c r="G1353" s="219" t="e">
        <f t="shared" si="139"/>
        <v>#REF!</v>
      </c>
      <c r="H1353" s="219" t="e">
        <f t="shared" si="140"/>
        <v>#REF!</v>
      </c>
      <c r="I1353" s="219" t="e">
        <f t="shared" si="141"/>
        <v>#REF!</v>
      </c>
      <c r="J1353" s="219" t="e">
        <f>IF(I1353="","",VLOOKUP(LEFT(C1353,1),dadosexternosBMF_1!$L$2:$M$13,2,FALSE))</f>
        <v>#REF!</v>
      </c>
      <c r="K1353" s="219" t="e">
        <f t="shared" si="142"/>
        <v>#REF!</v>
      </c>
      <c r="L1353" s="422" t="e">
        <f t="shared" si="143"/>
        <v>#REF!</v>
      </c>
      <c r="M1353" s="422" t="e">
        <f>IF(I1353="","",WORKDAY(L1353-1,1,FERIADOS!$A$2:$A$831))</f>
        <v>#REF!</v>
      </c>
      <c r="N1353" s="219" t="e">
        <f>IF(I1353="","",NETWORKDAYS(Curva!$M$2,M1353,FERIADOS!$A$2:$A$831)-1)</f>
        <v>#REF!</v>
      </c>
      <c r="O1353" s="423" t="e">
        <f>IF(C1353&lt;&gt;"",IF(ISERROR((100000/E1353)^(252/N1353)-1),Curva!$B$2,((100000/E1353)^(252/N1353)-1)),"")</f>
        <v>#REF!</v>
      </c>
      <c r="P1353" s="219" t="e">
        <f>IF(OR(G1353=1,G1353=2),dadosexternosBMF_1!B1356,"")</f>
        <v>#REF!</v>
      </c>
      <c r="Q1353" s="219" t="e">
        <f>IF(OR(G1353=1,G1353=2),dadosexternosBMF_1!D1356,"")</f>
        <v>#REF!</v>
      </c>
    </row>
    <row r="1354" spans="1:17" x14ac:dyDescent="0.2">
      <c r="A1354" s="222" t="e">
        <f t="shared" si="138"/>
        <v>#REF!</v>
      </c>
      <c r="B1354" s="222" t="str">
        <f>IF(dadosexternosBMF_1!A1357="DI1 - DI de 1 dia","DI1 - DI de 1 dia","")</f>
        <v/>
      </c>
      <c r="C1354" s="222" t="e">
        <f>IF(dadosexternosBMF_1!A1357="DOL - Dólar comercial","",IF(C1353&lt;&gt;"",dadosexternosBMF_1!B1357,IF(dadosexternosBMF_1!A1357="DI1 - DI de 1 dia",dadosexternosBMF_1!B1357,"")))</f>
        <v>#REF!</v>
      </c>
      <c r="D1354" s="222" t="e">
        <f>IF(C1354&lt;&gt;"",dadosexternosBMF_1!C1357,"")</f>
        <v>#REF!</v>
      </c>
      <c r="E1354" s="222" t="e">
        <f>IF(C1354&lt;&gt;"",dadosexternosBMF_1!D1357,"")</f>
        <v>#REF!</v>
      </c>
      <c r="G1354" s="219" t="e">
        <f t="shared" si="139"/>
        <v>#REF!</v>
      </c>
      <c r="H1354" s="219" t="e">
        <f t="shared" si="140"/>
        <v>#REF!</v>
      </c>
      <c r="I1354" s="219" t="e">
        <f t="shared" si="141"/>
        <v>#REF!</v>
      </c>
      <c r="J1354" s="219" t="e">
        <f>IF(I1354="","",VLOOKUP(LEFT(C1354,1),dadosexternosBMF_1!$L$2:$M$13,2,FALSE))</f>
        <v>#REF!</v>
      </c>
      <c r="K1354" s="219" t="e">
        <f t="shared" si="142"/>
        <v>#REF!</v>
      </c>
      <c r="L1354" s="422" t="e">
        <f t="shared" si="143"/>
        <v>#REF!</v>
      </c>
      <c r="M1354" s="422" t="e">
        <f>IF(I1354="","",WORKDAY(L1354-1,1,FERIADOS!$A$2:$A$831))</f>
        <v>#REF!</v>
      </c>
      <c r="N1354" s="219" t="e">
        <f>IF(I1354="","",NETWORKDAYS(Curva!$M$2,M1354,FERIADOS!$A$2:$A$831)-1)</f>
        <v>#REF!</v>
      </c>
      <c r="O1354" s="423" t="e">
        <f>IF(C1354&lt;&gt;"",IF(ISERROR((100000/E1354)^(252/N1354)-1),Curva!$B$2,((100000/E1354)^(252/N1354)-1)),"")</f>
        <v>#REF!</v>
      </c>
      <c r="P1354" s="219" t="e">
        <f>IF(OR(G1354=1,G1354=2),dadosexternosBMF_1!B1357,"")</f>
        <v>#REF!</v>
      </c>
      <c r="Q1354" s="219" t="e">
        <f>IF(OR(G1354=1,G1354=2),dadosexternosBMF_1!D1357,"")</f>
        <v>#REF!</v>
      </c>
    </row>
    <row r="1355" spans="1:17" x14ac:dyDescent="0.2">
      <c r="A1355" s="222" t="e">
        <f t="shared" si="138"/>
        <v>#REF!</v>
      </c>
      <c r="B1355" s="222" t="str">
        <f>IF(dadosexternosBMF_1!A1358="DI1 - DI de 1 dia","DI1 - DI de 1 dia","")</f>
        <v/>
      </c>
      <c r="C1355" s="222" t="e">
        <f>IF(dadosexternosBMF_1!A1358="DOL - Dólar comercial","",IF(C1354&lt;&gt;"",dadosexternosBMF_1!B1358,IF(dadosexternosBMF_1!A1358="DI1 - DI de 1 dia",dadosexternosBMF_1!B1358,"")))</f>
        <v>#REF!</v>
      </c>
      <c r="D1355" s="222" t="e">
        <f>IF(C1355&lt;&gt;"",dadosexternosBMF_1!C1358,"")</f>
        <v>#REF!</v>
      </c>
      <c r="E1355" s="222" t="e">
        <f>IF(C1355&lt;&gt;"",dadosexternosBMF_1!D1358,"")</f>
        <v>#REF!</v>
      </c>
      <c r="G1355" s="219" t="e">
        <f t="shared" si="139"/>
        <v>#REF!</v>
      </c>
      <c r="H1355" s="219" t="e">
        <f t="shared" si="140"/>
        <v>#REF!</v>
      </c>
      <c r="I1355" s="219" t="e">
        <f t="shared" si="141"/>
        <v>#REF!</v>
      </c>
      <c r="J1355" s="219" t="e">
        <f>IF(I1355="","",VLOOKUP(LEFT(C1355,1),dadosexternosBMF_1!$L$2:$M$13,2,FALSE))</f>
        <v>#REF!</v>
      </c>
      <c r="K1355" s="219" t="e">
        <f t="shared" si="142"/>
        <v>#REF!</v>
      </c>
      <c r="L1355" s="422" t="e">
        <f t="shared" si="143"/>
        <v>#REF!</v>
      </c>
      <c r="M1355" s="422" t="e">
        <f>IF(I1355="","",WORKDAY(L1355-1,1,FERIADOS!$A$2:$A$831))</f>
        <v>#REF!</v>
      </c>
      <c r="N1355" s="219" t="e">
        <f>IF(I1355="","",NETWORKDAYS(Curva!$M$2,M1355,FERIADOS!$A$2:$A$831)-1)</f>
        <v>#REF!</v>
      </c>
      <c r="O1355" s="423" t="e">
        <f>IF(C1355&lt;&gt;"",IF(ISERROR((100000/E1355)^(252/N1355)-1),Curva!$B$2,((100000/E1355)^(252/N1355)-1)),"")</f>
        <v>#REF!</v>
      </c>
      <c r="P1355" s="219" t="e">
        <f>IF(OR(G1355=1,G1355=2),dadosexternosBMF_1!B1358,"")</f>
        <v>#REF!</v>
      </c>
      <c r="Q1355" s="219" t="e">
        <f>IF(OR(G1355=1,G1355=2),dadosexternosBMF_1!D1358,"")</f>
        <v>#REF!</v>
      </c>
    </row>
    <row r="1356" spans="1:17" x14ac:dyDescent="0.2">
      <c r="A1356" s="222" t="e">
        <f t="shared" si="138"/>
        <v>#REF!</v>
      </c>
      <c r="B1356" s="222" t="str">
        <f>IF(dadosexternosBMF_1!A1359="DI1 - DI de 1 dia","DI1 - DI de 1 dia","")</f>
        <v/>
      </c>
      <c r="C1356" s="222" t="e">
        <f>IF(dadosexternosBMF_1!A1359="DOL - Dólar comercial","",IF(C1355&lt;&gt;"",dadosexternosBMF_1!B1359,IF(dadosexternosBMF_1!A1359="DI1 - DI de 1 dia",dadosexternosBMF_1!B1359,"")))</f>
        <v>#REF!</v>
      </c>
      <c r="D1356" s="222" t="e">
        <f>IF(C1356&lt;&gt;"",dadosexternosBMF_1!C1359,"")</f>
        <v>#REF!</v>
      </c>
      <c r="E1356" s="222" t="e">
        <f>IF(C1356&lt;&gt;"",dadosexternosBMF_1!D1359,"")</f>
        <v>#REF!</v>
      </c>
      <c r="G1356" s="219" t="e">
        <f t="shared" si="139"/>
        <v>#REF!</v>
      </c>
      <c r="H1356" s="219" t="e">
        <f t="shared" si="140"/>
        <v>#REF!</v>
      </c>
      <c r="I1356" s="219" t="e">
        <f t="shared" si="141"/>
        <v>#REF!</v>
      </c>
      <c r="J1356" s="219" t="e">
        <f>IF(I1356="","",VLOOKUP(LEFT(C1356,1),dadosexternosBMF_1!$L$2:$M$13,2,FALSE))</f>
        <v>#REF!</v>
      </c>
      <c r="K1356" s="219" t="e">
        <f t="shared" si="142"/>
        <v>#REF!</v>
      </c>
      <c r="L1356" s="422" t="e">
        <f t="shared" si="143"/>
        <v>#REF!</v>
      </c>
      <c r="M1356" s="422" t="e">
        <f>IF(I1356="","",WORKDAY(L1356-1,1,FERIADOS!$A$2:$A$831))</f>
        <v>#REF!</v>
      </c>
      <c r="N1356" s="219" t="e">
        <f>IF(I1356="","",NETWORKDAYS(Curva!$M$2,M1356,FERIADOS!$A$2:$A$831)-1)</f>
        <v>#REF!</v>
      </c>
      <c r="O1356" s="423" t="e">
        <f>IF(C1356&lt;&gt;"",IF(ISERROR((100000/E1356)^(252/N1356)-1),Curva!$B$2,((100000/E1356)^(252/N1356)-1)),"")</f>
        <v>#REF!</v>
      </c>
      <c r="P1356" s="219" t="e">
        <f>IF(OR(G1356=1,G1356=2),dadosexternosBMF_1!B1359,"")</f>
        <v>#REF!</v>
      </c>
      <c r="Q1356" s="219" t="e">
        <f>IF(OR(G1356=1,G1356=2),dadosexternosBMF_1!D1359,"")</f>
        <v>#REF!</v>
      </c>
    </row>
    <row r="1357" spans="1:17" x14ac:dyDescent="0.2">
      <c r="A1357" s="222" t="e">
        <f t="shared" si="138"/>
        <v>#REF!</v>
      </c>
      <c r="B1357" s="222" t="str">
        <f>IF(dadosexternosBMF_1!A1360="DI1 - DI de 1 dia","DI1 - DI de 1 dia","")</f>
        <v/>
      </c>
      <c r="C1357" s="222" t="e">
        <f>IF(dadosexternosBMF_1!A1360="DOL - Dólar comercial","",IF(C1356&lt;&gt;"",dadosexternosBMF_1!B1360,IF(dadosexternosBMF_1!A1360="DI1 - DI de 1 dia",dadosexternosBMF_1!B1360,"")))</f>
        <v>#REF!</v>
      </c>
      <c r="D1357" s="222" t="e">
        <f>IF(C1357&lt;&gt;"",dadosexternosBMF_1!C1360,"")</f>
        <v>#REF!</v>
      </c>
      <c r="E1357" s="222" t="e">
        <f>IF(C1357&lt;&gt;"",dadosexternosBMF_1!D1360,"")</f>
        <v>#REF!</v>
      </c>
      <c r="G1357" s="219" t="e">
        <f t="shared" si="139"/>
        <v>#REF!</v>
      </c>
      <c r="H1357" s="219" t="e">
        <f t="shared" si="140"/>
        <v>#REF!</v>
      </c>
      <c r="I1357" s="219" t="e">
        <f t="shared" si="141"/>
        <v>#REF!</v>
      </c>
      <c r="J1357" s="219" t="e">
        <f>IF(I1357="","",VLOOKUP(LEFT(C1357,1),dadosexternosBMF_1!$L$2:$M$13,2,FALSE))</f>
        <v>#REF!</v>
      </c>
      <c r="K1357" s="219" t="e">
        <f t="shared" si="142"/>
        <v>#REF!</v>
      </c>
      <c r="L1357" s="422" t="e">
        <f t="shared" si="143"/>
        <v>#REF!</v>
      </c>
      <c r="M1357" s="422" t="e">
        <f>IF(I1357="","",WORKDAY(L1357-1,1,FERIADOS!$A$2:$A$831))</f>
        <v>#REF!</v>
      </c>
      <c r="N1357" s="219" t="e">
        <f>IF(I1357="","",NETWORKDAYS(Curva!$M$2,M1357,FERIADOS!$A$2:$A$831)-1)</f>
        <v>#REF!</v>
      </c>
      <c r="O1357" s="423" t="e">
        <f>IF(C1357&lt;&gt;"",IF(ISERROR((100000/E1357)^(252/N1357)-1),Curva!$B$2,((100000/E1357)^(252/N1357)-1)),"")</f>
        <v>#REF!</v>
      </c>
      <c r="P1357" s="219" t="e">
        <f>IF(OR(G1357=1,G1357=2),dadosexternosBMF_1!B1360,"")</f>
        <v>#REF!</v>
      </c>
      <c r="Q1357" s="219" t="e">
        <f>IF(OR(G1357=1,G1357=2),dadosexternosBMF_1!D1360,"")</f>
        <v>#REF!</v>
      </c>
    </row>
    <row r="1358" spans="1:17" x14ac:dyDescent="0.2">
      <c r="A1358" s="222" t="e">
        <f t="shared" si="138"/>
        <v>#REF!</v>
      </c>
      <c r="B1358" s="222" t="str">
        <f>IF(dadosexternosBMF_1!A1361="DI1 - DI de 1 dia","DI1 - DI de 1 dia","")</f>
        <v/>
      </c>
      <c r="C1358" s="222" t="e">
        <f>IF(dadosexternosBMF_1!A1361="DOL - Dólar comercial","",IF(C1357&lt;&gt;"",dadosexternosBMF_1!B1361,IF(dadosexternosBMF_1!A1361="DI1 - DI de 1 dia",dadosexternosBMF_1!B1361,"")))</f>
        <v>#REF!</v>
      </c>
      <c r="D1358" s="222" t="e">
        <f>IF(C1358&lt;&gt;"",dadosexternosBMF_1!C1361,"")</f>
        <v>#REF!</v>
      </c>
      <c r="E1358" s="222" t="e">
        <f>IF(C1358&lt;&gt;"",dadosexternosBMF_1!D1361,"")</f>
        <v>#REF!</v>
      </c>
      <c r="G1358" s="219" t="e">
        <f t="shared" si="139"/>
        <v>#REF!</v>
      </c>
      <c r="H1358" s="219" t="e">
        <f t="shared" si="140"/>
        <v>#REF!</v>
      </c>
      <c r="I1358" s="219" t="e">
        <f t="shared" si="141"/>
        <v>#REF!</v>
      </c>
      <c r="J1358" s="219" t="e">
        <f>IF(I1358="","",VLOOKUP(LEFT(C1358,1),dadosexternosBMF_1!$L$2:$M$13,2,FALSE))</f>
        <v>#REF!</v>
      </c>
      <c r="K1358" s="219" t="e">
        <f t="shared" si="142"/>
        <v>#REF!</v>
      </c>
      <c r="L1358" s="422" t="e">
        <f t="shared" si="143"/>
        <v>#REF!</v>
      </c>
      <c r="M1358" s="422" t="e">
        <f>IF(I1358="","",WORKDAY(L1358-1,1,FERIADOS!$A$2:$A$831))</f>
        <v>#REF!</v>
      </c>
      <c r="N1358" s="219" t="e">
        <f>IF(I1358="","",NETWORKDAYS(Curva!$M$2,M1358,FERIADOS!$A$2:$A$831)-1)</f>
        <v>#REF!</v>
      </c>
      <c r="O1358" s="423" t="e">
        <f>IF(C1358&lt;&gt;"",IF(ISERROR((100000/E1358)^(252/N1358)-1),Curva!$B$2,((100000/E1358)^(252/N1358)-1)),"")</f>
        <v>#REF!</v>
      </c>
      <c r="P1358" s="219" t="e">
        <f>IF(OR(G1358=1,G1358=2),dadosexternosBMF_1!B1361,"")</f>
        <v>#REF!</v>
      </c>
      <c r="Q1358" s="219" t="e">
        <f>IF(OR(G1358=1,G1358=2),dadosexternosBMF_1!D1361,"")</f>
        <v>#REF!</v>
      </c>
    </row>
    <row r="1359" spans="1:17" x14ac:dyDescent="0.2">
      <c r="A1359" s="222" t="e">
        <f t="shared" si="138"/>
        <v>#REF!</v>
      </c>
      <c r="B1359" s="222" t="str">
        <f>IF(dadosexternosBMF_1!A1362="DI1 - DI de 1 dia","DI1 - DI de 1 dia","")</f>
        <v/>
      </c>
      <c r="C1359" s="222" t="e">
        <f>IF(dadosexternosBMF_1!A1362="DOL - Dólar comercial","",IF(C1358&lt;&gt;"",dadosexternosBMF_1!B1362,IF(dadosexternosBMF_1!A1362="DI1 - DI de 1 dia",dadosexternosBMF_1!B1362,"")))</f>
        <v>#REF!</v>
      </c>
      <c r="D1359" s="222" t="e">
        <f>IF(C1359&lt;&gt;"",dadosexternosBMF_1!C1362,"")</f>
        <v>#REF!</v>
      </c>
      <c r="E1359" s="222" t="e">
        <f>IF(C1359&lt;&gt;"",dadosexternosBMF_1!D1362,"")</f>
        <v>#REF!</v>
      </c>
      <c r="G1359" s="219" t="e">
        <f t="shared" si="139"/>
        <v>#REF!</v>
      </c>
      <c r="H1359" s="219" t="e">
        <f t="shared" si="140"/>
        <v>#REF!</v>
      </c>
      <c r="I1359" s="219" t="e">
        <f t="shared" si="141"/>
        <v>#REF!</v>
      </c>
      <c r="J1359" s="219" t="e">
        <f>IF(I1359="","",VLOOKUP(LEFT(C1359,1),dadosexternosBMF_1!$L$2:$M$13,2,FALSE))</f>
        <v>#REF!</v>
      </c>
      <c r="K1359" s="219" t="e">
        <f t="shared" si="142"/>
        <v>#REF!</v>
      </c>
      <c r="L1359" s="422" t="e">
        <f t="shared" si="143"/>
        <v>#REF!</v>
      </c>
      <c r="M1359" s="422" t="e">
        <f>IF(I1359="","",WORKDAY(L1359-1,1,FERIADOS!$A$2:$A$831))</f>
        <v>#REF!</v>
      </c>
      <c r="N1359" s="219" t="e">
        <f>IF(I1359="","",NETWORKDAYS(Curva!$M$2,M1359,FERIADOS!$A$2:$A$831)-1)</f>
        <v>#REF!</v>
      </c>
      <c r="O1359" s="423" t="e">
        <f>IF(C1359&lt;&gt;"",IF(ISERROR((100000/E1359)^(252/N1359)-1),Curva!$B$2,((100000/E1359)^(252/N1359)-1)),"")</f>
        <v>#REF!</v>
      </c>
      <c r="P1359" s="219" t="e">
        <f>IF(OR(G1359=1,G1359=2),dadosexternosBMF_1!B1362,"")</f>
        <v>#REF!</v>
      </c>
      <c r="Q1359" s="219" t="e">
        <f>IF(OR(G1359=1,G1359=2),dadosexternosBMF_1!D1362,"")</f>
        <v>#REF!</v>
      </c>
    </row>
    <row r="1360" spans="1:17" x14ac:dyDescent="0.2">
      <c r="A1360" s="222" t="e">
        <f t="shared" si="138"/>
        <v>#REF!</v>
      </c>
      <c r="B1360" s="222" t="str">
        <f>IF(dadosexternosBMF_1!A1363="DI1 - DI de 1 dia","DI1 - DI de 1 dia","")</f>
        <v/>
      </c>
      <c r="C1360" s="222" t="e">
        <f>IF(dadosexternosBMF_1!A1363="DOL - Dólar comercial","",IF(C1359&lt;&gt;"",dadosexternosBMF_1!B1363,IF(dadosexternosBMF_1!A1363="DI1 - DI de 1 dia",dadosexternosBMF_1!B1363,"")))</f>
        <v>#REF!</v>
      </c>
      <c r="D1360" s="222" t="e">
        <f>IF(C1360&lt;&gt;"",dadosexternosBMF_1!C1363,"")</f>
        <v>#REF!</v>
      </c>
      <c r="E1360" s="222" t="e">
        <f>IF(C1360&lt;&gt;"",dadosexternosBMF_1!D1363,"")</f>
        <v>#REF!</v>
      </c>
      <c r="G1360" s="219" t="e">
        <f t="shared" si="139"/>
        <v>#REF!</v>
      </c>
      <c r="H1360" s="219" t="e">
        <f t="shared" si="140"/>
        <v>#REF!</v>
      </c>
      <c r="I1360" s="219" t="e">
        <f t="shared" si="141"/>
        <v>#REF!</v>
      </c>
      <c r="J1360" s="219" t="e">
        <f>IF(I1360="","",VLOOKUP(LEFT(C1360,1),dadosexternosBMF_1!$L$2:$M$13,2,FALSE))</f>
        <v>#REF!</v>
      </c>
      <c r="K1360" s="219" t="e">
        <f t="shared" si="142"/>
        <v>#REF!</v>
      </c>
      <c r="L1360" s="422" t="e">
        <f t="shared" si="143"/>
        <v>#REF!</v>
      </c>
      <c r="M1360" s="422" t="e">
        <f>IF(I1360="","",WORKDAY(L1360-1,1,FERIADOS!$A$2:$A$831))</f>
        <v>#REF!</v>
      </c>
      <c r="N1360" s="219" t="e">
        <f>IF(I1360="","",NETWORKDAYS(Curva!$M$2,M1360,FERIADOS!$A$2:$A$831)-1)</f>
        <v>#REF!</v>
      </c>
      <c r="O1360" s="423" t="e">
        <f>IF(C1360&lt;&gt;"",IF(ISERROR((100000/E1360)^(252/N1360)-1),Curva!$B$2,((100000/E1360)^(252/N1360)-1)),"")</f>
        <v>#REF!</v>
      </c>
      <c r="P1360" s="219" t="e">
        <f>IF(OR(G1360=1,G1360=2),dadosexternosBMF_1!B1363,"")</f>
        <v>#REF!</v>
      </c>
      <c r="Q1360" s="219" t="e">
        <f>IF(OR(G1360=1,G1360=2),dadosexternosBMF_1!D1363,"")</f>
        <v>#REF!</v>
      </c>
    </row>
    <row r="1361" spans="1:17" x14ac:dyDescent="0.2">
      <c r="A1361" s="222" t="e">
        <f t="shared" si="138"/>
        <v>#REF!</v>
      </c>
      <c r="B1361" s="222" t="str">
        <f>IF(dadosexternosBMF_1!A1364="DI1 - DI de 1 dia","DI1 - DI de 1 dia","")</f>
        <v/>
      </c>
      <c r="C1361" s="222" t="e">
        <f>IF(dadosexternosBMF_1!A1364="DOL - Dólar comercial","",IF(C1360&lt;&gt;"",dadosexternosBMF_1!B1364,IF(dadosexternosBMF_1!A1364="DI1 - DI de 1 dia",dadosexternosBMF_1!B1364,"")))</f>
        <v>#REF!</v>
      </c>
      <c r="D1361" s="222" t="e">
        <f>IF(C1361&lt;&gt;"",dadosexternosBMF_1!C1364,"")</f>
        <v>#REF!</v>
      </c>
      <c r="E1361" s="222" t="e">
        <f>IF(C1361&lt;&gt;"",dadosexternosBMF_1!D1364,"")</f>
        <v>#REF!</v>
      </c>
      <c r="G1361" s="219" t="e">
        <f t="shared" si="139"/>
        <v>#REF!</v>
      </c>
      <c r="H1361" s="219" t="e">
        <f t="shared" si="140"/>
        <v>#REF!</v>
      </c>
      <c r="I1361" s="219" t="e">
        <f t="shared" si="141"/>
        <v>#REF!</v>
      </c>
      <c r="J1361" s="219" t="e">
        <f>IF(I1361="","",VLOOKUP(LEFT(C1361,1),dadosexternosBMF_1!$L$2:$M$13,2,FALSE))</f>
        <v>#REF!</v>
      </c>
      <c r="K1361" s="219" t="e">
        <f t="shared" si="142"/>
        <v>#REF!</v>
      </c>
      <c r="L1361" s="422" t="e">
        <f t="shared" si="143"/>
        <v>#REF!</v>
      </c>
      <c r="M1361" s="422" t="e">
        <f>IF(I1361="","",WORKDAY(L1361-1,1,FERIADOS!$A$2:$A$831))</f>
        <v>#REF!</v>
      </c>
      <c r="N1361" s="219" t="e">
        <f>IF(I1361="","",NETWORKDAYS(Curva!$M$2,M1361,FERIADOS!$A$2:$A$831)-1)</f>
        <v>#REF!</v>
      </c>
      <c r="O1361" s="423" t="e">
        <f>IF(C1361&lt;&gt;"",IF(ISERROR((100000/E1361)^(252/N1361)-1),Curva!$B$2,((100000/E1361)^(252/N1361)-1)),"")</f>
        <v>#REF!</v>
      </c>
      <c r="P1361" s="219" t="e">
        <f>IF(OR(G1361=1,G1361=2),dadosexternosBMF_1!B1364,"")</f>
        <v>#REF!</v>
      </c>
      <c r="Q1361" s="219" t="e">
        <f>IF(OR(G1361=1,G1361=2),dadosexternosBMF_1!D1364,"")</f>
        <v>#REF!</v>
      </c>
    </row>
    <row r="1362" spans="1:17" x14ac:dyDescent="0.2">
      <c r="A1362" s="222" t="e">
        <f t="shared" si="138"/>
        <v>#REF!</v>
      </c>
      <c r="B1362" s="222" t="str">
        <f>IF(dadosexternosBMF_1!A1365="DI1 - DI de 1 dia","DI1 - DI de 1 dia","")</f>
        <v/>
      </c>
      <c r="C1362" s="222" t="e">
        <f>IF(dadosexternosBMF_1!A1365="DOL - Dólar comercial","",IF(C1361&lt;&gt;"",dadosexternosBMF_1!B1365,IF(dadosexternosBMF_1!A1365="DI1 - DI de 1 dia",dadosexternosBMF_1!B1365,"")))</f>
        <v>#REF!</v>
      </c>
      <c r="D1362" s="222" t="e">
        <f>IF(C1362&lt;&gt;"",dadosexternosBMF_1!C1365,"")</f>
        <v>#REF!</v>
      </c>
      <c r="E1362" s="222" t="e">
        <f>IF(C1362&lt;&gt;"",dadosexternosBMF_1!D1365,"")</f>
        <v>#REF!</v>
      </c>
      <c r="G1362" s="219" t="e">
        <f t="shared" si="139"/>
        <v>#REF!</v>
      </c>
      <c r="H1362" s="219" t="e">
        <f t="shared" si="140"/>
        <v>#REF!</v>
      </c>
      <c r="I1362" s="219" t="e">
        <f t="shared" si="141"/>
        <v>#REF!</v>
      </c>
      <c r="J1362" s="219" t="e">
        <f>IF(I1362="","",VLOOKUP(LEFT(C1362,1),dadosexternosBMF_1!$L$2:$M$13,2,FALSE))</f>
        <v>#REF!</v>
      </c>
      <c r="K1362" s="219" t="e">
        <f t="shared" si="142"/>
        <v>#REF!</v>
      </c>
      <c r="L1362" s="422" t="e">
        <f t="shared" si="143"/>
        <v>#REF!</v>
      </c>
      <c r="M1362" s="422" t="e">
        <f>IF(I1362="","",WORKDAY(L1362-1,1,FERIADOS!$A$2:$A$831))</f>
        <v>#REF!</v>
      </c>
      <c r="N1362" s="219" t="e">
        <f>IF(I1362="","",NETWORKDAYS(Curva!$M$2,M1362,FERIADOS!$A$2:$A$831)-1)</f>
        <v>#REF!</v>
      </c>
      <c r="O1362" s="423" t="e">
        <f>IF(C1362&lt;&gt;"",IF(ISERROR((100000/E1362)^(252/N1362)-1),Curva!$B$2,((100000/E1362)^(252/N1362)-1)),"")</f>
        <v>#REF!</v>
      </c>
      <c r="P1362" s="219" t="e">
        <f>IF(OR(G1362=1,G1362=2),dadosexternosBMF_1!B1365,"")</f>
        <v>#REF!</v>
      </c>
      <c r="Q1362" s="219" t="e">
        <f>IF(OR(G1362=1,G1362=2),dadosexternosBMF_1!D1365,"")</f>
        <v>#REF!</v>
      </c>
    </row>
    <row r="1363" spans="1:17" x14ac:dyDescent="0.2">
      <c r="A1363" s="222" t="e">
        <f t="shared" si="138"/>
        <v>#REF!</v>
      </c>
      <c r="B1363" s="222" t="str">
        <f>IF(dadosexternosBMF_1!A1366="DI1 - DI de 1 dia","DI1 - DI de 1 dia","")</f>
        <v/>
      </c>
      <c r="C1363" s="222" t="e">
        <f>IF(dadosexternosBMF_1!A1366="DOL - Dólar comercial","",IF(C1362&lt;&gt;"",dadosexternosBMF_1!B1366,IF(dadosexternosBMF_1!A1366="DI1 - DI de 1 dia",dadosexternosBMF_1!B1366,"")))</f>
        <v>#REF!</v>
      </c>
      <c r="D1363" s="222" t="e">
        <f>IF(C1363&lt;&gt;"",dadosexternosBMF_1!C1366,"")</f>
        <v>#REF!</v>
      </c>
      <c r="E1363" s="222" t="e">
        <f>IF(C1363&lt;&gt;"",dadosexternosBMF_1!D1366,"")</f>
        <v>#REF!</v>
      </c>
      <c r="G1363" s="219" t="e">
        <f t="shared" si="139"/>
        <v>#REF!</v>
      </c>
      <c r="H1363" s="219" t="e">
        <f t="shared" si="140"/>
        <v>#REF!</v>
      </c>
      <c r="I1363" s="219" t="e">
        <f t="shared" si="141"/>
        <v>#REF!</v>
      </c>
      <c r="J1363" s="219" t="e">
        <f>IF(I1363="","",VLOOKUP(LEFT(C1363,1),dadosexternosBMF_1!$L$2:$M$13,2,FALSE))</f>
        <v>#REF!</v>
      </c>
      <c r="K1363" s="219" t="e">
        <f t="shared" si="142"/>
        <v>#REF!</v>
      </c>
      <c r="L1363" s="422" t="e">
        <f t="shared" si="143"/>
        <v>#REF!</v>
      </c>
      <c r="M1363" s="422" t="e">
        <f>IF(I1363="","",WORKDAY(L1363-1,1,FERIADOS!$A$2:$A$831))</f>
        <v>#REF!</v>
      </c>
      <c r="N1363" s="219" t="e">
        <f>IF(I1363="","",NETWORKDAYS(Curva!$M$2,M1363,FERIADOS!$A$2:$A$831)-1)</f>
        <v>#REF!</v>
      </c>
      <c r="O1363" s="423" t="e">
        <f>IF(C1363&lt;&gt;"",IF(ISERROR((100000/E1363)^(252/N1363)-1),Curva!$B$2,((100000/E1363)^(252/N1363)-1)),"")</f>
        <v>#REF!</v>
      </c>
      <c r="P1363" s="219" t="e">
        <f>IF(OR(G1363=1,G1363=2),dadosexternosBMF_1!B1366,"")</f>
        <v>#REF!</v>
      </c>
      <c r="Q1363" s="219" t="e">
        <f>IF(OR(G1363=1,G1363=2),dadosexternosBMF_1!D1366,"")</f>
        <v>#REF!</v>
      </c>
    </row>
    <row r="1364" spans="1:17" x14ac:dyDescent="0.2">
      <c r="A1364" s="222" t="e">
        <f t="shared" si="138"/>
        <v>#REF!</v>
      </c>
      <c r="B1364" s="222" t="str">
        <f>IF(dadosexternosBMF_1!A1367="DI1 - DI de 1 dia","DI1 - DI de 1 dia","")</f>
        <v/>
      </c>
      <c r="C1364" s="222" t="e">
        <f>IF(dadosexternosBMF_1!A1367="DOL - Dólar comercial","",IF(C1363&lt;&gt;"",dadosexternosBMF_1!B1367,IF(dadosexternosBMF_1!A1367="DI1 - DI de 1 dia",dadosexternosBMF_1!B1367,"")))</f>
        <v>#REF!</v>
      </c>
      <c r="D1364" s="222" t="e">
        <f>IF(C1364&lt;&gt;"",dadosexternosBMF_1!C1367,"")</f>
        <v>#REF!</v>
      </c>
      <c r="E1364" s="222" t="e">
        <f>IF(C1364&lt;&gt;"",dadosexternosBMF_1!D1367,"")</f>
        <v>#REF!</v>
      </c>
      <c r="G1364" s="219" t="e">
        <f t="shared" si="139"/>
        <v>#REF!</v>
      </c>
      <c r="H1364" s="219" t="e">
        <f t="shared" si="140"/>
        <v>#REF!</v>
      </c>
      <c r="I1364" s="219" t="e">
        <f t="shared" si="141"/>
        <v>#REF!</v>
      </c>
      <c r="J1364" s="219" t="e">
        <f>IF(I1364="","",VLOOKUP(LEFT(C1364,1),dadosexternosBMF_1!$L$2:$M$13,2,FALSE))</f>
        <v>#REF!</v>
      </c>
      <c r="K1364" s="219" t="e">
        <f t="shared" si="142"/>
        <v>#REF!</v>
      </c>
      <c r="L1364" s="422" t="e">
        <f t="shared" si="143"/>
        <v>#REF!</v>
      </c>
      <c r="M1364" s="422" t="e">
        <f>IF(I1364="","",WORKDAY(L1364-1,1,FERIADOS!$A$2:$A$831))</f>
        <v>#REF!</v>
      </c>
      <c r="N1364" s="219" t="e">
        <f>IF(I1364="","",NETWORKDAYS(Curva!$M$2,M1364,FERIADOS!$A$2:$A$831)-1)</f>
        <v>#REF!</v>
      </c>
      <c r="O1364" s="423" t="e">
        <f>IF(C1364&lt;&gt;"",IF(ISERROR((100000/E1364)^(252/N1364)-1),Curva!$B$2,((100000/E1364)^(252/N1364)-1)),"")</f>
        <v>#REF!</v>
      </c>
      <c r="P1364" s="219" t="e">
        <f>IF(OR(G1364=1,G1364=2),dadosexternosBMF_1!B1367,"")</f>
        <v>#REF!</v>
      </c>
      <c r="Q1364" s="219" t="e">
        <f>IF(OR(G1364=1,G1364=2),dadosexternosBMF_1!D1367,"")</f>
        <v>#REF!</v>
      </c>
    </row>
    <row r="1365" spans="1:17" x14ac:dyDescent="0.2">
      <c r="A1365" s="222" t="e">
        <f t="shared" si="138"/>
        <v>#REF!</v>
      </c>
      <c r="B1365" s="222" t="str">
        <f>IF(dadosexternosBMF_1!A1368="DI1 - DI de 1 dia","DI1 - DI de 1 dia","")</f>
        <v/>
      </c>
      <c r="C1365" s="222" t="e">
        <f>IF(dadosexternosBMF_1!A1368="DOL - Dólar comercial","",IF(C1364&lt;&gt;"",dadosexternosBMF_1!B1368,IF(dadosexternosBMF_1!A1368="DI1 - DI de 1 dia",dadosexternosBMF_1!B1368,"")))</f>
        <v>#REF!</v>
      </c>
      <c r="D1365" s="222" t="e">
        <f>IF(C1365&lt;&gt;"",dadosexternosBMF_1!C1368,"")</f>
        <v>#REF!</v>
      </c>
      <c r="E1365" s="222" t="e">
        <f>IF(C1365&lt;&gt;"",dadosexternosBMF_1!D1368,"")</f>
        <v>#REF!</v>
      </c>
      <c r="G1365" s="219" t="e">
        <f t="shared" si="139"/>
        <v>#REF!</v>
      </c>
      <c r="H1365" s="219" t="e">
        <f t="shared" si="140"/>
        <v>#REF!</v>
      </c>
      <c r="I1365" s="219" t="e">
        <f t="shared" si="141"/>
        <v>#REF!</v>
      </c>
      <c r="J1365" s="219" t="e">
        <f>IF(I1365="","",VLOOKUP(LEFT(C1365,1),dadosexternosBMF_1!$L$2:$M$13,2,FALSE))</f>
        <v>#REF!</v>
      </c>
      <c r="K1365" s="219" t="e">
        <f t="shared" si="142"/>
        <v>#REF!</v>
      </c>
      <c r="L1365" s="422" t="e">
        <f t="shared" si="143"/>
        <v>#REF!</v>
      </c>
      <c r="M1365" s="422" t="e">
        <f>IF(I1365="","",WORKDAY(L1365-1,1,FERIADOS!$A$2:$A$831))</f>
        <v>#REF!</v>
      </c>
      <c r="N1365" s="219" t="e">
        <f>IF(I1365="","",NETWORKDAYS(Curva!$M$2,M1365,FERIADOS!$A$2:$A$831)-1)</f>
        <v>#REF!</v>
      </c>
      <c r="O1365" s="423" t="e">
        <f>IF(C1365&lt;&gt;"",IF(ISERROR((100000/E1365)^(252/N1365)-1),Curva!$B$2,((100000/E1365)^(252/N1365)-1)),"")</f>
        <v>#REF!</v>
      </c>
      <c r="P1365" s="219" t="e">
        <f>IF(OR(G1365=1,G1365=2),dadosexternosBMF_1!B1368,"")</f>
        <v>#REF!</v>
      </c>
      <c r="Q1365" s="219" t="e">
        <f>IF(OR(G1365=1,G1365=2),dadosexternosBMF_1!D1368,"")</f>
        <v>#REF!</v>
      </c>
    </row>
    <row r="1366" spans="1:17" x14ac:dyDescent="0.2">
      <c r="A1366" s="222" t="e">
        <f t="shared" si="138"/>
        <v>#REF!</v>
      </c>
      <c r="B1366" s="222" t="str">
        <f>IF(dadosexternosBMF_1!A1369="DI1 - DI de 1 dia","DI1 - DI de 1 dia","")</f>
        <v/>
      </c>
      <c r="C1366" s="222" t="e">
        <f>IF(dadosexternosBMF_1!A1369="DOL - Dólar comercial","",IF(C1365&lt;&gt;"",dadosexternosBMF_1!B1369,IF(dadosexternosBMF_1!A1369="DI1 - DI de 1 dia",dadosexternosBMF_1!B1369,"")))</f>
        <v>#REF!</v>
      </c>
      <c r="D1366" s="222" t="e">
        <f>IF(C1366&lt;&gt;"",dadosexternosBMF_1!C1369,"")</f>
        <v>#REF!</v>
      </c>
      <c r="E1366" s="222" t="e">
        <f>IF(C1366&lt;&gt;"",dadosexternosBMF_1!D1369,"")</f>
        <v>#REF!</v>
      </c>
      <c r="G1366" s="219" t="e">
        <f t="shared" si="139"/>
        <v>#REF!</v>
      </c>
      <c r="H1366" s="219" t="e">
        <f t="shared" si="140"/>
        <v>#REF!</v>
      </c>
      <c r="I1366" s="219" t="e">
        <f t="shared" si="141"/>
        <v>#REF!</v>
      </c>
      <c r="J1366" s="219" t="e">
        <f>IF(I1366="","",VLOOKUP(LEFT(C1366,1),dadosexternosBMF_1!$L$2:$M$13,2,FALSE))</f>
        <v>#REF!</v>
      </c>
      <c r="K1366" s="219" t="e">
        <f t="shared" si="142"/>
        <v>#REF!</v>
      </c>
      <c r="L1366" s="422" t="e">
        <f t="shared" si="143"/>
        <v>#REF!</v>
      </c>
      <c r="M1366" s="422" t="e">
        <f>IF(I1366="","",WORKDAY(L1366-1,1,FERIADOS!$A$2:$A$831))</f>
        <v>#REF!</v>
      </c>
      <c r="N1366" s="219" t="e">
        <f>IF(I1366="","",NETWORKDAYS(Curva!$M$2,M1366,FERIADOS!$A$2:$A$831)-1)</f>
        <v>#REF!</v>
      </c>
      <c r="O1366" s="423" t="e">
        <f>IF(C1366&lt;&gt;"",IF(ISERROR((100000/E1366)^(252/N1366)-1),Curva!$B$2,((100000/E1366)^(252/N1366)-1)),"")</f>
        <v>#REF!</v>
      </c>
      <c r="P1366" s="219" t="e">
        <f>IF(OR(G1366=1,G1366=2),dadosexternosBMF_1!B1369,"")</f>
        <v>#REF!</v>
      </c>
      <c r="Q1366" s="219" t="e">
        <f>IF(OR(G1366=1,G1366=2),dadosexternosBMF_1!D1369,"")</f>
        <v>#REF!</v>
      </c>
    </row>
    <row r="1367" spans="1:17" x14ac:dyDescent="0.2">
      <c r="A1367" s="222" t="e">
        <f t="shared" si="138"/>
        <v>#REF!</v>
      </c>
      <c r="B1367" s="222" t="str">
        <f>IF(dadosexternosBMF_1!A1370="DI1 - DI de 1 dia","DI1 - DI de 1 dia","")</f>
        <v/>
      </c>
      <c r="C1367" s="222" t="e">
        <f>IF(dadosexternosBMF_1!A1370="DOL - Dólar comercial","",IF(C1366&lt;&gt;"",dadosexternosBMF_1!B1370,IF(dadosexternosBMF_1!A1370="DI1 - DI de 1 dia",dadosexternosBMF_1!B1370,"")))</f>
        <v>#REF!</v>
      </c>
      <c r="D1367" s="222" t="e">
        <f>IF(C1367&lt;&gt;"",dadosexternosBMF_1!C1370,"")</f>
        <v>#REF!</v>
      </c>
      <c r="E1367" s="222" t="e">
        <f>IF(C1367&lt;&gt;"",dadosexternosBMF_1!D1370,"")</f>
        <v>#REF!</v>
      </c>
      <c r="G1367" s="219" t="e">
        <f t="shared" si="139"/>
        <v>#REF!</v>
      </c>
      <c r="H1367" s="219" t="e">
        <f t="shared" si="140"/>
        <v>#REF!</v>
      </c>
      <c r="I1367" s="219" t="e">
        <f t="shared" si="141"/>
        <v>#REF!</v>
      </c>
      <c r="J1367" s="219" t="e">
        <f>IF(I1367="","",VLOOKUP(LEFT(C1367,1),dadosexternosBMF_1!$L$2:$M$13,2,FALSE))</f>
        <v>#REF!</v>
      </c>
      <c r="K1367" s="219" t="e">
        <f t="shared" si="142"/>
        <v>#REF!</v>
      </c>
      <c r="L1367" s="422" t="e">
        <f t="shared" si="143"/>
        <v>#REF!</v>
      </c>
      <c r="M1367" s="422" t="e">
        <f>IF(I1367="","",WORKDAY(L1367-1,1,FERIADOS!$A$2:$A$831))</f>
        <v>#REF!</v>
      </c>
      <c r="N1367" s="219" t="e">
        <f>IF(I1367="","",NETWORKDAYS(Curva!$M$2,M1367,FERIADOS!$A$2:$A$831)-1)</f>
        <v>#REF!</v>
      </c>
      <c r="O1367" s="423" t="e">
        <f>IF(C1367&lt;&gt;"",IF(ISERROR((100000/E1367)^(252/N1367)-1),Curva!$B$2,((100000/E1367)^(252/N1367)-1)),"")</f>
        <v>#REF!</v>
      </c>
      <c r="P1367" s="219" t="e">
        <f>IF(OR(G1367=1,G1367=2),dadosexternosBMF_1!B1370,"")</f>
        <v>#REF!</v>
      </c>
      <c r="Q1367" s="219" t="e">
        <f>IF(OR(G1367=1,G1367=2),dadosexternosBMF_1!D1370,"")</f>
        <v>#REF!</v>
      </c>
    </row>
    <row r="1368" spans="1:17" x14ac:dyDescent="0.2">
      <c r="A1368" s="222" t="e">
        <f t="shared" si="138"/>
        <v>#REF!</v>
      </c>
      <c r="B1368" s="222" t="str">
        <f>IF(dadosexternosBMF_1!A1371="DI1 - DI de 1 dia","DI1 - DI de 1 dia","")</f>
        <v/>
      </c>
      <c r="C1368" s="222" t="e">
        <f>IF(dadosexternosBMF_1!A1371="DOL - Dólar comercial","",IF(C1367&lt;&gt;"",dadosexternosBMF_1!B1371,IF(dadosexternosBMF_1!A1371="DI1 - DI de 1 dia",dadosexternosBMF_1!B1371,"")))</f>
        <v>#REF!</v>
      </c>
      <c r="D1368" s="222" t="e">
        <f>IF(C1368&lt;&gt;"",dadosexternosBMF_1!C1371,"")</f>
        <v>#REF!</v>
      </c>
      <c r="E1368" s="222" t="e">
        <f>IF(C1368&lt;&gt;"",dadosexternosBMF_1!D1371,"")</f>
        <v>#REF!</v>
      </c>
      <c r="G1368" s="219" t="e">
        <f t="shared" si="139"/>
        <v>#REF!</v>
      </c>
      <c r="H1368" s="219" t="e">
        <f t="shared" si="140"/>
        <v>#REF!</v>
      </c>
      <c r="I1368" s="219" t="e">
        <f t="shared" si="141"/>
        <v>#REF!</v>
      </c>
      <c r="J1368" s="219" t="e">
        <f>IF(I1368="","",VLOOKUP(LEFT(C1368,1),dadosexternosBMF_1!$L$2:$M$13,2,FALSE))</f>
        <v>#REF!</v>
      </c>
      <c r="K1368" s="219" t="e">
        <f t="shared" si="142"/>
        <v>#REF!</v>
      </c>
      <c r="L1368" s="422" t="e">
        <f t="shared" si="143"/>
        <v>#REF!</v>
      </c>
      <c r="M1368" s="422" t="e">
        <f>IF(I1368="","",WORKDAY(L1368-1,1,FERIADOS!$A$2:$A$831))</f>
        <v>#REF!</v>
      </c>
      <c r="N1368" s="219" t="e">
        <f>IF(I1368="","",NETWORKDAYS(Curva!$M$2,M1368,FERIADOS!$A$2:$A$831)-1)</f>
        <v>#REF!</v>
      </c>
      <c r="O1368" s="423" t="e">
        <f>IF(C1368&lt;&gt;"",IF(ISERROR((100000/E1368)^(252/N1368)-1),Curva!$B$2,((100000/E1368)^(252/N1368)-1)),"")</f>
        <v>#REF!</v>
      </c>
      <c r="P1368" s="219" t="e">
        <f>IF(OR(G1368=1,G1368=2),dadosexternosBMF_1!B1371,"")</f>
        <v>#REF!</v>
      </c>
      <c r="Q1368" s="219" t="e">
        <f>IF(OR(G1368=1,G1368=2),dadosexternosBMF_1!D1371,"")</f>
        <v>#REF!</v>
      </c>
    </row>
    <row r="1369" spans="1:17" x14ac:dyDescent="0.2">
      <c r="A1369" s="222" t="e">
        <f t="shared" si="138"/>
        <v>#REF!</v>
      </c>
      <c r="B1369" s="222" t="str">
        <f>IF(dadosexternosBMF_1!A1372="DI1 - DI de 1 dia","DI1 - DI de 1 dia","")</f>
        <v/>
      </c>
      <c r="C1369" s="222" t="e">
        <f>IF(dadosexternosBMF_1!A1372="DOL - Dólar comercial","",IF(C1368&lt;&gt;"",dadosexternosBMF_1!B1372,IF(dadosexternosBMF_1!A1372="DI1 - DI de 1 dia",dadosexternosBMF_1!B1372,"")))</f>
        <v>#REF!</v>
      </c>
      <c r="D1369" s="222" t="e">
        <f>IF(C1369&lt;&gt;"",dadosexternosBMF_1!C1372,"")</f>
        <v>#REF!</v>
      </c>
      <c r="E1369" s="222" t="e">
        <f>IF(C1369&lt;&gt;"",dadosexternosBMF_1!D1372,"")</f>
        <v>#REF!</v>
      </c>
      <c r="G1369" s="219" t="e">
        <f t="shared" si="139"/>
        <v>#REF!</v>
      </c>
      <c r="H1369" s="219" t="e">
        <f t="shared" si="140"/>
        <v>#REF!</v>
      </c>
      <c r="I1369" s="219" t="e">
        <f t="shared" si="141"/>
        <v>#REF!</v>
      </c>
      <c r="J1369" s="219" t="e">
        <f>IF(I1369="","",VLOOKUP(LEFT(C1369,1),dadosexternosBMF_1!$L$2:$M$13,2,FALSE))</f>
        <v>#REF!</v>
      </c>
      <c r="K1369" s="219" t="e">
        <f t="shared" si="142"/>
        <v>#REF!</v>
      </c>
      <c r="L1369" s="422" t="e">
        <f t="shared" si="143"/>
        <v>#REF!</v>
      </c>
      <c r="M1369" s="422" t="e">
        <f>IF(I1369="","",WORKDAY(L1369-1,1,FERIADOS!$A$2:$A$831))</f>
        <v>#REF!</v>
      </c>
      <c r="N1369" s="219" t="e">
        <f>IF(I1369="","",NETWORKDAYS(Curva!$M$2,M1369,FERIADOS!$A$2:$A$831)-1)</f>
        <v>#REF!</v>
      </c>
      <c r="O1369" s="423" t="e">
        <f>IF(C1369&lt;&gt;"",IF(ISERROR((100000/E1369)^(252/N1369)-1),Curva!$B$2,((100000/E1369)^(252/N1369)-1)),"")</f>
        <v>#REF!</v>
      </c>
      <c r="P1369" s="219" t="e">
        <f>IF(OR(G1369=1,G1369=2),dadosexternosBMF_1!B1372,"")</f>
        <v>#REF!</v>
      </c>
      <c r="Q1369" s="219" t="e">
        <f>IF(OR(G1369=1,G1369=2),dadosexternosBMF_1!D1372,"")</f>
        <v>#REF!</v>
      </c>
    </row>
    <row r="1370" spans="1:17" x14ac:dyDescent="0.2">
      <c r="A1370" s="222" t="e">
        <f t="shared" si="138"/>
        <v>#REF!</v>
      </c>
      <c r="B1370" s="222" t="str">
        <f>IF(dadosexternosBMF_1!A1373="DI1 - DI de 1 dia","DI1 - DI de 1 dia","")</f>
        <v/>
      </c>
      <c r="C1370" s="222" t="e">
        <f>IF(dadosexternosBMF_1!A1373="DOL - Dólar comercial","",IF(C1369&lt;&gt;"",dadosexternosBMF_1!B1373,IF(dadosexternosBMF_1!A1373="DI1 - DI de 1 dia",dadosexternosBMF_1!B1373,"")))</f>
        <v>#REF!</v>
      </c>
      <c r="D1370" s="222" t="e">
        <f>IF(C1370&lt;&gt;"",dadosexternosBMF_1!C1373,"")</f>
        <v>#REF!</v>
      </c>
      <c r="E1370" s="222" t="e">
        <f>IF(C1370&lt;&gt;"",dadosexternosBMF_1!D1373,"")</f>
        <v>#REF!</v>
      </c>
      <c r="G1370" s="219" t="e">
        <f t="shared" si="139"/>
        <v>#REF!</v>
      </c>
      <c r="H1370" s="219" t="e">
        <f t="shared" si="140"/>
        <v>#REF!</v>
      </c>
      <c r="I1370" s="219" t="e">
        <f t="shared" si="141"/>
        <v>#REF!</v>
      </c>
      <c r="J1370" s="219" t="e">
        <f>IF(I1370="","",VLOOKUP(LEFT(C1370,1),dadosexternosBMF_1!$L$2:$M$13,2,FALSE))</f>
        <v>#REF!</v>
      </c>
      <c r="K1370" s="219" t="e">
        <f t="shared" si="142"/>
        <v>#REF!</v>
      </c>
      <c r="L1370" s="422" t="e">
        <f t="shared" si="143"/>
        <v>#REF!</v>
      </c>
      <c r="M1370" s="422" t="e">
        <f>IF(I1370="","",WORKDAY(L1370-1,1,FERIADOS!$A$2:$A$831))</f>
        <v>#REF!</v>
      </c>
      <c r="N1370" s="219" t="e">
        <f>IF(I1370="","",NETWORKDAYS(Curva!$M$2,M1370,FERIADOS!$A$2:$A$831)-1)</f>
        <v>#REF!</v>
      </c>
      <c r="O1370" s="423" t="e">
        <f>IF(C1370&lt;&gt;"",IF(ISERROR((100000/E1370)^(252/N1370)-1),Curva!$B$2,((100000/E1370)^(252/N1370)-1)),"")</f>
        <v>#REF!</v>
      </c>
      <c r="P1370" s="219" t="e">
        <f>IF(OR(G1370=1,G1370=2),dadosexternosBMF_1!B1373,"")</f>
        <v>#REF!</v>
      </c>
      <c r="Q1370" s="219" t="e">
        <f>IF(OR(G1370=1,G1370=2),dadosexternosBMF_1!D1373,"")</f>
        <v>#REF!</v>
      </c>
    </row>
    <row r="1371" spans="1:17" x14ac:dyDescent="0.2">
      <c r="A1371" s="222" t="e">
        <f t="shared" ref="A1371:A1430" si="144">IF(AND(A1370&lt;&gt;"",C1371&lt;&gt;""),A1370+1,IF(B1371="DI1 - DI de 1 dia",1,""))</f>
        <v>#REF!</v>
      </c>
      <c r="B1371" s="222" t="str">
        <f>IF(dadosexternosBMF_1!A1374="DI1 - DI de 1 dia","DI1 - DI de 1 dia","")</f>
        <v/>
      </c>
      <c r="C1371" s="222" t="e">
        <f>IF(dadosexternosBMF_1!A1374="DOL - Dólar comercial","",IF(C1370&lt;&gt;"",dadosexternosBMF_1!B1374,IF(dadosexternosBMF_1!A1374="DI1 - DI de 1 dia",dadosexternosBMF_1!B1374,"")))</f>
        <v>#REF!</v>
      </c>
      <c r="D1371" s="222" t="e">
        <f>IF(C1371&lt;&gt;"",dadosexternosBMF_1!C1374,"")</f>
        <v>#REF!</v>
      </c>
      <c r="E1371" s="222" t="e">
        <f>IF(C1371&lt;&gt;"",dadosexternosBMF_1!D1374,"")</f>
        <v>#REF!</v>
      </c>
      <c r="G1371" s="219" t="e">
        <f t="shared" ref="G1371:G1430" si="145">IF(G1370=1,2,IF(AND(H1371="",H1370&lt;&gt;""),1,""))</f>
        <v>#REF!</v>
      </c>
      <c r="H1371" s="219" t="e">
        <f t="shared" ref="H1371:H1430" si="146">IF(A1371&lt;&gt;"",A1371,"")</f>
        <v>#REF!</v>
      </c>
      <c r="I1371" s="219" t="e">
        <f t="shared" ref="I1371:I1430" si="147">IF(A1371&lt;&gt;"",(CONCATENATE("DI1",C1371)),"")</f>
        <v>#REF!</v>
      </c>
      <c r="J1371" s="219" t="e">
        <f>IF(I1371="","",VLOOKUP(LEFT(C1371,1),dadosexternosBMF_1!$L$2:$M$13,2,FALSE))</f>
        <v>#REF!</v>
      </c>
      <c r="K1371" s="219" t="e">
        <f t="shared" ref="K1371:K1430" si="148">IF(I1371="","",1+CONCATENATE(20,RIGHT(C1371,2))-1)</f>
        <v>#REF!</v>
      </c>
      <c r="L1371" s="422" t="e">
        <f t="shared" ref="L1371:L1430" si="149">IF(I1371="","",CONCATENATE(1,"/",J1371,"/",K1371)+1-1)</f>
        <v>#REF!</v>
      </c>
      <c r="M1371" s="422" t="e">
        <f>IF(I1371="","",WORKDAY(L1371-1,1,FERIADOS!$A$2:$A$831))</f>
        <v>#REF!</v>
      </c>
      <c r="N1371" s="219" t="e">
        <f>IF(I1371="","",NETWORKDAYS(Curva!$M$2,M1371,FERIADOS!$A$2:$A$831)-1)</f>
        <v>#REF!</v>
      </c>
      <c r="O1371" s="423" t="e">
        <f>IF(C1371&lt;&gt;"",IF(ISERROR((100000/E1371)^(252/N1371)-1),Curva!$B$2,((100000/E1371)^(252/N1371)-1)),"")</f>
        <v>#REF!</v>
      </c>
      <c r="P1371" s="219" t="e">
        <f>IF(OR(G1371=1,G1371=2),dadosexternosBMF_1!B1374,"")</f>
        <v>#REF!</v>
      </c>
      <c r="Q1371" s="219" t="e">
        <f>IF(OR(G1371=1,G1371=2),dadosexternosBMF_1!D1374,"")</f>
        <v>#REF!</v>
      </c>
    </row>
    <row r="1372" spans="1:17" x14ac:dyDescent="0.2">
      <c r="A1372" s="222" t="e">
        <f t="shared" si="144"/>
        <v>#REF!</v>
      </c>
      <c r="B1372" s="222" t="str">
        <f>IF(dadosexternosBMF_1!A1375="DI1 - DI de 1 dia","DI1 - DI de 1 dia","")</f>
        <v/>
      </c>
      <c r="C1372" s="222" t="e">
        <f>IF(dadosexternosBMF_1!A1375="DOL - Dólar comercial","",IF(C1371&lt;&gt;"",dadosexternosBMF_1!B1375,IF(dadosexternosBMF_1!A1375="DI1 - DI de 1 dia",dadosexternosBMF_1!B1375,"")))</f>
        <v>#REF!</v>
      </c>
      <c r="D1372" s="222" t="e">
        <f>IF(C1372&lt;&gt;"",dadosexternosBMF_1!C1375,"")</f>
        <v>#REF!</v>
      </c>
      <c r="E1372" s="222" t="e">
        <f>IF(C1372&lt;&gt;"",dadosexternosBMF_1!D1375,"")</f>
        <v>#REF!</v>
      </c>
      <c r="G1372" s="219" t="e">
        <f t="shared" si="145"/>
        <v>#REF!</v>
      </c>
      <c r="H1372" s="219" t="e">
        <f t="shared" si="146"/>
        <v>#REF!</v>
      </c>
      <c r="I1372" s="219" t="e">
        <f t="shared" si="147"/>
        <v>#REF!</v>
      </c>
      <c r="J1372" s="219" t="e">
        <f>IF(I1372="","",VLOOKUP(LEFT(C1372,1),dadosexternosBMF_1!$L$2:$M$13,2,FALSE))</f>
        <v>#REF!</v>
      </c>
      <c r="K1372" s="219" t="e">
        <f t="shared" si="148"/>
        <v>#REF!</v>
      </c>
      <c r="L1372" s="422" t="e">
        <f t="shared" si="149"/>
        <v>#REF!</v>
      </c>
      <c r="M1372" s="422" t="e">
        <f>IF(I1372="","",WORKDAY(L1372-1,1,FERIADOS!$A$2:$A$831))</f>
        <v>#REF!</v>
      </c>
      <c r="N1372" s="219" t="e">
        <f>IF(I1372="","",NETWORKDAYS(Curva!$M$2,M1372,FERIADOS!$A$2:$A$831)-1)</f>
        <v>#REF!</v>
      </c>
      <c r="O1372" s="423" t="e">
        <f>IF(C1372&lt;&gt;"",IF(ISERROR((100000/E1372)^(252/N1372)-1),Curva!$B$2,((100000/E1372)^(252/N1372)-1)),"")</f>
        <v>#REF!</v>
      </c>
      <c r="P1372" s="219" t="e">
        <f>IF(OR(G1372=1,G1372=2),dadosexternosBMF_1!B1375,"")</f>
        <v>#REF!</v>
      </c>
      <c r="Q1372" s="219" t="e">
        <f>IF(OR(G1372=1,G1372=2),dadosexternosBMF_1!D1375,"")</f>
        <v>#REF!</v>
      </c>
    </row>
    <row r="1373" spans="1:17" x14ac:dyDescent="0.2">
      <c r="A1373" s="222" t="e">
        <f t="shared" si="144"/>
        <v>#REF!</v>
      </c>
      <c r="B1373" s="222" t="str">
        <f>IF(dadosexternosBMF_1!A1376="DI1 - DI de 1 dia","DI1 - DI de 1 dia","")</f>
        <v/>
      </c>
      <c r="C1373" s="222" t="e">
        <f>IF(dadosexternosBMF_1!A1376="DOL - Dólar comercial","",IF(C1372&lt;&gt;"",dadosexternosBMF_1!B1376,IF(dadosexternosBMF_1!A1376="DI1 - DI de 1 dia",dadosexternosBMF_1!B1376,"")))</f>
        <v>#REF!</v>
      </c>
      <c r="D1373" s="222" t="e">
        <f>IF(C1373&lt;&gt;"",dadosexternosBMF_1!C1376,"")</f>
        <v>#REF!</v>
      </c>
      <c r="E1373" s="222" t="e">
        <f>IF(C1373&lt;&gt;"",dadosexternosBMF_1!D1376,"")</f>
        <v>#REF!</v>
      </c>
      <c r="G1373" s="219" t="e">
        <f t="shared" si="145"/>
        <v>#REF!</v>
      </c>
      <c r="H1373" s="219" t="e">
        <f t="shared" si="146"/>
        <v>#REF!</v>
      </c>
      <c r="I1373" s="219" t="e">
        <f t="shared" si="147"/>
        <v>#REF!</v>
      </c>
      <c r="J1373" s="219" t="e">
        <f>IF(I1373="","",VLOOKUP(LEFT(C1373,1),dadosexternosBMF_1!$L$2:$M$13,2,FALSE))</f>
        <v>#REF!</v>
      </c>
      <c r="K1373" s="219" t="e">
        <f t="shared" si="148"/>
        <v>#REF!</v>
      </c>
      <c r="L1373" s="422" t="e">
        <f t="shared" si="149"/>
        <v>#REF!</v>
      </c>
      <c r="M1373" s="422" t="e">
        <f>IF(I1373="","",WORKDAY(L1373-1,1,FERIADOS!$A$2:$A$831))</f>
        <v>#REF!</v>
      </c>
      <c r="N1373" s="219" t="e">
        <f>IF(I1373="","",NETWORKDAYS(Curva!$M$2,M1373,FERIADOS!$A$2:$A$831)-1)</f>
        <v>#REF!</v>
      </c>
      <c r="O1373" s="423" t="e">
        <f>IF(C1373&lt;&gt;"",IF(ISERROR((100000/E1373)^(252/N1373)-1),Curva!$B$2,((100000/E1373)^(252/N1373)-1)),"")</f>
        <v>#REF!</v>
      </c>
      <c r="P1373" s="219" t="e">
        <f>IF(OR(G1373=1,G1373=2),dadosexternosBMF_1!B1376,"")</f>
        <v>#REF!</v>
      </c>
      <c r="Q1373" s="219" t="e">
        <f>IF(OR(G1373=1,G1373=2),dadosexternosBMF_1!D1376,"")</f>
        <v>#REF!</v>
      </c>
    </row>
    <row r="1374" spans="1:17" x14ac:dyDescent="0.2">
      <c r="A1374" s="222" t="e">
        <f t="shared" si="144"/>
        <v>#REF!</v>
      </c>
      <c r="B1374" s="222" t="str">
        <f>IF(dadosexternosBMF_1!A1377="DI1 - DI de 1 dia","DI1 - DI de 1 dia","")</f>
        <v/>
      </c>
      <c r="C1374" s="222" t="e">
        <f>IF(dadosexternosBMF_1!A1377="DOL - Dólar comercial","",IF(C1373&lt;&gt;"",dadosexternosBMF_1!B1377,IF(dadosexternosBMF_1!A1377="DI1 - DI de 1 dia",dadosexternosBMF_1!B1377,"")))</f>
        <v>#REF!</v>
      </c>
      <c r="D1374" s="222" t="e">
        <f>IF(C1374&lt;&gt;"",dadosexternosBMF_1!C1377,"")</f>
        <v>#REF!</v>
      </c>
      <c r="E1374" s="222" t="e">
        <f>IF(C1374&lt;&gt;"",dadosexternosBMF_1!D1377,"")</f>
        <v>#REF!</v>
      </c>
      <c r="G1374" s="219" t="e">
        <f t="shared" si="145"/>
        <v>#REF!</v>
      </c>
      <c r="H1374" s="219" t="e">
        <f t="shared" si="146"/>
        <v>#REF!</v>
      </c>
      <c r="I1374" s="219" t="e">
        <f t="shared" si="147"/>
        <v>#REF!</v>
      </c>
      <c r="J1374" s="219" t="e">
        <f>IF(I1374="","",VLOOKUP(LEFT(C1374,1),dadosexternosBMF_1!$L$2:$M$13,2,FALSE))</f>
        <v>#REF!</v>
      </c>
      <c r="K1374" s="219" t="e">
        <f t="shared" si="148"/>
        <v>#REF!</v>
      </c>
      <c r="L1374" s="422" t="e">
        <f t="shared" si="149"/>
        <v>#REF!</v>
      </c>
      <c r="M1374" s="422" t="e">
        <f>IF(I1374="","",WORKDAY(L1374-1,1,FERIADOS!$A$2:$A$831))</f>
        <v>#REF!</v>
      </c>
      <c r="N1374" s="219" t="e">
        <f>IF(I1374="","",NETWORKDAYS(Curva!$M$2,M1374,FERIADOS!$A$2:$A$831)-1)</f>
        <v>#REF!</v>
      </c>
      <c r="O1374" s="423" t="e">
        <f>IF(C1374&lt;&gt;"",IF(ISERROR((100000/E1374)^(252/N1374)-1),Curva!$B$2,((100000/E1374)^(252/N1374)-1)),"")</f>
        <v>#REF!</v>
      </c>
      <c r="P1374" s="219" t="e">
        <f>IF(OR(G1374=1,G1374=2),dadosexternosBMF_1!B1377,"")</f>
        <v>#REF!</v>
      </c>
      <c r="Q1374" s="219" t="e">
        <f>IF(OR(G1374=1,G1374=2),dadosexternosBMF_1!D1377,"")</f>
        <v>#REF!</v>
      </c>
    </row>
    <row r="1375" spans="1:17" x14ac:dyDescent="0.2">
      <c r="A1375" s="222" t="e">
        <f t="shared" si="144"/>
        <v>#REF!</v>
      </c>
      <c r="B1375" s="222" t="str">
        <f>IF(dadosexternosBMF_1!A1378="DI1 - DI de 1 dia","DI1 - DI de 1 dia","")</f>
        <v/>
      </c>
      <c r="C1375" s="222" t="e">
        <f>IF(dadosexternosBMF_1!A1378="DOL - Dólar comercial","",IF(C1374&lt;&gt;"",dadosexternosBMF_1!B1378,IF(dadosexternosBMF_1!A1378="DI1 - DI de 1 dia",dadosexternosBMF_1!B1378,"")))</f>
        <v>#REF!</v>
      </c>
      <c r="D1375" s="222" t="e">
        <f>IF(C1375&lt;&gt;"",dadosexternosBMF_1!C1378,"")</f>
        <v>#REF!</v>
      </c>
      <c r="E1375" s="222" t="e">
        <f>IF(C1375&lt;&gt;"",dadosexternosBMF_1!D1378,"")</f>
        <v>#REF!</v>
      </c>
      <c r="G1375" s="219" t="e">
        <f t="shared" si="145"/>
        <v>#REF!</v>
      </c>
      <c r="H1375" s="219" t="e">
        <f t="shared" si="146"/>
        <v>#REF!</v>
      </c>
      <c r="I1375" s="219" t="e">
        <f t="shared" si="147"/>
        <v>#REF!</v>
      </c>
      <c r="J1375" s="219" t="e">
        <f>IF(I1375="","",VLOOKUP(LEFT(C1375,1),dadosexternosBMF_1!$L$2:$M$13,2,FALSE))</f>
        <v>#REF!</v>
      </c>
      <c r="K1375" s="219" t="e">
        <f t="shared" si="148"/>
        <v>#REF!</v>
      </c>
      <c r="L1375" s="422" t="e">
        <f t="shared" si="149"/>
        <v>#REF!</v>
      </c>
      <c r="M1375" s="422" t="e">
        <f>IF(I1375="","",WORKDAY(L1375-1,1,FERIADOS!$A$2:$A$831))</f>
        <v>#REF!</v>
      </c>
      <c r="N1375" s="219" t="e">
        <f>IF(I1375="","",NETWORKDAYS(Curva!$M$2,M1375,FERIADOS!$A$2:$A$831)-1)</f>
        <v>#REF!</v>
      </c>
      <c r="O1375" s="423" t="e">
        <f>IF(C1375&lt;&gt;"",IF(ISERROR((100000/E1375)^(252/N1375)-1),Curva!$B$2,((100000/E1375)^(252/N1375)-1)),"")</f>
        <v>#REF!</v>
      </c>
      <c r="P1375" s="219" t="e">
        <f>IF(OR(G1375=1,G1375=2),dadosexternosBMF_1!B1378,"")</f>
        <v>#REF!</v>
      </c>
      <c r="Q1375" s="219" t="e">
        <f>IF(OR(G1375=1,G1375=2),dadosexternosBMF_1!D1378,"")</f>
        <v>#REF!</v>
      </c>
    </row>
    <row r="1376" spans="1:17" x14ac:dyDescent="0.2">
      <c r="A1376" s="222" t="e">
        <f t="shared" si="144"/>
        <v>#REF!</v>
      </c>
      <c r="B1376" s="222" t="str">
        <f>IF(dadosexternosBMF_1!A1379="DI1 - DI de 1 dia","DI1 - DI de 1 dia","")</f>
        <v/>
      </c>
      <c r="C1376" s="222" t="e">
        <f>IF(dadosexternosBMF_1!A1379="DOL - Dólar comercial","",IF(C1375&lt;&gt;"",dadosexternosBMF_1!B1379,IF(dadosexternosBMF_1!A1379="DI1 - DI de 1 dia",dadosexternosBMF_1!B1379,"")))</f>
        <v>#REF!</v>
      </c>
      <c r="D1376" s="222" t="e">
        <f>IF(C1376&lt;&gt;"",dadosexternosBMF_1!C1379,"")</f>
        <v>#REF!</v>
      </c>
      <c r="E1376" s="222" t="e">
        <f>IF(C1376&lt;&gt;"",dadosexternosBMF_1!D1379,"")</f>
        <v>#REF!</v>
      </c>
      <c r="G1376" s="219" t="e">
        <f t="shared" si="145"/>
        <v>#REF!</v>
      </c>
      <c r="H1376" s="219" t="e">
        <f t="shared" si="146"/>
        <v>#REF!</v>
      </c>
      <c r="I1376" s="219" t="e">
        <f t="shared" si="147"/>
        <v>#REF!</v>
      </c>
      <c r="J1376" s="219" t="e">
        <f>IF(I1376="","",VLOOKUP(LEFT(C1376,1),dadosexternosBMF_1!$L$2:$M$13,2,FALSE))</f>
        <v>#REF!</v>
      </c>
      <c r="K1376" s="219" t="e">
        <f t="shared" si="148"/>
        <v>#REF!</v>
      </c>
      <c r="L1376" s="422" t="e">
        <f t="shared" si="149"/>
        <v>#REF!</v>
      </c>
      <c r="M1376" s="422" t="e">
        <f>IF(I1376="","",WORKDAY(L1376-1,1,FERIADOS!$A$2:$A$831))</f>
        <v>#REF!</v>
      </c>
      <c r="N1376" s="219" t="e">
        <f>IF(I1376="","",NETWORKDAYS(Curva!$M$2,M1376,FERIADOS!$A$2:$A$831)-1)</f>
        <v>#REF!</v>
      </c>
      <c r="O1376" s="423" t="e">
        <f>IF(C1376&lt;&gt;"",IF(ISERROR((100000/E1376)^(252/N1376)-1),Curva!$B$2,((100000/E1376)^(252/N1376)-1)),"")</f>
        <v>#REF!</v>
      </c>
      <c r="P1376" s="219" t="e">
        <f>IF(OR(G1376=1,G1376=2),dadosexternosBMF_1!B1379,"")</f>
        <v>#REF!</v>
      </c>
      <c r="Q1376" s="219" t="e">
        <f>IF(OR(G1376=1,G1376=2),dadosexternosBMF_1!D1379,"")</f>
        <v>#REF!</v>
      </c>
    </row>
    <row r="1377" spans="1:17" x14ac:dyDescent="0.2">
      <c r="A1377" s="222" t="e">
        <f t="shared" si="144"/>
        <v>#REF!</v>
      </c>
      <c r="B1377" s="222" t="str">
        <f>IF(dadosexternosBMF_1!A1380="DI1 - DI de 1 dia","DI1 - DI de 1 dia","")</f>
        <v/>
      </c>
      <c r="C1377" s="222" t="e">
        <f>IF(dadosexternosBMF_1!A1380="DOL - Dólar comercial","",IF(C1376&lt;&gt;"",dadosexternosBMF_1!B1380,IF(dadosexternosBMF_1!A1380="DI1 - DI de 1 dia",dadosexternosBMF_1!B1380,"")))</f>
        <v>#REF!</v>
      </c>
      <c r="D1377" s="222" t="e">
        <f>IF(C1377&lt;&gt;"",dadosexternosBMF_1!C1380,"")</f>
        <v>#REF!</v>
      </c>
      <c r="E1377" s="222" t="e">
        <f>IF(C1377&lt;&gt;"",dadosexternosBMF_1!D1380,"")</f>
        <v>#REF!</v>
      </c>
      <c r="G1377" s="219" t="e">
        <f t="shared" si="145"/>
        <v>#REF!</v>
      </c>
      <c r="H1377" s="219" t="e">
        <f t="shared" si="146"/>
        <v>#REF!</v>
      </c>
      <c r="I1377" s="219" t="e">
        <f t="shared" si="147"/>
        <v>#REF!</v>
      </c>
      <c r="J1377" s="219" t="e">
        <f>IF(I1377="","",VLOOKUP(LEFT(C1377,1),dadosexternosBMF_1!$L$2:$M$13,2,FALSE))</f>
        <v>#REF!</v>
      </c>
      <c r="K1377" s="219" t="e">
        <f t="shared" si="148"/>
        <v>#REF!</v>
      </c>
      <c r="L1377" s="422" t="e">
        <f t="shared" si="149"/>
        <v>#REF!</v>
      </c>
      <c r="M1377" s="422" t="e">
        <f>IF(I1377="","",WORKDAY(L1377-1,1,FERIADOS!$A$2:$A$831))</f>
        <v>#REF!</v>
      </c>
      <c r="N1377" s="219" t="e">
        <f>IF(I1377="","",NETWORKDAYS(Curva!$M$2,M1377,FERIADOS!$A$2:$A$831)-1)</f>
        <v>#REF!</v>
      </c>
      <c r="O1377" s="423" t="e">
        <f>IF(C1377&lt;&gt;"",IF(ISERROR((100000/E1377)^(252/N1377)-1),Curva!$B$2,((100000/E1377)^(252/N1377)-1)),"")</f>
        <v>#REF!</v>
      </c>
      <c r="P1377" s="219" t="e">
        <f>IF(OR(G1377=1,G1377=2),dadosexternosBMF_1!B1380,"")</f>
        <v>#REF!</v>
      </c>
      <c r="Q1377" s="219" t="e">
        <f>IF(OR(G1377=1,G1377=2),dadosexternosBMF_1!D1380,"")</f>
        <v>#REF!</v>
      </c>
    </row>
    <row r="1378" spans="1:17" x14ac:dyDescent="0.2">
      <c r="A1378" s="222" t="e">
        <f t="shared" si="144"/>
        <v>#REF!</v>
      </c>
      <c r="B1378" s="222" t="str">
        <f>IF(dadosexternosBMF_1!A1381="DI1 - DI de 1 dia","DI1 - DI de 1 dia","")</f>
        <v/>
      </c>
      <c r="C1378" s="222" t="e">
        <f>IF(dadosexternosBMF_1!A1381="DOL - Dólar comercial","",IF(C1377&lt;&gt;"",dadosexternosBMF_1!B1381,IF(dadosexternosBMF_1!A1381="DI1 - DI de 1 dia",dadosexternosBMF_1!B1381,"")))</f>
        <v>#REF!</v>
      </c>
      <c r="D1378" s="222" t="e">
        <f>IF(C1378&lt;&gt;"",dadosexternosBMF_1!C1381,"")</f>
        <v>#REF!</v>
      </c>
      <c r="E1378" s="222" t="e">
        <f>IF(C1378&lt;&gt;"",dadosexternosBMF_1!D1381,"")</f>
        <v>#REF!</v>
      </c>
      <c r="G1378" s="219" t="e">
        <f t="shared" si="145"/>
        <v>#REF!</v>
      </c>
      <c r="H1378" s="219" t="e">
        <f t="shared" si="146"/>
        <v>#REF!</v>
      </c>
      <c r="I1378" s="219" t="e">
        <f t="shared" si="147"/>
        <v>#REF!</v>
      </c>
      <c r="J1378" s="219" t="e">
        <f>IF(I1378="","",VLOOKUP(LEFT(C1378,1),dadosexternosBMF_1!$L$2:$M$13,2,FALSE))</f>
        <v>#REF!</v>
      </c>
      <c r="K1378" s="219" t="e">
        <f t="shared" si="148"/>
        <v>#REF!</v>
      </c>
      <c r="L1378" s="422" t="e">
        <f t="shared" si="149"/>
        <v>#REF!</v>
      </c>
      <c r="M1378" s="422" t="e">
        <f>IF(I1378="","",WORKDAY(L1378-1,1,FERIADOS!$A$2:$A$831))</f>
        <v>#REF!</v>
      </c>
      <c r="N1378" s="219" t="e">
        <f>IF(I1378="","",NETWORKDAYS(Curva!$M$2,M1378,FERIADOS!$A$2:$A$831)-1)</f>
        <v>#REF!</v>
      </c>
      <c r="O1378" s="423" t="e">
        <f>IF(C1378&lt;&gt;"",IF(ISERROR((100000/E1378)^(252/N1378)-1),Curva!$B$2,((100000/E1378)^(252/N1378)-1)),"")</f>
        <v>#REF!</v>
      </c>
      <c r="P1378" s="219" t="e">
        <f>IF(OR(G1378=1,G1378=2),dadosexternosBMF_1!B1381,"")</f>
        <v>#REF!</v>
      </c>
      <c r="Q1378" s="219" t="e">
        <f>IF(OR(G1378=1,G1378=2),dadosexternosBMF_1!D1381,"")</f>
        <v>#REF!</v>
      </c>
    </row>
    <row r="1379" spans="1:17" x14ac:dyDescent="0.2">
      <c r="A1379" s="222" t="e">
        <f t="shared" si="144"/>
        <v>#REF!</v>
      </c>
      <c r="B1379" s="222" t="str">
        <f>IF(dadosexternosBMF_1!A1382="DI1 - DI de 1 dia","DI1 - DI de 1 dia","")</f>
        <v/>
      </c>
      <c r="C1379" s="222" t="e">
        <f>IF(dadosexternosBMF_1!A1382="DOL - Dólar comercial","",IF(C1378&lt;&gt;"",dadosexternosBMF_1!B1382,IF(dadosexternosBMF_1!A1382="DI1 - DI de 1 dia",dadosexternosBMF_1!B1382,"")))</f>
        <v>#REF!</v>
      </c>
      <c r="D1379" s="222" t="e">
        <f>IF(C1379&lt;&gt;"",dadosexternosBMF_1!C1382,"")</f>
        <v>#REF!</v>
      </c>
      <c r="E1379" s="222" t="e">
        <f>IF(C1379&lt;&gt;"",dadosexternosBMF_1!D1382,"")</f>
        <v>#REF!</v>
      </c>
      <c r="G1379" s="219" t="e">
        <f t="shared" si="145"/>
        <v>#REF!</v>
      </c>
      <c r="H1379" s="219" t="e">
        <f t="shared" si="146"/>
        <v>#REF!</v>
      </c>
      <c r="I1379" s="219" t="e">
        <f t="shared" si="147"/>
        <v>#REF!</v>
      </c>
      <c r="J1379" s="219" t="e">
        <f>IF(I1379="","",VLOOKUP(LEFT(C1379,1),dadosexternosBMF_1!$L$2:$M$13,2,FALSE))</f>
        <v>#REF!</v>
      </c>
      <c r="K1379" s="219" t="e">
        <f t="shared" si="148"/>
        <v>#REF!</v>
      </c>
      <c r="L1379" s="422" t="e">
        <f t="shared" si="149"/>
        <v>#REF!</v>
      </c>
      <c r="M1379" s="422" t="e">
        <f>IF(I1379="","",WORKDAY(L1379-1,1,FERIADOS!$A$2:$A$831))</f>
        <v>#REF!</v>
      </c>
      <c r="N1379" s="219" t="e">
        <f>IF(I1379="","",NETWORKDAYS(Curva!$M$2,M1379,FERIADOS!$A$2:$A$831)-1)</f>
        <v>#REF!</v>
      </c>
      <c r="O1379" s="423" t="e">
        <f>IF(C1379&lt;&gt;"",IF(ISERROR((100000/E1379)^(252/N1379)-1),Curva!$B$2,((100000/E1379)^(252/N1379)-1)),"")</f>
        <v>#REF!</v>
      </c>
      <c r="P1379" s="219" t="e">
        <f>IF(OR(G1379=1,G1379=2),dadosexternosBMF_1!B1382,"")</f>
        <v>#REF!</v>
      </c>
      <c r="Q1379" s="219" t="e">
        <f>IF(OR(G1379=1,G1379=2),dadosexternosBMF_1!D1382,"")</f>
        <v>#REF!</v>
      </c>
    </row>
    <row r="1380" spans="1:17" x14ac:dyDescent="0.2">
      <c r="A1380" s="222" t="e">
        <f t="shared" si="144"/>
        <v>#REF!</v>
      </c>
      <c r="B1380" s="222" t="str">
        <f>IF(dadosexternosBMF_1!A1383="DI1 - DI de 1 dia","DI1 - DI de 1 dia","")</f>
        <v/>
      </c>
      <c r="C1380" s="222" t="e">
        <f>IF(dadosexternosBMF_1!A1383="DOL - Dólar comercial","",IF(C1379&lt;&gt;"",dadosexternosBMF_1!B1383,IF(dadosexternosBMF_1!A1383="DI1 - DI de 1 dia",dadosexternosBMF_1!B1383,"")))</f>
        <v>#REF!</v>
      </c>
      <c r="D1380" s="222" t="e">
        <f>IF(C1380&lt;&gt;"",dadosexternosBMF_1!C1383,"")</f>
        <v>#REF!</v>
      </c>
      <c r="E1380" s="222" t="e">
        <f>IF(C1380&lt;&gt;"",dadosexternosBMF_1!D1383,"")</f>
        <v>#REF!</v>
      </c>
      <c r="G1380" s="219" t="e">
        <f t="shared" si="145"/>
        <v>#REF!</v>
      </c>
      <c r="H1380" s="219" t="e">
        <f t="shared" si="146"/>
        <v>#REF!</v>
      </c>
      <c r="I1380" s="219" t="e">
        <f t="shared" si="147"/>
        <v>#REF!</v>
      </c>
      <c r="J1380" s="219" t="e">
        <f>IF(I1380="","",VLOOKUP(LEFT(C1380,1),dadosexternosBMF_1!$L$2:$M$13,2,FALSE))</f>
        <v>#REF!</v>
      </c>
      <c r="K1380" s="219" t="e">
        <f t="shared" si="148"/>
        <v>#REF!</v>
      </c>
      <c r="L1380" s="422" t="e">
        <f t="shared" si="149"/>
        <v>#REF!</v>
      </c>
      <c r="M1380" s="422" t="e">
        <f>IF(I1380="","",WORKDAY(L1380-1,1,FERIADOS!$A$2:$A$831))</f>
        <v>#REF!</v>
      </c>
      <c r="N1380" s="219" t="e">
        <f>IF(I1380="","",NETWORKDAYS(Curva!$M$2,M1380,FERIADOS!$A$2:$A$831)-1)</f>
        <v>#REF!</v>
      </c>
      <c r="O1380" s="423" t="e">
        <f>IF(C1380&lt;&gt;"",IF(ISERROR((100000/E1380)^(252/N1380)-1),Curva!$B$2,((100000/E1380)^(252/N1380)-1)),"")</f>
        <v>#REF!</v>
      </c>
      <c r="P1380" s="219" t="e">
        <f>IF(OR(G1380=1,G1380=2),dadosexternosBMF_1!B1383,"")</f>
        <v>#REF!</v>
      </c>
      <c r="Q1380" s="219" t="e">
        <f>IF(OR(G1380=1,G1380=2),dadosexternosBMF_1!D1383,"")</f>
        <v>#REF!</v>
      </c>
    </row>
    <row r="1381" spans="1:17" x14ac:dyDescent="0.2">
      <c r="A1381" s="222" t="e">
        <f t="shared" si="144"/>
        <v>#REF!</v>
      </c>
      <c r="B1381" s="222" t="str">
        <f>IF(dadosexternosBMF_1!A1384="DI1 - DI de 1 dia","DI1 - DI de 1 dia","")</f>
        <v/>
      </c>
      <c r="C1381" s="222" t="e">
        <f>IF(dadosexternosBMF_1!A1384="DOL - Dólar comercial","",IF(C1380&lt;&gt;"",dadosexternosBMF_1!B1384,IF(dadosexternosBMF_1!A1384="DI1 - DI de 1 dia",dadosexternosBMF_1!B1384,"")))</f>
        <v>#REF!</v>
      </c>
      <c r="D1381" s="222" t="e">
        <f>IF(C1381&lt;&gt;"",dadosexternosBMF_1!C1384,"")</f>
        <v>#REF!</v>
      </c>
      <c r="E1381" s="222" t="e">
        <f>IF(C1381&lt;&gt;"",dadosexternosBMF_1!D1384,"")</f>
        <v>#REF!</v>
      </c>
      <c r="G1381" s="219" t="e">
        <f t="shared" si="145"/>
        <v>#REF!</v>
      </c>
      <c r="H1381" s="219" t="e">
        <f t="shared" si="146"/>
        <v>#REF!</v>
      </c>
      <c r="I1381" s="219" t="e">
        <f t="shared" si="147"/>
        <v>#REF!</v>
      </c>
      <c r="J1381" s="219" t="e">
        <f>IF(I1381="","",VLOOKUP(LEFT(C1381,1),dadosexternosBMF_1!$L$2:$M$13,2,FALSE))</f>
        <v>#REF!</v>
      </c>
      <c r="K1381" s="219" t="e">
        <f t="shared" si="148"/>
        <v>#REF!</v>
      </c>
      <c r="L1381" s="422" t="e">
        <f t="shared" si="149"/>
        <v>#REF!</v>
      </c>
      <c r="M1381" s="422" t="e">
        <f>IF(I1381="","",WORKDAY(L1381-1,1,FERIADOS!$A$2:$A$831))</f>
        <v>#REF!</v>
      </c>
      <c r="N1381" s="219" t="e">
        <f>IF(I1381="","",NETWORKDAYS(Curva!$M$2,M1381,FERIADOS!$A$2:$A$831)-1)</f>
        <v>#REF!</v>
      </c>
      <c r="O1381" s="423" t="e">
        <f>IF(C1381&lt;&gt;"",IF(ISERROR((100000/E1381)^(252/N1381)-1),Curva!$B$2,((100000/E1381)^(252/N1381)-1)),"")</f>
        <v>#REF!</v>
      </c>
      <c r="P1381" s="219" t="e">
        <f>IF(OR(G1381=1,G1381=2),dadosexternosBMF_1!B1384,"")</f>
        <v>#REF!</v>
      </c>
      <c r="Q1381" s="219" t="e">
        <f>IF(OR(G1381=1,G1381=2),dadosexternosBMF_1!D1384,"")</f>
        <v>#REF!</v>
      </c>
    </row>
    <row r="1382" spans="1:17" x14ac:dyDescent="0.2">
      <c r="A1382" s="222" t="e">
        <f t="shared" si="144"/>
        <v>#REF!</v>
      </c>
      <c r="B1382" s="222" t="str">
        <f>IF(dadosexternosBMF_1!A1385="DI1 - DI de 1 dia","DI1 - DI de 1 dia","")</f>
        <v/>
      </c>
      <c r="C1382" s="222" t="e">
        <f>IF(dadosexternosBMF_1!A1385="DOL - Dólar comercial","",IF(C1381&lt;&gt;"",dadosexternosBMF_1!B1385,IF(dadosexternosBMF_1!A1385="DI1 - DI de 1 dia",dadosexternosBMF_1!B1385,"")))</f>
        <v>#REF!</v>
      </c>
      <c r="D1382" s="222" t="e">
        <f>IF(C1382&lt;&gt;"",dadosexternosBMF_1!C1385,"")</f>
        <v>#REF!</v>
      </c>
      <c r="E1382" s="222" t="e">
        <f>IF(C1382&lt;&gt;"",dadosexternosBMF_1!D1385,"")</f>
        <v>#REF!</v>
      </c>
      <c r="G1382" s="219" t="e">
        <f t="shared" si="145"/>
        <v>#REF!</v>
      </c>
      <c r="H1382" s="219" t="e">
        <f t="shared" si="146"/>
        <v>#REF!</v>
      </c>
      <c r="I1382" s="219" t="e">
        <f t="shared" si="147"/>
        <v>#REF!</v>
      </c>
      <c r="J1382" s="219" t="e">
        <f>IF(I1382="","",VLOOKUP(LEFT(C1382,1),dadosexternosBMF_1!$L$2:$M$13,2,FALSE))</f>
        <v>#REF!</v>
      </c>
      <c r="K1382" s="219" t="e">
        <f t="shared" si="148"/>
        <v>#REF!</v>
      </c>
      <c r="L1382" s="422" t="e">
        <f t="shared" si="149"/>
        <v>#REF!</v>
      </c>
      <c r="M1382" s="422" t="e">
        <f>IF(I1382="","",WORKDAY(L1382-1,1,FERIADOS!$A$2:$A$831))</f>
        <v>#REF!</v>
      </c>
      <c r="N1382" s="219" t="e">
        <f>IF(I1382="","",NETWORKDAYS(Curva!$M$2,M1382,FERIADOS!$A$2:$A$831)-1)</f>
        <v>#REF!</v>
      </c>
      <c r="O1382" s="423" t="e">
        <f>IF(C1382&lt;&gt;"",IF(ISERROR((100000/E1382)^(252/N1382)-1),Curva!$B$2,((100000/E1382)^(252/N1382)-1)),"")</f>
        <v>#REF!</v>
      </c>
      <c r="P1382" s="219" t="e">
        <f>IF(OR(G1382=1,G1382=2),dadosexternosBMF_1!B1385,"")</f>
        <v>#REF!</v>
      </c>
      <c r="Q1382" s="219" t="e">
        <f>IF(OR(G1382=1,G1382=2),dadosexternosBMF_1!D1385,"")</f>
        <v>#REF!</v>
      </c>
    </row>
    <row r="1383" spans="1:17" x14ac:dyDescent="0.2">
      <c r="A1383" s="222" t="e">
        <f t="shared" si="144"/>
        <v>#REF!</v>
      </c>
      <c r="B1383" s="222" t="str">
        <f>IF(dadosexternosBMF_1!A1386="DI1 - DI de 1 dia","DI1 - DI de 1 dia","")</f>
        <v/>
      </c>
      <c r="C1383" s="222" t="e">
        <f>IF(dadosexternosBMF_1!A1386="DOL - Dólar comercial","",IF(C1382&lt;&gt;"",dadosexternosBMF_1!B1386,IF(dadosexternosBMF_1!A1386="DI1 - DI de 1 dia",dadosexternosBMF_1!B1386,"")))</f>
        <v>#REF!</v>
      </c>
      <c r="D1383" s="222" t="e">
        <f>IF(C1383&lt;&gt;"",dadosexternosBMF_1!C1386,"")</f>
        <v>#REF!</v>
      </c>
      <c r="E1383" s="222" t="e">
        <f>IF(C1383&lt;&gt;"",dadosexternosBMF_1!D1386,"")</f>
        <v>#REF!</v>
      </c>
      <c r="G1383" s="219" t="e">
        <f t="shared" si="145"/>
        <v>#REF!</v>
      </c>
      <c r="H1383" s="219" t="e">
        <f t="shared" si="146"/>
        <v>#REF!</v>
      </c>
      <c r="I1383" s="219" t="e">
        <f t="shared" si="147"/>
        <v>#REF!</v>
      </c>
      <c r="J1383" s="219" t="e">
        <f>IF(I1383="","",VLOOKUP(LEFT(C1383,1),dadosexternosBMF_1!$L$2:$M$13,2,FALSE))</f>
        <v>#REF!</v>
      </c>
      <c r="K1383" s="219" t="e">
        <f t="shared" si="148"/>
        <v>#REF!</v>
      </c>
      <c r="L1383" s="422" t="e">
        <f t="shared" si="149"/>
        <v>#REF!</v>
      </c>
      <c r="M1383" s="422" t="e">
        <f>IF(I1383="","",WORKDAY(L1383-1,1,FERIADOS!$A$2:$A$831))</f>
        <v>#REF!</v>
      </c>
      <c r="N1383" s="219" t="e">
        <f>IF(I1383="","",NETWORKDAYS(Curva!$M$2,M1383,FERIADOS!$A$2:$A$831)-1)</f>
        <v>#REF!</v>
      </c>
      <c r="O1383" s="423" t="e">
        <f>IF(C1383&lt;&gt;"",IF(ISERROR((100000/E1383)^(252/N1383)-1),Curva!$B$2,((100000/E1383)^(252/N1383)-1)),"")</f>
        <v>#REF!</v>
      </c>
      <c r="P1383" s="219" t="e">
        <f>IF(OR(G1383=1,G1383=2),dadosexternosBMF_1!B1386,"")</f>
        <v>#REF!</v>
      </c>
      <c r="Q1383" s="219" t="e">
        <f>IF(OR(G1383=1,G1383=2),dadosexternosBMF_1!D1386,"")</f>
        <v>#REF!</v>
      </c>
    </row>
    <row r="1384" spans="1:17" x14ac:dyDescent="0.2">
      <c r="A1384" s="222" t="e">
        <f t="shared" si="144"/>
        <v>#REF!</v>
      </c>
      <c r="B1384" s="222" t="str">
        <f>IF(dadosexternosBMF_1!A1387="DI1 - DI de 1 dia","DI1 - DI de 1 dia","")</f>
        <v/>
      </c>
      <c r="C1384" s="222" t="e">
        <f>IF(dadosexternosBMF_1!A1387="DOL - Dólar comercial","",IF(C1383&lt;&gt;"",dadosexternosBMF_1!B1387,IF(dadosexternosBMF_1!A1387="DI1 - DI de 1 dia",dadosexternosBMF_1!B1387,"")))</f>
        <v>#REF!</v>
      </c>
      <c r="D1384" s="222" t="e">
        <f>IF(C1384&lt;&gt;"",dadosexternosBMF_1!C1387,"")</f>
        <v>#REF!</v>
      </c>
      <c r="E1384" s="222" t="e">
        <f>IF(C1384&lt;&gt;"",dadosexternosBMF_1!D1387,"")</f>
        <v>#REF!</v>
      </c>
      <c r="G1384" s="219" t="e">
        <f t="shared" si="145"/>
        <v>#REF!</v>
      </c>
      <c r="H1384" s="219" t="e">
        <f t="shared" si="146"/>
        <v>#REF!</v>
      </c>
      <c r="I1384" s="219" t="e">
        <f t="shared" si="147"/>
        <v>#REF!</v>
      </c>
      <c r="J1384" s="219" t="e">
        <f>IF(I1384="","",VLOOKUP(LEFT(C1384,1),dadosexternosBMF_1!$L$2:$M$13,2,FALSE))</f>
        <v>#REF!</v>
      </c>
      <c r="K1384" s="219" t="e">
        <f t="shared" si="148"/>
        <v>#REF!</v>
      </c>
      <c r="L1384" s="422" t="e">
        <f t="shared" si="149"/>
        <v>#REF!</v>
      </c>
      <c r="M1384" s="422" t="e">
        <f>IF(I1384="","",WORKDAY(L1384-1,1,FERIADOS!$A$2:$A$831))</f>
        <v>#REF!</v>
      </c>
      <c r="N1384" s="219" t="e">
        <f>IF(I1384="","",NETWORKDAYS(Curva!$M$2,M1384,FERIADOS!$A$2:$A$831)-1)</f>
        <v>#REF!</v>
      </c>
      <c r="O1384" s="423" t="e">
        <f>IF(C1384&lt;&gt;"",IF(ISERROR((100000/E1384)^(252/N1384)-1),Curva!$B$2,((100000/E1384)^(252/N1384)-1)),"")</f>
        <v>#REF!</v>
      </c>
      <c r="P1384" s="219" t="e">
        <f>IF(OR(G1384=1,G1384=2),dadosexternosBMF_1!B1387,"")</f>
        <v>#REF!</v>
      </c>
      <c r="Q1384" s="219" t="e">
        <f>IF(OR(G1384=1,G1384=2),dadosexternosBMF_1!D1387,"")</f>
        <v>#REF!</v>
      </c>
    </row>
    <row r="1385" spans="1:17" x14ac:dyDescent="0.2">
      <c r="A1385" s="222" t="e">
        <f t="shared" si="144"/>
        <v>#REF!</v>
      </c>
      <c r="B1385" s="222" t="str">
        <f>IF(dadosexternosBMF_1!A1388="DI1 - DI de 1 dia","DI1 - DI de 1 dia","")</f>
        <v/>
      </c>
      <c r="C1385" s="222" t="e">
        <f>IF(dadosexternosBMF_1!A1388="DOL - Dólar comercial","",IF(C1384&lt;&gt;"",dadosexternosBMF_1!B1388,IF(dadosexternosBMF_1!A1388="DI1 - DI de 1 dia",dadosexternosBMF_1!B1388,"")))</f>
        <v>#REF!</v>
      </c>
      <c r="D1385" s="222" t="e">
        <f>IF(C1385&lt;&gt;"",dadosexternosBMF_1!C1388,"")</f>
        <v>#REF!</v>
      </c>
      <c r="E1385" s="222" t="e">
        <f>IF(C1385&lt;&gt;"",dadosexternosBMF_1!D1388,"")</f>
        <v>#REF!</v>
      </c>
      <c r="G1385" s="219" t="e">
        <f t="shared" si="145"/>
        <v>#REF!</v>
      </c>
      <c r="H1385" s="219" t="e">
        <f t="shared" si="146"/>
        <v>#REF!</v>
      </c>
      <c r="I1385" s="219" t="e">
        <f t="shared" si="147"/>
        <v>#REF!</v>
      </c>
      <c r="J1385" s="219" t="e">
        <f>IF(I1385="","",VLOOKUP(LEFT(C1385,1),dadosexternosBMF_1!$L$2:$M$13,2,FALSE))</f>
        <v>#REF!</v>
      </c>
      <c r="K1385" s="219" t="e">
        <f t="shared" si="148"/>
        <v>#REF!</v>
      </c>
      <c r="L1385" s="422" t="e">
        <f t="shared" si="149"/>
        <v>#REF!</v>
      </c>
      <c r="M1385" s="422" t="e">
        <f>IF(I1385="","",WORKDAY(L1385-1,1,FERIADOS!$A$2:$A$831))</f>
        <v>#REF!</v>
      </c>
      <c r="N1385" s="219" t="e">
        <f>IF(I1385="","",NETWORKDAYS(Curva!$M$2,M1385,FERIADOS!$A$2:$A$831)-1)</f>
        <v>#REF!</v>
      </c>
      <c r="O1385" s="423" t="e">
        <f>IF(C1385&lt;&gt;"",IF(ISERROR((100000/E1385)^(252/N1385)-1),Curva!$B$2,((100000/E1385)^(252/N1385)-1)),"")</f>
        <v>#REF!</v>
      </c>
      <c r="P1385" s="219" t="e">
        <f>IF(OR(G1385=1,G1385=2),dadosexternosBMF_1!B1388,"")</f>
        <v>#REF!</v>
      </c>
      <c r="Q1385" s="219" t="e">
        <f>IF(OR(G1385=1,G1385=2),dadosexternosBMF_1!D1388,"")</f>
        <v>#REF!</v>
      </c>
    </row>
    <row r="1386" spans="1:17" x14ac:dyDescent="0.2">
      <c r="A1386" s="222" t="e">
        <f t="shared" si="144"/>
        <v>#REF!</v>
      </c>
      <c r="B1386" s="222" t="str">
        <f>IF(dadosexternosBMF_1!A1389="DI1 - DI de 1 dia","DI1 - DI de 1 dia","")</f>
        <v/>
      </c>
      <c r="C1386" s="222" t="e">
        <f>IF(dadosexternosBMF_1!A1389="DOL - Dólar comercial","",IF(C1385&lt;&gt;"",dadosexternosBMF_1!B1389,IF(dadosexternosBMF_1!A1389="DI1 - DI de 1 dia",dadosexternosBMF_1!B1389,"")))</f>
        <v>#REF!</v>
      </c>
      <c r="D1386" s="222" t="e">
        <f>IF(C1386&lt;&gt;"",dadosexternosBMF_1!C1389,"")</f>
        <v>#REF!</v>
      </c>
      <c r="E1386" s="222" t="e">
        <f>IF(C1386&lt;&gt;"",dadosexternosBMF_1!D1389,"")</f>
        <v>#REF!</v>
      </c>
      <c r="G1386" s="219" t="e">
        <f t="shared" si="145"/>
        <v>#REF!</v>
      </c>
      <c r="H1386" s="219" t="e">
        <f t="shared" si="146"/>
        <v>#REF!</v>
      </c>
      <c r="I1386" s="219" t="e">
        <f t="shared" si="147"/>
        <v>#REF!</v>
      </c>
      <c r="J1386" s="219" t="e">
        <f>IF(I1386="","",VLOOKUP(LEFT(C1386,1),dadosexternosBMF_1!$L$2:$M$13,2,FALSE))</f>
        <v>#REF!</v>
      </c>
      <c r="K1386" s="219" t="e">
        <f t="shared" si="148"/>
        <v>#REF!</v>
      </c>
      <c r="L1386" s="422" t="e">
        <f t="shared" si="149"/>
        <v>#REF!</v>
      </c>
      <c r="M1386" s="422" t="e">
        <f>IF(I1386="","",WORKDAY(L1386-1,1,FERIADOS!$A$2:$A$831))</f>
        <v>#REF!</v>
      </c>
      <c r="N1386" s="219" t="e">
        <f>IF(I1386="","",NETWORKDAYS(Curva!$M$2,M1386,FERIADOS!$A$2:$A$831)-1)</f>
        <v>#REF!</v>
      </c>
      <c r="O1386" s="423" t="e">
        <f>IF(C1386&lt;&gt;"",IF(ISERROR((100000/E1386)^(252/N1386)-1),Curva!$B$2,((100000/E1386)^(252/N1386)-1)),"")</f>
        <v>#REF!</v>
      </c>
      <c r="P1386" s="219" t="e">
        <f>IF(OR(G1386=1,G1386=2),dadosexternosBMF_1!B1389,"")</f>
        <v>#REF!</v>
      </c>
      <c r="Q1386" s="219" t="e">
        <f>IF(OR(G1386=1,G1386=2),dadosexternosBMF_1!D1389,"")</f>
        <v>#REF!</v>
      </c>
    </row>
    <row r="1387" spans="1:17" x14ac:dyDescent="0.2">
      <c r="A1387" s="222" t="e">
        <f t="shared" si="144"/>
        <v>#REF!</v>
      </c>
      <c r="B1387" s="222" t="str">
        <f>IF(dadosexternosBMF_1!A1390="DI1 - DI de 1 dia","DI1 - DI de 1 dia","")</f>
        <v/>
      </c>
      <c r="C1387" s="222" t="e">
        <f>IF(dadosexternosBMF_1!A1390="DOL - Dólar comercial","",IF(C1386&lt;&gt;"",dadosexternosBMF_1!B1390,IF(dadosexternosBMF_1!A1390="DI1 - DI de 1 dia",dadosexternosBMF_1!B1390,"")))</f>
        <v>#REF!</v>
      </c>
      <c r="D1387" s="222" t="e">
        <f>IF(C1387&lt;&gt;"",dadosexternosBMF_1!C1390,"")</f>
        <v>#REF!</v>
      </c>
      <c r="E1387" s="222" t="e">
        <f>IF(C1387&lt;&gt;"",dadosexternosBMF_1!D1390,"")</f>
        <v>#REF!</v>
      </c>
      <c r="G1387" s="219" t="e">
        <f t="shared" si="145"/>
        <v>#REF!</v>
      </c>
      <c r="H1387" s="219" t="e">
        <f t="shared" si="146"/>
        <v>#REF!</v>
      </c>
      <c r="I1387" s="219" t="e">
        <f t="shared" si="147"/>
        <v>#REF!</v>
      </c>
      <c r="J1387" s="219" t="e">
        <f>IF(I1387="","",VLOOKUP(LEFT(C1387,1),dadosexternosBMF_1!$L$2:$M$13,2,FALSE))</f>
        <v>#REF!</v>
      </c>
      <c r="K1387" s="219" t="e">
        <f t="shared" si="148"/>
        <v>#REF!</v>
      </c>
      <c r="L1387" s="422" t="e">
        <f t="shared" si="149"/>
        <v>#REF!</v>
      </c>
      <c r="M1387" s="422" t="e">
        <f>IF(I1387="","",WORKDAY(L1387-1,1,FERIADOS!$A$2:$A$831))</f>
        <v>#REF!</v>
      </c>
      <c r="N1387" s="219" t="e">
        <f>IF(I1387="","",NETWORKDAYS(Curva!$M$2,M1387,FERIADOS!$A$2:$A$831)-1)</f>
        <v>#REF!</v>
      </c>
      <c r="O1387" s="423" t="e">
        <f>IF(C1387&lt;&gt;"",IF(ISERROR((100000/E1387)^(252/N1387)-1),Curva!$B$2,((100000/E1387)^(252/N1387)-1)),"")</f>
        <v>#REF!</v>
      </c>
      <c r="P1387" s="219" t="e">
        <f>IF(OR(G1387=1,G1387=2),dadosexternosBMF_1!B1390,"")</f>
        <v>#REF!</v>
      </c>
      <c r="Q1387" s="219" t="e">
        <f>IF(OR(G1387=1,G1387=2),dadosexternosBMF_1!D1390,"")</f>
        <v>#REF!</v>
      </c>
    </row>
    <row r="1388" spans="1:17" x14ac:dyDescent="0.2">
      <c r="A1388" s="222" t="e">
        <f t="shared" si="144"/>
        <v>#REF!</v>
      </c>
      <c r="B1388" s="222" t="str">
        <f>IF(dadosexternosBMF_1!A1391="DI1 - DI de 1 dia","DI1 - DI de 1 dia","")</f>
        <v/>
      </c>
      <c r="C1388" s="222" t="e">
        <f>IF(dadosexternosBMF_1!A1391="DOL - Dólar comercial","",IF(C1387&lt;&gt;"",dadosexternosBMF_1!B1391,IF(dadosexternosBMF_1!A1391="DI1 - DI de 1 dia",dadosexternosBMF_1!B1391,"")))</f>
        <v>#REF!</v>
      </c>
      <c r="D1388" s="222" t="e">
        <f>IF(C1388&lt;&gt;"",dadosexternosBMF_1!C1391,"")</f>
        <v>#REF!</v>
      </c>
      <c r="E1388" s="222" t="e">
        <f>IF(C1388&lt;&gt;"",dadosexternosBMF_1!D1391,"")</f>
        <v>#REF!</v>
      </c>
      <c r="G1388" s="219" t="e">
        <f t="shared" si="145"/>
        <v>#REF!</v>
      </c>
      <c r="H1388" s="219" t="e">
        <f t="shared" si="146"/>
        <v>#REF!</v>
      </c>
      <c r="I1388" s="219" t="e">
        <f t="shared" si="147"/>
        <v>#REF!</v>
      </c>
      <c r="J1388" s="219" t="e">
        <f>IF(I1388="","",VLOOKUP(LEFT(C1388,1),dadosexternosBMF_1!$L$2:$M$13,2,FALSE))</f>
        <v>#REF!</v>
      </c>
      <c r="K1388" s="219" t="e">
        <f t="shared" si="148"/>
        <v>#REF!</v>
      </c>
      <c r="L1388" s="422" t="e">
        <f t="shared" si="149"/>
        <v>#REF!</v>
      </c>
      <c r="M1388" s="422" t="e">
        <f>IF(I1388="","",WORKDAY(L1388-1,1,FERIADOS!$A$2:$A$831))</f>
        <v>#REF!</v>
      </c>
      <c r="N1388" s="219" t="e">
        <f>IF(I1388="","",NETWORKDAYS(Curva!$M$2,M1388,FERIADOS!$A$2:$A$831)-1)</f>
        <v>#REF!</v>
      </c>
      <c r="O1388" s="423" t="e">
        <f>IF(C1388&lt;&gt;"",IF(ISERROR((100000/E1388)^(252/N1388)-1),Curva!$B$2,((100000/E1388)^(252/N1388)-1)),"")</f>
        <v>#REF!</v>
      </c>
      <c r="P1388" s="219" t="e">
        <f>IF(OR(G1388=1,G1388=2),dadosexternosBMF_1!B1391,"")</f>
        <v>#REF!</v>
      </c>
      <c r="Q1388" s="219" t="e">
        <f>IF(OR(G1388=1,G1388=2),dadosexternosBMF_1!D1391,"")</f>
        <v>#REF!</v>
      </c>
    </row>
    <row r="1389" spans="1:17" x14ac:dyDescent="0.2">
      <c r="A1389" s="222" t="e">
        <f t="shared" si="144"/>
        <v>#REF!</v>
      </c>
      <c r="B1389" s="222" t="str">
        <f>IF(dadosexternosBMF_1!A1392="DI1 - DI de 1 dia","DI1 - DI de 1 dia","")</f>
        <v/>
      </c>
      <c r="C1389" s="222" t="e">
        <f>IF(dadosexternosBMF_1!A1392="DOL - Dólar comercial","",IF(C1388&lt;&gt;"",dadosexternosBMF_1!B1392,IF(dadosexternosBMF_1!A1392="DI1 - DI de 1 dia",dadosexternosBMF_1!B1392,"")))</f>
        <v>#REF!</v>
      </c>
      <c r="D1389" s="222" t="e">
        <f>IF(C1389&lt;&gt;"",dadosexternosBMF_1!C1392,"")</f>
        <v>#REF!</v>
      </c>
      <c r="E1389" s="222" t="e">
        <f>IF(C1389&lt;&gt;"",dadosexternosBMF_1!D1392,"")</f>
        <v>#REF!</v>
      </c>
      <c r="G1389" s="219" t="e">
        <f t="shared" si="145"/>
        <v>#REF!</v>
      </c>
      <c r="H1389" s="219" t="e">
        <f t="shared" si="146"/>
        <v>#REF!</v>
      </c>
      <c r="I1389" s="219" t="e">
        <f t="shared" si="147"/>
        <v>#REF!</v>
      </c>
      <c r="J1389" s="219" t="e">
        <f>IF(I1389="","",VLOOKUP(LEFT(C1389,1),dadosexternosBMF_1!$L$2:$M$13,2,FALSE))</f>
        <v>#REF!</v>
      </c>
      <c r="K1389" s="219" t="e">
        <f t="shared" si="148"/>
        <v>#REF!</v>
      </c>
      <c r="L1389" s="422" t="e">
        <f t="shared" si="149"/>
        <v>#REF!</v>
      </c>
      <c r="M1389" s="422" t="e">
        <f>IF(I1389="","",WORKDAY(L1389-1,1,FERIADOS!$A$2:$A$831))</f>
        <v>#REF!</v>
      </c>
      <c r="N1389" s="219" t="e">
        <f>IF(I1389="","",NETWORKDAYS(Curva!$M$2,M1389,FERIADOS!$A$2:$A$831)-1)</f>
        <v>#REF!</v>
      </c>
      <c r="O1389" s="423" t="e">
        <f>IF(C1389&lt;&gt;"",IF(ISERROR((100000/E1389)^(252/N1389)-1),Curva!$B$2,((100000/E1389)^(252/N1389)-1)),"")</f>
        <v>#REF!</v>
      </c>
      <c r="P1389" s="219" t="e">
        <f>IF(OR(G1389=1,G1389=2),dadosexternosBMF_1!B1392,"")</f>
        <v>#REF!</v>
      </c>
      <c r="Q1389" s="219" t="e">
        <f>IF(OR(G1389=1,G1389=2),dadosexternosBMF_1!D1392,"")</f>
        <v>#REF!</v>
      </c>
    </row>
    <row r="1390" spans="1:17" x14ac:dyDescent="0.2">
      <c r="A1390" s="222" t="e">
        <f t="shared" si="144"/>
        <v>#REF!</v>
      </c>
      <c r="B1390" s="222" t="str">
        <f>IF(dadosexternosBMF_1!A1393="DI1 - DI de 1 dia","DI1 - DI de 1 dia","")</f>
        <v/>
      </c>
      <c r="C1390" s="222" t="e">
        <f>IF(dadosexternosBMF_1!A1393="DOL - Dólar comercial","",IF(C1389&lt;&gt;"",dadosexternosBMF_1!B1393,IF(dadosexternosBMF_1!A1393="DI1 - DI de 1 dia",dadosexternosBMF_1!B1393,"")))</f>
        <v>#REF!</v>
      </c>
      <c r="D1390" s="222" t="e">
        <f>IF(C1390&lt;&gt;"",dadosexternosBMF_1!C1393,"")</f>
        <v>#REF!</v>
      </c>
      <c r="E1390" s="222" t="e">
        <f>IF(C1390&lt;&gt;"",dadosexternosBMF_1!D1393,"")</f>
        <v>#REF!</v>
      </c>
      <c r="G1390" s="219" t="e">
        <f t="shared" si="145"/>
        <v>#REF!</v>
      </c>
      <c r="H1390" s="219" t="e">
        <f t="shared" si="146"/>
        <v>#REF!</v>
      </c>
      <c r="I1390" s="219" t="e">
        <f t="shared" si="147"/>
        <v>#REF!</v>
      </c>
      <c r="J1390" s="219" t="e">
        <f>IF(I1390="","",VLOOKUP(LEFT(C1390,1),dadosexternosBMF_1!$L$2:$M$13,2,FALSE))</f>
        <v>#REF!</v>
      </c>
      <c r="K1390" s="219" t="e">
        <f t="shared" si="148"/>
        <v>#REF!</v>
      </c>
      <c r="L1390" s="422" t="e">
        <f t="shared" si="149"/>
        <v>#REF!</v>
      </c>
      <c r="M1390" s="422" t="e">
        <f>IF(I1390="","",WORKDAY(L1390-1,1,FERIADOS!$A$2:$A$831))</f>
        <v>#REF!</v>
      </c>
      <c r="N1390" s="219" t="e">
        <f>IF(I1390="","",NETWORKDAYS(Curva!$M$2,M1390,FERIADOS!$A$2:$A$831)-1)</f>
        <v>#REF!</v>
      </c>
      <c r="O1390" s="423" t="e">
        <f>IF(C1390&lt;&gt;"",IF(ISERROR((100000/E1390)^(252/N1390)-1),Curva!$B$2,((100000/E1390)^(252/N1390)-1)),"")</f>
        <v>#REF!</v>
      </c>
      <c r="P1390" s="219" t="e">
        <f>IF(OR(G1390=1,G1390=2),dadosexternosBMF_1!B1393,"")</f>
        <v>#REF!</v>
      </c>
      <c r="Q1390" s="219" t="e">
        <f>IF(OR(G1390=1,G1390=2),dadosexternosBMF_1!D1393,"")</f>
        <v>#REF!</v>
      </c>
    </row>
    <row r="1391" spans="1:17" x14ac:dyDescent="0.2">
      <c r="A1391" s="222" t="e">
        <f t="shared" si="144"/>
        <v>#REF!</v>
      </c>
      <c r="B1391" s="222" t="str">
        <f>IF(dadosexternosBMF_1!A1394="DI1 - DI de 1 dia","DI1 - DI de 1 dia","")</f>
        <v/>
      </c>
      <c r="C1391" s="222" t="e">
        <f>IF(dadosexternosBMF_1!A1394="DOL - Dólar comercial","",IF(C1390&lt;&gt;"",dadosexternosBMF_1!B1394,IF(dadosexternosBMF_1!A1394="DI1 - DI de 1 dia",dadosexternosBMF_1!B1394,"")))</f>
        <v>#REF!</v>
      </c>
      <c r="D1391" s="222" t="e">
        <f>IF(C1391&lt;&gt;"",dadosexternosBMF_1!C1394,"")</f>
        <v>#REF!</v>
      </c>
      <c r="E1391" s="222" t="e">
        <f>IF(C1391&lt;&gt;"",dadosexternosBMF_1!D1394,"")</f>
        <v>#REF!</v>
      </c>
      <c r="G1391" s="219" t="e">
        <f t="shared" si="145"/>
        <v>#REF!</v>
      </c>
      <c r="H1391" s="219" t="e">
        <f t="shared" si="146"/>
        <v>#REF!</v>
      </c>
      <c r="I1391" s="219" t="e">
        <f t="shared" si="147"/>
        <v>#REF!</v>
      </c>
      <c r="J1391" s="219" t="e">
        <f>IF(I1391="","",VLOOKUP(LEFT(C1391,1),dadosexternosBMF_1!$L$2:$M$13,2,FALSE))</f>
        <v>#REF!</v>
      </c>
      <c r="K1391" s="219" t="e">
        <f t="shared" si="148"/>
        <v>#REF!</v>
      </c>
      <c r="L1391" s="422" t="e">
        <f t="shared" si="149"/>
        <v>#REF!</v>
      </c>
      <c r="M1391" s="422" t="e">
        <f>IF(I1391="","",WORKDAY(L1391-1,1,FERIADOS!$A$2:$A$831))</f>
        <v>#REF!</v>
      </c>
      <c r="N1391" s="219" t="e">
        <f>IF(I1391="","",NETWORKDAYS(Curva!$M$2,M1391,FERIADOS!$A$2:$A$831)-1)</f>
        <v>#REF!</v>
      </c>
      <c r="O1391" s="423" t="e">
        <f>IF(C1391&lt;&gt;"",IF(ISERROR((100000/E1391)^(252/N1391)-1),Curva!$B$2,((100000/E1391)^(252/N1391)-1)),"")</f>
        <v>#REF!</v>
      </c>
      <c r="P1391" s="219" t="e">
        <f>IF(OR(G1391=1,G1391=2),dadosexternosBMF_1!B1394,"")</f>
        <v>#REF!</v>
      </c>
      <c r="Q1391" s="219" t="e">
        <f>IF(OR(G1391=1,G1391=2),dadosexternosBMF_1!D1394,"")</f>
        <v>#REF!</v>
      </c>
    </row>
    <row r="1392" spans="1:17" x14ac:dyDescent="0.2">
      <c r="A1392" s="222" t="e">
        <f t="shared" si="144"/>
        <v>#REF!</v>
      </c>
      <c r="B1392" s="222" t="str">
        <f>IF(dadosexternosBMF_1!A1395="DI1 - DI de 1 dia","DI1 - DI de 1 dia","")</f>
        <v/>
      </c>
      <c r="C1392" s="222" t="e">
        <f>IF(dadosexternosBMF_1!A1395="DOL - Dólar comercial","",IF(C1391&lt;&gt;"",dadosexternosBMF_1!B1395,IF(dadosexternosBMF_1!A1395="DI1 - DI de 1 dia",dadosexternosBMF_1!B1395,"")))</f>
        <v>#REF!</v>
      </c>
      <c r="D1392" s="222" t="e">
        <f>IF(C1392&lt;&gt;"",dadosexternosBMF_1!C1395,"")</f>
        <v>#REF!</v>
      </c>
      <c r="E1392" s="222" t="e">
        <f>IF(C1392&lt;&gt;"",dadosexternosBMF_1!D1395,"")</f>
        <v>#REF!</v>
      </c>
      <c r="G1392" s="219" t="e">
        <f t="shared" si="145"/>
        <v>#REF!</v>
      </c>
      <c r="H1392" s="219" t="e">
        <f t="shared" si="146"/>
        <v>#REF!</v>
      </c>
      <c r="I1392" s="219" t="e">
        <f t="shared" si="147"/>
        <v>#REF!</v>
      </c>
      <c r="J1392" s="219" t="e">
        <f>IF(I1392="","",VLOOKUP(LEFT(C1392,1),dadosexternosBMF_1!$L$2:$M$13,2,FALSE))</f>
        <v>#REF!</v>
      </c>
      <c r="K1392" s="219" t="e">
        <f t="shared" si="148"/>
        <v>#REF!</v>
      </c>
      <c r="L1392" s="422" t="e">
        <f t="shared" si="149"/>
        <v>#REF!</v>
      </c>
      <c r="M1392" s="422" t="e">
        <f>IF(I1392="","",WORKDAY(L1392-1,1,FERIADOS!$A$2:$A$831))</f>
        <v>#REF!</v>
      </c>
      <c r="N1392" s="219" t="e">
        <f>IF(I1392="","",NETWORKDAYS(Curva!$M$2,M1392,FERIADOS!$A$2:$A$831)-1)</f>
        <v>#REF!</v>
      </c>
      <c r="O1392" s="423" t="e">
        <f>IF(C1392&lt;&gt;"",IF(ISERROR((100000/E1392)^(252/N1392)-1),Curva!$B$2,((100000/E1392)^(252/N1392)-1)),"")</f>
        <v>#REF!</v>
      </c>
      <c r="P1392" s="219" t="e">
        <f>IF(OR(G1392=1,G1392=2),dadosexternosBMF_1!B1395,"")</f>
        <v>#REF!</v>
      </c>
      <c r="Q1392" s="219" t="e">
        <f>IF(OR(G1392=1,G1392=2),dadosexternosBMF_1!D1395,"")</f>
        <v>#REF!</v>
      </c>
    </row>
    <row r="1393" spans="1:17" x14ac:dyDescent="0.2">
      <c r="A1393" s="222" t="e">
        <f t="shared" si="144"/>
        <v>#REF!</v>
      </c>
      <c r="B1393" s="222" t="str">
        <f>IF(dadosexternosBMF_1!A1396="DI1 - DI de 1 dia","DI1 - DI de 1 dia","")</f>
        <v/>
      </c>
      <c r="C1393" s="222" t="e">
        <f>IF(dadosexternosBMF_1!A1396="DOL - Dólar comercial","",IF(C1392&lt;&gt;"",dadosexternosBMF_1!B1396,IF(dadosexternosBMF_1!A1396="DI1 - DI de 1 dia",dadosexternosBMF_1!B1396,"")))</f>
        <v>#REF!</v>
      </c>
      <c r="D1393" s="222" t="e">
        <f>IF(C1393&lt;&gt;"",dadosexternosBMF_1!C1396,"")</f>
        <v>#REF!</v>
      </c>
      <c r="E1393" s="222" t="e">
        <f>IF(C1393&lt;&gt;"",dadosexternosBMF_1!D1396,"")</f>
        <v>#REF!</v>
      </c>
      <c r="G1393" s="219" t="e">
        <f t="shared" si="145"/>
        <v>#REF!</v>
      </c>
      <c r="H1393" s="219" t="e">
        <f t="shared" si="146"/>
        <v>#REF!</v>
      </c>
      <c r="I1393" s="219" t="e">
        <f t="shared" si="147"/>
        <v>#REF!</v>
      </c>
      <c r="J1393" s="219" t="e">
        <f>IF(I1393="","",VLOOKUP(LEFT(C1393,1),dadosexternosBMF_1!$L$2:$M$13,2,FALSE))</f>
        <v>#REF!</v>
      </c>
      <c r="K1393" s="219" t="e">
        <f t="shared" si="148"/>
        <v>#REF!</v>
      </c>
      <c r="L1393" s="422" t="e">
        <f t="shared" si="149"/>
        <v>#REF!</v>
      </c>
      <c r="M1393" s="422" t="e">
        <f>IF(I1393="","",WORKDAY(L1393-1,1,FERIADOS!$A$2:$A$831))</f>
        <v>#REF!</v>
      </c>
      <c r="N1393" s="219" t="e">
        <f>IF(I1393="","",NETWORKDAYS(Curva!$M$2,M1393,FERIADOS!$A$2:$A$831)-1)</f>
        <v>#REF!</v>
      </c>
      <c r="O1393" s="423" t="e">
        <f>IF(C1393&lt;&gt;"",IF(ISERROR((100000/E1393)^(252/N1393)-1),Curva!$B$2,((100000/E1393)^(252/N1393)-1)),"")</f>
        <v>#REF!</v>
      </c>
      <c r="P1393" s="219" t="e">
        <f>IF(OR(G1393=1,G1393=2),dadosexternosBMF_1!B1396,"")</f>
        <v>#REF!</v>
      </c>
      <c r="Q1393" s="219" t="e">
        <f>IF(OR(G1393=1,G1393=2),dadosexternosBMF_1!D1396,"")</f>
        <v>#REF!</v>
      </c>
    </row>
    <row r="1394" spans="1:17" x14ac:dyDescent="0.2">
      <c r="A1394" s="222" t="e">
        <f t="shared" si="144"/>
        <v>#REF!</v>
      </c>
      <c r="B1394" s="222" t="str">
        <f>IF(dadosexternosBMF_1!A1397="DI1 - DI de 1 dia","DI1 - DI de 1 dia","")</f>
        <v/>
      </c>
      <c r="C1394" s="222" t="e">
        <f>IF(dadosexternosBMF_1!A1397="DOL - Dólar comercial","",IF(C1393&lt;&gt;"",dadosexternosBMF_1!B1397,IF(dadosexternosBMF_1!A1397="DI1 - DI de 1 dia",dadosexternosBMF_1!B1397,"")))</f>
        <v>#REF!</v>
      </c>
      <c r="D1394" s="222" t="e">
        <f>IF(C1394&lt;&gt;"",dadosexternosBMF_1!C1397,"")</f>
        <v>#REF!</v>
      </c>
      <c r="E1394" s="222" t="e">
        <f>IF(C1394&lt;&gt;"",dadosexternosBMF_1!D1397,"")</f>
        <v>#REF!</v>
      </c>
      <c r="G1394" s="219" t="e">
        <f t="shared" si="145"/>
        <v>#REF!</v>
      </c>
      <c r="H1394" s="219" t="e">
        <f t="shared" si="146"/>
        <v>#REF!</v>
      </c>
      <c r="I1394" s="219" t="e">
        <f t="shared" si="147"/>
        <v>#REF!</v>
      </c>
      <c r="J1394" s="219" t="e">
        <f>IF(I1394="","",VLOOKUP(LEFT(C1394,1),dadosexternosBMF_1!$L$2:$M$13,2,FALSE))</f>
        <v>#REF!</v>
      </c>
      <c r="K1394" s="219" t="e">
        <f t="shared" si="148"/>
        <v>#REF!</v>
      </c>
      <c r="L1394" s="422" t="e">
        <f t="shared" si="149"/>
        <v>#REF!</v>
      </c>
      <c r="M1394" s="422" t="e">
        <f>IF(I1394="","",WORKDAY(L1394-1,1,FERIADOS!$A$2:$A$831))</f>
        <v>#REF!</v>
      </c>
      <c r="N1394" s="219" t="e">
        <f>IF(I1394="","",NETWORKDAYS(Curva!$M$2,M1394,FERIADOS!$A$2:$A$831)-1)</f>
        <v>#REF!</v>
      </c>
      <c r="O1394" s="423" t="e">
        <f>IF(C1394&lt;&gt;"",IF(ISERROR((100000/E1394)^(252/N1394)-1),Curva!$B$2,((100000/E1394)^(252/N1394)-1)),"")</f>
        <v>#REF!</v>
      </c>
      <c r="P1394" s="219" t="e">
        <f>IF(OR(G1394=1,G1394=2),dadosexternosBMF_1!B1397,"")</f>
        <v>#REF!</v>
      </c>
      <c r="Q1394" s="219" t="e">
        <f>IF(OR(G1394=1,G1394=2),dadosexternosBMF_1!D1397,"")</f>
        <v>#REF!</v>
      </c>
    </row>
    <row r="1395" spans="1:17" x14ac:dyDescent="0.2">
      <c r="A1395" s="222" t="e">
        <f t="shared" si="144"/>
        <v>#REF!</v>
      </c>
      <c r="B1395" s="222" t="str">
        <f>IF(dadosexternosBMF_1!A1398="DI1 - DI de 1 dia","DI1 - DI de 1 dia","")</f>
        <v/>
      </c>
      <c r="C1395" s="222" t="e">
        <f>IF(dadosexternosBMF_1!A1398="DOL - Dólar comercial","",IF(C1394&lt;&gt;"",dadosexternosBMF_1!B1398,IF(dadosexternosBMF_1!A1398="DI1 - DI de 1 dia",dadosexternosBMF_1!B1398,"")))</f>
        <v>#REF!</v>
      </c>
      <c r="D1395" s="222" t="e">
        <f>IF(C1395&lt;&gt;"",dadosexternosBMF_1!C1398,"")</f>
        <v>#REF!</v>
      </c>
      <c r="E1395" s="222" t="e">
        <f>IF(C1395&lt;&gt;"",dadosexternosBMF_1!D1398,"")</f>
        <v>#REF!</v>
      </c>
      <c r="G1395" s="219" t="e">
        <f t="shared" si="145"/>
        <v>#REF!</v>
      </c>
      <c r="H1395" s="219" t="e">
        <f t="shared" si="146"/>
        <v>#REF!</v>
      </c>
      <c r="I1395" s="219" t="e">
        <f t="shared" si="147"/>
        <v>#REF!</v>
      </c>
      <c r="J1395" s="219" t="e">
        <f>IF(I1395="","",VLOOKUP(LEFT(C1395,1),dadosexternosBMF_1!$L$2:$M$13,2,FALSE))</f>
        <v>#REF!</v>
      </c>
      <c r="K1395" s="219" t="e">
        <f t="shared" si="148"/>
        <v>#REF!</v>
      </c>
      <c r="L1395" s="422" t="e">
        <f t="shared" si="149"/>
        <v>#REF!</v>
      </c>
      <c r="M1395" s="422" t="e">
        <f>IF(I1395="","",WORKDAY(L1395-1,1,FERIADOS!$A$2:$A$831))</f>
        <v>#REF!</v>
      </c>
      <c r="N1395" s="219" t="e">
        <f>IF(I1395="","",NETWORKDAYS(Curva!$M$2,M1395,FERIADOS!$A$2:$A$831)-1)</f>
        <v>#REF!</v>
      </c>
      <c r="O1395" s="423" t="e">
        <f>IF(C1395&lt;&gt;"",IF(ISERROR((100000/E1395)^(252/N1395)-1),Curva!$B$2,((100000/E1395)^(252/N1395)-1)),"")</f>
        <v>#REF!</v>
      </c>
      <c r="P1395" s="219" t="e">
        <f>IF(OR(G1395=1,G1395=2),dadosexternosBMF_1!B1398,"")</f>
        <v>#REF!</v>
      </c>
      <c r="Q1395" s="219" t="e">
        <f>IF(OR(G1395=1,G1395=2),dadosexternosBMF_1!D1398,"")</f>
        <v>#REF!</v>
      </c>
    </row>
    <row r="1396" spans="1:17" x14ac:dyDescent="0.2">
      <c r="A1396" s="222" t="e">
        <f t="shared" si="144"/>
        <v>#REF!</v>
      </c>
      <c r="B1396" s="222" t="str">
        <f>IF(dadosexternosBMF_1!A1399="DI1 - DI de 1 dia","DI1 - DI de 1 dia","")</f>
        <v/>
      </c>
      <c r="C1396" s="222" t="e">
        <f>IF(dadosexternosBMF_1!A1399="DOL - Dólar comercial","",IF(C1395&lt;&gt;"",dadosexternosBMF_1!B1399,IF(dadosexternosBMF_1!A1399="DI1 - DI de 1 dia",dadosexternosBMF_1!B1399,"")))</f>
        <v>#REF!</v>
      </c>
      <c r="D1396" s="222" t="e">
        <f>IF(C1396&lt;&gt;"",dadosexternosBMF_1!C1399,"")</f>
        <v>#REF!</v>
      </c>
      <c r="E1396" s="222" t="e">
        <f>IF(C1396&lt;&gt;"",dadosexternosBMF_1!D1399,"")</f>
        <v>#REF!</v>
      </c>
      <c r="G1396" s="219" t="e">
        <f t="shared" si="145"/>
        <v>#REF!</v>
      </c>
      <c r="H1396" s="219" t="e">
        <f t="shared" si="146"/>
        <v>#REF!</v>
      </c>
      <c r="I1396" s="219" t="e">
        <f t="shared" si="147"/>
        <v>#REF!</v>
      </c>
      <c r="J1396" s="219" t="e">
        <f>IF(I1396="","",VLOOKUP(LEFT(C1396,1),dadosexternosBMF_1!$L$2:$M$13,2,FALSE))</f>
        <v>#REF!</v>
      </c>
      <c r="K1396" s="219" t="e">
        <f t="shared" si="148"/>
        <v>#REF!</v>
      </c>
      <c r="L1396" s="422" t="e">
        <f t="shared" si="149"/>
        <v>#REF!</v>
      </c>
      <c r="M1396" s="422" t="e">
        <f>IF(I1396="","",WORKDAY(L1396-1,1,FERIADOS!$A$2:$A$831))</f>
        <v>#REF!</v>
      </c>
      <c r="N1396" s="219" t="e">
        <f>IF(I1396="","",NETWORKDAYS(Curva!$M$2,M1396,FERIADOS!$A$2:$A$831)-1)</f>
        <v>#REF!</v>
      </c>
      <c r="O1396" s="423" t="e">
        <f>IF(C1396&lt;&gt;"",IF(ISERROR((100000/E1396)^(252/N1396)-1),Curva!$B$2,((100000/E1396)^(252/N1396)-1)),"")</f>
        <v>#REF!</v>
      </c>
      <c r="P1396" s="219" t="e">
        <f>IF(OR(G1396=1,G1396=2),dadosexternosBMF_1!B1399,"")</f>
        <v>#REF!</v>
      </c>
      <c r="Q1396" s="219" t="e">
        <f>IF(OR(G1396=1,G1396=2),dadosexternosBMF_1!D1399,"")</f>
        <v>#REF!</v>
      </c>
    </row>
    <row r="1397" spans="1:17" x14ac:dyDescent="0.2">
      <c r="A1397" s="222" t="e">
        <f t="shared" si="144"/>
        <v>#REF!</v>
      </c>
      <c r="B1397" s="222" t="str">
        <f>IF(dadosexternosBMF_1!A1400="DI1 - DI de 1 dia","DI1 - DI de 1 dia","")</f>
        <v/>
      </c>
      <c r="C1397" s="222" t="e">
        <f>IF(dadosexternosBMF_1!A1400="DOL - Dólar comercial","",IF(C1396&lt;&gt;"",dadosexternosBMF_1!B1400,IF(dadosexternosBMF_1!A1400="DI1 - DI de 1 dia",dadosexternosBMF_1!B1400,"")))</f>
        <v>#REF!</v>
      </c>
      <c r="D1397" s="222" t="e">
        <f>IF(C1397&lt;&gt;"",dadosexternosBMF_1!C1400,"")</f>
        <v>#REF!</v>
      </c>
      <c r="E1397" s="222" t="e">
        <f>IF(C1397&lt;&gt;"",dadosexternosBMF_1!D1400,"")</f>
        <v>#REF!</v>
      </c>
      <c r="G1397" s="219" t="e">
        <f t="shared" si="145"/>
        <v>#REF!</v>
      </c>
      <c r="H1397" s="219" t="e">
        <f t="shared" si="146"/>
        <v>#REF!</v>
      </c>
      <c r="I1397" s="219" t="e">
        <f t="shared" si="147"/>
        <v>#REF!</v>
      </c>
      <c r="J1397" s="219" t="e">
        <f>IF(I1397="","",VLOOKUP(LEFT(C1397,1),dadosexternosBMF_1!$L$2:$M$13,2,FALSE))</f>
        <v>#REF!</v>
      </c>
      <c r="K1397" s="219" t="e">
        <f t="shared" si="148"/>
        <v>#REF!</v>
      </c>
      <c r="L1397" s="422" t="e">
        <f t="shared" si="149"/>
        <v>#REF!</v>
      </c>
      <c r="M1397" s="422" t="e">
        <f>IF(I1397="","",WORKDAY(L1397-1,1,FERIADOS!$A$2:$A$831))</f>
        <v>#REF!</v>
      </c>
      <c r="N1397" s="219" t="e">
        <f>IF(I1397="","",NETWORKDAYS(Curva!$M$2,M1397,FERIADOS!$A$2:$A$831)-1)</f>
        <v>#REF!</v>
      </c>
      <c r="O1397" s="423" t="e">
        <f>IF(C1397&lt;&gt;"",IF(ISERROR((100000/E1397)^(252/N1397)-1),Curva!$B$2,((100000/E1397)^(252/N1397)-1)),"")</f>
        <v>#REF!</v>
      </c>
      <c r="P1397" s="219" t="e">
        <f>IF(OR(G1397=1,G1397=2),dadosexternosBMF_1!B1400,"")</f>
        <v>#REF!</v>
      </c>
      <c r="Q1397" s="219" t="e">
        <f>IF(OR(G1397=1,G1397=2),dadosexternosBMF_1!D1400,"")</f>
        <v>#REF!</v>
      </c>
    </row>
    <row r="1398" spans="1:17" x14ac:dyDescent="0.2">
      <c r="A1398" s="222" t="e">
        <f t="shared" si="144"/>
        <v>#REF!</v>
      </c>
      <c r="B1398" s="222" t="str">
        <f>IF(dadosexternosBMF_1!A1401="DI1 - DI de 1 dia","DI1 - DI de 1 dia","")</f>
        <v/>
      </c>
      <c r="C1398" s="222" t="e">
        <f>IF(dadosexternosBMF_1!A1401="DOL - Dólar comercial","",IF(C1397&lt;&gt;"",dadosexternosBMF_1!B1401,IF(dadosexternosBMF_1!A1401="DI1 - DI de 1 dia",dadosexternosBMF_1!B1401,"")))</f>
        <v>#REF!</v>
      </c>
      <c r="D1398" s="222" t="e">
        <f>IF(C1398&lt;&gt;"",dadosexternosBMF_1!C1401,"")</f>
        <v>#REF!</v>
      </c>
      <c r="E1398" s="222" t="e">
        <f>IF(C1398&lt;&gt;"",dadosexternosBMF_1!D1401,"")</f>
        <v>#REF!</v>
      </c>
      <c r="G1398" s="219" t="e">
        <f t="shared" si="145"/>
        <v>#REF!</v>
      </c>
      <c r="H1398" s="219" t="e">
        <f t="shared" si="146"/>
        <v>#REF!</v>
      </c>
      <c r="I1398" s="219" t="e">
        <f t="shared" si="147"/>
        <v>#REF!</v>
      </c>
      <c r="J1398" s="219" t="e">
        <f>IF(I1398="","",VLOOKUP(LEFT(C1398,1),dadosexternosBMF_1!$L$2:$M$13,2,FALSE))</f>
        <v>#REF!</v>
      </c>
      <c r="K1398" s="219" t="e">
        <f t="shared" si="148"/>
        <v>#REF!</v>
      </c>
      <c r="L1398" s="422" t="e">
        <f t="shared" si="149"/>
        <v>#REF!</v>
      </c>
      <c r="M1398" s="422" t="e">
        <f>IF(I1398="","",WORKDAY(L1398-1,1,FERIADOS!$A$2:$A$831))</f>
        <v>#REF!</v>
      </c>
      <c r="N1398" s="219" t="e">
        <f>IF(I1398="","",NETWORKDAYS(Curva!$M$2,M1398,FERIADOS!$A$2:$A$831)-1)</f>
        <v>#REF!</v>
      </c>
      <c r="O1398" s="423" t="e">
        <f>IF(C1398&lt;&gt;"",IF(ISERROR((100000/E1398)^(252/N1398)-1),Curva!$B$2,((100000/E1398)^(252/N1398)-1)),"")</f>
        <v>#REF!</v>
      </c>
      <c r="P1398" s="219" t="e">
        <f>IF(OR(G1398=1,G1398=2),dadosexternosBMF_1!B1401,"")</f>
        <v>#REF!</v>
      </c>
      <c r="Q1398" s="219" t="e">
        <f>IF(OR(G1398=1,G1398=2),dadosexternosBMF_1!D1401,"")</f>
        <v>#REF!</v>
      </c>
    </row>
    <row r="1399" spans="1:17" x14ac:dyDescent="0.2">
      <c r="A1399" s="222" t="e">
        <f t="shared" si="144"/>
        <v>#REF!</v>
      </c>
      <c r="B1399" s="222" t="str">
        <f>IF(dadosexternosBMF_1!A1402="DI1 - DI de 1 dia","DI1 - DI de 1 dia","")</f>
        <v/>
      </c>
      <c r="C1399" s="222" t="e">
        <f>IF(dadosexternosBMF_1!A1402="DOL - Dólar comercial","",IF(C1398&lt;&gt;"",dadosexternosBMF_1!B1402,IF(dadosexternosBMF_1!A1402="DI1 - DI de 1 dia",dadosexternosBMF_1!B1402,"")))</f>
        <v>#REF!</v>
      </c>
      <c r="D1399" s="222" t="e">
        <f>IF(C1399&lt;&gt;"",dadosexternosBMF_1!C1402,"")</f>
        <v>#REF!</v>
      </c>
      <c r="E1399" s="222" t="e">
        <f>IF(C1399&lt;&gt;"",dadosexternosBMF_1!D1402,"")</f>
        <v>#REF!</v>
      </c>
      <c r="G1399" s="219" t="e">
        <f t="shared" si="145"/>
        <v>#REF!</v>
      </c>
      <c r="H1399" s="219" t="e">
        <f t="shared" si="146"/>
        <v>#REF!</v>
      </c>
      <c r="I1399" s="219" t="e">
        <f t="shared" si="147"/>
        <v>#REF!</v>
      </c>
      <c r="J1399" s="219" t="e">
        <f>IF(I1399="","",VLOOKUP(LEFT(C1399,1),dadosexternosBMF_1!$L$2:$M$13,2,FALSE))</f>
        <v>#REF!</v>
      </c>
      <c r="K1399" s="219" t="e">
        <f t="shared" si="148"/>
        <v>#REF!</v>
      </c>
      <c r="L1399" s="422" t="e">
        <f t="shared" si="149"/>
        <v>#REF!</v>
      </c>
      <c r="M1399" s="422" t="e">
        <f>IF(I1399="","",WORKDAY(L1399-1,1,FERIADOS!$A$2:$A$831))</f>
        <v>#REF!</v>
      </c>
      <c r="N1399" s="219" t="e">
        <f>IF(I1399="","",NETWORKDAYS(Curva!$M$2,M1399,FERIADOS!$A$2:$A$831)-1)</f>
        <v>#REF!</v>
      </c>
      <c r="O1399" s="423" t="e">
        <f>IF(C1399&lt;&gt;"",IF(ISERROR((100000/E1399)^(252/N1399)-1),Curva!$B$2,((100000/E1399)^(252/N1399)-1)),"")</f>
        <v>#REF!</v>
      </c>
      <c r="P1399" s="219" t="e">
        <f>IF(OR(G1399=1,G1399=2),dadosexternosBMF_1!B1402,"")</f>
        <v>#REF!</v>
      </c>
      <c r="Q1399" s="219" t="e">
        <f>IF(OR(G1399=1,G1399=2),dadosexternosBMF_1!D1402,"")</f>
        <v>#REF!</v>
      </c>
    </row>
    <row r="1400" spans="1:17" x14ac:dyDescent="0.2">
      <c r="A1400" s="222" t="e">
        <f t="shared" si="144"/>
        <v>#REF!</v>
      </c>
      <c r="B1400" s="222" t="str">
        <f>IF(dadosexternosBMF_1!A1403="DI1 - DI de 1 dia","DI1 - DI de 1 dia","")</f>
        <v/>
      </c>
      <c r="C1400" s="222" t="e">
        <f>IF(dadosexternosBMF_1!A1403="DOL - Dólar comercial","",IF(C1399&lt;&gt;"",dadosexternosBMF_1!B1403,IF(dadosexternosBMF_1!A1403="DI1 - DI de 1 dia",dadosexternosBMF_1!B1403,"")))</f>
        <v>#REF!</v>
      </c>
      <c r="D1400" s="222" t="e">
        <f>IF(C1400&lt;&gt;"",dadosexternosBMF_1!C1403,"")</f>
        <v>#REF!</v>
      </c>
      <c r="E1400" s="222" t="e">
        <f>IF(C1400&lt;&gt;"",dadosexternosBMF_1!D1403,"")</f>
        <v>#REF!</v>
      </c>
      <c r="G1400" s="219" t="e">
        <f t="shared" si="145"/>
        <v>#REF!</v>
      </c>
      <c r="H1400" s="219" t="e">
        <f t="shared" si="146"/>
        <v>#REF!</v>
      </c>
      <c r="I1400" s="219" t="e">
        <f t="shared" si="147"/>
        <v>#REF!</v>
      </c>
      <c r="J1400" s="219" t="e">
        <f>IF(I1400="","",VLOOKUP(LEFT(C1400,1),dadosexternosBMF_1!$L$2:$M$13,2,FALSE))</f>
        <v>#REF!</v>
      </c>
      <c r="K1400" s="219" t="e">
        <f t="shared" si="148"/>
        <v>#REF!</v>
      </c>
      <c r="L1400" s="422" t="e">
        <f t="shared" si="149"/>
        <v>#REF!</v>
      </c>
      <c r="M1400" s="422" t="e">
        <f>IF(I1400="","",WORKDAY(L1400-1,1,FERIADOS!$A$2:$A$831))</f>
        <v>#REF!</v>
      </c>
      <c r="N1400" s="219" t="e">
        <f>IF(I1400="","",NETWORKDAYS(Curva!$M$2,M1400,FERIADOS!$A$2:$A$831)-1)</f>
        <v>#REF!</v>
      </c>
      <c r="O1400" s="423" t="e">
        <f>IF(C1400&lt;&gt;"",IF(ISERROR((100000/E1400)^(252/N1400)-1),Curva!$B$2,((100000/E1400)^(252/N1400)-1)),"")</f>
        <v>#REF!</v>
      </c>
      <c r="P1400" s="219" t="e">
        <f>IF(OR(G1400=1,G1400=2),dadosexternosBMF_1!B1403,"")</f>
        <v>#REF!</v>
      </c>
      <c r="Q1400" s="219" t="e">
        <f>IF(OR(G1400=1,G1400=2),dadosexternosBMF_1!D1403,"")</f>
        <v>#REF!</v>
      </c>
    </row>
    <row r="1401" spans="1:17" x14ac:dyDescent="0.2">
      <c r="A1401" s="222" t="e">
        <f t="shared" si="144"/>
        <v>#REF!</v>
      </c>
      <c r="B1401" s="222" t="str">
        <f>IF(dadosexternosBMF_1!A1404="DI1 - DI de 1 dia","DI1 - DI de 1 dia","")</f>
        <v/>
      </c>
      <c r="C1401" s="222" t="e">
        <f>IF(dadosexternosBMF_1!A1404="DOL - Dólar comercial","",IF(C1400&lt;&gt;"",dadosexternosBMF_1!B1404,IF(dadosexternosBMF_1!A1404="DI1 - DI de 1 dia",dadosexternosBMF_1!B1404,"")))</f>
        <v>#REF!</v>
      </c>
      <c r="D1401" s="222" t="e">
        <f>IF(C1401&lt;&gt;"",dadosexternosBMF_1!C1404,"")</f>
        <v>#REF!</v>
      </c>
      <c r="E1401" s="222" t="e">
        <f>IF(C1401&lt;&gt;"",dadosexternosBMF_1!D1404,"")</f>
        <v>#REF!</v>
      </c>
      <c r="G1401" s="219" t="e">
        <f t="shared" si="145"/>
        <v>#REF!</v>
      </c>
      <c r="H1401" s="219" t="e">
        <f t="shared" si="146"/>
        <v>#REF!</v>
      </c>
      <c r="I1401" s="219" t="e">
        <f t="shared" si="147"/>
        <v>#REF!</v>
      </c>
      <c r="J1401" s="219" t="e">
        <f>IF(I1401="","",VLOOKUP(LEFT(C1401,1),dadosexternosBMF_1!$L$2:$M$13,2,FALSE))</f>
        <v>#REF!</v>
      </c>
      <c r="K1401" s="219" t="e">
        <f t="shared" si="148"/>
        <v>#REF!</v>
      </c>
      <c r="L1401" s="422" t="e">
        <f t="shared" si="149"/>
        <v>#REF!</v>
      </c>
      <c r="M1401" s="422" t="e">
        <f>IF(I1401="","",WORKDAY(L1401-1,1,FERIADOS!$A$2:$A$831))</f>
        <v>#REF!</v>
      </c>
      <c r="N1401" s="219" t="e">
        <f>IF(I1401="","",NETWORKDAYS(Curva!$M$2,M1401,FERIADOS!$A$2:$A$831)-1)</f>
        <v>#REF!</v>
      </c>
      <c r="O1401" s="423" t="e">
        <f>IF(C1401&lt;&gt;"",IF(ISERROR((100000/E1401)^(252/N1401)-1),Curva!$B$2,((100000/E1401)^(252/N1401)-1)),"")</f>
        <v>#REF!</v>
      </c>
      <c r="P1401" s="219" t="e">
        <f>IF(OR(G1401=1,G1401=2),dadosexternosBMF_1!B1404,"")</f>
        <v>#REF!</v>
      </c>
      <c r="Q1401" s="219" t="e">
        <f>IF(OR(G1401=1,G1401=2),dadosexternosBMF_1!D1404,"")</f>
        <v>#REF!</v>
      </c>
    </row>
    <row r="1402" spans="1:17" x14ac:dyDescent="0.2">
      <c r="A1402" s="222" t="e">
        <f t="shared" si="144"/>
        <v>#REF!</v>
      </c>
      <c r="B1402" s="222" t="str">
        <f>IF(dadosexternosBMF_1!A1405="DI1 - DI de 1 dia","DI1 - DI de 1 dia","")</f>
        <v/>
      </c>
      <c r="C1402" s="222" t="e">
        <f>IF(dadosexternosBMF_1!A1405="DOL - Dólar comercial","",IF(C1401&lt;&gt;"",dadosexternosBMF_1!B1405,IF(dadosexternosBMF_1!A1405="DI1 - DI de 1 dia",dadosexternosBMF_1!B1405,"")))</f>
        <v>#REF!</v>
      </c>
      <c r="D1402" s="222" t="e">
        <f>IF(C1402&lt;&gt;"",dadosexternosBMF_1!C1405,"")</f>
        <v>#REF!</v>
      </c>
      <c r="E1402" s="222" t="e">
        <f>IF(C1402&lt;&gt;"",dadosexternosBMF_1!D1405,"")</f>
        <v>#REF!</v>
      </c>
      <c r="G1402" s="219" t="e">
        <f t="shared" si="145"/>
        <v>#REF!</v>
      </c>
      <c r="H1402" s="219" t="e">
        <f t="shared" si="146"/>
        <v>#REF!</v>
      </c>
      <c r="I1402" s="219" t="e">
        <f t="shared" si="147"/>
        <v>#REF!</v>
      </c>
      <c r="J1402" s="219" t="e">
        <f>IF(I1402="","",VLOOKUP(LEFT(C1402,1),dadosexternosBMF_1!$L$2:$M$13,2,FALSE))</f>
        <v>#REF!</v>
      </c>
      <c r="K1402" s="219" t="e">
        <f t="shared" si="148"/>
        <v>#REF!</v>
      </c>
      <c r="L1402" s="422" t="e">
        <f t="shared" si="149"/>
        <v>#REF!</v>
      </c>
      <c r="M1402" s="422" t="e">
        <f>IF(I1402="","",WORKDAY(L1402-1,1,FERIADOS!$A$2:$A$831))</f>
        <v>#REF!</v>
      </c>
      <c r="N1402" s="219" t="e">
        <f>IF(I1402="","",NETWORKDAYS(Curva!$M$2,M1402,FERIADOS!$A$2:$A$831)-1)</f>
        <v>#REF!</v>
      </c>
      <c r="O1402" s="423" t="e">
        <f>IF(C1402&lt;&gt;"",IF(ISERROR((100000/E1402)^(252/N1402)-1),Curva!$B$2,((100000/E1402)^(252/N1402)-1)),"")</f>
        <v>#REF!</v>
      </c>
      <c r="P1402" s="219" t="e">
        <f>IF(OR(G1402=1,G1402=2),dadosexternosBMF_1!B1405,"")</f>
        <v>#REF!</v>
      </c>
      <c r="Q1402" s="219" t="e">
        <f>IF(OR(G1402=1,G1402=2),dadosexternosBMF_1!D1405,"")</f>
        <v>#REF!</v>
      </c>
    </row>
    <row r="1403" spans="1:17" x14ac:dyDescent="0.2">
      <c r="A1403" s="222" t="e">
        <f t="shared" si="144"/>
        <v>#REF!</v>
      </c>
      <c r="B1403" s="222" t="str">
        <f>IF(dadosexternosBMF_1!A1406="DI1 - DI de 1 dia","DI1 - DI de 1 dia","")</f>
        <v/>
      </c>
      <c r="C1403" s="222" t="e">
        <f>IF(dadosexternosBMF_1!A1406="DOL - Dólar comercial","",IF(C1402&lt;&gt;"",dadosexternosBMF_1!B1406,IF(dadosexternosBMF_1!A1406="DI1 - DI de 1 dia",dadosexternosBMF_1!B1406,"")))</f>
        <v>#REF!</v>
      </c>
      <c r="D1403" s="222" t="e">
        <f>IF(C1403&lt;&gt;"",dadosexternosBMF_1!C1406,"")</f>
        <v>#REF!</v>
      </c>
      <c r="E1403" s="222" t="e">
        <f>IF(C1403&lt;&gt;"",dadosexternosBMF_1!D1406,"")</f>
        <v>#REF!</v>
      </c>
      <c r="G1403" s="219" t="e">
        <f t="shared" si="145"/>
        <v>#REF!</v>
      </c>
      <c r="H1403" s="219" t="e">
        <f t="shared" si="146"/>
        <v>#REF!</v>
      </c>
      <c r="I1403" s="219" t="e">
        <f t="shared" si="147"/>
        <v>#REF!</v>
      </c>
      <c r="J1403" s="219" t="e">
        <f>IF(I1403="","",VLOOKUP(LEFT(C1403,1),dadosexternosBMF_1!$L$2:$M$13,2,FALSE))</f>
        <v>#REF!</v>
      </c>
      <c r="K1403" s="219" t="e">
        <f t="shared" si="148"/>
        <v>#REF!</v>
      </c>
      <c r="L1403" s="422" t="e">
        <f t="shared" si="149"/>
        <v>#REF!</v>
      </c>
      <c r="M1403" s="422" t="e">
        <f>IF(I1403="","",WORKDAY(L1403-1,1,FERIADOS!$A$2:$A$831))</f>
        <v>#REF!</v>
      </c>
      <c r="N1403" s="219" t="e">
        <f>IF(I1403="","",NETWORKDAYS(Curva!$M$2,M1403,FERIADOS!$A$2:$A$831)-1)</f>
        <v>#REF!</v>
      </c>
      <c r="O1403" s="423" t="e">
        <f>IF(C1403&lt;&gt;"",IF(ISERROR((100000/E1403)^(252/N1403)-1),Curva!$B$2,((100000/E1403)^(252/N1403)-1)),"")</f>
        <v>#REF!</v>
      </c>
      <c r="P1403" s="219" t="e">
        <f>IF(OR(G1403=1,G1403=2),dadosexternosBMF_1!B1406,"")</f>
        <v>#REF!</v>
      </c>
      <c r="Q1403" s="219" t="e">
        <f>IF(OR(G1403=1,G1403=2),dadosexternosBMF_1!D1406,"")</f>
        <v>#REF!</v>
      </c>
    </row>
    <row r="1404" spans="1:17" x14ac:dyDescent="0.2">
      <c r="A1404" s="222" t="e">
        <f t="shared" si="144"/>
        <v>#REF!</v>
      </c>
      <c r="B1404" s="222" t="str">
        <f>IF(dadosexternosBMF_1!A1407="DI1 - DI de 1 dia","DI1 - DI de 1 dia","")</f>
        <v/>
      </c>
      <c r="C1404" s="222" t="e">
        <f>IF(dadosexternosBMF_1!A1407="DOL - Dólar comercial","",IF(C1403&lt;&gt;"",dadosexternosBMF_1!B1407,IF(dadosexternosBMF_1!A1407="DI1 - DI de 1 dia",dadosexternosBMF_1!B1407,"")))</f>
        <v>#REF!</v>
      </c>
      <c r="D1404" s="222" t="e">
        <f>IF(C1404&lt;&gt;"",dadosexternosBMF_1!C1407,"")</f>
        <v>#REF!</v>
      </c>
      <c r="E1404" s="222" t="e">
        <f>IF(C1404&lt;&gt;"",dadosexternosBMF_1!D1407,"")</f>
        <v>#REF!</v>
      </c>
      <c r="G1404" s="219" t="e">
        <f t="shared" si="145"/>
        <v>#REF!</v>
      </c>
      <c r="H1404" s="219" t="e">
        <f t="shared" si="146"/>
        <v>#REF!</v>
      </c>
      <c r="I1404" s="219" t="e">
        <f t="shared" si="147"/>
        <v>#REF!</v>
      </c>
      <c r="J1404" s="219" t="e">
        <f>IF(I1404="","",VLOOKUP(LEFT(C1404,1),dadosexternosBMF_1!$L$2:$M$13,2,FALSE))</f>
        <v>#REF!</v>
      </c>
      <c r="K1404" s="219" t="e">
        <f t="shared" si="148"/>
        <v>#REF!</v>
      </c>
      <c r="L1404" s="422" t="e">
        <f t="shared" si="149"/>
        <v>#REF!</v>
      </c>
      <c r="M1404" s="422" t="e">
        <f>IF(I1404="","",WORKDAY(L1404-1,1,FERIADOS!$A$2:$A$831))</f>
        <v>#REF!</v>
      </c>
      <c r="N1404" s="219" t="e">
        <f>IF(I1404="","",NETWORKDAYS(Curva!$M$2,M1404,FERIADOS!$A$2:$A$831)-1)</f>
        <v>#REF!</v>
      </c>
      <c r="O1404" s="423" t="e">
        <f>IF(C1404&lt;&gt;"",IF(ISERROR((100000/E1404)^(252/N1404)-1),Curva!$B$2,((100000/E1404)^(252/N1404)-1)),"")</f>
        <v>#REF!</v>
      </c>
      <c r="P1404" s="219" t="e">
        <f>IF(OR(G1404=1,G1404=2),dadosexternosBMF_1!B1407,"")</f>
        <v>#REF!</v>
      </c>
      <c r="Q1404" s="219" t="e">
        <f>IF(OR(G1404=1,G1404=2),dadosexternosBMF_1!D1407,"")</f>
        <v>#REF!</v>
      </c>
    </row>
    <row r="1405" spans="1:17" x14ac:dyDescent="0.2">
      <c r="A1405" s="222" t="e">
        <f t="shared" si="144"/>
        <v>#REF!</v>
      </c>
      <c r="B1405" s="222" t="str">
        <f>IF(dadosexternosBMF_1!A1408="DI1 - DI de 1 dia","DI1 - DI de 1 dia","")</f>
        <v/>
      </c>
      <c r="C1405" s="222" t="e">
        <f>IF(dadosexternosBMF_1!A1408="DOL - Dólar comercial","",IF(C1404&lt;&gt;"",dadosexternosBMF_1!B1408,IF(dadosexternosBMF_1!A1408="DI1 - DI de 1 dia",dadosexternosBMF_1!B1408,"")))</f>
        <v>#REF!</v>
      </c>
      <c r="D1405" s="222" t="e">
        <f>IF(C1405&lt;&gt;"",dadosexternosBMF_1!C1408,"")</f>
        <v>#REF!</v>
      </c>
      <c r="E1405" s="222" t="e">
        <f>IF(C1405&lt;&gt;"",dadosexternosBMF_1!D1408,"")</f>
        <v>#REF!</v>
      </c>
      <c r="G1405" s="219" t="e">
        <f t="shared" si="145"/>
        <v>#REF!</v>
      </c>
      <c r="H1405" s="219" t="e">
        <f t="shared" si="146"/>
        <v>#REF!</v>
      </c>
      <c r="I1405" s="219" t="e">
        <f t="shared" si="147"/>
        <v>#REF!</v>
      </c>
      <c r="J1405" s="219" t="e">
        <f>IF(I1405="","",VLOOKUP(LEFT(C1405,1),dadosexternosBMF_1!$L$2:$M$13,2,FALSE))</f>
        <v>#REF!</v>
      </c>
      <c r="K1405" s="219" t="e">
        <f t="shared" si="148"/>
        <v>#REF!</v>
      </c>
      <c r="L1405" s="422" t="e">
        <f t="shared" si="149"/>
        <v>#REF!</v>
      </c>
      <c r="M1405" s="422" t="e">
        <f>IF(I1405="","",WORKDAY(L1405-1,1,FERIADOS!$A$2:$A$831))</f>
        <v>#REF!</v>
      </c>
      <c r="N1405" s="219" t="e">
        <f>IF(I1405="","",NETWORKDAYS(Curva!$M$2,M1405,FERIADOS!$A$2:$A$831)-1)</f>
        <v>#REF!</v>
      </c>
      <c r="O1405" s="423" t="e">
        <f>IF(C1405&lt;&gt;"",IF(ISERROR((100000/E1405)^(252/N1405)-1),Curva!$B$2,((100000/E1405)^(252/N1405)-1)),"")</f>
        <v>#REF!</v>
      </c>
      <c r="P1405" s="219" t="e">
        <f>IF(OR(G1405=1,G1405=2),dadosexternosBMF_1!B1408,"")</f>
        <v>#REF!</v>
      </c>
      <c r="Q1405" s="219" t="e">
        <f>IF(OR(G1405=1,G1405=2),dadosexternosBMF_1!D1408,"")</f>
        <v>#REF!</v>
      </c>
    </row>
    <row r="1406" spans="1:17" x14ac:dyDescent="0.2">
      <c r="A1406" s="222" t="e">
        <f t="shared" si="144"/>
        <v>#REF!</v>
      </c>
      <c r="B1406" s="222" t="str">
        <f>IF(dadosexternosBMF_1!A1409="DI1 - DI de 1 dia","DI1 - DI de 1 dia","")</f>
        <v/>
      </c>
      <c r="C1406" s="222" t="e">
        <f>IF(dadosexternosBMF_1!A1409="DOL - Dólar comercial","",IF(C1405&lt;&gt;"",dadosexternosBMF_1!B1409,IF(dadosexternosBMF_1!A1409="DI1 - DI de 1 dia",dadosexternosBMF_1!B1409,"")))</f>
        <v>#REF!</v>
      </c>
      <c r="D1406" s="222" t="e">
        <f>IF(C1406&lt;&gt;"",dadosexternosBMF_1!C1409,"")</f>
        <v>#REF!</v>
      </c>
      <c r="E1406" s="222" t="e">
        <f>IF(C1406&lt;&gt;"",dadosexternosBMF_1!D1409,"")</f>
        <v>#REF!</v>
      </c>
      <c r="G1406" s="219" t="e">
        <f t="shared" si="145"/>
        <v>#REF!</v>
      </c>
      <c r="H1406" s="219" t="e">
        <f t="shared" si="146"/>
        <v>#REF!</v>
      </c>
      <c r="I1406" s="219" t="e">
        <f t="shared" si="147"/>
        <v>#REF!</v>
      </c>
      <c r="J1406" s="219" t="e">
        <f>IF(I1406="","",VLOOKUP(LEFT(C1406,1),dadosexternosBMF_1!$L$2:$M$13,2,FALSE))</f>
        <v>#REF!</v>
      </c>
      <c r="K1406" s="219" t="e">
        <f t="shared" si="148"/>
        <v>#REF!</v>
      </c>
      <c r="L1406" s="422" t="e">
        <f t="shared" si="149"/>
        <v>#REF!</v>
      </c>
      <c r="M1406" s="422" t="e">
        <f>IF(I1406="","",WORKDAY(L1406-1,1,FERIADOS!$A$2:$A$831))</f>
        <v>#REF!</v>
      </c>
      <c r="N1406" s="219" t="e">
        <f>IF(I1406="","",NETWORKDAYS(Curva!$M$2,M1406,FERIADOS!$A$2:$A$831)-1)</f>
        <v>#REF!</v>
      </c>
      <c r="O1406" s="423" t="e">
        <f>IF(C1406&lt;&gt;"",IF(ISERROR((100000/E1406)^(252/N1406)-1),Curva!$B$2,((100000/E1406)^(252/N1406)-1)),"")</f>
        <v>#REF!</v>
      </c>
      <c r="P1406" s="219" t="e">
        <f>IF(OR(G1406=1,G1406=2),dadosexternosBMF_1!B1409,"")</f>
        <v>#REF!</v>
      </c>
      <c r="Q1406" s="219" t="e">
        <f>IF(OR(G1406=1,G1406=2),dadosexternosBMF_1!D1409,"")</f>
        <v>#REF!</v>
      </c>
    </row>
    <row r="1407" spans="1:17" x14ac:dyDescent="0.2">
      <c r="A1407" s="222" t="e">
        <f t="shared" si="144"/>
        <v>#REF!</v>
      </c>
      <c r="B1407" s="222" t="str">
        <f>IF(dadosexternosBMF_1!A1410="DI1 - DI de 1 dia","DI1 - DI de 1 dia","")</f>
        <v/>
      </c>
      <c r="C1407" s="222" t="e">
        <f>IF(dadosexternosBMF_1!A1410="DOL - Dólar comercial","",IF(C1406&lt;&gt;"",dadosexternosBMF_1!B1410,IF(dadosexternosBMF_1!A1410="DI1 - DI de 1 dia",dadosexternosBMF_1!B1410,"")))</f>
        <v>#REF!</v>
      </c>
      <c r="D1407" s="222" t="e">
        <f>IF(C1407&lt;&gt;"",dadosexternosBMF_1!C1410,"")</f>
        <v>#REF!</v>
      </c>
      <c r="E1407" s="222" t="e">
        <f>IF(C1407&lt;&gt;"",dadosexternosBMF_1!D1410,"")</f>
        <v>#REF!</v>
      </c>
      <c r="G1407" s="219" t="e">
        <f t="shared" si="145"/>
        <v>#REF!</v>
      </c>
      <c r="H1407" s="219" t="e">
        <f t="shared" si="146"/>
        <v>#REF!</v>
      </c>
      <c r="I1407" s="219" t="e">
        <f t="shared" si="147"/>
        <v>#REF!</v>
      </c>
      <c r="J1407" s="219" t="e">
        <f>IF(I1407="","",VLOOKUP(LEFT(C1407,1),dadosexternosBMF_1!$L$2:$M$13,2,FALSE))</f>
        <v>#REF!</v>
      </c>
      <c r="K1407" s="219" t="e">
        <f t="shared" si="148"/>
        <v>#REF!</v>
      </c>
      <c r="L1407" s="422" t="e">
        <f t="shared" si="149"/>
        <v>#REF!</v>
      </c>
      <c r="M1407" s="422" t="e">
        <f>IF(I1407="","",WORKDAY(L1407-1,1,FERIADOS!$A$2:$A$831))</f>
        <v>#REF!</v>
      </c>
      <c r="N1407" s="219" t="e">
        <f>IF(I1407="","",NETWORKDAYS(Curva!$M$2,M1407,FERIADOS!$A$2:$A$831)-1)</f>
        <v>#REF!</v>
      </c>
      <c r="O1407" s="423" t="e">
        <f>IF(C1407&lt;&gt;"",IF(ISERROR((100000/E1407)^(252/N1407)-1),Curva!$B$2,((100000/E1407)^(252/N1407)-1)),"")</f>
        <v>#REF!</v>
      </c>
      <c r="P1407" s="219" t="e">
        <f>IF(OR(G1407=1,G1407=2),dadosexternosBMF_1!B1410,"")</f>
        <v>#REF!</v>
      </c>
      <c r="Q1407" s="219" t="e">
        <f>IF(OR(G1407=1,G1407=2),dadosexternosBMF_1!D1410,"")</f>
        <v>#REF!</v>
      </c>
    </row>
    <row r="1408" spans="1:17" x14ac:dyDescent="0.2">
      <c r="A1408" s="222" t="e">
        <f t="shared" si="144"/>
        <v>#REF!</v>
      </c>
      <c r="B1408" s="222" t="str">
        <f>IF(dadosexternosBMF_1!A1411="DI1 - DI de 1 dia","DI1 - DI de 1 dia","")</f>
        <v/>
      </c>
      <c r="C1408" s="222" t="e">
        <f>IF(dadosexternosBMF_1!A1411="DOL - Dólar comercial","",IF(C1407&lt;&gt;"",dadosexternosBMF_1!B1411,IF(dadosexternosBMF_1!A1411="DI1 - DI de 1 dia",dadosexternosBMF_1!B1411,"")))</f>
        <v>#REF!</v>
      </c>
      <c r="D1408" s="222" t="e">
        <f>IF(C1408&lt;&gt;"",dadosexternosBMF_1!C1411,"")</f>
        <v>#REF!</v>
      </c>
      <c r="E1408" s="222" t="e">
        <f>IF(C1408&lt;&gt;"",dadosexternosBMF_1!D1411,"")</f>
        <v>#REF!</v>
      </c>
      <c r="G1408" s="219" t="e">
        <f t="shared" si="145"/>
        <v>#REF!</v>
      </c>
      <c r="H1408" s="219" t="e">
        <f t="shared" si="146"/>
        <v>#REF!</v>
      </c>
      <c r="I1408" s="219" t="e">
        <f t="shared" si="147"/>
        <v>#REF!</v>
      </c>
      <c r="J1408" s="219" t="e">
        <f>IF(I1408="","",VLOOKUP(LEFT(C1408,1),dadosexternosBMF_1!$L$2:$M$13,2,FALSE))</f>
        <v>#REF!</v>
      </c>
      <c r="K1408" s="219" t="e">
        <f t="shared" si="148"/>
        <v>#REF!</v>
      </c>
      <c r="L1408" s="422" t="e">
        <f t="shared" si="149"/>
        <v>#REF!</v>
      </c>
      <c r="M1408" s="422" t="e">
        <f>IF(I1408="","",WORKDAY(L1408-1,1,FERIADOS!$A$2:$A$831))</f>
        <v>#REF!</v>
      </c>
      <c r="N1408" s="219" t="e">
        <f>IF(I1408="","",NETWORKDAYS(Curva!$M$2,M1408,FERIADOS!$A$2:$A$831)-1)</f>
        <v>#REF!</v>
      </c>
      <c r="O1408" s="423" t="e">
        <f>IF(C1408&lt;&gt;"",IF(ISERROR((100000/E1408)^(252/N1408)-1),Curva!$B$2,((100000/E1408)^(252/N1408)-1)),"")</f>
        <v>#REF!</v>
      </c>
      <c r="P1408" s="219" t="e">
        <f>IF(OR(G1408=1,G1408=2),dadosexternosBMF_1!B1411,"")</f>
        <v>#REF!</v>
      </c>
      <c r="Q1408" s="219" t="e">
        <f>IF(OR(G1408=1,G1408=2),dadosexternosBMF_1!D1411,"")</f>
        <v>#REF!</v>
      </c>
    </row>
    <row r="1409" spans="1:17" x14ac:dyDescent="0.2">
      <c r="A1409" s="222" t="e">
        <f t="shared" si="144"/>
        <v>#REF!</v>
      </c>
      <c r="B1409" s="222" t="str">
        <f>IF(dadosexternosBMF_1!A1412="DI1 - DI de 1 dia","DI1 - DI de 1 dia","")</f>
        <v/>
      </c>
      <c r="C1409" s="222" t="e">
        <f>IF(dadosexternosBMF_1!A1412="DOL - Dólar comercial","",IF(C1408&lt;&gt;"",dadosexternosBMF_1!B1412,IF(dadosexternosBMF_1!A1412="DI1 - DI de 1 dia",dadosexternosBMF_1!B1412,"")))</f>
        <v>#REF!</v>
      </c>
      <c r="D1409" s="222" t="e">
        <f>IF(C1409&lt;&gt;"",dadosexternosBMF_1!C1412,"")</f>
        <v>#REF!</v>
      </c>
      <c r="E1409" s="222" t="e">
        <f>IF(C1409&lt;&gt;"",dadosexternosBMF_1!D1412,"")</f>
        <v>#REF!</v>
      </c>
      <c r="G1409" s="219" t="e">
        <f t="shared" si="145"/>
        <v>#REF!</v>
      </c>
      <c r="H1409" s="219" t="e">
        <f t="shared" si="146"/>
        <v>#REF!</v>
      </c>
      <c r="I1409" s="219" t="e">
        <f t="shared" si="147"/>
        <v>#REF!</v>
      </c>
      <c r="J1409" s="219" t="e">
        <f>IF(I1409="","",VLOOKUP(LEFT(C1409,1),dadosexternosBMF_1!$L$2:$M$13,2,FALSE))</f>
        <v>#REF!</v>
      </c>
      <c r="K1409" s="219" t="e">
        <f t="shared" si="148"/>
        <v>#REF!</v>
      </c>
      <c r="L1409" s="422" t="e">
        <f t="shared" si="149"/>
        <v>#REF!</v>
      </c>
      <c r="M1409" s="422" t="e">
        <f>IF(I1409="","",WORKDAY(L1409-1,1,FERIADOS!$A$2:$A$831))</f>
        <v>#REF!</v>
      </c>
      <c r="N1409" s="219" t="e">
        <f>IF(I1409="","",NETWORKDAYS(Curva!$M$2,M1409,FERIADOS!$A$2:$A$831)-1)</f>
        <v>#REF!</v>
      </c>
      <c r="O1409" s="423" t="e">
        <f>IF(C1409&lt;&gt;"",IF(ISERROR((100000/E1409)^(252/N1409)-1),Curva!$B$2,((100000/E1409)^(252/N1409)-1)),"")</f>
        <v>#REF!</v>
      </c>
      <c r="P1409" s="219" t="e">
        <f>IF(OR(G1409=1,G1409=2),dadosexternosBMF_1!B1412,"")</f>
        <v>#REF!</v>
      </c>
      <c r="Q1409" s="219" t="e">
        <f>IF(OR(G1409=1,G1409=2),dadosexternosBMF_1!D1412,"")</f>
        <v>#REF!</v>
      </c>
    </row>
    <row r="1410" spans="1:17" x14ac:dyDescent="0.2">
      <c r="A1410" s="222" t="e">
        <f t="shared" si="144"/>
        <v>#REF!</v>
      </c>
      <c r="B1410" s="222" t="str">
        <f>IF(dadosexternosBMF_1!A1413="DI1 - DI de 1 dia","DI1 - DI de 1 dia","")</f>
        <v/>
      </c>
      <c r="C1410" s="222" t="e">
        <f>IF(dadosexternosBMF_1!A1413="DOL - Dólar comercial","",IF(C1409&lt;&gt;"",dadosexternosBMF_1!B1413,IF(dadosexternosBMF_1!A1413="DI1 - DI de 1 dia",dadosexternosBMF_1!B1413,"")))</f>
        <v>#REF!</v>
      </c>
      <c r="D1410" s="222" t="e">
        <f>IF(C1410&lt;&gt;"",dadosexternosBMF_1!C1413,"")</f>
        <v>#REF!</v>
      </c>
      <c r="E1410" s="222" t="e">
        <f>IF(C1410&lt;&gt;"",dadosexternosBMF_1!D1413,"")</f>
        <v>#REF!</v>
      </c>
      <c r="G1410" s="219" t="e">
        <f t="shared" si="145"/>
        <v>#REF!</v>
      </c>
      <c r="H1410" s="219" t="e">
        <f t="shared" si="146"/>
        <v>#REF!</v>
      </c>
      <c r="I1410" s="219" t="e">
        <f t="shared" si="147"/>
        <v>#REF!</v>
      </c>
      <c r="J1410" s="219" t="e">
        <f>IF(I1410="","",VLOOKUP(LEFT(C1410,1),dadosexternosBMF_1!$L$2:$M$13,2,FALSE))</f>
        <v>#REF!</v>
      </c>
      <c r="K1410" s="219" t="e">
        <f t="shared" si="148"/>
        <v>#REF!</v>
      </c>
      <c r="L1410" s="422" t="e">
        <f t="shared" si="149"/>
        <v>#REF!</v>
      </c>
      <c r="M1410" s="422" t="e">
        <f>IF(I1410="","",WORKDAY(L1410-1,1,FERIADOS!$A$2:$A$831))</f>
        <v>#REF!</v>
      </c>
      <c r="N1410" s="219" t="e">
        <f>IF(I1410="","",NETWORKDAYS(Curva!$M$2,M1410,FERIADOS!$A$2:$A$831)-1)</f>
        <v>#REF!</v>
      </c>
      <c r="O1410" s="423" t="e">
        <f>IF(C1410&lt;&gt;"",IF(ISERROR((100000/E1410)^(252/N1410)-1),Curva!$B$2,((100000/E1410)^(252/N1410)-1)),"")</f>
        <v>#REF!</v>
      </c>
      <c r="P1410" s="219" t="e">
        <f>IF(OR(G1410=1,G1410=2),dadosexternosBMF_1!B1413,"")</f>
        <v>#REF!</v>
      </c>
      <c r="Q1410" s="219" t="e">
        <f>IF(OR(G1410=1,G1410=2),dadosexternosBMF_1!D1413,"")</f>
        <v>#REF!</v>
      </c>
    </row>
    <row r="1411" spans="1:17" x14ac:dyDescent="0.2">
      <c r="A1411" s="222" t="e">
        <f t="shared" si="144"/>
        <v>#REF!</v>
      </c>
      <c r="B1411" s="222" t="str">
        <f>IF(dadosexternosBMF_1!A1414="DI1 - DI de 1 dia","DI1 - DI de 1 dia","")</f>
        <v/>
      </c>
      <c r="C1411" s="222" t="e">
        <f>IF(dadosexternosBMF_1!A1414="DOL - Dólar comercial","",IF(C1410&lt;&gt;"",dadosexternosBMF_1!B1414,IF(dadosexternosBMF_1!A1414="DI1 - DI de 1 dia",dadosexternosBMF_1!B1414,"")))</f>
        <v>#REF!</v>
      </c>
      <c r="D1411" s="222" t="e">
        <f>IF(C1411&lt;&gt;"",dadosexternosBMF_1!C1414,"")</f>
        <v>#REF!</v>
      </c>
      <c r="E1411" s="222" t="e">
        <f>IF(C1411&lt;&gt;"",dadosexternosBMF_1!D1414,"")</f>
        <v>#REF!</v>
      </c>
      <c r="G1411" s="219" t="e">
        <f t="shared" si="145"/>
        <v>#REF!</v>
      </c>
      <c r="H1411" s="219" t="e">
        <f t="shared" si="146"/>
        <v>#REF!</v>
      </c>
      <c r="I1411" s="219" t="e">
        <f t="shared" si="147"/>
        <v>#REF!</v>
      </c>
      <c r="J1411" s="219" t="e">
        <f>IF(I1411="","",VLOOKUP(LEFT(C1411,1),dadosexternosBMF_1!$L$2:$M$13,2,FALSE))</f>
        <v>#REF!</v>
      </c>
      <c r="K1411" s="219" t="e">
        <f t="shared" si="148"/>
        <v>#REF!</v>
      </c>
      <c r="L1411" s="422" t="e">
        <f t="shared" si="149"/>
        <v>#REF!</v>
      </c>
      <c r="M1411" s="422" t="e">
        <f>IF(I1411="","",WORKDAY(L1411-1,1,FERIADOS!$A$2:$A$831))</f>
        <v>#REF!</v>
      </c>
      <c r="N1411" s="219" t="e">
        <f>IF(I1411="","",NETWORKDAYS(Curva!$M$2,M1411,FERIADOS!$A$2:$A$831)-1)</f>
        <v>#REF!</v>
      </c>
      <c r="O1411" s="423" t="e">
        <f>IF(C1411&lt;&gt;"",IF(ISERROR((100000/E1411)^(252/N1411)-1),Curva!$B$2,((100000/E1411)^(252/N1411)-1)),"")</f>
        <v>#REF!</v>
      </c>
      <c r="P1411" s="219" t="e">
        <f>IF(OR(G1411=1,G1411=2),dadosexternosBMF_1!B1414,"")</f>
        <v>#REF!</v>
      </c>
      <c r="Q1411" s="219" t="e">
        <f>IF(OR(G1411=1,G1411=2),dadosexternosBMF_1!D1414,"")</f>
        <v>#REF!</v>
      </c>
    </row>
    <row r="1412" spans="1:17" x14ac:dyDescent="0.2">
      <c r="A1412" s="222" t="e">
        <f t="shared" si="144"/>
        <v>#REF!</v>
      </c>
      <c r="B1412" s="222" t="str">
        <f>IF(dadosexternosBMF_1!A1415="DI1 - DI de 1 dia","DI1 - DI de 1 dia","")</f>
        <v/>
      </c>
      <c r="C1412" s="222" t="e">
        <f>IF(dadosexternosBMF_1!A1415="DOL - Dólar comercial","",IF(C1411&lt;&gt;"",dadosexternosBMF_1!B1415,IF(dadosexternosBMF_1!A1415="DI1 - DI de 1 dia",dadosexternosBMF_1!B1415,"")))</f>
        <v>#REF!</v>
      </c>
      <c r="D1412" s="222" t="e">
        <f>IF(C1412&lt;&gt;"",dadosexternosBMF_1!C1415,"")</f>
        <v>#REF!</v>
      </c>
      <c r="E1412" s="222" t="e">
        <f>IF(C1412&lt;&gt;"",dadosexternosBMF_1!D1415,"")</f>
        <v>#REF!</v>
      </c>
      <c r="G1412" s="219" t="e">
        <f t="shared" si="145"/>
        <v>#REF!</v>
      </c>
      <c r="H1412" s="219" t="e">
        <f t="shared" si="146"/>
        <v>#REF!</v>
      </c>
      <c r="I1412" s="219" t="e">
        <f t="shared" si="147"/>
        <v>#REF!</v>
      </c>
      <c r="J1412" s="219" t="e">
        <f>IF(I1412="","",VLOOKUP(LEFT(C1412,1),dadosexternosBMF_1!$L$2:$M$13,2,FALSE))</f>
        <v>#REF!</v>
      </c>
      <c r="K1412" s="219" t="e">
        <f t="shared" si="148"/>
        <v>#REF!</v>
      </c>
      <c r="L1412" s="422" t="e">
        <f t="shared" si="149"/>
        <v>#REF!</v>
      </c>
      <c r="M1412" s="422" t="e">
        <f>IF(I1412="","",WORKDAY(L1412-1,1,FERIADOS!$A$2:$A$831))</f>
        <v>#REF!</v>
      </c>
      <c r="N1412" s="219" t="e">
        <f>IF(I1412="","",NETWORKDAYS(Curva!$M$2,M1412,FERIADOS!$A$2:$A$831)-1)</f>
        <v>#REF!</v>
      </c>
      <c r="O1412" s="423" t="e">
        <f>IF(C1412&lt;&gt;"",IF(ISERROR((100000/E1412)^(252/N1412)-1),Curva!$B$2,((100000/E1412)^(252/N1412)-1)),"")</f>
        <v>#REF!</v>
      </c>
      <c r="P1412" s="219" t="e">
        <f>IF(OR(G1412=1,G1412=2),dadosexternosBMF_1!B1415,"")</f>
        <v>#REF!</v>
      </c>
      <c r="Q1412" s="219" t="e">
        <f>IF(OR(G1412=1,G1412=2),dadosexternosBMF_1!D1415,"")</f>
        <v>#REF!</v>
      </c>
    </row>
    <row r="1413" spans="1:17" x14ac:dyDescent="0.2">
      <c r="A1413" s="222" t="e">
        <f t="shared" si="144"/>
        <v>#REF!</v>
      </c>
      <c r="B1413" s="222" t="str">
        <f>IF(dadosexternosBMF_1!A1416="DI1 - DI de 1 dia","DI1 - DI de 1 dia","")</f>
        <v/>
      </c>
      <c r="C1413" s="222" t="e">
        <f>IF(dadosexternosBMF_1!A1416="DOL - Dólar comercial","",IF(C1412&lt;&gt;"",dadosexternosBMF_1!B1416,IF(dadosexternosBMF_1!A1416="DI1 - DI de 1 dia",dadosexternosBMF_1!B1416,"")))</f>
        <v>#REF!</v>
      </c>
      <c r="D1413" s="222" t="e">
        <f>IF(C1413&lt;&gt;"",dadosexternosBMF_1!C1416,"")</f>
        <v>#REF!</v>
      </c>
      <c r="E1413" s="222" t="e">
        <f>IF(C1413&lt;&gt;"",dadosexternosBMF_1!D1416,"")</f>
        <v>#REF!</v>
      </c>
      <c r="G1413" s="219" t="e">
        <f t="shared" si="145"/>
        <v>#REF!</v>
      </c>
      <c r="H1413" s="219" t="e">
        <f t="shared" si="146"/>
        <v>#REF!</v>
      </c>
      <c r="I1413" s="219" t="e">
        <f t="shared" si="147"/>
        <v>#REF!</v>
      </c>
      <c r="J1413" s="219" t="e">
        <f>IF(I1413="","",VLOOKUP(LEFT(C1413,1),dadosexternosBMF_1!$L$2:$M$13,2,FALSE))</f>
        <v>#REF!</v>
      </c>
      <c r="K1413" s="219" t="e">
        <f t="shared" si="148"/>
        <v>#REF!</v>
      </c>
      <c r="L1413" s="422" t="e">
        <f t="shared" si="149"/>
        <v>#REF!</v>
      </c>
      <c r="M1413" s="422" t="e">
        <f>IF(I1413="","",WORKDAY(L1413-1,1,FERIADOS!$A$2:$A$831))</f>
        <v>#REF!</v>
      </c>
      <c r="N1413" s="219" t="e">
        <f>IF(I1413="","",NETWORKDAYS(Curva!$M$2,M1413,FERIADOS!$A$2:$A$831)-1)</f>
        <v>#REF!</v>
      </c>
      <c r="O1413" s="423" t="e">
        <f>IF(C1413&lt;&gt;"",IF(ISERROR((100000/E1413)^(252/N1413)-1),Curva!$B$2,((100000/E1413)^(252/N1413)-1)),"")</f>
        <v>#REF!</v>
      </c>
      <c r="P1413" s="219" t="e">
        <f>IF(OR(G1413=1,G1413=2),dadosexternosBMF_1!B1416,"")</f>
        <v>#REF!</v>
      </c>
      <c r="Q1413" s="219" t="e">
        <f>IF(OR(G1413=1,G1413=2),dadosexternosBMF_1!D1416,"")</f>
        <v>#REF!</v>
      </c>
    </row>
    <row r="1414" spans="1:17" x14ac:dyDescent="0.2">
      <c r="A1414" s="222" t="e">
        <f t="shared" si="144"/>
        <v>#REF!</v>
      </c>
      <c r="B1414" s="222" t="str">
        <f>IF(dadosexternosBMF_1!A1417="DI1 - DI de 1 dia","DI1 - DI de 1 dia","")</f>
        <v/>
      </c>
      <c r="C1414" s="222" t="e">
        <f>IF(dadosexternosBMF_1!A1417="DOL - Dólar comercial","",IF(C1413&lt;&gt;"",dadosexternosBMF_1!B1417,IF(dadosexternosBMF_1!A1417="DI1 - DI de 1 dia",dadosexternosBMF_1!B1417,"")))</f>
        <v>#REF!</v>
      </c>
      <c r="D1414" s="222" t="e">
        <f>IF(C1414&lt;&gt;"",dadosexternosBMF_1!C1417,"")</f>
        <v>#REF!</v>
      </c>
      <c r="E1414" s="222" t="e">
        <f>IF(C1414&lt;&gt;"",dadosexternosBMF_1!D1417,"")</f>
        <v>#REF!</v>
      </c>
      <c r="G1414" s="219" t="e">
        <f t="shared" si="145"/>
        <v>#REF!</v>
      </c>
      <c r="H1414" s="219" t="e">
        <f t="shared" si="146"/>
        <v>#REF!</v>
      </c>
      <c r="I1414" s="219" t="e">
        <f t="shared" si="147"/>
        <v>#REF!</v>
      </c>
      <c r="J1414" s="219" t="e">
        <f>IF(I1414="","",VLOOKUP(LEFT(C1414,1),dadosexternosBMF_1!$L$2:$M$13,2,FALSE))</f>
        <v>#REF!</v>
      </c>
      <c r="K1414" s="219" t="e">
        <f t="shared" si="148"/>
        <v>#REF!</v>
      </c>
      <c r="L1414" s="422" t="e">
        <f t="shared" si="149"/>
        <v>#REF!</v>
      </c>
      <c r="M1414" s="422" t="e">
        <f>IF(I1414="","",WORKDAY(L1414-1,1,FERIADOS!$A$2:$A$831))</f>
        <v>#REF!</v>
      </c>
      <c r="N1414" s="219" t="e">
        <f>IF(I1414="","",NETWORKDAYS(Curva!$M$2,M1414,FERIADOS!$A$2:$A$831)-1)</f>
        <v>#REF!</v>
      </c>
      <c r="O1414" s="423" t="e">
        <f>IF(C1414&lt;&gt;"",IF(ISERROR((100000/E1414)^(252/N1414)-1),Curva!$B$2,((100000/E1414)^(252/N1414)-1)),"")</f>
        <v>#REF!</v>
      </c>
      <c r="P1414" s="219" t="e">
        <f>IF(OR(G1414=1,G1414=2),dadosexternosBMF_1!B1417,"")</f>
        <v>#REF!</v>
      </c>
      <c r="Q1414" s="219" t="e">
        <f>IF(OR(G1414=1,G1414=2),dadosexternosBMF_1!D1417,"")</f>
        <v>#REF!</v>
      </c>
    </row>
    <row r="1415" spans="1:17" x14ac:dyDescent="0.2">
      <c r="A1415" s="222" t="e">
        <f t="shared" si="144"/>
        <v>#REF!</v>
      </c>
      <c r="B1415" s="222" t="str">
        <f>IF(dadosexternosBMF_1!A1418="DI1 - DI de 1 dia","DI1 - DI de 1 dia","")</f>
        <v/>
      </c>
      <c r="C1415" s="222" t="e">
        <f>IF(dadosexternosBMF_1!A1418="DOL - Dólar comercial","",IF(C1414&lt;&gt;"",dadosexternosBMF_1!B1418,IF(dadosexternosBMF_1!A1418="DI1 - DI de 1 dia",dadosexternosBMF_1!B1418,"")))</f>
        <v>#REF!</v>
      </c>
      <c r="D1415" s="222" t="e">
        <f>IF(C1415&lt;&gt;"",dadosexternosBMF_1!C1418,"")</f>
        <v>#REF!</v>
      </c>
      <c r="E1415" s="222" t="e">
        <f>IF(C1415&lt;&gt;"",dadosexternosBMF_1!D1418,"")</f>
        <v>#REF!</v>
      </c>
      <c r="G1415" s="219" t="e">
        <f t="shared" si="145"/>
        <v>#REF!</v>
      </c>
      <c r="H1415" s="219" t="e">
        <f t="shared" si="146"/>
        <v>#REF!</v>
      </c>
      <c r="I1415" s="219" t="e">
        <f t="shared" si="147"/>
        <v>#REF!</v>
      </c>
      <c r="J1415" s="219" t="e">
        <f>IF(I1415="","",VLOOKUP(LEFT(C1415,1),dadosexternosBMF_1!$L$2:$M$13,2,FALSE))</f>
        <v>#REF!</v>
      </c>
      <c r="K1415" s="219" t="e">
        <f t="shared" si="148"/>
        <v>#REF!</v>
      </c>
      <c r="L1415" s="422" t="e">
        <f t="shared" si="149"/>
        <v>#REF!</v>
      </c>
      <c r="M1415" s="422" t="e">
        <f>IF(I1415="","",WORKDAY(L1415-1,1,FERIADOS!$A$2:$A$831))</f>
        <v>#REF!</v>
      </c>
      <c r="N1415" s="219" t="e">
        <f>IF(I1415="","",NETWORKDAYS(Curva!$M$2,M1415,FERIADOS!$A$2:$A$831)-1)</f>
        <v>#REF!</v>
      </c>
      <c r="O1415" s="423" t="e">
        <f>IF(C1415&lt;&gt;"",IF(ISERROR((100000/E1415)^(252/N1415)-1),Curva!$B$2,((100000/E1415)^(252/N1415)-1)),"")</f>
        <v>#REF!</v>
      </c>
      <c r="P1415" s="219" t="e">
        <f>IF(OR(G1415=1,G1415=2),dadosexternosBMF_1!B1418,"")</f>
        <v>#REF!</v>
      </c>
      <c r="Q1415" s="219" t="e">
        <f>IF(OR(G1415=1,G1415=2),dadosexternosBMF_1!D1418,"")</f>
        <v>#REF!</v>
      </c>
    </row>
    <row r="1416" spans="1:17" x14ac:dyDescent="0.2">
      <c r="A1416" s="222" t="e">
        <f t="shared" si="144"/>
        <v>#REF!</v>
      </c>
      <c r="B1416" s="222" t="str">
        <f>IF(dadosexternosBMF_1!A1419="DI1 - DI de 1 dia","DI1 - DI de 1 dia","")</f>
        <v/>
      </c>
      <c r="C1416" s="222" t="e">
        <f>IF(dadosexternosBMF_1!A1419="DOL - Dólar comercial","",IF(C1415&lt;&gt;"",dadosexternosBMF_1!B1419,IF(dadosexternosBMF_1!A1419="DI1 - DI de 1 dia",dadosexternosBMF_1!B1419,"")))</f>
        <v>#REF!</v>
      </c>
      <c r="D1416" s="222" t="e">
        <f>IF(C1416&lt;&gt;"",dadosexternosBMF_1!C1419,"")</f>
        <v>#REF!</v>
      </c>
      <c r="E1416" s="222" t="e">
        <f>IF(C1416&lt;&gt;"",dadosexternosBMF_1!D1419,"")</f>
        <v>#REF!</v>
      </c>
      <c r="G1416" s="219" t="e">
        <f t="shared" si="145"/>
        <v>#REF!</v>
      </c>
      <c r="H1416" s="219" t="e">
        <f t="shared" si="146"/>
        <v>#REF!</v>
      </c>
      <c r="I1416" s="219" t="e">
        <f t="shared" si="147"/>
        <v>#REF!</v>
      </c>
      <c r="J1416" s="219" t="e">
        <f>IF(I1416="","",VLOOKUP(LEFT(C1416,1),dadosexternosBMF_1!$L$2:$M$13,2,FALSE))</f>
        <v>#REF!</v>
      </c>
      <c r="K1416" s="219" t="e">
        <f t="shared" si="148"/>
        <v>#REF!</v>
      </c>
      <c r="L1416" s="422" t="e">
        <f t="shared" si="149"/>
        <v>#REF!</v>
      </c>
      <c r="M1416" s="422" t="e">
        <f>IF(I1416="","",WORKDAY(L1416-1,1,FERIADOS!$A$2:$A$831))</f>
        <v>#REF!</v>
      </c>
      <c r="N1416" s="219" t="e">
        <f>IF(I1416="","",NETWORKDAYS(Curva!$M$2,M1416,FERIADOS!$A$2:$A$831)-1)</f>
        <v>#REF!</v>
      </c>
      <c r="O1416" s="423" t="e">
        <f>IF(C1416&lt;&gt;"",IF(ISERROR((100000/E1416)^(252/N1416)-1),Curva!$B$2,((100000/E1416)^(252/N1416)-1)),"")</f>
        <v>#REF!</v>
      </c>
      <c r="P1416" s="219" t="e">
        <f>IF(OR(G1416=1,G1416=2),dadosexternosBMF_1!B1419,"")</f>
        <v>#REF!</v>
      </c>
      <c r="Q1416" s="219" t="e">
        <f>IF(OR(G1416=1,G1416=2),dadosexternosBMF_1!D1419,"")</f>
        <v>#REF!</v>
      </c>
    </row>
    <row r="1417" spans="1:17" x14ac:dyDescent="0.2">
      <c r="A1417" s="222" t="e">
        <f t="shared" si="144"/>
        <v>#REF!</v>
      </c>
      <c r="B1417" s="222" t="str">
        <f>IF(dadosexternosBMF_1!A1420="DI1 - DI de 1 dia","DI1 - DI de 1 dia","")</f>
        <v/>
      </c>
      <c r="C1417" s="222" t="e">
        <f>IF(dadosexternosBMF_1!A1420="DOL - Dólar comercial","",IF(C1416&lt;&gt;"",dadosexternosBMF_1!B1420,IF(dadosexternosBMF_1!A1420="DI1 - DI de 1 dia",dadosexternosBMF_1!B1420,"")))</f>
        <v>#REF!</v>
      </c>
      <c r="D1417" s="222" t="e">
        <f>IF(C1417&lt;&gt;"",dadosexternosBMF_1!C1420,"")</f>
        <v>#REF!</v>
      </c>
      <c r="E1417" s="222" t="e">
        <f>IF(C1417&lt;&gt;"",dadosexternosBMF_1!D1420,"")</f>
        <v>#REF!</v>
      </c>
      <c r="G1417" s="219" t="e">
        <f t="shared" si="145"/>
        <v>#REF!</v>
      </c>
      <c r="H1417" s="219" t="e">
        <f t="shared" si="146"/>
        <v>#REF!</v>
      </c>
      <c r="I1417" s="219" t="e">
        <f t="shared" si="147"/>
        <v>#REF!</v>
      </c>
      <c r="J1417" s="219" t="e">
        <f>IF(I1417="","",VLOOKUP(LEFT(C1417,1),dadosexternosBMF_1!$L$2:$M$13,2,FALSE))</f>
        <v>#REF!</v>
      </c>
      <c r="K1417" s="219" t="e">
        <f t="shared" si="148"/>
        <v>#REF!</v>
      </c>
      <c r="L1417" s="422" t="e">
        <f t="shared" si="149"/>
        <v>#REF!</v>
      </c>
      <c r="M1417" s="422" t="e">
        <f>IF(I1417="","",WORKDAY(L1417-1,1,FERIADOS!$A$2:$A$831))</f>
        <v>#REF!</v>
      </c>
      <c r="N1417" s="219" t="e">
        <f>IF(I1417="","",NETWORKDAYS(Curva!$M$2,M1417,FERIADOS!$A$2:$A$831)-1)</f>
        <v>#REF!</v>
      </c>
      <c r="O1417" s="423" t="e">
        <f>IF(C1417&lt;&gt;"",IF(ISERROR((100000/E1417)^(252/N1417)-1),Curva!$B$2,((100000/E1417)^(252/N1417)-1)),"")</f>
        <v>#REF!</v>
      </c>
      <c r="P1417" s="219" t="e">
        <f>IF(OR(G1417=1,G1417=2),dadosexternosBMF_1!B1420,"")</f>
        <v>#REF!</v>
      </c>
      <c r="Q1417" s="219" t="e">
        <f>IF(OR(G1417=1,G1417=2),dadosexternosBMF_1!D1420,"")</f>
        <v>#REF!</v>
      </c>
    </row>
    <row r="1418" spans="1:17" x14ac:dyDescent="0.2">
      <c r="A1418" s="222" t="e">
        <f t="shared" si="144"/>
        <v>#REF!</v>
      </c>
      <c r="B1418" s="222" t="str">
        <f>IF(dadosexternosBMF_1!A1421="DI1 - DI de 1 dia","DI1 - DI de 1 dia","")</f>
        <v/>
      </c>
      <c r="C1418" s="222" t="e">
        <f>IF(dadosexternosBMF_1!A1421="DOL - Dólar comercial","",IF(C1417&lt;&gt;"",dadosexternosBMF_1!B1421,IF(dadosexternosBMF_1!A1421="DI1 - DI de 1 dia",dadosexternosBMF_1!B1421,"")))</f>
        <v>#REF!</v>
      </c>
      <c r="D1418" s="222" t="e">
        <f>IF(C1418&lt;&gt;"",dadosexternosBMF_1!C1421,"")</f>
        <v>#REF!</v>
      </c>
      <c r="E1418" s="222" t="e">
        <f>IF(C1418&lt;&gt;"",dadosexternosBMF_1!D1421,"")</f>
        <v>#REF!</v>
      </c>
      <c r="G1418" s="219" t="e">
        <f t="shared" si="145"/>
        <v>#REF!</v>
      </c>
      <c r="H1418" s="219" t="e">
        <f t="shared" si="146"/>
        <v>#REF!</v>
      </c>
      <c r="I1418" s="219" t="e">
        <f t="shared" si="147"/>
        <v>#REF!</v>
      </c>
      <c r="J1418" s="219" t="e">
        <f>IF(I1418="","",VLOOKUP(LEFT(C1418,1),dadosexternosBMF_1!$L$2:$M$13,2,FALSE))</f>
        <v>#REF!</v>
      </c>
      <c r="K1418" s="219" t="e">
        <f t="shared" si="148"/>
        <v>#REF!</v>
      </c>
      <c r="L1418" s="422" t="e">
        <f t="shared" si="149"/>
        <v>#REF!</v>
      </c>
      <c r="M1418" s="422" t="e">
        <f>IF(I1418="","",WORKDAY(L1418-1,1,FERIADOS!$A$2:$A$831))</f>
        <v>#REF!</v>
      </c>
      <c r="N1418" s="219" t="e">
        <f>IF(I1418="","",NETWORKDAYS(Curva!$M$2,M1418,FERIADOS!$A$2:$A$831)-1)</f>
        <v>#REF!</v>
      </c>
      <c r="O1418" s="423" t="e">
        <f>IF(C1418&lt;&gt;"",IF(ISERROR((100000/E1418)^(252/N1418)-1),Curva!$B$2,((100000/E1418)^(252/N1418)-1)),"")</f>
        <v>#REF!</v>
      </c>
      <c r="P1418" s="219" t="e">
        <f>IF(OR(G1418=1,G1418=2),dadosexternosBMF_1!B1421,"")</f>
        <v>#REF!</v>
      </c>
      <c r="Q1418" s="219" t="e">
        <f>IF(OR(G1418=1,G1418=2),dadosexternosBMF_1!D1421,"")</f>
        <v>#REF!</v>
      </c>
    </row>
    <row r="1419" spans="1:17" x14ac:dyDescent="0.2">
      <c r="A1419" s="222" t="e">
        <f t="shared" si="144"/>
        <v>#REF!</v>
      </c>
      <c r="B1419" s="222" t="str">
        <f>IF(dadosexternosBMF_1!A1422="DI1 - DI de 1 dia","DI1 - DI de 1 dia","")</f>
        <v/>
      </c>
      <c r="C1419" s="222" t="e">
        <f>IF(dadosexternosBMF_1!A1422="DOL - Dólar comercial","",IF(C1418&lt;&gt;"",dadosexternosBMF_1!B1422,IF(dadosexternosBMF_1!A1422="DI1 - DI de 1 dia",dadosexternosBMF_1!B1422,"")))</f>
        <v>#REF!</v>
      </c>
      <c r="D1419" s="222" t="e">
        <f>IF(C1419&lt;&gt;"",dadosexternosBMF_1!C1422,"")</f>
        <v>#REF!</v>
      </c>
      <c r="E1419" s="222" t="e">
        <f>IF(C1419&lt;&gt;"",dadosexternosBMF_1!D1422,"")</f>
        <v>#REF!</v>
      </c>
      <c r="G1419" s="219" t="e">
        <f t="shared" si="145"/>
        <v>#REF!</v>
      </c>
      <c r="H1419" s="219" t="e">
        <f t="shared" si="146"/>
        <v>#REF!</v>
      </c>
      <c r="I1419" s="219" t="e">
        <f t="shared" si="147"/>
        <v>#REF!</v>
      </c>
      <c r="J1419" s="219" t="e">
        <f>IF(I1419="","",VLOOKUP(LEFT(C1419,1),dadosexternosBMF_1!$L$2:$M$13,2,FALSE))</f>
        <v>#REF!</v>
      </c>
      <c r="K1419" s="219" t="e">
        <f t="shared" si="148"/>
        <v>#REF!</v>
      </c>
      <c r="L1419" s="422" t="e">
        <f t="shared" si="149"/>
        <v>#REF!</v>
      </c>
      <c r="M1419" s="422" t="e">
        <f>IF(I1419="","",WORKDAY(L1419-1,1,FERIADOS!$A$2:$A$831))</f>
        <v>#REF!</v>
      </c>
      <c r="N1419" s="219" t="e">
        <f>IF(I1419="","",NETWORKDAYS(Curva!$M$2,M1419,FERIADOS!$A$2:$A$831)-1)</f>
        <v>#REF!</v>
      </c>
      <c r="O1419" s="423" t="e">
        <f>IF(C1419&lt;&gt;"",IF(ISERROR((100000/E1419)^(252/N1419)-1),Curva!$B$2,((100000/E1419)^(252/N1419)-1)),"")</f>
        <v>#REF!</v>
      </c>
      <c r="P1419" s="219" t="e">
        <f>IF(OR(G1419=1,G1419=2),dadosexternosBMF_1!B1422,"")</f>
        <v>#REF!</v>
      </c>
      <c r="Q1419" s="219" t="e">
        <f>IF(OR(G1419=1,G1419=2),dadosexternosBMF_1!D1422,"")</f>
        <v>#REF!</v>
      </c>
    </row>
    <row r="1420" spans="1:17" x14ac:dyDescent="0.2">
      <c r="A1420" s="222" t="e">
        <f t="shared" si="144"/>
        <v>#REF!</v>
      </c>
      <c r="B1420" s="222" t="str">
        <f>IF(dadosexternosBMF_1!A1423="DI1 - DI de 1 dia","DI1 - DI de 1 dia","")</f>
        <v/>
      </c>
      <c r="C1420" s="222" t="e">
        <f>IF(dadosexternosBMF_1!A1423="DOL - Dólar comercial","",IF(C1419&lt;&gt;"",dadosexternosBMF_1!B1423,IF(dadosexternosBMF_1!A1423="DI1 - DI de 1 dia",dadosexternosBMF_1!B1423,"")))</f>
        <v>#REF!</v>
      </c>
      <c r="D1420" s="222" t="e">
        <f>IF(C1420&lt;&gt;"",dadosexternosBMF_1!C1423,"")</f>
        <v>#REF!</v>
      </c>
      <c r="E1420" s="222" t="e">
        <f>IF(C1420&lt;&gt;"",dadosexternosBMF_1!D1423,"")</f>
        <v>#REF!</v>
      </c>
      <c r="G1420" s="219" t="e">
        <f t="shared" si="145"/>
        <v>#REF!</v>
      </c>
      <c r="H1420" s="219" t="e">
        <f t="shared" si="146"/>
        <v>#REF!</v>
      </c>
      <c r="I1420" s="219" t="e">
        <f t="shared" si="147"/>
        <v>#REF!</v>
      </c>
      <c r="J1420" s="219" t="e">
        <f>IF(I1420="","",VLOOKUP(LEFT(C1420,1),dadosexternosBMF_1!$L$2:$M$13,2,FALSE))</f>
        <v>#REF!</v>
      </c>
      <c r="K1420" s="219" t="e">
        <f t="shared" si="148"/>
        <v>#REF!</v>
      </c>
      <c r="L1420" s="422" t="e">
        <f t="shared" si="149"/>
        <v>#REF!</v>
      </c>
      <c r="M1420" s="422" t="e">
        <f>IF(I1420="","",WORKDAY(L1420-1,1,FERIADOS!$A$2:$A$831))</f>
        <v>#REF!</v>
      </c>
      <c r="N1420" s="219" t="e">
        <f>IF(I1420="","",NETWORKDAYS(Curva!$M$2,M1420,FERIADOS!$A$2:$A$831)-1)</f>
        <v>#REF!</v>
      </c>
      <c r="O1420" s="423" t="e">
        <f>IF(C1420&lt;&gt;"",IF(ISERROR((100000/E1420)^(252/N1420)-1),Curva!$B$2,((100000/E1420)^(252/N1420)-1)),"")</f>
        <v>#REF!</v>
      </c>
      <c r="P1420" s="219" t="e">
        <f>IF(OR(G1420=1,G1420=2),dadosexternosBMF_1!B1423,"")</f>
        <v>#REF!</v>
      </c>
      <c r="Q1420" s="219" t="e">
        <f>IF(OR(G1420=1,G1420=2),dadosexternosBMF_1!D1423,"")</f>
        <v>#REF!</v>
      </c>
    </row>
    <row r="1421" spans="1:17" x14ac:dyDescent="0.2">
      <c r="A1421" s="222" t="e">
        <f t="shared" si="144"/>
        <v>#REF!</v>
      </c>
      <c r="B1421" s="222" t="str">
        <f>IF(dadosexternosBMF_1!A1424="DI1 - DI de 1 dia","DI1 - DI de 1 dia","")</f>
        <v/>
      </c>
      <c r="C1421" s="222" t="e">
        <f>IF(dadosexternosBMF_1!A1424="DOL - Dólar comercial","",IF(C1420&lt;&gt;"",dadosexternosBMF_1!B1424,IF(dadosexternosBMF_1!A1424="DI1 - DI de 1 dia",dadosexternosBMF_1!B1424,"")))</f>
        <v>#REF!</v>
      </c>
      <c r="D1421" s="222" t="e">
        <f>IF(C1421&lt;&gt;"",dadosexternosBMF_1!C1424,"")</f>
        <v>#REF!</v>
      </c>
      <c r="E1421" s="222" t="e">
        <f>IF(C1421&lt;&gt;"",dadosexternosBMF_1!D1424,"")</f>
        <v>#REF!</v>
      </c>
      <c r="G1421" s="219" t="e">
        <f t="shared" si="145"/>
        <v>#REF!</v>
      </c>
      <c r="H1421" s="219" t="e">
        <f t="shared" si="146"/>
        <v>#REF!</v>
      </c>
      <c r="I1421" s="219" t="e">
        <f t="shared" si="147"/>
        <v>#REF!</v>
      </c>
      <c r="J1421" s="219" t="e">
        <f>IF(I1421="","",VLOOKUP(LEFT(C1421,1),dadosexternosBMF_1!$L$2:$M$13,2,FALSE))</f>
        <v>#REF!</v>
      </c>
      <c r="K1421" s="219" t="e">
        <f t="shared" si="148"/>
        <v>#REF!</v>
      </c>
      <c r="L1421" s="422" t="e">
        <f t="shared" si="149"/>
        <v>#REF!</v>
      </c>
      <c r="M1421" s="422" t="e">
        <f>IF(I1421="","",WORKDAY(L1421-1,1,FERIADOS!$A$2:$A$831))</f>
        <v>#REF!</v>
      </c>
      <c r="N1421" s="219" t="e">
        <f>IF(I1421="","",NETWORKDAYS(Curva!$M$2,M1421,FERIADOS!$A$2:$A$831)-1)</f>
        <v>#REF!</v>
      </c>
      <c r="O1421" s="423" t="e">
        <f>IF(C1421&lt;&gt;"",IF(ISERROR((100000/E1421)^(252/N1421)-1),Curva!$B$2,((100000/E1421)^(252/N1421)-1)),"")</f>
        <v>#REF!</v>
      </c>
      <c r="P1421" s="219" t="e">
        <f>IF(OR(G1421=1,G1421=2),dadosexternosBMF_1!B1424,"")</f>
        <v>#REF!</v>
      </c>
      <c r="Q1421" s="219" t="e">
        <f>IF(OR(G1421=1,G1421=2),dadosexternosBMF_1!D1424,"")</f>
        <v>#REF!</v>
      </c>
    </row>
    <row r="1422" spans="1:17" x14ac:dyDescent="0.2">
      <c r="A1422" s="222" t="e">
        <f t="shared" si="144"/>
        <v>#REF!</v>
      </c>
      <c r="B1422" s="222" t="str">
        <f>IF(dadosexternosBMF_1!A1425="DI1 - DI de 1 dia","DI1 - DI de 1 dia","")</f>
        <v/>
      </c>
      <c r="C1422" s="222" t="e">
        <f>IF(dadosexternosBMF_1!A1425="DOL - Dólar comercial","",IF(C1421&lt;&gt;"",dadosexternosBMF_1!B1425,IF(dadosexternosBMF_1!A1425="DI1 - DI de 1 dia",dadosexternosBMF_1!B1425,"")))</f>
        <v>#REF!</v>
      </c>
      <c r="D1422" s="222" t="e">
        <f>IF(C1422&lt;&gt;"",dadosexternosBMF_1!C1425,"")</f>
        <v>#REF!</v>
      </c>
      <c r="E1422" s="222" t="e">
        <f>IF(C1422&lt;&gt;"",dadosexternosBMF_1!D1425,"")</f>
        <v>#REF!</v>
      </c>
      <c r="G1422" s="219" t="e">
        <f t="shared" si="145"/>
        <v>#REF!</v>
      </c>
      <c r="H1422" s="219" t="e">
        <f t="shared" si="146"/>
        <v>#REF!</v>
      </c>
      <c r="I1422" s="219" t="e">
        <f t="shared" si="147"/>
        <v>#REF!</v>
      </c>
      <c r="J1422" s="219" t="e">
        <f>IF(I1422="","",VLOOKUP(LEFT(C1422,1),dadosexternosBMF_1!$L$2:$M$13,2,FALSE))</f>
        <v>#REF!</v>
      </c>
      <c r="K1422" s="219" t="e">
        <f t="shared" si="148"/>
        <v>#REF!</v>
      </c>
      <c r="L1422" s="422" t="e">
        <f t="shared" si="149"/>
        <v>#REF!</v>
      </c>
      <c r="M1422" s="422" t="e">
        <f>IF(I1422="","",WORKDAY(L1422-1,1,FERIADOS!$A$2:$A$831))</f>
        <v>#REF!</v>
      </c>
      <c r="N1422" s="219" t="e">
        <f>IF(I1422="","",NETWORKDAYS(Curva!$M$2,M1422,FERIADOS!$A$2:$A$831)-1)</f>
        <v>#REF!</v>
      </c>
      <c r="O1422" s="423" t="e">
        <f>IF(C1422&lt;&gt;"",IF(ISERROR((100000/E1422)^(252/N1422)-1),Curva!$B$2,((100000/E1422)^(252/N1422)-1)),"")</f>
        <v>#REF!</v>
      </c>
      <c r="P1422" s="219" t="e">
        <f>IF(OR(G1422=1,G1422=2),dadosexternosBMF_1!B1425,"")</f>
        <v>#REF!</v>
      </c>
      <c r="Q1422" s="219" t="e">
        <f>IF(OR(G1422=1,G1422=2),dadosexternosBMF_1!D1425,"")</f>
        <v>#REF!</v>
      </c>
    </row>
    <row r="1423" spans="1:17" x14ac:dyDescent="0.2">
      <c r="A1423" s="222" t="e">
        <f t="shared" si="144"/>
        <v>#REF!</v>
      </c>
      <c r="B1423" s="222" t="str">
        <f>IF(dadosexternosBMF_1!A1426="DI1 - DI de 1 dia","DI1 - DI de 1 dia","")</f>
        <v/>
      </c>
      <c r="C1423" s="222" t="e">
        <f>IF(dadosexternosBMF_1!A1426="DOL - Dólar comercial","",IF(C1422&lt;&gt;"",dadosexternosBMF_1!B1426,IF(dadosexternosBMF_1!A1426="DI1 - DI de 1 dia",dadosexternosBMF_1!B1426,"")))</f>
        <v>#REF!</v>
      </c>
      <c r="D1423" s="222" t="e">
        <f>IF(C1423&lt;&gt;"",dadosexternosBMF_1!C1426,"")</f>
        <v>#REF!</v>
      </c>
      <c r="E1423" s="222" t="e">
        <f>IF(C1423&lt;&gt;"",dadosexternosBMF_1!D1426,"")</f>
        <v>#REF!</v>
      </c>
      <c r="G1423" s="219" t="e">
        <f t="shared" si="145"/>
        <v>#REF!</v>
      </c>
      <c r="H1423" s="219" t="e">
        <f t="shared" si="146"/>
        <v>#REF!</v>
      </c>
      <c r="I1423" s="219" t="e">
        <f t="shared" si="147"/>
        <v>#REF!</v>
      </c>
      <c r="J1423" s="219" t="e">
        <f>IF(I1423="","",VLOOKUP(LEFT(C1423,1),dadosexternosBMF_1!$L$2:$M$13,2,FALSE))</f>
        <v>#REF!</v>
      </c>
      <c r="K1423" s="219" t="e">
        <f t="shared" si="148"/>
        <v>#REF!</v>
      </c>
      <c r="L1423" s="422" t="e">
        <f t="shared" si="149"/>
        <v>#REF!</v>
      </c>
      <c r="M1423" s="422" t="e">
        <f>IF(I1423="","",WORKDAY(L1423-1,1,FERIADOS!$A$2:$A$831))</f>
        <v>#REF!</v>
      </c>
      <c r="N1423" s="219" t="e">
        <f>IF(I1423="","",NETWORKDAYS(Curva!$M$2,M1423,FERIADOS!$A$2:$A$831)-1)</f>
        <v>#REF!</v>
      </c>
      <c r="O1423" s="423" t="e">
        <f>IF(C1423&lt;&gt;"",IF(ISERROR((100000/E1423)^(252/N1423)-1),Curva!$B$2,((100000/E1423)^(252/N1423)-1)),"")</f>
        <v>#REF!</v>
      </c>
      <c r="P1423" s="219" t="e">
        <f>IF(OR(G1423=1,G1423=2),dadosexternosBMF_1!B1426,"")</f>
        <v>#REF!</v>
      </c>
      <c r="Q1423" s="219" t="e">
        <f>IF(OR(G1423=1,G1423=2),dadosexternosBMF_1!D1426,"")</f>
        <v>#REF!</v>
      </c>
    </row>
    <row r="1424" spans="1:17" x14ac:dyDescent="0.2">
      <c r="A1424" s="222" t="e">
        <f t="shared" si="144"/>
        <v>#REF!</v>
      </c>
      <c r="B1424" s="222" t="str">
        <f>IF(dadosexternosBMF_1!A1427="DI1 - DI de 1 dia","DI1 - DI de 1 dia","")</f>
        <v/>
      </c>
      <c r="C1424" s="222" t="e">
        <f>IF(dadosexternosBMF_1!A1427="DOL - Dólar comercial","",IF(C1423&lt;&gt;"",dadosexternosBMF_1!B1427,IF(dadosexternosBMF_1!A1427="DI1 - DI de 1 dia",dadosexternosBMF_1!B1427,"")))</f>
        <v>#REF!</v>
      </c>
      <c r="D1424" s="222" t="e">
        <f>IF(C1424&lt;&gt;"",dadosexternosBMF_1!C1427,"")</f>
        <v>#REF!</v>
      </c>
      <c r="E1424" s="222" t="e">
        <f>IF(C1424&lt;&gt;"",dadosexternosBMF_1!D1427,"")</f>
        <v>#REF!</v>
      </c>
      <c r="G1424" s="219" t="e">
        <f t="shared" si="145"/>
        <v>#REF!</v>
      </c>
      <c r="H1424" s="219" t="e">
        <f t="shared" si="146"/>
        <v>#REF!</v>
      </c>
      <c r="I1424" s="219" t="e">
        <f t="shared" si="147"/>
        <v>#REF!</v>
      </c>
      <c r="J1424" s="219" t="e">
        <f>IF(I1424="","",VLOOKUP(LEFT(C1424,1),dadosexternosBMF_1!$L$2:$M$13,2,FALSE))</f>
        <v>#REF!</v>
      </c>
      <c r="K1424" s="219" t="e">
        <f t="shared" si="148"/>
        <v>#REF!</v>
      </c>
      <c r="L1424" s="422" t="e">
        <f t="shared" si="149"/>
        <v>#REF!</v>
      </c>
      <c r="M1424" s="422" t="e">
        <f>IF(I1424="","",WORKDAY(L1424-1,1,FERIADOS!$A$2:$A$831))</f>
        <v>#REF!</v>
      </c>
      <c r="N1424" s="219" t="e">
        <f>IF(I1424="","",NETWORKDAYS(Curva!$M$2,M1424,FERIADOS!$A$2:$A$831)-1)</f>
        <v>#REF!</v>
      </c>
      <c r="O1424" s="423" t="e">
        <f>IF(C1424&lt;&gt;"",IF(ISERROR((100000/E1424)^(252/N1424)-1),Curva!$B$2,((100000/E1424)^(252/N1424)-1)),"")</f>
        <v>#REF!</v>
      </c>
      <c r="P1424" s="219" t="e">
        <f>IF(OR(G1424=1,G1424=2),dadosexternosBMF_1!B1427,"")</f>
        <v>#REF!</v>
      </c>
      <c r="Q1424" s="219" t="e">
        <f>IF(OR(G1424=1,G1424=2),dadosexternosBMF_1!D1427,"")</f>
        <v>#REF!</v>
      </c>
    </row>
    <row r="1425" spans="1:17" x14ac:dyDescent="0.2">
      <c r="A1425" s="222" t="e">
        <f t="shared" si="144"/>
        <v>#REF!</v>
      </c>
      <c r="B1425" s="222" t="str">
        <f>IF(dadosexternosBMF_1!A1428="DI1 - DI de 1 dia","DI1 - DI de 1 dia","")</f>
        <v/>
      </c>
      <c r="C1425" s="222" t="e">
        <f>IF(dadosexternosBMF_1!A1428="DOL - Dólar comercial","",IF(C1424&lt;&gt;"",dadosexternosBMF_1!B1428,IF(dadosexternosBMF_1!A1428="DI1 - DI de 1 dia",dadosexternosBMF_1!B1428,"")))</f>
        <v>#REF!</v>
      </c>
      <c r="D1425" s="222" t="e">
        <f>IF(C1425&lt;&gt;"",dadosexternosBMF_1!C1428,"")</f>
        <v>#REF!</v>
      </c>
      <c r="E1425" s="222" t="e">
        <f>IF(C1425&lt;&gt;"",dadosexternosBMF_1!D1428,"")</f>
        <v>#REF!</v>
      </c>
      <c r="G1425" s="219" t="e">
        <f t="shared" si="145"/>
        <v>#REF!</v>
      </c>
      <c r="H1425" s="219" t="e">
        <f t="shared" si="146"/>
        <v>#REF!</v>
      </c>
      <c r="I1425" s="219" t="e">
        <f t="shared" si="147"/>
        <v>#REF!</v>
      </c>
      <c r="J1425" s="219" t="e">
        <f>IF(I1425="","",VLOOKUP(LEFT(C1425,1),dadosexternosBMF_1!$L$2:$M$13,2,FALSE))</f>
        <v>#REF!</v>
      </c>
      <c r="K1425" s="219" t="e">
        <f t="shared" si="148"/>
        <v>#REF!</v>
      </c>
      <c r="L1425" s="422" t="e">
        <f t="shared" si="149"/>
        <v>#REF!</v>
      </c>
      <c r="M1425" s="422" t="e">
        <f>IF(I1425="","",WORKDAY(L1425-1,1,FERIADOS!$A$2:$A$831))</f>
        <v>#REF!</v>
      </c>
      <c r="N1425" s="219" t="e">
        <f>IF(I1425="","",NETWORKDAYS(Curva!$M$2,M1425,FERIADOS!$A$2:$A$831)-1)</f>
        <v>#REF!</v>
      </c>
      <c r="O1425" s="423" t="e">
        <f>IF(C1425&lt;&gt;"",IF(ISERROR((100000/E1425)^(252/N1425)-1),Curva!$B$2,((100000/E1425)^(252/N1425)-1)),"")</f>
        <v>#REF!</v>
      </c>
      <c r="P1425" s="219" t="e">
        <f>IF(OR(G1425=1,G1425=2),dadosexternosBMF_1!B1428,"")</f>
        <v>#REF!</v>
      </c>
      <c r="Q1425" s="219" t="e">
        <f>IF(OR(G1425=1,G1425=2),dadosexternosBMF_1!D1428,"")</f>
        <v>#REF!</v>
      </c>
    </row>
    <row r="1426" spans="1:17" x14ac:dyDescent="0.2">
      <c r="A1426" s="222" t="e">
        <f t="shared" si="144"/>
        <v>#REF!</v>
      </c>
      <c r="B1426" s="222" t="str">
        <f>IF(dadosexternosBMF_1!A1429="DI1 - DI de 1 dia","DI1 - DI de 1 dia","")</f>
        <v/>
      </c>
      <c r="C1426" s="222" t="e">
        <f>IF(dadosexternosBMF_1!A1429="DOL - Dólar comercial","",IF(C1425&lt;&gt;"",dadosexternosBMF_1!B1429,IF(dadosexternosBMF_1!A1429="DI1 - DI de 1 dia",dadosexternosBMF_1!B1429,"")))</f>
        <v>#REF!</v>
      </c>
      <c r="D1426" s="222" t="e">
        <f>IF(C1426&lt;&gt;"",dadosexternosBMF_1!C1429,"")</f>
        <v>#REF!</v>
      </c>
      <c r="E1426" s="222" t="e">
        <f>IF(C1426&lt;&gt;"",dadosexternosBMF_1!D1429,"")</f>
        <v>#REF!</v>
      </c>
      <c r="G1426" s="219" t="e">
        <f t="shared" si="145"/>
        <v>#REF!</v>
      </c>
      <c r="H1426" s="219" t="e">
        <f t="shared" si="146"/>
        <v>#REF!</v>
      </c>
      <c r="I1426" s="219" t="e">
        <f t="shared" si="147"/>
        <v>#REF!</v>
      </c>
      <c r="J1426" s="219" t="e">
        <f>IF(I1426="","",VLOOKUP(LEFT(C1426,1),dadosexternosBMF_1!$L$2:$M$13,2,FALSE))</f>
        <v>#REF!</v>
      </c>
      <c r="K1426" s="219" t="e">
        <f t="shared" si="148"/>
        <v>#REF!</v>
      </c>
      <c r="L1426" s="422" t="e">
        <f t="shared" si="149"/>
        <v>#REF!</v>
      </c>
      <c r="M1426" s="422" t="e">
        <f>IF(I1426="","",WORKDAY(L1426-1,1,FERIADOS!$A$2:$A$831))</f>
        <v>#REF!</v>
      </c>
      <c r="N1426" s="219" t="e">
        <f>IF(I1426="","",NETWORKDAYS(Curva!$M$2,M1426,FERIADOS!$A$2:$A$831)-1)</f>
        <v>#REF!</v>
      </c>
      <c r="O1426" s="423" t="e">
        <f>IF(C1426&lt;&gt;"",IF(ISERROR((100000/E1426)^(252/N1426)-1),Curva!$B$2,((100000/E1426)^(252/N1426)-1)),"")</f>
        <v>#REF!</v>
      </c>
      <c r="P1426" s="219" t="e">
        <f>IF(OR(G1426=1,G1426=2),dadosexternosBMF_1!B1429,"")</f>
        <v>#REF!</v>
      </c>
      <c r="Q1426" s="219" t="e">
        <f>IF(OR(G1426=1,G1426=2),dadosexternosBMF_1!D1429,"")</f>
        <v>#REF!</v>
      </c>
    </row>
    <row r="1427" spans="1:17" x14ac:dyDescent="0.2">
      <c r="A1427" s="222" t="e">
        <f t="shared" si="144"/>
        <v>#REF!</v>
      </c>
      <c r="B1427" s="222" t="str">
        <f>IF(dadosexternosBMF_1!A1430="DI1 - DI de 1 dia","DI1 - DI de 1 dia","")</f>
        <v/>
      </c>
      <c r="C1427" s="222" t="e">
        <f>IF(dadosexternosBMF_1!A1430="DOL - Dólar comercial","",IF(C1426&lt;&gt;"",dadosexternosBMF_1!B1430,IF(dadosexternosBMF_1!A1430="DI1 - DI de 1 dia",dadosexternosBMF_1!B1430,"")))</f>
        <v>#REF!</v>
      </c>
      <c r="D1427" s="222" t="e">
        <f>IF(C1427&lt;&gt;"",dadosexternosBMF_1!C1430,"")</f>
        <v>#REF!</v>
      </c>
      <c r="E1427" s="222" t="e">
        <f>IF(C1427&lt;&gt;"",dadosexternosBMF_1!D1430,"")</f>
        <v>#REF!</v>
      </c>
      <c r="G1427" s="219" t="e">
        <f t="shared" si="145"/>
        <v>#REF!</v>
      </c>
      <c r="H1427" s="219" t="e">
        <f t="shared" si="146"/>
        <v>#REF!</v>
      </c>
      <c r="I1427" s="219" t="e">
        <f t="shared" si="147"/>
        <v>#REF!</v>
      </c>
      <c r="J1427" s="219" t="e">
        <f>IF(I1427="","",VLOOKUP(LEFT(C1427,1),dadosexternosBMF_1!$L$2:$M$13,2,FALSE))</f>
        <v>#REF!</v>
      </c>
      <c r="K1427" s="219" t="e">
        <f t="shared" si="148"/>
        <v>#REF!</v>
      </c>
      <c r="L1427" s="422" t="e">
        <f t="shared" si="149"/>
        <v>#REF!</v>
      </c>
      <c r="M1427" s="422" t="e">
        <f>IF(I1427="","",WORKDAY(L1427-1,1,FERIADOS!$A$2:$A$831))</f>
        <v>#REF!</v>
      </c>
      <c r="N1427" s="219" t="e">
        <f>IF(I1427="","",NETWORKDAYS(Curva!$M$2,M1427,FERIADOS!$A$2:$A$831)-1)</f>
        <v>#REF!</v>
      </c>
      <c r="O1427" s="423" t="e">
        <f>IF(C1427&lt;&gt;"",IF(ISERROR((100000/E1427)^(252/N1427)-1),Curva!$B$2,((100000/E1427)^(252/N1427)-1)),"")</f>
        <v>#REF!</v>
      </c>
      <c r="P1427" s="219" t="e">
        <f>IF(OR(G1427=1,G1427=2),dadosexternosBMF_1!B1430,"")</f>
        <v>#REF!</v>
      </c>
      <c r="Q1427" s="219" t="e">
        <f>IF(OR(G1427=1,G1427=2),dadosexternosBMF_1!D1430,"")</f>
        <v>#REF!</v>
      </c>
    </row>
    <row r="1428" spans="1:17" x14ac:dyDescent="0.2">
      <c r="A1428" s="222" t="e">
        <f t="shared" si="144"/>
        <v>#REF!</v>
      </c>
      <c r="B1428" s="222" t="str">
        <f>IF(dadosexternosBMF_1!A1431="DI1 - DI de 1 dia","DI1 - DI de 1 dia","")</f>
        <v/>
      </c>
      <c r="C1428" s="222" t="e">
        <f>IF(dadosexternosBMF_1!A1431="DOL - Dólar comercial","",IF(C1427&lt;&gt;"",dadosexternosBMF_1!B1431,IF(dadosexternosBMF_1!A1431="DI1 - DI de 1 dia",dadosexternosBMF_1!B1431,"")))</f>
        <v>#REF!</v>
      </c>
      <c r="D1428" s="222" t="e">
        <f>IF(C1428&lt;&gt;"",dadosexternosBMF_1!C1431,"")</f>
        <v>#REF!</v>
      </c>
      <c r="E1428" s="222" t="e">
        <f>IF(C1428&lt;&gt;"",dadosexternosBMF_1!D1431,"")</f>
        <v>#REF!</v>
      </c>
      <c r="G1428" s="219" t="e">
        <f t="shared" si="145"/>
        <v>#REF!</v>
      </c>
      <c r="H1428" s="219" t="e">
        <f t="shared" si="146"/>
        <v>#REF!</v>
      </c>
      <c r="I1428" s="219" t="e">
        <f t="shared" si="147"/>
        <v>#REF!</v>
      </c>
      <c r="J1428" s="219" t="e">
        <f>IF(I1428="","",VLOOKUP(LEFT(C1428,1),dadosexternosBMF_1!$L$2:$M$13,2,FALSE))</f>
        <v>#REF!</v>
      </c>
      <c r="K1428" s="219" t="e">
        <f t="shared" si="148"/>
        <v>#REF!</v>
      </c>
      <c r="L1428" s="422" t="e">
        <f t="shared" si="149"/>
        <v>#REF!</v>
      </c>
      <c r="M1428" s="422" t="e">
        <f>IF(I1428="","",WORKDAY(L1428-1,1,FERIADOS!$A$2:$A$831))</f>
        <v>#REF!</v>
      </c>
      <c r="N1428" s="219" t="e">
        <f>IF(I1428="","",NETWORKDAYS(Curva!$M$2,M1428,FERIADOS!$A$2:$A$831)-1)</f>
        <v>#REF!</v>
      </c>
      <c r="O1428" s="423" t="e">
        <f>IF(C1428&lt;&gt;"",IF(ISERROR((100000/E1428)^(252/N1428)-1),Curva!$B$2,((100000/E1428)^(252/N1428)-1)),"")</f>
        <v>#REF!</v>
      </c>
      <c r="P1428" s="219" t="e">
        <f>IF(OR(G1428=1,G1428=2),dadosexternosBMF_1!B1431,"")</f>
        <v>#REF!</v>
      </c>
      <c r="Q1428" s="219" t="e">
        <f>IF(OR(G1428=1,G1428=2),dadosexternosBMF_1!D1431,"")</f>
        <v>#REF!</v>
      </c>
    </row>
    <row r="1429" spans="1:17" x14ac:dyDescent="0.2">
      <c r="A1429" s="222" t="e">
        <f t="shared" si="144"/>
        <v>#REF!</v>
      </c>
      <c r="B1429" s="222" t="str">
        <f>IF(dadosexternosBMF_1!A1432="DI1 - DI de 1 dia","DI1 - DI de 1 dia","")</f>
        <v/>
      </c>
      <c r="C1429" s="222" t="e">
        <f>IF(dadosexternosBMF_1!A1432="DOL - Dólar comercial","",IF(C1428&lt;&gt;"",dadosexternosBMF_1!B1432,IF(dadosexternosBMF_1!A1432="DI1 - DI de 1 dia",dadosexternosBMF_1!B1432,"")))</f>
        <v>#REF!</v>
      </c>
      <c r="D1429" s="222" t="e">
        <f>IF(C1429&lt;&gt;"",dadosexternosBMF_1!C1432,"")</f>
        <v>#REF!</v>
      </c>
      <c r="E1429" s="222" t="e">
        <f>IF(C1429&lt;&gt;"",dadosexternosBMF_1!D1432,"")</f>
        <v>#REF!</v>
      </c>
      <c r="G1429" s="219" t="e">
        <f t="shared" si="145"/>
        <v>#REF!</v>
      </c>
      <c r="H1429" s="219" t="e">
        <f t="shared" si="146"/>
        <v>#REF!</v>
      </c>
      <c r="I1429" s="219" t="e">
        <f t="shared" si="147"/>
        <v>#REF!</v>
      </c>
      <c r="J1429" s="219" t="e">
        <f>IF(I1429="","",VLOOKUP(LEFT(C1429,1),dadosexternosBMF_1!$L$2:$M$13,2,FALSE))</f>
        <v>#REF!</v>
      </c>
      <c r="K1429" s="219" t="e">
        <f t="shared" si="148"/>
        <v>#REF!</v>
      </c>
      <c r="L1429" s="422" t="e">
        <f t="shared" si="149"/>
        <v>#REF!</v>
      </c>
      <c r="M1429" s="422" t="e">
        <f>IF(I1429="","",WORKDAY(L1429-1,1,FERIADOS!$A$2:$A$831))</f>
        <v>#REF!</v>
      </c>
      <c r="N1429" s="219" t="e">
        <f>IF(I1429="","",NETWORKDAYS(Curva!$M$2,M1429,FERIADOS!$A$2:$A$831)-1)</f>
        <v>#REF!</v>
      </c>
      <c r="O1429" s="423" t="e">
        <f>IF(C1429&lt;&gt;"",IF(ISERROR((100000/E1429)^(252/N1429)-1),Curva!$B$2,((100000/E1429)^(252/N1429)-1)),"")</f>
        <v>#REF!</v>
      </c>
      <c r="P1429" s="219" t="e">
        <f>IF(OR(G1429=1,G1429=2),dadosexternosBMF_1!B1432,"")</f>
        <v>#REF!</v>
      </c>
      <c r="Q1429" s="219" t="e">
        <f>IF(OR(G1429=1,G1429=2),dadosexternosBMF_1!D1432,"")</f>
        <v>#REF!</v>
      </c>
    </row>
    <row r="1430" spans="1:17" x14ac:dyDescent="0.2">
      <c r="A1430" s="222" t="e">
        <f t="shared" si="144"/>
        <v>#REF!</v>
      </c>
      <c r="B1430" s="222" t="str">
        <f>IF(dadosexternosBMF_1!A1433="DI1 - DI de 1 dia","DI1 - DI de 1 dia","")</f>
        <v/>
      </c>
      <c r="C1430" s="222" t="e">
        <f>IF(dadosexternosBMF_1!A1433="DOL - Dólar comercial","",IF(C1429&lt;&gt;"",dadosexternosBMF_1!B1433,IF(dadosexternosBMF_1!A1433="DI1 - DI de 1 dia",dadosexternosBMF_1!B1433,"")))</f>
        <v>#REF!</v>
      </c>
      <c r="D1430" s="222" t="e">
        <f>IF(C1430&lt;&gt;"",dadosexternosBMF_1!C1433,"")</f>
        <v>#REF!</v>
      </c>
      <c r="E1430" s="222" t="e">
        <f>IF(C1430&lt;&gt;"",dadosexternosBMF_1!D1433,"")</f>
        <v>#REF!</v>
      </c>
      <c r="G1430" s="219" t="e">
        <f t="shared" si="145"/>
        <v>#REF!</v>
      </c>
      <c r="H1430" s="219" t="e">
        <f t="shared" si="146"/>
        <v>#REF!</v>
      </c>
      <c r="I1430" s="219" t="e">
        <f t="shared" si="147"/>
        <v>#REF!</v>
      </c>
      <c r="J1430" s="219" t="e">
        <f>IF(I1430="","",VLOOKUP(LEFT(C1430,1),dadosexternosBMF_1!$L$2:$M$13,2,FALSE))</f>
        <v>#REF!</v>
      </c>
      <c r="K1430" s="219" t="e">
        <f t="shared" si="148"/>
        <v>#REF!</v>
      </c>
      <c r="L1430" s="422" t="e">
        <f t="shared" si="149"/>
        <v>#REF!</v>
      </c>
      <c r="M1430" s="422" t="e">
        <f>IF(I1430="","",WORKDAY(L1430-1,1,FERIADOS!$A$2:$A$831))</f>
        <v>#REF!</v>
      </c>
      <c r="N1430" s="219" t="e">
        <f>IF(I1430="","",NETWORKDAYS(Curva!$M$2,M1430,FERIADOS!$A$2:$A$831)-1)</f>
        <v>#REF!</v>
      </c>
      <c r="O1430" s="423" t="e">
        <f>IF(C1430&lt;&gt;"",IF(ISERROR((100000/E1430)^(252/N1430)-1),Curva!$B$2,((100000/E1430)^(252/N1430)-1)),"")</f>
        <v>#REF!</v>
      </c>
      <c r="P1430" s="219" t="e">
        <f>IF(OR(G1430=1,G1430=2),dadosexternosBMF_1!B1433,"")</f>
        <v>#REF!</v>
      </c>
      <c r="Q1430" s="219" t="e">
        <f>IF(OR(G1430=1,G1430=2),dadosexternosBMF_1!D1433,"")</f>
        <v>#REF!</v>
      </c>
    </row>
  </sheetData>
  <phoneticPr fontId="25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pageSetUpPr fitToPage="1"/>
  </sheetPr>
  <dimension ref="A1:AZ266"/>
  <sheetViews>
    <sheetView topLeftCell="O53" zoomScale="104" zoomScaleNormal="104" workbookViewId="0">
      <selection activeCell="Q58" sqref="Q58"/>
    </sheetView>
  </sheetViews>
  <sheetFormatPr defaultRowHeight="12.75" x14ac:dyDescent="0.2"/>
  <cols>
    <col min="1" max="1" width="9.140625" style="188"/>
    <col min="2" max="2" width="16.5703125" bestFit="1" customWidth="1"/>
    <col min="3" max="3" width="8.140625" customWidth="1"/>
    <col min="4" max="4" width="9.7109375" customWidth="1"/>
    <col min="5" max="5" width="7.85546875" bestFit="1" customWidth="1"/>
    <col min="6" max="6" width="8" bestFit="1" customWidth="1"/>
    <col min="7" max="7" width="8.140625" bestFit="1" customWidth="1"/>
    <col min="8" max="8" width="8" bestFit="1" customWidth="1"/>
    <col min="9" max="9" width="10.42578125" bestFit="1" customWidth="1"/>
    <col min="10" max="10" width="9.140625" bestFit="1" customWidth="1"/>
    <col min="12" max="12" width="10" bestFit="1" customWidth="1"/>
    <col min="13" max="13" width="7.85546875" bestFit="1" customWidth="1"/>
    <col min="14" max="15" width="8" bestFit="1" customWidth="1"/>
    <col min="16" max="16" width="9.140625" style="188"/>
    <col min="17" max="17" width="13.140625" style="188" customWidth="1"/>
    <col min="18" max="18" width="11.5703125" style="188" customWidth="1"/>
    <col min="19" max="19" width="10" style="188" customWidth="1"/>
    <col min="20" max="20" width="13.42578125" style="188" bestFit="1" customWidth="1"/>
    <col min="21" max="21" width="10.85546875" style="188" customWidth="1"/>
    <col min="22" max="22" width="10.140625" style="188" bestFit="1" customWidth="1"/>
    <col min="23" max="23" width="10" style="188" customWidth="1"/>
    <col min="24" max="24" width="14.85546875" style="188" customWidth="1"/>
    <col min="25" max="25" width="12.140625" style="188" customWidth="1"/>
    <col min="26" max="26" width="12.7109375" style="188" customWidth="1"/>
    <col min="27" max="27" width="13.28515625" style="188" bestFit="1" customWidth="1"/>
    <col min="28" max="28" width="10.85546875" style="188" bestFit="1" customWidth="1"/>
    <col min="29" max="35" width="9.140625" style="188"/>
    <col min="36" max="36" width="10" style="188" bestFit="1" customWidth="1"/>
    <col min="37" max="38" width="9.140625" style="188"/>
    <col min="39" max="39" width="9.5703125" style="188" bestFit="1" customWidth="1"/>
    <col min="40" max="41" width="9.140625" style="188"/>
    <col min="42" max="42" width="9.5703125" style="188" bestFit="1" customWidth="1"/>
    <col min="43" max="43" width="8.5703125" style="188" bestFit="1" customWidth="1"/>
    <col min="44" max="44" width="11.28515625" style="188" bestFit="1" customWidth="1"/>
    <col min="45" max="45" width="7.85546875" style="188" bestFit="1" customWidth="1"/>
    <col min="46" max="52" width="9.140625" style="188"/>
  </cols>
  <sheetData>
    <row r="1" spans="2:15" s="188" customFormat="1" x14ac:dyDescent="0.2"/>
    <row r="2" spans="2:15" s="188" customFormat="1" x14ac:dyDescent="0.2"/>
    <row r="3" spans="2:15" s="188" customFormat="1" ht="13.5" thickBot="1" x14ac:dyDescent="0.25"/>
    <row r="4" spans="2:15" ht="23.25" x14ac:dyDescent="0.2">
      <c r="B4" s="454">
        <f ca="1">TODAY()</f>
        <v>43000</v>
      </c>
      <c r="C4" s="442"/>
      <c r="D4" s="431"/>
      <c r="E4" s="188"/>
      <c r="F4" s="188"/>
      <c r="G4" s="188"/>
      <c r="H4" s="188"/>
      <c r="I4" s="188"/>
      <c r="J4" s="188"/>
      <c r="K4" s="431"/>
      <c r="L4" s="190"/>
      <c r="M4" s="190"/>
      <c r="N4" s="190"/>
      <c r="O4" s="5"/>
    </row>
    <row r="5" spans="2:15" ht="24" thickBot="1" x14ac:dyDescent="0.25">
      <c r="B5" s="443"/>
      <c r="C5" s="444"/>
      <c r="D5" s="188"/>
      <c r="E5" s="188"/>
      <c r="F5" s="188"/>
      <c r="G5" s="188"/>
      <c r="H5" s="188"/>
      <c r="I5" s="188"/>
      <c r="J5" s="188"/>
      <c r="K5" s="188"/>
      <c r="L5" s="190"/>
      <c r="M5" s="190"/>
      <c r="N5" s="190"/>
      <c r="O5" s="5"/>
    </row>
    <row r="6" spans="2:15" ht="26.25" x14ac:dyDescent="0.2">
      <c r="B6" s="456" t="s">
        <v>305</v>
      </c>
      <c r="C6" s="445"/>
      <c r="D6" s="188"/>
      <c r="E6" s="188"/>
      <c r="F6" s="188"/>
      <c r="G6" s="188"/>
      <c r="H6" s="188"/>
      <c r="I6" s="188"/>
      <c r="J6" s="188"/>
      <c r="K6" s="188"/>
      <c r="L6" s="190"/>
      <c r="M6" s="190"/>
      <c r="N6" s="190"/>
      <c r="O6" s="5"/>
    </row>
    <row r="7" spans="2:15" ht="27" thickBot="1" x14ac:dyDescent="0.25">
      <c r="B7" s="446"/>
      <c r="C7" s="447"/>
      <c r="D7" s="188"/>
      <c r="E7" s="188"/>
      <c r="F7" s="188"/>
      <c r="G7" s="188"/>
      <c r="H7" s="188"/>
      <c r="I7" s="188"/>
      <c r="J7" s="188"/>
      <c r="K7" s="188"/>
      <c r="L7" s="190"/>
      <c r="M7" s="190"/>
      <c r="N7" s="190"/>
      <c r="O7" s="5"/>
    </row>
    <row r="8" spans="2:15" ht="21" x14ac:dyDescent="0.2">
      <c r="B8" s="455" t="s">
        <v>284</v>
      </c>
      <c r="C8" s="457">
        <f>'NTN-B'!C14/100</f>
        <v>2.3999999999999998E-3</v>
      </c>
      <c r="D8" s="188"/>
      <c r="E8" s="188"/>
      <c r="F8" s="188"/>
      <c r="G8" s="188"/>
      <c r="H8" s="188"/>
      <c r="I8" s="188"/>
      <c r="J8" s="188"/>
      <c r="K8" s="188"/>
      <c r="L8" s="190"/>
      <c r="M8" s="190"/>
      <c r="N8" s="190"/>
      <c r="O8" s="5"/>
    </row>
    <row r="9" spans="2:15" ht="13.5" thickBot="1" x14ac:dyDescent="0.2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</row>
    <row r="10" spans="2:15" ht="21" thickBot="1" x14ac:dyDescent="0.25">
      <c r="B10" s="735" t="s">
        <v>7</v>
      </c>
      <c r="C10" s="736"/>
      <c r="D10" s="736"/>
      <c r="E10" s="736"/>
      <c r="F10" s="736"/>
      <c r="G10" s="736"/>
      <c r="H10" s="736"/>
      <c r="I10" s="736"/>
      <c r="J10" s="736"/>
      <c r="K10" s="736"/>
      <c r="L10" s="736"/>
      <c r="M10" s="737"/>
      <c r="N10" s="737"/>
      <c r="O10" s="738"/>
    </row>
    <row r="11" spans="2:15" ht="39" thickBot="1" x14ac:dyDescent="0.25">
      <c r="B11" s="452" t="s">
        <v>271</v>
      </c>
      <c r="C11" s="453" t="s">
        <v>272</v>
      </c>
      <c r="D11" s="453" t="s">
        <v>273</v>
      </c>
      <c r="E11" s="453" t="s">
        <v>274</v>
      </c>
      <c r="F11" s="453" t="s">
        <v>275</v>
      </c>
      <c r="G11" s="453" t="s">
        <v>279</v>
      </c>
      <c r="H11" s="453" t="s">
        <v>280</v>
      </c>
      <c r="I11" s="453" t="s">
        <v>276</v>
      </c>
      <c r="J11" s="453" t="s">
        <v>282</v>
      </c>
      <c r="K11" s="452" t="s">
        <v>283</v>
      </c>
      <c r="L11" s="453" t="s">
        <v>376</v>
      </c>
      <c r="M11" s="732" t="s">
        <v>281</v>
      </c>
      <c r="N11" s="733"/>
      <c r="O11" s="734"/>
    </row>
    <row r="12" spans="2:15" ht="15.75" x14ac:dyDescent="0.2">
      <c r="B12" s="498">
        <f>'NTN-B'!B37</f>
        <v>43327</v>
      </c>
      <c r="C12" s="499">
        <f>VLOOKUP(B12,'NTN-B'!$B$68:$C$82,2,FALSE)*100</f>
        <v>3.37</v>
      </c>
      <c r="D12" s="500">
        <f>VLOOKUP(B12,'NTN-B'!$B$37:$L$51,3,FALSE)*100</f>
        <v>7.1</v>
      </c>
      <c r="E12" s="501">
        <f>VLOOKUP(B12,'NTN-B'!$B$37:$L$51,4,FALSE)*100</f>
        <v>7.02</v>
      </c>
      <c r="F12" s="502">
        <f>VLOOKUP(B12,'NTN-B'!$B$37:$L$51,6,FALSE)*100</f>
        <v>0</v>
      </c>
      <c r="G12" s="600">
        <f>VLOOKUP(B12,'NTN-B'!$B$36:$L$50,5,FALSE)*100</f>
        <v>7.06</v>
      </c>
      <c r="H12" s="466">
        <f>VLOOKUP(B12,'NTN-B'!$B$37:$N$50,12,FALSE)*100</f>
        <v>13.944550748494722</v>
      </c>
      <c r="I12" s="433">
        <f>VLOOKUP(B12,'NTN-B'!$B$37:$Q$50,13,FALSE)*100</f>
        <v>6.4305536600922197</v>
      </c>
      <c r="J12" s="495">
        <f>VLOOKUP(B12,'NTN-B'!$B$37:$O$51,14,FALSE)*100</f>
        <v>1.4555572381214077E-2</v>
      </c>
      <c r="K12" s="495">
        <f>VLOOKUP(B12,'NTN-B'!$B$37:$K$52,5,FALSE)*100-C12</f>
        <v>3.6899999999999995</v>
      </c>
      <c r="L12" s="469">
        <f>VLOOKUP(B12,'NTN-B'!$B$67:$P$82,15,FALSE)*10000</f>
        <v>-0.7068810302118117</v>
      </c>
      <c r="M12" s="480">
        <v>42552</v>
      </c>
      <c r="N12" s="481">
        <f>'NTN-B'!P37</f>
        <v>13.98</v>
      </c>
      <c r="O12" s="482">
        <f>'NTN-B'!Q37</f>
        <v>13.99</v>
      </c>
    </row>
    <row r="13" spans="2:15" ht="15.75" x14ac:dyDescent="0.2">
      <c r="B13" s="503">
        <f>'NTN-B'!B38</f>
        <v>43600</v>
      </c>
      <c r="C13" s="504">
        <f>VLOOKUP(B13,'NTN-B'!$B$68:$C$82,2,FALSE)*100</f>
        <v>3.29</v>
      </c>
      <c r="D13" s="505">
        <f>VLOOKUP(B13,'NTN-B'!$B$37:$L$51,3,FALSE)*100</f>
        <v>0</v>
      </c>
      <c r="E13" s="506">
        <f>VLOOKUP(B13,'NTN-B'!$B$37:$L$51,4,FALSE)*100</f>
        <v>0</v>
      </c>
      <c r="F13" s="507">
        <f>VLOOKUP(B13,'NTN-B'!$B$37:$L$51,6,FALSE)*100</f>
        <v>0</v>
      </c>
      <c r="G13" s="601">
        <f>VLOOKUP(B13,'NTN-B'!$B$36:$L$50,5,FALSE)*100</f>
        <v>6.5299999999999994</v>
      </c>
      <c r="H13" s="472">
        <f>VLOOKUP(B13,'NTN-B'!$B$37:$N$50,12,FALSE)*100</f>
        <v>13.326053574792041</v>
      </c>
      <c r="I13" s="437">
        <f>VLOOKUP(B13,'NTN-B'!$B$37:$Q$50,13,FALSE)*100</f>
        <v>6.3794739273369538</v>
      </c>
      <c r="J13" s="496">
        <f>VLOOKUP(B13,'NTN-B'!$B$37:$O$51,14,FALSE)*100</f>
        <v>1.9763088197555234E-2</v>
      </c>
      <c r="K13" s="496">
        <f>VLOOKUP(B13,'NTN-B'!$B$37:$K$52,5,FALSE)*100-C13</f>
        <v>3.2399999999999993</v>
      </c>
      <c r="L13" s="467">
        <f>VLOOKUP(B13,'NTN-B'!$B$67:$P$82,15,FALSE)*10000</f>
        <v>-0.41855217134692535</v>
      </c>
      <c r="M13" s="434">
        <v>42826</v>
      </c>
      <c r="N13" s="435">
        <f>'NTN-B'!P38</f>
        <v>13.37</v>
      </c>
      <c r="O13" s="436">
        <f>'NTN-B'!Q38</f>
        <v>13.39</v>
      </c>
    </row>
    <row r="14" spans="2:15" ht="15.75" x14ac:dyDescent="0.2">
      <c r="B14" s="503">
        <f>'NTN-B'!B39</f>
        <v>44058</v>
      </c>
      <c r="C14" s="504">
        <f>VLOOKUP(B14,'NTN-B'!$B$68:$C$82,2,FALSE)*100</f>
        <v>3.93</v>
      </c>
      <c r="D14" s="505">
        <f>VLOOKUP(B14,'NTN-B'!$B$37:$L$51,3,FALSE)*100</f>
        <v>6.5699999999999994</v>
      </c>
      <c r="E14" s="506">
        <f>VLOOKUP(B14,'NTN-B'!$B$37:$L$51,4,FALSE)*100</f>
        <v>6.5299999999999994</v>
      </c>
      <c r="F14" s="507">
        <f>VLOOKUP(B14,'NTN-B'!$B$37:$L$51,6,FALSE)*100</f>
        <v>0</v>
      </c>
      <c r="G14" s="601">
        <f>VLOOKUP(B14,'NTN-B'!$B$36:$L$50,5,FALSE)*100</f>
        <v>6.5500000000000007</v>
      </c>
      <c r="H14" s="472">
        <f>VLOOKUP(B14,'NTN-B'!$B$37:$N$50,12,FALSE)*100</f>
        <v>12.867080836064204</v>
      </c>
      <c r="I14" s="437">
        <f>VLOOKUP(B14,'NTN-B'!$B$37:$Q$50,13,FALSE)*100</f>
        <v>5.9287478517730641</v>
      </c>
      <c r="J14" s="496">
        <f>VLOOKUP(B14,'NTN-B'!$B$37:$O$51,14,FALSE)*100</f>
        <v>0.03</v>
      </c>
      <c r="K14" s="496">
        <f>VLOOKUP(B14,'NTN-B'!$B$37:$K$52,5,FALSE)*100-C14</f>
        <v>2.6200000000000006</v>
      </c>
      <c r="L14" s="467">
        <f>VLOOKUP(B14,'NTN-B'!$B$67:$P$82,15,FALSE)*10000</f>
        <v>-0.14635270894181041</v>
      </c>
      <c r="M14" s="434">
        <v>43282</v>
      </c>
      <c r="N14" s="435">
        <f>'NTN-B'!P39</f>
        <v>12.84</v>
      </c>
      <c r="O14" s="436">
        <f>'NTN-B'!Q39</f>
        <v>12.86</v>
      </c>
    </row>
    <row r="15" spans="2:15" ht="15.75" x14ac:dyDescent="0.2">
      <c r="B15" s="503">
        <f>'NTN-B'!B40</f>
        <v>44331</v>
      </c>
      <c r="C15" s="504">
        <f>VLOOKUP(B15,'NTN-B'!$B$68:$C$82,2,FALSE)*100</f>
        <v>4.1604000000000001</v>
      </c>
      <c r="D15" s="505">
        <f>VLOOKUP(B15,'NTN-B'!$B$37:$L$51,3,FALSE)*100</f>
        <v>6.63</v>
      </c>
      <c r="E15" s="506">
        <f>VLOOKUP(B15,'NTN-B'!$B$37:$L$51,4,FALSE)*100</f>
        <v>6.5699999999999994</v>
      </c>
      <c r="F15" s="507">
        <f>VLOOKUP(B15,'NTN-B'!$B$37:$L$51,6,FALSE)*100</f>
        <v>0</v>
      </c>
      <c r="G15" s="601">
        <f>VLOOKUP(B15,'NTN-B'!$B$36:$L$50,5,FALSE)*100</f>
        <v>6.6000000000000005</v>
      </c>
      <c r="H15" s="472">
        <f>VLOOKUP(B15,'NTN-B'!$B$37:$N$50,12,FALSE)*100</f>
        <v>12.769595938139378</v>
      </c>
      <c r="I15" s="437">
        <f>VLOOKUP(B15,'NTN-B'!$B$37:$Q$50,13,FALSE)*100</f>
        <v>5.7876134504121657</v>
      </c>
      <c r="J15" s="496">
        <f>VLOOKUP(B15,'NTN-B'!$B$37:$O$51,14,FALSE)*100</f>
        <v>2.8273467760908666E-2</v>
      </c>
      <c r="K15" s="496">
        <f>VLOOKUP(B15,'NTN-B'!$B$37:$K$52,5,FALSE)*100-C15</f>
        <v>2.4396000000000004</v>
      </c>
      <c r="L15" s="467">
        <f>VLOOKUP(B15,'NTN-B'!$B$67:$P$82,15,FALSE)*10000</f>
        <v>-9.2725175875607579E-2</v>
      </c>
      <c r="M15" s="434">
        <v>43466</v>
      </c>
      <c r="N15" s="435">
        <f>'NTN-B'!P40</f>
        <v>12.76</v>
      </c>
      <c r="O15" s="436">
        <f>'NTN-B'!Q40</f>
        <v>12.77</v>
      </c>
    </row>
    <row r="16" spans="2:15" ht="15.75" x14ac:dyDescent="0.2">
      <c r="B16" s="503">
        <f>'NTN-B'!B41</f>
        <v>44788</v>
      </c>
      <c r="C16" s="504">
        <f>VLOOKUP(B16,'NTN-B'!$B$68:$C$82,2,FALSE)*100</f>
        <v>4.4800000000000004</v>
      </c>
      <c r="D16" s="505">
        <f>VLOOKUP(B16,'NTN-B'!$B$37:$L$51,3,FALSE)*100</f>
        <v>6.54</v>
      </c>
      <c r="E16" s="506">
        <f>VLOOKUP(B16,'NTN-B'!$B$37:$L$51,4,FALSE)*100</f>
        <v>6.49</v>
      </c>
      <c r="F16" s="507">
        <f>VLOOKUP(B16,'NTN-B'!$B$37:$L$51,6,FALSE)*100</f>
        <v>0</v>
      </c>
      <c r="G16" s="601">
        <f>VLOOKUP(B16,'NTN-B'!$B$36:$L$50,5,FALSE)*100</f>
        <v>6.5149999999999997</v>
      </c>
      <c r="H16" s="472">
        <f>VLOOKUP(B16,'NTN-B'!$B$37:$N$50,12,FALSE)*100</f>
        <v>12.687515994644416</v>
      </c>
      <c r="I16" s="437">
        <f>VLOOKUP(B16,'NTN-B'!$B$37:$Q$50,13,FALSE)*100</f>
        <v>5.7949734728858893</v>
      </c>
      <c r="J16" s="496">
        <f>VLOOKUP(B16,'NTN-B'!$B$37:$O$51,14,FALSE)*100</f>
        <v>2.8206223543381093E-2</v>
      </c>
      <c r="K16" s="496">
        <f>VLOOKUP(B16,'NTN-B'!$B$37:$K$52,5,FALSE)*100-C16</f>
        <v>2.0349999999999993</v>
      </c>
      <c r="L16" s="467">
        <f>VLOOKUP(B16,'NTN-B'!$B$67:$P$82,15,FALSE)*10000</f>
        <v>-4.0856804486844034E-2</v>
      </c>
      <c r="M16" s="434">
        <v>43831</v>
      </c>
      <c r="N16" s="435">
        <f>'NTN-B'!P41</f>
        <v>12.65</v>
      </c>
      <c r="O16" s="436">
        <f>'NTN-B'!Q41</f>
        <v>12.66</v>
      </c>
    </row>
    <row r="17" spans="2:27" ht="15.75" x14ac:dyDescent="0.2">
      <c r="B17" s="503">
        <f>'NTN-B'!B42</f>
        <v>45061</v>
      </c>
      <c r="C17" s="504">
        <f>VLOOKUP(B17,'NTN-B'!$B$68:$C$82,2,FALSE)*100</f>
        <v>4.59</v>
      </c>
      <c r="D17" s="505">
        <f>VLOOKUP(B17,'NTN-B'!$B$37:$L$51,3,FALSE)*100</f>
        <v>6.45</v>
      </c>
      <c r="E17" s="506">
        <f>VLOOKUP(B17,'NTN-B'!$B$37:$L$51,4,FALSE)*100</f>
        <v>6.4</v>
      </c>
      <c r="F17" s="508">
        <f>VLOOKUP(B17,'NTN-B'!$B$37:$L$51,6,FALSE)*100</f>
        <v>0</v>
      </c>
      <c r="G17" s="602">
        <f>VLOOKUP(B17,'NTN-B'!$B$36:$L$50,5,FALSE)*100</f>
        <v>6.4350000000000005</v>
      </c>
      <c r="H17" s="472">
        <f>VLOOKUP(B17,'NTN-B'!$B$37:$N$50,12,FALSE)*100</f>
        <v>12.650248922915953</v>
      </c>
      <c r="I17" s="437">
        <f>VLOOKUP(B17,'NTN-B'!$B$37:$Q$50,13,FALSE)*100</f>
        <v>5.8394784825630319</v>
      </c>
      <c r="J17" s="496">
        <f>VLOOKUP(B17,'NTN-B'!$B$37:$O$51,14,FALSE)*100</f>
        <v>2.8559516146864361E-2</v>
      </c>
      <c r="K17" s="496">
        <f>VLOOKUP(B17,'NTN-B'!$B$37:$K$52,5,FALSE)*100-C17</f>
        <v>1.8450000000000006</v>
      </c>
      <c r="L17" s="467">
        <f>VLOOKUP(B17,'NTN-B'!$B$67:$P$82,15,FALSE)*10000</f>
        <v>-2.7557642689468587E-2</v>
      </c>
      <c r="M17" s="434">
        <v>44197</v>
      </c>
      <c r="N17" s="435">
        <f>'NTN-B'!P42</f>
        <v>12.63</v>
      </c>
      <c r="O17" s="436">
        <f>'NTN-B'!Q42</f>
        <v>12.64</v>
      </c>
    </row>
    <row r="18" spans="2:27" ht="15.75" x14ac:dyDescent="0.2">
      <c r="B18" s="503">
        <f>'NTN-B'!B43</f>
        <v>45519</v>
      </c>
      <c r="C18" s="504">
        <f>VLOOKUP(B18,'NTN-B'!$B$68:$C$82,2,FALSE)*100</f>
        <v>4.6265000000000001</v>
      </c>
      <c r="D18" s="505">
        <f>VLOOKUP(B18,'NTN-B'!$B$37:$L$51,3,FALSE)*100</f>
        <v>6.5299999999999994</v>
      </c>
      <c r="E18" s="506">
        <f>VLOOKUP(B18,'NTN-B'!$B$37:$L$51,4,FALSE)*100</f>
        <v>6.4799999999999995</v>
      </c>
      <c r="F18" s="508">
        <f>VLOOKUP(B18,'NTN-B'!$B$37:$L$51,6,FALSE)*100</f>
        <v>0</v>
      </c>
      <c r="G18" s="602">
        <f>VLOOKUP(B18,'NTN-B'!$B$36:$L$50,5,FALSE)*100</f>
        <v>6.49</v>
      </c>
      <c r="H18" s="472">
        <f>VLOOKUP(B18,'NTN-B'!$B$37:$N$50,12,FALSE)*100</f>
        <v>12.643581022998251</v>
      </c>
      <c r="I18" s="437">
        <f>VLOOKUP(B18,'NTN-B'!$B$37:$Q$50,13,FALSE)*100</f>
        <v>5.7785529373633793</v>
      </c>
      <c r="J18" s="496">
        <f>VLOOKUP(B18,'NTN-B'!$B$37:$O$51,14,FALSE)*100</f>
        <v>2.0208230281149042E-2</v>
      </c>
      <c r="K18" s="496">
        <f>VLOOKUP(B18,'NTN-B'!$B$37:$K$52,5,FALSE)*100-C18</f>
        <v>1.8635000000000002</v>
      </c>
      <c r="L18" s="467">
        <f>VLOOKUP(B18,'NTN-B'!$B$67:$P$82,15,FALSE)*10000</f>
        <v>-2.0419838504537324E-2</v>
      </c>
      <c r="M18" s="434">
        <v>44562</v>
      </c>
      <c r="N18" s="435">
        <f>'NTN-B'!P43</f>
        <v>12.6</v>
      </c>
      <c r="O18" s="436">
        <f>'NTN-B'!Q43</f>
        <v>12.61</v>
      </c>
    </row>
    <row r="19" spans="2:27" ht="15.75" x14ac:dyDescent="0.2">
      <c r="B19" s="503">
        <f>'NTN-B'!B44</f>
        <v>46249</v>
      </c>
      <c r="C19" s="504">
        <f>VLOOKUP(B19,'NTN-B'!$B$68:$C$82,2,FALSE)*100</f>
        <v>4.82</v>
      </c>
      <c r="D19" s="505">
        <f>VLOOKUP(B19,'NTN-B'!$B$37:$L$51,3,FALSE)*100</f>
        <v>0</v>
      </c>
      <c r="E19" s="506">
        <f>VLOOKUP(B19,'NTN-B'!$B$37:$L$51,4,FALSE)*100</f>
        <v>0</v>
      </c>
      <c r="F19" s="507">
        <f>VLOOKUP(B19,'NTN-B'!$B$37:$L$51,6,FALSE)*100</f>
        <v>0</v>
      </c>
      <c r="G19" s="601">
        <f>VLOOKUP(B19,'NTN-B'!$B$36:$L$50,5,FALSE)*100</f>
        <v>6.419999999999999</v>
      </c>
      <c r="H19" s="472">
        <f>VLOOKUP(B19,'NTN-B'!$B$37:$N$50,12,FALSE)*100</f>
        <v>12.619560759720748</v>
      </c>
      <c r="I19" s="437">
        <f>VLOOKUP(B19,'NTN-B'!$B$37:$Q$50,13,FALSE)*100</f>
        <v>5.8255598193203806</v>
      </c>
      <c r="J19" s="496">
        <f>VLOOKUP(B19,'NTN-B'!$B$37:$O$51,14,FALSE)*100</f>
        <v>1.8562829874180231E-2</v>
      </c>
      <c r="K19" s="496">
        <f>VLOOKUP(B19,'NTN-B'!$B$37:$K$52,5,FALSE)*100-C19</f>
        <v>1.5999999999999988</v>
      </c>
      <c r="L19" s="467">
        <f>VLOOKUP(B19,'NTN-B'!$B$67:$P$82,15,FALSE)*10000</f>
        <v>-5.7643361171116902E-3</v>
      </c>
      <c r="M19" s="434">
        <v>44562</v>
      </c>
      <c r="N19" s="435">
        <f>'NTN-B'!P44</f>
        <v>12.59</v>
      </c>
      <c r="O19" s="436">
        <f>'NTN-B'!Q44</f>
        <v>12.6</v>
      </c>
    </row>
    <row r="20" spans="2:27" ht="15.75" x14ac:dyDescent="0.2">
      <c r="B20" s="503">
        <f>'NTN-B'!B45</f>
        <v>47710</v>
      </c>
      <c r="C20" s="504">
        <f>VLOOKUP(B20,'NTN-B'!$B$68:$C$82,2,FALSE)*100</f>
        <v>4.9128999999999996</v>
      </c>
      <c r="D20" s="505">
        <f>VLOOKUP(B20,'NTN-B'!$B$37:$L$51,3,FALSE)*100</f>
        <v>6.36</v>
      </c>
      <c r="E20" s="506">
        <f>VLOOKUP(B20,'NTN-B'!$B$37:$L$51,4,FALSE)*100</f>
        <v>6.2600000000000007</v>
      </c>
      <c r="F20" s="507">
        <f>VLOOKUP(B20,'NTN-B'!$B$37:$L$51,6,FALSE)*100</f>
        <v>0</v>
      </c>
      <c r="G20" s="601">
        <f>VLOOKUP(B20,'NTN-B'!$B$36:$L$50,5,FALSE)*100</f>
        <v>6.32</v>
      </c>
      <c r="H20" s="472">
        <f>VLOOKUP(B20,'NTN-B'!$B$37:$N$50,12,FALSE)*100</f>
        <v>12.616551042309032</v>
      </c>
      <c r="I20" s="437">
        <f>VLOOKUP(B20,'NTN-B'!$B$37:$Q$50,13,FALSE)*100</f>
        <v>5.9222639600348348</v>
      </c>
      <c r="J20" s="496">
        <f>VLOOKUP(B20,'NTN-B'!$B$37:$O$51,14,FALSE)*100</f>
        <v>1.9922802069705092E-2</v>
      </c>
      <c r="K20" s="496">
        <f>VLOOKUP(B20,'NTN-B'!$B$37:$K$52,5,FALSE)*100-C20</f>
        <v>1.4071000000000007</v>
      </c>
      <c r="L20" s="467">
        <f>VLOOKUP(B20,'NTN-B'!$B$67:$P$82,15,FALSE)*10000</f>
        <v>-4.1370724866707231E-4</v>
      </c>
      <c r="M20" s="434">
        <v>45658</v>
      </c>
      <c r="N20" s="435">
        <f>'NTN-B'!P45</f>
        <v>12.59</v>
      </c>
      <c r="O20" s="436">
        <f>'NTN-B'!Q45</f>
        <v>12.6</v>
      </c>
    </row>
    <row r="21" spans="2:27" ht="16.5" thickBot="1" x14ac:dyDescent="0.25">
      <c r="B21" s="503">
        <f>'NTN-B'!B46</f>
        <v>49444</v>
      </c>
      <c r="C21" s="504">
        <f>VLOOKUP(B21,'NTN-B'!$B$68:$C$82,2,FALSE)*100</f>
        <v>4.9734999999999996</v>
      </c>
      <c r="D21" s="505">
        <f>VLOOKUP(B21,'NTN-B'!$B$37:$L$51,3,FALSE)*100</f>
        <v>0</v>
      </c>
      <c r="E21" s="506">
        <f>VLOOKUP(B21,'NTN-B'!$B$37:$L$51,4,FALSE)*100</f>
        <v>0</v>
      </c>
      <c r="F21" s="507">
        <f>VLOOKUP(B21,'NTN-B'!$B$37:$L$51,6,FALSE)*100</f>
        <v>0</v>
      </c>
      <c r="G21" s="601">
        <f>VLOOKUP(B21,'NTN-B'!$B$36:$L$50,5,FALSE)*100</f>
        <v>6.35</v>
      </c>
      <c r="H21" s="472">
        <f>VLOOKUP(B21,'NTN-B'!$B$37:$N$50,12,FALSE)*100</f>
        <v>12.621581783839297</v>
      </c>
      <c r="I21" s="437">
        <f>VLOOKUP(B21,'NTN-B'!$B$37:$Q$50,13,FALSE)*100</f>
        <v>5.8971149824535107</v>
      </c>
      <c r="J21" s="496">
        <f>VLOOKUP(B21,'NTN-B'!$B$37:$O$51,14,FALSE)*100</f>
        <v>2.0229357951584426E-2</v>
      </c>
      <c r="K21" s="496">
        <f>VLOOKUP(B21,'NTN-B'!$B$37:$K$52,5,FALSE)*100-C21</f>
        <v>1.3765000000000001</v>
      </c>
      <c r="L21" s="467">
        <f>VLOOKUP(B21,'NTN-B'!$B$67:$P$82,15,FALSE)*10000</f>
        <v>1.7877318634479389E-3</v>
      </c>
      <c r="M21" s="434">
        <v>45658</v>
      </c>
      <c r="N21" s="435">
        <f>'NTN-B'!P46</f>
        <v>12.59</v>
      </c>
      <c r="O21" s="436">
        <f>'NTN-B'!Q46</f>
        <v>12.6</v>
      </c>
    </row>
    <row r="22" spans="2:27" ht="15.75" x14ac:dyDescent="0.2">
      <c r="B22" s="503">
        <f>'NTN-B'!B47</f>
        <v>51363</v>
      </c>
      <c r="C22" s="504">
        <f>VLOOKUP(B22,'NTN-B'!$B$68:$C$82,2,FALSE)*100</f>
        <v>5</v>
      </c>
      <c r="D22" s="505">
        <f>VLOOKUP(B22,'NTN-B'!$B$37:$L$51,3,FALSE)*100</f>
        <v>0</v>
      </c>
      <c r="E22" s="506">
        <f>VLOOKUP(B22,'NTN-B'!$B$37:$L$51,4,FALSE)*100</f>
        <v>0</v>
      </c>
      <c r="F22" s="507">
        <f>VLOOKUP(B22,'NTN-B'!$B$37:$L$51,6,FALSE)*100</f>
        <v>0</v>
      </c>
      <c r="G22" s="601">
        <f>VLOOKUP(B22,'NTN-B'!$B$36:$L$50,5,FALSE)*100</f>
        <v>6.254999999999999</v>
      </c>
      <c r="H22" s="472">
        <f>VLOOKUP(B22,'NTN-B'!$B$37:$N$50,12,FALSE)*100</f>
        <v>12.6179486106744</v>
      </c>
      <c r="I22" s="437">
        <f>VLOOKUP(B22,'NTN-B'!$B$37:$Q$50,13,FALSE)*100</f>
        <v>5.9883757100130941</v>
      </c>
      <c r="J22" s="496">
        <f>VLOOKUP(B22,'NTN-B'!$B$37:$O$51,14,FALSE)*100</f>
        <v>1.776152659729302E-2</v>
      </c>
      <c r="K22" s="496">
        <f>VLOOKUP(B22,'NTN-B'!$B$37:$K$52,5,FALSE)*100-C22</f>
        <v>1.254999999999999</v>
      </c>
      <c r="L22" s="467">
        <f>VLOOKUP(B22,'NTN-B'!$B$67:$P$82,15,FALSE)*10000</f>
        <v>2.3044882539735578E-3</v>
      </c>
      <c r="M22" s="434">
        <v>45658</v>
      </c>
      <c r="N22" s="435">
        <f>'NTN-B'!P47</f>
        <v>12.59</v>
      </c>
      <c r="O22" s="436">
        <f>'NTN-B'!Q47</f>
        <v>12.6</v>
      </c>
      <c r="Q22" s="664"/>
      <c r="R22" s="665"/>
      <c r="S22" s="665"/>
      <c r="T22" s="665"/>
      <c r="U22" s="665"/>
      <c r="V22" s="665"/>
      <c r="W22" s="665"/>
      <c r="X22" s="665"/>
      <c r="Y22" s="665"/>
      <c r="Z22" s="665"/>
      <c r="AA22" s="666"/>
    </row>
    <row r="23" spans="2:27" ht="15.75" x14ac:dyDescent="0.2">
      <c r="B23" s="503">
        <f>'NTN-B'!B48</f>
        <v>53097</v>
      </c>
      <c r="C23" s="504">
        <f>VLOOKUP(B23,'NTN-B'!$B$68:$C$82,2,FALSE)*100</f>
        <v>5.1051000000000002</v>
      </c>
      <c r="D23" s="505">
        <f>VLOOKUP(B23,'NTN-B'!$B$37:$L$51,3,FALSE)*100</f>
        <v>0</v>
      </c>
      <c r="E23" s="506">
        <f>VLOOKUP(B23,'NTN-B'!$B$37:$L$51,4,FALSE)*100</f>
        <v>0</v>
      </c>
      <c r="F23" s="507">
        <f>VLOOKUP(B23,'NTN-B'!$B$37:$L$51,6,FALSE)*100</f>
        <v>0</v>
      </c>
      <c r="G23" s="601">
        <f>VLOOKUP(B23,'NTN-B'!$B$36:$L$50,5,FALSE)*100</f>
        <v>6.2600000000000007</v>
      </c>
      <c r="H23" s="472">
        <f>VLOOKUP(B23,'NTN-B'!$B$37:$N$50,12,FALSE)*100</f>
        <v>12.616048508846145</v>
      </c>
      <c r="I23" s="437">
        <f>VLOOKUP(B23,'NTN-B'!$B$37:$Q$50,13,FALSE)*100</f>
        <v>5.9816003282948893</v>
      </c>
      <c r="J23" s="496">
        <f>VLOOKUP(B23,'NTN-B'!$B$37:$O$51,14,FALSE)*100</f>
        <v>1.9535045845131549E-2</v>
      </c>
      <c r="K23" s="496">
        <f>VLOOKUP(B23,'NTN-B'!$B$37:$K$52,5,FALSE)*100-C23</f>
        <v>1.1549000000000005</v>
      </c>
      <c r="L23" s="467">
        <f>VLOOKUP(B23,'NTN-B'!$B$67:$P$82,15,FALSE)*10000</f>
        <v>5.0305956374174787E-3</v>
      </c>
      <c r="M23" s="434">
        <v>45658</v>
      </c>
      <c r="N23" s="435">
        <f>'NTN-B'!P48</f>
        <v>12.59</v>
      </c>
      <c r="O23" s="436">
        <f>'NTN-B'!Q48</f>
        <v>12.6</v>
      </c>
      <c r="Q23" s="667"/>
      <c r="R23" s="207"/>
      <c r="S23" s="207"/>
      <c r="T23" s="207"/>
      <c r="U23" s="207"/>
      <c r="V23" s="207"/>
      <c r="W23" s="207"/>
      <c r="X23" s="207"/>
      <c r="Y23" s="207"/>
      <c r="Z23" s="207"/>
      <c r="AA23" s="668"/>
    </row>
    <row r="24" spans="2:27" ht="15.75" x14ac:dyDescent="0.2">
      <c r="B24" s="503">
        <f>'NTN-B'!B49</f>
        <v>55015</v>
      </c>
      <c r="C24" s="504">
        <f>VLOOKUP(B24,'NTN-B'!$B$68:$C$82,2,FALSE)*100</f>
        <v>5.0824999999999996</v>
      </c>
      <c r="D24" s="505">
        <f>VLOOKUP(B24,'NTN-B'!$B$37:$L$51,3,FALSE)*100</f>
        <v>0</v>
      </c>
      <c r="E24" s="506">
        <f>VLOOKUP(B24,'NTN-B'!$B$37:$L$51,4,FALSE)*100</f>
        <v>0</v>
      </c>
      <c r="F24" s="507">
        <f>VLOOKUP(B24,'NTN-B'!$B$37:$L$51,6,FALSE)*100</f>
        <v>0</v>
      </c>
      <c r="G24" s="601">
        <f>VLOOKUP(B24,'NTN-B'!$B$36:$L$50,5,FALSE)*100</f>
        <v>6.23</v>
      </c>
      <c r="H24" s="472">
        <f>VLOOKUP(B24,'NTN-B'!$B$37:$N$50,12,FALSE)*100</f>
        <v>12.615427363611143</v>
      </c>
      <c r="I24" s="437">
        <f>VLOOKUP(B24,'NTN-B'!$B$37:$Q$50,13,FALSE)*100</f>
        <v>6.0109454613679114</v>
      </c>
      <c r="J24" s="496">
        <f>VLOOKUP(B24,'NTN-B'!$B$37:$O$51,14,FALSE)*100</f>
        <v>1.923516441364459E-2</v>
      </c>
      <c r="K24" s="496">
        <f>VLOOKUP(B24,'NTN-B'!$B$37:$K$52,5,FALSE)*100-C24</f>
        <v>1.1475000000000009</v>
      </c>
      <c r="L24" s="467">
        <f>VLOOKUP(B24,'NTN-B'!$B$67:$P$82,15,FALSE)*10000</f>
        <v>4.0196952556803556E-3</v>
      </c>
      <c r="M24" s="434">
        <v>45658</v>
      </c>
      <c r="N24" s="435">
        <f>'NTN-B'!P49</f>
        <v>12.59</v>
      </c>
      <c r="O24" s="436">
        <f>'NTN-B'!Q49</f>
        <v>12.6</v>
      </c>
      <c r="Q24" s="667"/>
      <c r="R24" s="207"/>
      <c r="S24" s="207"/>
      <c r="T24" s="207"/>
      <c r="U24" s="207"/>
      <c r="V24" s="207"/>
      <c r="W24" s="207"/>
      <c r="X24" s="207"/>
      <c r="Y24" s="207"/>
      <c r="Z24" s="207"/>
      <c r="AA24" s="668"/>
    </row>
    <row r="25" spans="2:27" ht="15.75" x14ac:dyDescent="0.2">
      <c r="B25" s="503">
        <f>'NTN-B'!B50</f>
        <v>56749</v>
      </c>
      <c r="C25" s="504">
        <f>VLOOKUP(B25,'NTN-B'!$B$68:$C$82,2,FALSE)*100</f>
        <v>5.0475000000000003</v>
      </c>
      <c r="D25" s="505">
        <f>VLOOKUP(B25,'NTN-B'!$B$37:$L$51,3,FALSE)*100</f>
        <v>0</v>
      </c>
      <c r="E25" s="506">
        <f>VLOOKUP(B25,'NTN-B'!$B$37:$L$51,4,FALSE)*100</f>
        <v>0</v>
      </c>
      <c r="F25" s="507">
        <f>VLOOKUP(B25,'NTN-B'!$B$37:$L$51,6,FALSE)*100</f>
        <v>0</v>
      </c>
      <c r="G25" s="601">
        <f>VLOOKUP(B25,'NTN-B'!$B$36:$L$50,5,FALSE)*100</f>
        <v>6.25</v>
      </c>
      <c r="H25" s="472">
        <f>VLOOKUP(B25,'NTN-B'!$B$37:$N$50,12,FALSE)*100</f>
        <v>12.616256077137479</v>
      </c>
      <c r="I25" s="437">
        <f>VLOOKUP(B25,'NTN-B'!$B$37:$Q$50,13,FALSE)*100</f>
        <v>5.9917704255411541</v>
      </c>
      <c r="J25" s="496">
        <f>VLOOKUP(B25,'NTN-B'!$B$37:$O$51,14,FALSE)*100</f>
        <v>1.9399269128439478E-2</v>
      </c>
      <c r="K25" s="496">
        <f>VLOOKUP(B25,'NTN-B'!$B$37:$K$52,5,FALSE)*100-C25</f>
        <v>1.2024999999999997</v>
      </c>
      <c r="L25" s="467">
        <f>VLOOKUP(B25,'NTN-B'!$B$67:$P$82,15,FALSE)*10000</f>
        <v>3.0078600569971581E-3</v>
      </c>
      <c r="M25" s="434">
        <v>45658</v>
      </c>
      <c r="N25" s="435">
        <f>'NTN-B'!P50</f>
        <v>12.59</v>
      </c>
      <c r="O25" s="436">
        <f>'NTN-B'!Q50</f>
        <v>12.6</v>
      </c>
      <c r="Q25" s="667"/>
      <c r="R25" s="207"/>
      <c r="S25" s="207"/>
      <c r="T25" s="207"/>
      <c r="U25" s="207"/>
      <c r="V25" s="739" t="s">
        <v>477</v>
      </c>
      <c r="W25" s="739"/>
      <c r="X25" s="739"/>
      <c r="Y25" s="739"/>
      <c r="Z25" s="739"/>
      <c r="AA25" s="668"/>
    </row>
    <row r="26" spans="2:27" s="188" customFormat="1" ht="16.5" thickBot="1" x14ac:dyDescent="0.25">
      <c r="B26" s="509">
        <f>'NTN-B'!B51</f>
        <v>56749</v>
      </c>
      <c r="C26" s="510">
        <f>VLOOKUP(B26,'NTN-B'!$B$68:$C$82,2,FALSE)*100</f>
        <v>5.0475000000000003</v>
      </c>
      <c r="D26" s="511">
        <f>VLOOKUP(B26,'NTN-B'!$B$37:$L$51,3,FALSE)*100</f>
        <v>0</v>
      </c>
      <c r="E26" s="512">
        <f>VLOOKUP(B26,'NTN-B'!$B$37:$L$51,4,FALSE)*100</f>
        <v>0</v>
      </c>
      <c r="F26" s="513">
        <f>VLOOKUP(B26,'NTN-B'!$B$37:$L$51,6,FALSE)*100</f>
        <v>0</v>
      </c>
      <c r="G26" s="603">
        <f>VLOOKUP(B26,'NTN-B'!$B$36:$L$51,5,FALSE)*100</f>
        <v>6.25</v>
      </c>
      <c r="H26" s="473">
        <f>VLOOKUP(B26,'NTN-B'!$B$37:$N$51,12,FALSE)*100</f>
        <v>12.616256077137479</v>
      </c>
      <c r="I26" s="441">
        <f>VLOOKUP(B26,'NTN-B'!$B$37:$Q$51,13,FALSE)*100</f>
        <v>5.9917704255411541</v>
      </c>
      <c r="J26" s="497">
        <f>VLOOKUP(B26,'NTN-B'!$B$37:$O$51,14,FALSE)*100</f>
        <v>1.9399269128439478E-2</v>
      </c>
      <c r="K26" s="497">
        <f>VLOOKUP(B26,'NTN-B'!$B$37:$K$52,5,FALSE)*100-C26</f>
        <v>1.2024999999999997</v>
      </c>
      <c r="L26" s="468">
        <f>VLOOKUP(B26,'NTN-B'!$B$67:$P$82,15,FALSE)*10000</f>
        <v>3.0078600569971581E-3</v>
      </c>
      <c r="M26" s="438">
        <v>45658</v>
      </c>
      <c r="N26" s="439">
        <f>'NTN-B'!P51</f>
        <v>12.59</v>
      </c>
      <c r="O26" s="440">
        <f>'NTN-B'!Q51</f>
        <v>12.6</v>
      </c>
      <c r="Q26" s="708"/>
      <c r="R26" s="709"/>
      <c r="S26" s="709"/>
      <c r="T26" s="709"/>
      <c r="U26" s="709"/>
      <c r="V26" s="740"/>
      <c r="W26" s="740"/>
      <c r="X26" s="740"/>
      <c r="Y26" s="740"/>
      <c r="Z26" s="740"/>
      <c r="AA26" s="710"/>
    </row>
    <row r="27" spans="2:27" s="188" customFormat="1" ht="12.75" customHeight="1" thickBot="1" x14ac:dyDescent="0.25">
      <c r="B27" s="509">
        <f>'NTN-B'!B52</f>
        <v>56749</v>
      </c>
      <c r="C27" s="510">
        <f>VLOOKUP(B27,'NTN-B'!$B$68:$C$83,2,FALSE)*100</f>
        <v>5.0475000000000003</v>
      </c>
      <c r="D27" s="511">
        <f>VLOOKUP(B27,'NTN-B'!$B$37:$L$52,3,FALSE)*100</f>
        <v>0</v>
      </c>
      <c r="E27" s="512">
        <f>VLOOKUP(B27,'NTN-B'!$B$37:$L$52,4,FALSE)*100</f>
        <v>0</v>
      </c>
      <c r="F27" s="513">
        <f>VLOOKUP(B27,'NTN-B'!$B$37:$L$52,6,FALSE)*100</f>
        <v>0</v>
      </c>
      <c r="G27" s="603">
        <f>VLOOKUP(B27,'NTN-B'!$B$36:$L$52,5,FALSE)*100</f>
        <v>6.25</v>
      </c>
      <c r="H27" s="473">
        <f>VLOOKUP(B27,'NTN-B'!$B$37:$N$52,12,FALSE)*100</f>
        <v>12.616256077137479</v>
      </c>
      <c r="I27" s="441">
        <f>VLOOKUP(B27,'NTN-B'!$B$37:$Q$52,13,FALSE)*100</f>
        <v>5.9917704255411541</v>
      </c>
      <c r="J27" s="497">
        <f>VLOOKUP(B27,'NTN-B'!$B$37:$O$52,14,FALSE)*100</f>
        <v>1.9399269128439478E-2</v>
      </c>
      <c r="K27" s="497">
        <f>VLOOKUP(B27,'NTN-B'!$B$37:$K$52,5,FALSE)*100-C27</f>
        <v>1.2024999999999997</v>
      </c>
      <c r="L27" s="468">
        <f>VLOOKUP(B27,'NTN-B'!$B$67:$P$83,15,FALSE)*10000</f>
        <v>3.0078600569971581E-3</v>
      </c>
      <c r="M27" s="438">
        <v>45658</v>
      </c>
      <c r="N27" s="439">
        <f>'NTN-B'!P52</f>
        <v>12.59</v>
      </c>
      <c r="O27" s="440">
        <f>'NTN-B'!Q52</f>
        <v>12.6</v>
      </c>
      <c r="Q27" s="723" t="s">
        <v>7</v>
      </c>
      <c r="R27" s="724"/>
      <c r="S27" s="724"/>
      <c r="T27" s="724"/>
      <c r="U27" s="724"/>
      <c r="V27" s="724"/>
      <c r="W27" s="724"/>
      <c r="X27" s="724"/>
      <c r="Y27" s="724"/>
      <c r="Z27" s="725"/>
      <c r="AA27" s="680"/>
    </row>
    <row r="28" spans="2:27" s="188" customFormat="1" ht="13.5" customHeight="1" thickBot="1" x14ac:dyDescent="0.25">
      <c r="B28" s="533"/>
      <c r="Q28" s="726"/>
      <c r="R28" s="727"/>
      <c r="S28" s="727"/>
      <c r="T28" s="727"/>
      <c r="U28" s="727"/>
      <c r="V28" s="727"/>
      <c r="W28" s="727"/>
      <c r="X28" s="727"/>
      <c r="Y28" s="727"/>
      <c r="Z28" s="728"/>
      <c r="AA28" s="680"/>
    </row>
    <row r="29" spans="2:27" s="188" customFormat="1" ht="70.5" customHeight="1" x14ac:dyDescent="0.2">
      <c r="B29" s="532" t="s">
        <v>300</v>
      </c>
      <c r="C29" s="539" t="str">
        <f>C11</f>
        <v>Anbima</v>
      </c>
      <c r="D29" s="532" t="str">
        <f>T29</f>
        <v>BE</v>
      </c>
      <c r="Q29" s="626" t="s">
        <v>453</v>
      </c>
      <c r="R29" s="517" t="s">
        <v>454</v>
      </c>
      <c r="S29" s="518" t="s">
        <v>452</v>
      </c>
      <c r="T29" s="527" t="s">
        <v>256</v>
      </c>
      <c r="U29" s="527" t="s">
        <v>307</v>
      </c>
      <c r="V29" s="517" t="s">
        <v>445</v>
      </c>
      <c r="W29" s="518" t="s">
        <v>455</v>
      </c>
      <c r="X29" s="517" t="s">
        <v>441</v>
      </c>
      <c r="Y29" s="527" t="s">
        <v>450</v>
      </c>
      <c r="Z29" s="518" t="str">
        <f>CONCATENATE("Carry BPS - D-",'NTN-B'!E4,"/D0")</f>
        <v>Carry BPS - D-1/D0</v>
      </c>
      <c r="AA29" s="518" t="s">
        <v>465</v>
      </c>
    </row>
    <row r="30" spans="2:27" s="188" customFormat="1" ht="15.75" hidden="1" x14ac:dyDescent="0.2">
      <c r="B30" s="220"/>
      <c r="C30" s="534"/>
      <c r="D30" s="535"/>
      <c r="Q30" s="627"/>
      <c r="R30" s="519"/>
      <c r="S30" s="520"/>
      <c r="T30" s="624"/>
      <c r="U30" s="625"/>
      <c r="V30" s="523"/>
      <c r="W30" s="525"/>
      <c r="X30" s="528"/>
      <c r="Y30" s="595"/>
      <c r="Z30" s="529"/>
      <c r="AA30" s="681"/>
    </row>
    <row r="31" spans="2:27" s="188" customFormat="1" ht="15.75" hidden="1" x14ac:dyDescent="0.2">
      <c r="Q31" s="633">
        <f>Emails!B13</f>
        <v>43600</v>
      </c>
      <c r="R31" s="521">
        <f>VLOOKUP(Q31,'NTN-B'!$B$68:$C$83,2,FALSE)*100</f>
        <v>3.29</v>
      </c>
      <c r="S31" s="522">
        <f>VLOOKUP(Q31,'NTN-B'!$B$68:$N$83,12,FALSE)*100</f>
        <v>0</v>
      </c>
      <c r="T31" s="622">
        <f>VLOOKUP(Q31,'NTN-B'!$B$68:$N$83,4,FALSE)*100</f>
        <v>4.1280465070785866</v>
      </c>
      <c r="U31" s="623" t="e">
        <f>VLOOKUP(Q31,'NTN-B'!$B$68:$N$83,13,FALSE)*100</f>
        <v>#NAME?</v>
      </c>
      <c r="V31" s="524">
        <f>VLOOKUP(Q31,'NTN-B'!$B$68:$Q$83,14,FALSE)*100</f>
        <v>3.1864234535480485</v>
      </c>
      <c r="W31" s="526">
        <f>V31</f>
        <v>3.1864234535480485</v>
      </c>
      <c r="X31" s="637">
        <f>'NTN-B'!G69</f>
        <v>43570</v>
      </c>
      <c r="Y31" s="596">
        <f>'NTN-B'!H69</f>
        <v>4765.0397613910045</v>
      </c>
      <c r="Z31" s="530">
        <f>'NTN-B'!P69*10000</f>
        <v>-0.41855217134692535</v>
      </c>
      <c r="AA31" s="682" t="e">
        <f>VLOOKUP(Z31,'NTN-B'!$B$68:$C$83,2,FALSE)*100</f>
        <v>#N/A</v>
      </c>
    </row>
    <row r="32" spans="2:27" s="188" customFormat="1" ht="15.75" x14ac:dyDescent="0.2">
      <c r="B32" s="220">
        <f t="shared" ref="B32:C32" si="0">B12</f>
        <v>43327</v>
      </c>
      <c r="C32" s="534">
        <f t="shared" si="0"/>
        <v>3.37</v>
      </c>
      <c r="D32" s="629">
        <f>T32</f>
        <v>3.6610389630839624</v>
      </c>
      <c r="N32" s="536"/>
      <c r="Q32" s="634">
        <f>'NTN-B'!B68</f>
        <v>43327</v>
      </c>
      <c r="R32" s="519">
        <f>VLOOKUP(Q32,'NTN-B'!$B$68:$C$83,2,FALSE)*100</f>
        <v>3.37</v>
      </c>
      <c r="S32" s="520">
        <f>VLOOKUP(Q32,'NTN-B'!$B$68:$N$83,12,FALSE)*100</f>
        <v>0</v>
      </c>
      <c r="T32" s="624">
        <f>VLOOKUP(Q32,'NTN-B'!$B$68:$N$83,4,FALSE)*100</f>
        <v>3.6610389630839624</v>
      </c>
      <c r="U32" s="625" t="e">
        <f>VLOOKUP(Q32,'NTN-B'!$B$68:$N$83,13,FALSE)*100</f>
        <v>#NAME?</v>
      </c>
      <c r="V32" s="523">
        <f>VLOOKUP(Q32,'NTN-B'!$B$68:$Q$83,14,FALSE)*100</f>
        <v>3.37</v>
      </c>
      <c r="W32" s="525">
        <f>VLOOKUP(Q32,'NTN-B'!$B$68:$Q$83,16,FALSE)*100</f>
        <v>3.6610389630839624</v>
      </c>
      <c r="X32" s="638">
        <f>VLOOKUP(Q32,'NTN-B'!$B$68:$L$83,6,FALSE)</f>
        <v>43321</v>
      </c>
      <c r="Y32" s="595">
        <f>VLOOKUP(Q32,'NTN-B'!$B$68:$L$83,7,FALSE)</f>
        <v>2606.8234320913548</v>
      </c>
      <c r="Z32" s="529">
        <f>VLOOKUP(Q32,'NTN-B'!$B$68:$LY$83,15,FALSE)*10000</f>
        <v>-0.7068810302118117</v>
      </c>
      <c r="AA32" s="683">
        <f ca="1">_xll.Spline(Curva!$T$3:$T$43,Curva!$C$3:$C$43,'NTN-B'!D70)</f>
        <v>8.3692223544548014E-2</v>
      </c>
    </row>
    <row r="33" spans="2:27" s="188" customFormat="1" ht="15.75" x14ac:dyDescent="0.2">
      <c r="B33" s="220">
        <f t="shared" ref="B33:C33" si="1">B13</f>
        <v>43600</v>
      </c>
      <c r="C33" s="534">
        <f t="shared" si="1"/>
        <v>3.29</v>
      </c>
      <c r="D33" s="629">
        <f>T33</f>
        <v>4.1280465070785866</v>
      </c>
      <c r="N33" s="536"/>
      <c r="Q33" s="633">
        <f>'NTN-B'!B69</f>
        <v>43600</v>
      </c>
      <c r="R33" s="521">
        <f>VLOOKUP(Q33,'NTN-B'!$B$68:$C$83,2,FALSE)*100</f>
        <v>3.29</v>
      </c>
      <c r="S33" s="522">
        <f>VLOOKUP(Q33,'NTN-B'!$B$68:$N$83,12,FALSE)*100</f>
        <v>0</v>
      </c>
      <c r="T33" s="622">
        <f>VLOOKUP(Q33,'NTN-B'!$B$68:$N$83,4,FALSE)*100</f>
        <v>4.1280465070785866</v>
      </c>
      <c r="U33" s="623" t="e">
        <f>VLOOKUP(Q33,'NTN-B'!$B$68:$N$83,13,FALSE)*100</f>
        <v>#NAME?</v>
      </c>
      <c r="V33" s="524">
        <f>VLOOKUP(Q33,'NTN-B'!$B$68:$Q$83,14,FALSE)*100</f>
        <v>3.1864234535480485</v>
      </c>
      <c r="W33" s="526">
        <f>VLOOKUP(Q33,'NTN-B'!$B$68:$Q$83,16,FALSE)*100</f>
        <v>4.7363530670390563</v>
      </c>
      <c r="X33" s="637">
        <f>VLOOKUP(Q33,'NTN-B'!$B$68:$L$83,6,FALSE)</f>
        <v>43570</v>
      </c>
      <c r="Y33" s="596">
        <f>VLOOKUP(Q33,'NTN-B'!$B$68:$L$83,7,FALSE)</f>
        <v>4765.0397613910045</v>
      </c>
      <c r="Z33" s="530">
        <f>VLOOKUP(Q33,'NTN-B'!$B$68:$LY$83,15,FALSE)*10000</f>
        <v>-0.41855217134692535</v>
      </c>
      <c r="AA33" s="684">
        <f ca="1">_xll.Spline(Curva!$T$3:$T$43,Curva!$C$3:$C$43,'NTN-B'!D71)</f>
        <v>8.7188615112226683E-2</v>
      </c>
    </row>
    <row r="34" spans="2:27" s="188" customFormat="1" ht="15.75" x14ac:dyDescent="0.2">
      <c r="B34" s="220">
        <f t="shared" ref="B34:C43" si="2">B14</f>
        <v>44058</v>
      </c>
      <c r="C34" s="534">
        <f t="shared" si="2"/>
        <v>3.93</v>
      </c>
      <c r="D34" s="629">
        <f t="shared" ref="D34:D45" si="3">T34</f>
        <v>4.3570258864244593</v>
      </c>
      <c r="N34" s="536"/>
      <c r="Q34" s="634">
        <f>'NTN-B'!B70</f>
        <v>44058</v>
      </c>
      <c r="R34" s="519">
        <f>VLOOKUP(Q34,'NTN-B'!$B$68:$C$83,2,FALSE)*100</f>
        <v>3.93</v>
      </c>
      <c r="S34" s="520">
        <f>VLOOKUP(Q34,'NTN-B'!$B$68:$N$83,12,FALSE)*100</f>
        <v>0</v>
      </c>
      <c r="T34" s="624">
        <f>VLOOKUP(Q34,'NTN-B'!$B$68:$N$83,4,FALSE)*100</f>
        <v>4.3570258864244593</v>
      </c>
      <c r="U34" s="625" t="e">
        <f>VLOOKUP(Q34,'NTN-B'!$B$68:$N$83,13,FALSE)*100</f>
        <v>#NAME?</v>
      </c>
      <c r="V34" s="523">
        <f>VLOOKUP(Q34,'NTN-B'!$B$68:$Q$83,14,FALSE)*100</f>
        <v>4.7984966792320005</v>
      </c>
      <c r="W34" s="525">
        <f>VLOOKUP(Q34,'NTN-B'!$B$68:$Q$83,16,FALSE)*100</f>
        <v>4.6663083354938628</v>
      </c>
      <c r="X34" s="638">
        <f>VLOOKUP(Q34,'NTN-B'!$B$68:$L$83,6,FALSE)</f>
        <v>43987</v>
      </c>
      <c r="Y34" s="595">
        <f>VLOOKUP(Q34,'NTN-B'!$B$68:$L$83,7,FALSE)</f>
        <v>8234.8053656990433</v>
      </c>
      <c r="Z34" s="529">
        <f>VLOOKUP(Q34,'NTN-B'!$B$68:$LY$83,15,FALSE)*10000</f>
        <v>-0.14635270894181041</v>
      </c>
      <c r="AA34" s="683">
        <f ca="1">_xll.Spline(Curva!$T$3:$T$43,Curva!$C$3:$C$43,'NTN-B'!D72)</f>
        <v>9.1527644898280108E-2</v>
      </c>
    </row>
    <row r="35" spans="2:27" s="188" customFormat="1" ht="15.75" x14ac:dyDescent="0.2">
      <c r="B35" s="220">
        <f t="shared" si="2"/>
        <v>44331</v>
      </c>
      <c r="C35" s="534">
        <f t="shared" si="2"/>
        <v>4.1604000000000001</v>
      </c>
      <c r="D35" s="629">
        <f t="shared" si="3"/>
        <v>4.4832342903118771</v>
      </c>
      <c r="N35" s="536"/>
      <c r="Q35" s="633">
        <f>'NTN-B'!B71</f>
        <v>44331</v>
      </c>
      <c r="R35" s="521">
        <f>VLOOKUP(Q35,'NTN-B'!$B$68:$C$83,2,FALSE)*100</f>
        <v>4.1604000000000001</v>
      </c>
      <c r="S35" s="522">
        <f>VLOOKUP(Q35,'NTN-B'!$B$68:$N$83,12,FALSE)*100</f>
        <v>0</v>
      </c>
      <c r="T35" s="622">
        <f>VLOOKUP(Q35,'NTN-B'!$B$68:$N$83,4,FALSE)*100</f>
        <v>4.4832342903118771</v>
      </c>
      <c r="U35" s="623" t="e">
        <f>VLOOKUP(Q35,'NTN-B'!$B$68:$N$83,13,FALSE)*100</f>
        <v>#NAME?</v>
      </c>
      <c r="V35" s="524">
        <f>VLOOKUP(Q35,'NTN-B'!$B$68:$Q$83,14,FALSE)*100</f>
        <v>5.248845660933954</v>
      </c>
      <c r="W35" s="526">
        <f>VLOOKUP(Q35,'NTN-B'!$B$68:$Q$83,16,FALSE)*100</f>
        <v>5.0777558138567436</v>
      </c>
      <c r="X35" s="637">
        <f>VLOOKUP(Q35,'NTN-B'!$B$68:$L$83,6,FALSE)</f>
        <v>44196</v>
      </c>
      <c r="Y35" s="596">
        <f>VLOOKUP(Q35,'NTN-B'!$B$68:$L$83,7,FALSE)</f>
        <v>10172.582037482503</v>
      </c>
      <c r="Z35" s="530">
        <f>VLOOKUP(Q35,'NTN-B'!$B$68:$LY$83,15,FALSE)*10000</f>
        <v>-9.2725175875607579E-2</v>
      </c>
      <c r="AA35" s="684">
        <f ca="1">_xll.Spline(Curva!$T$3:$T$43,Curva!$C$3:$C$43,'NTN-B'!D73)</f>
        <v>9.2760119313879119E-2</v>
      </c>
    </row>
    <row r="36" spans="2:27" s="188" customFormat="1" ht="15.75" x14ac:dyDescent="0.2">
      <c r="B36" s="220">
        <f t="shared" si="2"/>
        <v>44788</v>
      </c>
      <c r="C36" s="534">
        <f t="shared" si="2"/>
        <v>4.4800000000000004</v>
      </c>
      <c r="D36" s="629">
        <f t="shared" si="3"/>
        <v>4.5176542544979048</v>
      </c>
      <c r="N36" s="536"/>
      <c r="Q36" s="634">
        <f>'NTN-B'!B72</f>
        <v>44788</v>
      </c>
      <c r="R36" s="519">
        <f>VLOOKUP(Q36,'NTN-B'!$B$68:$C$83,2,FALSE)*100</f>
        <v>4.4800000000000004</v>
      </c>
      <c r="S36" s="520">
        <f>VLOOKUP(Q36,'NTN-B'!$B$68:$N$83,12,FALSE)*100</f>
        <v>0</v>
      </c>
      <c r="T36" s="624">
        <f>VLOOKUP(Q36,'NTN-B'!$B$68:$N$83,4,FALSE)*100</f>
        <v>4.5176542544979048</v>
      </c>
      <c r="U36" s="625" t="e">
        <f>VLOOKUP(Q36,'NTN-B'!$B$68:$N$83,13,FALSE)*100</f>
        <v>#NAME?</v>
      </c>
      <c r="V36" s="523">
        <f>VLOOKUP(Q36,'NTN-B'!$B$68:$Q$83,14,FALSE)*100</f>
        <v>5.4866261474622258</v>
      </c>
      <c r="W36" s="525">
        <f>VLOOKUP(Q36,'NTN-B'!$B$68:$Q$83,16,FALSE)*100</f>
        <v>4.6254541566486562</v>
      </c>
      <c r="X36" s="638">
        <f>VLOOKUP(Q36,'NTN-B'!$B$68:$L$83,6,FALSE)</f>
        <v>44578</v>
      </c>
      <c r="Y36" s="595">
        <f>VLOOKUP(Q36,'NTN-B'!$B$68:$L$83,7,FALSE)</f>
        <v>13252.555326300397</v>
      </c>
      <c r="Z36" s="529">
        <f>VLOOKUP(Q36,'NTN-B'!$B$68:$LY$83,15,FALSE)*10000</f>
        <v>-4.0856804486844034E-2</v>
      </c>
      <c r="AA36" s="683">
        <f ca="1">_xll.Spline(Curva!$T$3:$T$43,Curva!$C$3:$C$43,'NTN-B'!D74)</f>
        <v>9.454564852602218E-2</v>
      </c>
    </row>
    <row r="37" spans="2:27" s="188" customFormat="1" ht="15.75" x14ac:dyDescent="0.2">
      <c r="B37" s="220">
        <f t="shared" si="2"/>
        <v>45061</v>
      </c>
      <c r="C37" s="534">
        <f t="shared" si="2"/>
        <v>4.59</v>
      </c>
      <c r="D37" s="629">
        <f t="shared" si="3"/>
        <v>4.5280616862714673</v>
      </c>
      <c r="N37" s="536"/>
      <c r="Q37" s="633">
        <f>'NTN-B'!B73</f>
        <v>45061</v>
      </c>
      <c r="R37" s="521">
        <f>VLOOKUP(Q37,'NTN-B'!$B$68:$C$83,2,FALSE)*100</f>
        <v>4.59</v>
      </c>
      <c r="S37" s="522">
        <f>VLOOKUP(Q37,'NTN-B'!$B$68:$N$83,12,FALSE)*100</f>
        <v>0</v>
      </c>
      <c r="T37" s="622">
        <f>VLOOKUP(Q37,'NTN-B'!$B$68:$N$83,4,FALSE)*100</f>
        <v>4.5280616862714673</v>
      </c>
      <c r="U37" s="623" t="e">
        <f>VLOOKUP(Q37,'NTN-B'!$B$68:$N$83,13,FALSE)*100</f>
        <v>#NAME?</v>
      </c>
      <c r="V37" s="524">
        <f>VLOOKUP(Q37,'NTN-B'!$B$68:$Q$83,14,FALSE)*100</f>
        <v>5.5547662638987472</v>
      </c>
      <c r="W37" s="526">
        <f>VLOOKUP(Q37,'NTN-B'!$B$68:$Q$83,16,FALSE)*100</f>
        <v>4.6189189071399017</v>
      </c>
      <c r="X37" s="637">
        <f>VLOOKUP(Q37,'NTN-B'!$B$68:$L$83,6,FALSE)</f>
        <v>44757</v>
      </c>
      <c r="Y37" s="596">
        <f>VLOOKUP(Q37,'NTN-B'!$B$68:$L$83,7,FALSE)</f>
        <v>15002.394455803193</v>
      </c>
      <c r="Z37" s="530">
        <f>VLOOKUP(Q37,'NTN-B'!$B$68:$LY$83,15,FALSE)*10000</f>
        <v>-2.7557642689468587E-2</v>
      </c>
      <c r="AA37" s="684">
        <f ca="1">_xll.Spline(Curva!$T$3:$T$43,Curva!$C$3:$C$43,'NTN-B'!D75)</f>
        <v>9.690253784641574E-2</v>
      </c>
    </row>
    <row r="38" spans="2:27" s="188" customFormat="1" ht="15.75" x14ac:dyDescent="0.2">
      <c r="B38" s="220">
        <f t="shared" si="2"/>
        <v>45519</v>
      </c>
      <c r="C38" s="534">
        <f t="shared" si="2"/>
        <v>4.6265000000000001</v>
      </c>
      <c r="D38" s="629">
        <f t="shared" si="3"/>
        <v>4.6932274947447894</v>
      </c>
      <c r="N38" s="536"/>
      <c r="Q38" s="634">
        <f>'NTN-B'!B74</f>
        <v>45519</v>
      </c>
      <c r="R38" s="519">
        <f>VLOOKUP(Q38,'NTN-B'!$B$68:$C$83,2,FALSE)*100</f>
        <v>4.6265000000000001</v>
      </c>
      <c r="S38" s="520">
        <f>VLOOKUP(Q38,'NTN-B'!$B$68:$N$83,12,FALSE)*100</f>
        <v>0</v>
      </c>
      <c r="T38" s="624">
        <f>VLOOKUP(Q38,'NTN-B'!$B$68:$N$83,4,FALSE)*100</f>
        <v>4.6932274947447894</v>
      </c>
      <c r="U38" s="625" t="e">
        <f>VLOOKUP(Q38,'NTN-B'!$B$68:$N$83,13,FALSE)*100</f>
        <v>#NAME?</v>
      </c>
      <c r="V38" s="523">
        <f>VLOOKUP(Q38,'NTN-B'!$B$68:$Q$83,14,FALSE)*100</f>
        <v>4.8078367165550029</v>
      </c>
      <c r="W38" s="525">
        <f>VLOOKUP(Q38,'NTN-B'!$B$68:$Q$83,16,FALSE)*100</f>
        <v>5.5168090728987762</v>
      </c>
      <c r="X38" s="638">
        <f>VLOOKUP(Q38,'NTN-B'!$B$68:$L$83,6,FALSE)</f>
        <v>45112</v>
      </c>
      <c r="Y38" s="595">
        <f>VLOOKUP(Q38,'NTN-B'!$B$68:$L$83,7,FALSE)</f>
        <v>17952.529201989375</v>
      </c>
      <c r="Z38" s="529">
        <f>VLOOKUP(Q38,'NTN-B'!$B$68:$LY$83,15,FALSE)*10000</f>
        <v>-2.0419838504537324E-2</v>
      </c>
      <c r="AA38" s="683">
        <f ca="1">_xll.Spline(Curva!$T$3:$T$43,Curva!$C$3:$C$43,'NTN-B'!D76)</f>
        <v>9.9870503895412396E-2</v>
      </c>
    </row>
    <row r="39" spans="2:27" s="188" customFormat="1" ht="15.75" x14ac:dyDescent="0.2">
      <c r="B39" s="220">
        <f t="shared" si="2"/>
        <v>46249</v>
      </c>
      <c r="C39" s="534">
        <f t="shared" si="2"/>
        <v>4.82</v>
      </c>
      <c r="D39" s="629">
        <f t="shared" si="3"/>
        <v>4.7399933402023642</v>
      </c>
      <c r="N39" s="536"/>
      <c r="Q39" s="633">
        <f>'NTN-B'!B75</f>
        <v>46249</v>
      </c>
      <c r="R39" s="521">
        <f>VLOOKUP(Q39,'NTN-B'!$B$68:$C$83,2,FALSE)*100</f>
        <v>4.82</v>
      </c>
      <c r="S39" s="522">
        <f>VLOOKUP(Q39,'NTN-B'!$B$68:$N$83,12,FALSE)*100</f>
        <v>0</v>
      </c>
      <c r="T39" s="622">
        <f>VLOOKUP(Q39,'NTN-B'!$B$68:$N$83,4,FALSE)*100</f>
        <v>4.7399933402023642</v>
      </c>
      <c r="U39" s="623" t="e">
        <f>VLOOKUP(Q39,'NTN-B'!$B$68:$N$83,13,FALSE)*100</f>
        <v>#NAME?</v>
      </c>
      <c r="V39" s="524">
        <f>VLOOKUP(Q39,'NTN-B'!$B$68:$Q$83,14,FALSE)*100</f>
        <v>5.6712951313922844</v>
      </c>
      <c r="W39" s="526">
        <f>VLOOKUP(Q39,'NTN-B'!$B$68:$Q$83,16,FALSE)*100</f>
        <v>4.9449635538004966</v>
      </c>
      <c r="X39" s="637">
        <f>VLOOKUP(Q39,'NTN-B'!$B$68:$L$83,6,FALSE)</f>
        <v>45590</v>
      </c>
      <c r="Y39" s="596">
        <f>VLOOKUP(Q39,'NTN-B'!$B$68:$L$83,7,FALSE)</f>
        <v>22089.84232238599</v>
      </c>
      <c r="Z39" s="530">
        <f>VLOOKUP(Q39,'NTN-B'!$B$68:$LY$83,15,FALSE)*10000</f>
        <v>-5.7643361171116902E-3</v>
      </c>
      <c r="AA39" s="684">
        <f ca="1">_xll.Spline(Curva!$T$3:$T$43,Curva!$C$3:$C$43,'NTN-B'!D77)</f>
        <v>0.10083826319544414</v>
      </c>
    </row>
    <row r="40" spans="2:27" s="188" customFormat="1" ht="15.75" x14ac:dyDescent="0.2">
      <c r="B40" s="220">
        <f t="shared" si="2"/>
        <v>47710</v>
      </c>
      <c r="C40" s="534">
        <f t="shared" si="2"/>
        <v>4.9128999999999996</v>
      </c>
      <c r="D40" s="629">
        <f t="shared" si="3"/>
        <v>4.8227689971403365</v>
      </c>
      <c r="N40" s="536"/>
      <c r="O40" s="534"/>
      <c r="Q40" s="634">
        <f>'NTN-B'!B76</f>
        <v>47710</v>
      </c>
      <c r="R40" s="519">
        <f>VLOOKUP(Q40,'NTN-B'!$B$68:$C$83,2,FALSE)*100</f>
        <v>4.9128999999999996</v>
      </c>
      <c r="S40" s="520">
        <f>VLOOKUP(Q40,'NTN-B'!$B$68:$N$83,12,FALSE)*100</f>
        <v>0</v>
      </c>
      <c r="T40" s="624">
        <f>VLOOKUP(Q40,'NTN-B'!$B$68:$N$83,4,FALSE)*100</f>
        <v>4.8227689971403365</v>
      </c>
      <c r="U40" s="625" t="e">
        <f>VLOOKUP(Q40,'NTN-B'!$B$68:$N$83,13,FALSE)*100</f>
        <v>#NAME?</v>
      </c>
      <c r="V40" s="523">
        <f>VLOOKUP(Q40,'NTN-B'!$B$68:$Q$83,14,FALSE)*100</f>
        <v>5.2061147468380309</v>
      </c>
      <c r="W40" s="525">
        <f>VLOOKUP(Q40,'NTN-B'!$B$68:$Q$83,16,FALSE)*100</f>
        <v>5.0839768748299097</v>
      </c>
      <c r="X40" s="638">
        <f>VLOOKUP(Q40,'NTN-B'!$B$68:$L$83,6,FALSE)</f>
        <v>46413</v>
      </c>
      <c r="Y40" s="595">
        <f>VLOOKUP(Q40,'NTN-B'!$B$68:$L$83,7,FALSE)</f>
        <v>29583.318532973262</v>
      </c>
      <c r="Z40" s="529">
        <f>VLOOKUP(Q40,'NTN-B'!$B$68:$LY$83,15,FALSE)*10000</f>
        <v>-4.1370724866707231E-4</v>
      </c>
      <c r="AA40" s="683" t="e">
        <f ca="1">_xll.Spline(Curva!$T$3:$T$43,Curva!$C$3:$C$43,'NTN-B'!D78)</f>
        <v>#NUM!</v>
      </c>
    </row>
    <row r="41" spans="2:27" s="188" customFormat="1" ht="15.75" x14ac:dyDescent="0.2">
      <c r="B41" s="220">
        <f t="shared" si="2"/>
        <v>49444</v>
      </c>
      <c r="C41" s="534">
        <f t="shared" si="2"/>
        <v>4.9734999999999996</v>
      </c>
      <c r="D41" s="629">
        <f t="shared" si="3"/>
        <v>4.7780955786045132</v>
      </c>
      <c r="N41" s="536"/>
      <c r="Q41" s="633">
        <f>'NTN-B'!B77</f>
        <v>49444</v>
      </c>
      <c r="R41" s="521">
        <f>VLOOKUP(Q41,'NTN-B'!$B$68:$C$83,2,FALSE)*100</f>
        <v>4.9734999999999996</v>
      </c>
      <c r="S41" s="522">
        <f>VLOOKUP(Q41,'NTN-B'!$B$68:$N$83,12,FALSE)*100</f>
        <v>0</v>
      </c>
      <c r="T41" s="622">
        <f>VLOOKUP(Q41,'NTN-B'!$B$68:$N$83,4,FALSE)*100</f>
        <v>4.7780955786045132</v>
      </c>
      <c r="U41" s="623" t="e">
        <f>VLOOKUP(Q41,'NTN-B'!$B$68:$N$83,13,FALSE)*100</f>
        <v>#NAME?</v>
      </c>
      <c r="V41" s="524">
        <f>VLOOKUP(Q41,'NTN-B'!$B$68:$Q$83,14,FALSE)*100</f>
        <v>5.2559189779887383</v>
      </c>
      <c r="W41" s="526">
        <f>VLOOKUP(Q41,'NTN-B'!$B$68:$Q$83,16,FALSE)*100</f>
        <v>4.5704903323992907</v>
      </c>
      <c r="X41" s="637">
        <f>VLOOKUP(Q41,'NTN-B'!$B$68:$L$83,6,FALSE)</f>
        <v>47148</v>
      </c>
      <c r="Y41" s="596">
        <f>VLOOKUP(Q41,'NTN-B'!$B$68:$L$83,7,FALSE)</f>
        <v>36953.350154936794</v>
      </c>
      <c r="Z41" s="530">
        <f>VLOOKUP(Q41,'NTN-B'!$B$68:$LY$83,15,FALSE)*10000</f>
        <v>1.7877318634479389E-3</v>
      </c>
      <c r="AA41" s="684" t="e">
        <f ca="1">_xll.Spline(Curva!$T$3:$T$43,Curva!$C$3:$C$43,'NTN-B'!D79)</f>
        <v>#NUM!</v>
      </c>
    </row>
    <row r="42" spans="2:27" s="188" customFormat="1" ht="15.75" x14ac:dyDescent="0.2">
      <c r="B42" s="220">
        <f t="shared" si="2"/>
        <v>51363</v>
      </c>
      <c r="C42" s="534">
        <f t="shared" si="2"/>
        <v>5</v>
      </c>
      <c r="D42" s="629">
        <f t="shared" si="3"/>
        <v>4.7762361611243698</v>
      </c>
      <c r="N42" s="536"/>
      <c r="Q42" s="634">
        <f>'NTN-B'!B78</f>
        <v>51363</v>
      </c>
      <c r="R42" s="519">
        <f>VLOOKUP(Q42,'NTN-B'!$B$68:$C$83,2,FALSE)*100</f>
        <v>5</v>
      </c>
      <c r="S42" s="520">
        <f>VLOOKUP(Q42,'NTN-B'!$B$68:$N$83,12,FALSE)*100</f>
        <v>0</v>
      </c>
      <c r="T42" s="624">
        <f>VLOOKUP(Q42,'NTN-B'!$B$68:$N$83,4,FALSE)*100</f>
        <v>4.7762361611243698</v>
      </c>
      <c r="U42" s="625" t="e">
        <f>VLOOKUP(Q42,'NTN-B'!$B$68:$N$83,13,FALSE)*100</f>
        <v>#NAME?</v>
      </c>
      <c r="V42" s="523">
        <f>VLOOKUP(Q42,'NTN-B'!$B$68:$Q$83,14,FALSE)*100</f>
        <v>5.1475802355937406</v>
      </c>
      <c r="W42" s="525">
        <f>VLOOKUP(Q42,'NTN-B'!$B$68:$Q$83,16,FALSE)*100</f>
        <v>4.7658901223627925</v>
      </c>
      <c r="X42" s="638">
        <f>VLOOKUP(Q42,'NTN-B'!$B$68:$L$83,6,FALSE)</f>
        <v>47891</v>
      </c>
      <c r="Y42" s="595">
        <f>VLOOKUP(Q42,'NTN-B'!$B$68:$L$83,7,FALSE)</f>
        <v>43609.742729509489</v>
      </c>
      <c r="Z42" s="529">
        <f>VLOOKUP(Q42,'NTN-B'!$B$68:$LY$83,15,FALSE)*10000</f>
        <v>2.3044882539735578E-3</v>
      </c>
      <c r="AA42" s="683">
        <f ca="1">IF(ISERROR(_xll.Spline(Curva!$T$3:$T$43,Curva!$C$3:$C$43,'NTN-B'!D80)),Curva!C43,(_xll.Spline(Curva!$T$3:$T$43,Curva!$C$3:$C$43,'NTN-B'!D80)))</f>
        <v>0.10118647585956553</v>
      </c>
    </row>
    <row r="43" spans="2:27" s="188" customFormat="1" ht="15.75" x14ac:dyDescent="0.2">
      <c r="B43" s="220">
        <f t="shared" si="2"/>
        <v>53097</v>
      </c>
      <c r="C43" s="534">
        <f t="shared" si="2"/>
        <v>5.1051000000000002</v>
      </c>
      <c r="D43" s="629">
        <f t="shared" si="3"/>
        <v>4.684633035833774</v>
      </c>
      <c r="N43" s="536"/>
      <c r="Q43" s="633">
        <f>'NTN-B'!B79</f>
        <v>53097</v>
      </c>
      <c r="R43" s="521">
        <f>VLOOKUP(Q43,'NTN-B'!$B$68:$C$83,2,FALSE)*100</f>
        <v>5.1051000000000002</v>
      </c>
      <c r="S43" s="522">
        <f>VLOOKUP(Q43,'NTN-B'!$B$68:$N$83,12,FALSE)*100</f>
        <v>0</v>
      </c>
      <c r="T43" s="622">
        <f>VLOOKUP(Q43,'NTN-B'!$B$68:$N$83,4,FALSE)*100</f>
        <v>4.684633035833774</v>
      </c>
      <c r="U43" s="623" t="e">
        <f>VLOOKUP(Q43,'NTN-B'!$B$68:$N$83,13,FALSE)*100</f>
        <v>#NAME?</v>
      </c>
      <c r="V43" s="524">
        <f>VLOOKUP(Q43,'NTN-B'!$B$68:$Q$83,14,FALSE)*100</f>
        <v>6.4173490708584247</v>
      </c>
      <c r="W43" s="526">
        <f>VLOOKUP(Q43,'NTN-B'!$B$68:$Q$83,16,FALSE)*100</f>
        <v>3.5551852550310237</v>
      </c>
      <c r="X43" s="637">
        <f>VLOOKUP(Q43,'NTN-B'!$B$68:$L$83,6,FALSE)</f>
        <v>48284</v>
      </c>
      <c r="Y43" s="596">
        <f>VLOOKUP(Q43,'NTN-B'!$B$68:$L$83,7,FALSE)</f>
        <v>47563.48971767386</v>
      </c>
      <c r="Z43" s="530">
        <f>VLOOKUP(Q43,'NTN-B'!$B$68:$LY$83,15,FALSE)*10000</f>
        <v>5.0305956374174787E-3</v>
      </c>
      <c r="AA43" s="684">
        <f ca="1">IF(ISERROR(_xll.Spline(Curva!$T$3:$T$43,Curva!$C$3:$C$43,'NTN-B'!D81)),Curva!C44,(_xll.Spline(Curva!$T$3:$T$43,Curva!$C$3:$C$43,'NTN-B'!D81)))</f>
        <v>0.10118647585956553</v>
      </c>
    </row>
    <row r="44" spans="2:27" s="188" customFormat="1" ht="15.75" x14ac:dyDescent="0.2">
      <c r="B44" s="220">
        <f t="shared" ref="B44:C45" si="4">B24</f>
        <v>55015</v>
      </c>
      <c r="C44" s="534">
        <f t="shared" si="4"/>
        <v>5.0824999999999996</v>
      </c>
      <c r="D44" s="629">
        <f t="shared" si="3"/>
        <v>4.7148408798195929</v>
      </c>
      <c r="N44" s="536"/>
      <c r="Q44" s="634">
        <f>'NTN-B'!B80</f>
        <v>55015</v>
      </c>
      <c r="R44" s="519">
        <f>VLOOKUP(Q44,'NTN-B'!$B$68:$C$83,2,FALSE)*100</f>
        <v>5.0824999999999996</v>
      </c>
      <c r="S44" s="520">
        <f>VLOOKUP(Q44,'NTN-B'!$B$68:$N$83,12,FALSE)*100</f>
        <v>0</v>
      </c>
      <c r="T44" s="624">
        <f>VLOOKUP(Q44,'NTN-B'!$B$68:$N$83,4,FALSE)*100</f>
        <v>4.7148408798195929</v>
      </c>
      <c r="U44" s="625" t="e">
        <f>VLOOKUP(Q44,'NTN-B'!$B$68:$N$83,13,FALSE)*100</f>
        <v>#NAME?</v>
      </c>
      <c r="V44" s="523">
        <f>VLOOKUP(Q44,'NTN-B'!$B$68:$Q$83,14,FALSE)*100</f>
        <v>4.8482632414267313</v>
      </c>
      <c r="W44" s="525">
        <f>VLOOKUP(Q44,'NTN-B'!$B$68:$Q$83,16,FALSE)*100</f>
        <v>5.0288270184524642</v>
      </c>
      <c r="X44" s="638">
        <f>VLOOKUP(Q44,'NTN-B'!$B$68:$L$83,6,FALSE)</f>
        <v>48792</v>
      </c>
      <c r="Y44" s="595">
        <f>VLOOKUP(Q44,'NTN-B'!$B$68:$L$83,7,FALSE)</f>
        <v>52120.67172511822</v>
      </c>
      <c r="Z44" s="529">
        <f>VLOOKUP(Q44,'NTN-B'!$B$68:$LY$83,15,FALSE)*10000</f>
        <v>4.0196952556803556E-3</v>
      </c>
      <c r="AA44" s="683">
        <f ca="1">IF(ISERROR(_xll.Spline(Curva!$T$3:$T$43,Curva!$C$3:$C$43,'NTN-B'!D82)),Curva!C45,(_xll.Spline(Curva!$T$3:$T$43,Curva!$C$3:$C$43,'NTN-B'!D82)))</f>
        <v>0.10118647585956553</v>
      </c>
    </row>
    <row r="45" spans="2:27" s="188" customFormat="1" ht="16.5" thickBot="1" x14ac:dyDescent="0.25">
      <c r="B45" s="220">
        <f t="shared" si="4"/>
        <v>56749</v>
      </c>
      <c r="C45" s="534">
        <f t="shared" si="4"/>
        <v>5.0475000000000003</v>
      </c>
      <c r="D45" s="629">
        <f t="shared" si="3"/>
        <v>4.7530851786554251</v>
      </c>
      <c r="N45" s="536"/>
      <c r="Q45" s="633">
        <f>'NTN-B'!B81</f>
        <v>56749</v>
      </c>
      <c r="R45" s="521">
        <f>VLOOKUP(Q45,'NTN-B'!$B$68:$C$83,2,FALSE)*100</f>
        <v>5.0475000000000003</v>
      </c>
      <c r="S45" s="522">
        <f>VLOOKUP(Q45,'NTN-B'!$B$68:$N$83,12,FALSE)*100</f>
        <v>0</v>
      </c>
      <c r="T45" s="622">
        <f>VLOOKUP(Q45,'NTN-B'!$B$68:$N$83,4,FALSE)*100</f>
        <v>4.7530851786554251</v>
      </c>
      <c r="U45" s="623" t="e">
        <f>VLOOKUP(Q45,'NTN-B'!$B$68:$N$83,13,FALSE)*100</f>
        <v>#NAME?</v>
      </c>
      <c r="V45" s="524">
        <f>VLOOKUP(Q45,'NTN-B'!$B$68:$Q$84,14,FALSE)*100</f>
        <v>4.2497013209020773</v>
      </c>
      <c r="W45" s="526">
        <f>VLOOKUP(Q45,'NTN-B'!$B$68:$Q$83,16,FALSE)*100</f>
        <v>5.632135796761939</v>
      </c>
      <c r="X45" s="637">
        <f>VLOOKUP(Q45,'NTN-B'!$B$68:$L$83,6,FALSE)</f>
        <v>49045</v>
      </c>
      <c r="Y45" s="596">
        <f>VLOOKUP(Q45,'NTN-B'!$B$68:$L$83,7,FALSE)</f>
        <v>55779.785392575344</v>
      </c>
      <c r="Z45" s="530">
        <f>VLOOKUP(Q45,'NTN-B'!$B$68:$LY$83,15,FALSE)*10000</f>
        <v>3.0078600569971581E-3</v>
      </c>
      <c r="AA45" s="684">
        <f ca="1">IF(ISERROR(_xll.Spline(Curva!$T$3:$T$43,Curva!$C$3:$C$43,'NTN-B'!D83)),Curva!C46,(_xll.Spline(Curva!$T$3:$T$43,Curva!$C$3:$C$43,'NTN-B'!D83)))</f>
        <v>0.10118647585956553</v>
      </c>
    </row>
    <row r="46" spans="2:27" s="188" customFormat="1" ht="14.25" customHeight="1" x14ac:dyDescent="0.2">
      <c r="B46" s="220"/>
      <c r="C46" s="534"/>
      <c r="D46" s="629"/>
      <c r="Q46" s="723" t="s">
        <v>51</v>
      </c>
      <c r="R46" s="724"/>
      <c r="S46" s="724"/>
      <c r="T46" s="724"/>
      <c r="U46" s="724"/>
      <c r="V46" s="724"/>
      <c r="W46" s="724"/>
      <c r="X46" s="724"/>
      <c r="Y46" s="724"/>
      <c r="Z46" s="725"/>
      <c r="AA46" s="679"/>
    </row>
    <row r="47" spans="2:27" s="188" customFormat="1" ht="14.25" customHeight="1" thickBot="1" x14ac:dyDescent="0.25">
      <c r="B47" s="220"/>
      <c r="C47" s="534"/>
      <c r="D47" s="629"/>
      <c r="Q47" s="726"/>
      <c r="R47" s="727"/>
      <c r="S47" s="727"/>
      <c r="T47" s="727"/>
      <c r="U47" s="727"/>
      <c r="V47" s="727"/>
      <c r="W47" s="727"/>
      <c r="X47" s="727"/>
      <c r="Y47" s="727"/>
      <c r="Z47" s="728"/>
      <c r="AA47" s="680"/>
    </row>
    <row r="48" spans="2:27" s="188" customFormat="1" ht="47.25" customHeight="1" x14ac:dyDescent="0.2">
      <c r="B48" s="532" t="str">
        <f>'NTN-F'!B52</f>
        <v>NTN-F</v>
      </c>
      <c r="C48" s="229" t="str">
        <f>'NTN-F'!D52</f>
        <v>CASADO</v>
      </c>
      <c r="D48" s="631" t="str">
        <f>'NTN-F'!E52</f>
        <v>% CDI</v>
      </c>
      <c r="Q48" s="626" t="s">
        <v>453</v>
      </c>
      <c r="R48" s="517" t="s">
        <v>454</v>
      </c>
      <c r="S48" s="518" t="s">
        <v>452</v>
      </c>
      <c r="T48" s="517" t="s">
        <v>447</v>
      </c>
      <c r="U48" s="518" t="s">
        <v>444</v>
      </c>
      <c r="V48" s="517" t="s">
        <v>442</v>
      </c>
      <c r="W48" s="518" t="s">
        <v>443</v>
      </c>
      <c r="X48" s="517" t="s">
        <v>441</v>
      </c>
      <c r="Y48" s="527" t="s">
        <v>451</v>
      </c>
      <c r="Z48" s="518" t="s">
        <v>449</v>
      </c>
      <c r="AA48" s="518" t="s">
        <v>465</v>
      </c>
    </row>
    <row r="49" spans="2:27" s="188" customFormat="1" ht="15.75" hidden="1" x14ac:dyDescent="0.2">
      <c r="D49" s="630"/>
      <c r="Q49" s="531"/>
      <c r="R49" s="519"/>
      <c r="S49" s="520"/>
      <c r="T49" s="609"/>
      <c r="U49" s="610"/>
      <c r="V49" s="578"/>
      <c r="W49" s="579"/>
      <c r="X49" s="528"/>
      <c r="Y49" s="595"/>
      <c r="Z49" s="594"/>
      <c r="AA49" s="668"/>
    </row>
    <row r="50" spans="2:27" s="188" customFormat="1" ht="15.75" x14ac:dyDescent="0.2">
      <c r="B50" s="220"/>
      <c r="C50" s="537"/>
      <c r="D50" s="628"/>
      <c r="Q50" s="635">
        <f>'NTN-F'!B55</f>
        <v>43101</v>
      </c>
      <c r="R50" s="521">
        <f>VLOOKUP(Q50,'NTN-F'!$B$54:$K$62,2,FALSE)*100</f>
        <v>7.4700000000000006</v>
      </c>
      <c r="S50" s="522">
        <f>R50-VLOOKUP(Q50,'NTN-F'!$B$54:$Z$62,11,FALSE)*100</f>
        <v>0</v>
      </c>
      <c r="T50" s="611">
        <f ca="1">VLOOKUP(Q50,'NTN-F'!$B$54:$K$62,3,FALSE)</f>
        <v>-9.5017278130858642</v>
      </c>
      <c r="U50" s="612">
        <f ca="1">T50-VLOOKUP(Q50,'NTN-F'!$B$54:$Z$62,12,FALSE)</f>
        <v>0</v>
      </c>
      <c r="V50" s="598">
        <f>VLOOKUP(Q50,'NTN-F'!$B$54:$K$62,4,FALSE)</f>
        <v>0.98895901462572933</v>
      </c>
      <c r="W50" s="599" t="e">
        <f>V50-VLOOKUP(Q50,'NTN-F'!$B$54:$Z$62,13,FALSE)</f>
        <v>#NAME?</v>
      </c>
      <c r="X50" s="637">
        <f>VLOOKUP(Q50,'NTN-F'!$B$54:$K$62,6,FALSE)</f>
        <v>43102</v>
      </c>
      <c r="Y50" s="596">
        <f>VLOOKUP(Q50,'NTN-F'!$B$54:$K$62,7,FALSE)</f>
        <v>1272.7260324418844</v>
      </c>
      <c r="Z50" s="597">
        <f>VLOOKUP(Q50,'NTN-F'!$B$54:$K$62,8,FALSE)</f>
        <v>524.93852686158266</v>
      </c>
      <c r="AA50" s="684">
        <f ca="1">_xll.Spline(Curva!$S$3:$S$43,Curva!$C$3:$C$43,X50)</f>
        <v>7.5564586424080815E-2</v>
      </c>
    </row>
    <row r="51" spans="2:27" s="188" customFormat="1" ht="15.75" x14ac:dyDescent="0.2">
      <c r="B51" s="220">
        <f>'NTN-F'!B55</f>
        <v>43101</v>
      </c>
      <c r="C51" s="537">
        <f ca="1">'NTN-F'!D55</f>
        <v>-9.5017278130858642</v>
      </c>
      <c r="D51" s="628">
        <f>'NTN-F'!E55</f>
        <v>0.98895901462572933</v>
      </c>
      <c r="Q51" s="636">
        <f>'NTN-F'!B56</f>
        <v>43466</v>
      </c>
      <c r="R51" s="519">
        <f>VLOOKUP(Q51,'NTN-F'!$B$54:$K$62,2,FALSE)*100</f>
        <v>7.2314000000000007</v>
      </c>
      <c r="S51" s="520">
        <f>R51-VLOOKUP(Q51,'NTN-F'!$B$54:$Z$62,11,FALSE)*100</f>
        <v>0</v>
      </c>
      <c r="T51" s="609">
        <f ca="1">VLOOKUP(Q51,'NTN-F'!$B$54:$K$62,3,FALSE)</f>
        <v>-6.8600161774722004</v>
      </c>
      <c r="U51" s="610">
        <f ca="1">T51-VLOOKUP(Q51,'NTN-F'!$B$54:$Z$62,12,FALSE)</f>
        <v>0</v>
      </c>
      <c r="V51" s="578">
        <f>VLOOKUP(Q51,'NTN-F'!$B$54:$K$62,4,FALSE)</f>
        <v>0.99150109730152103</v>
      </c>
      <c r="W51" s="579" t="e">
        <f>V51-VLOOKUP(Q51,'NTN-F'!$B$54:$Z$62,13,FALSE)</f>
        <v>#NAME?</v>
      </c>
      <c r="X51" s="638">
        <f>VLOOKUP(Q51,'NTN-F'!$B$54:$K$62,6,FALSE)</f>
        <v>43440</v>
      </c>
      <c r="Y51" s="595">
        <f>VLOOKUP(Q51,'NTN-F'!$B$54:$K$62,7,FALSE)</f>
        <v>5857.5611282640775</v>
      </c>
      <c r="Z51" s="594">
        <f>VLOOKUP(Q51,'NTN-F'!$B$54:$K$62,8,FALSE)</f>
        <v>545.91648869429753</v>
      </c>
      <c r="AA51" s="683">
        <f ca="1">_xll.Spline(Curva!$S$3:$S$43,Curva!$C$3:$C$43,X51)</f>
        <v>7.2744454543530901E-2</v>
      </c>
    </row>
    <row r="52" spans="2:27" s="188" customFormat="1" ht="15.75" x14ac:dyDescent="0.2">
      <c r="B52" s="220">
        <f>'NTN-F'!B56</f>
        <v>43466</v>
      </c>
      <c r="C52" s="537">
        <f ca="1">'NTN-F'!D56</f>
        <v>-6.8600161774722004</v>
      </c>
      <c r="D52" s="628">
        <f>'NTN-F'!E56</f>
        <v>0.99150109730152103</v>
      </c>
      <c r="Q52" s="635">
        <f>'NTN-F'!B57</f>
        <v>44197</v>
      </c>
      <c r="R52" s="521">
        <f>VLOOKUP(Q52,'NTN-F'!$B$54:$K$62,2,FALSE)*100</f>
        <v>8.5815000000000001</v>
      </c>
      <c r="S52" s="522">
        <f>R52-VLOOKUP(Q52,'NTN-F'!$B$54:$Z$62,11,FALSE)*100</f>
        <v>0</v>
      </c>
      <c r="T52" s="611">
        <f ca="1">VLOOKUP(Q52,'NTN-F'!$B$54:$K$62,3,FALSE)</f>
        <v>-13.85003686345393</v>
      </c>
      <c r="U52" s="612">
        <f ca="1">T52-VLOOKUP(Q52,'NTN-F'!$B$54:$Z$62,12,FALSE)</f>
        <v>0</v>
      </c>
      <c r="V52" s="598">
        <f>VLOOKUP(Q52,'NTN-F'!$B$54:$K$62,4,FALSE)</f>
        <v>0.99638396366125592</v>
      </c>
      <c r="W52" s="599" t="e">
        <f>V52-VLOOKUP(Q52,'NTN-F'!$B$54:$Z$62,13,FALSE)</f>
        <v>#NAME?</v>
      </c>
      <c r="X52" s="637">
        <f>VLOOKUP(Q52,'NTN-F'!$B$54:$K$62,6,FALSE)</f>
        <v>44036</v>
      </c>
      <c r="Y52" s="596">
        <f>VLOOKUP(Q52,'NTN-F'!$B$54:$K$62,7,FALSE)</f>
        <v>13760.854495509233</v>
      </c>
      <c r="Z52" s="597">
        <f>VLOOKUP(Q52,'NTN-F'!$B$54:$K$62,8,FALSE)</f>
        <v>603.00113989598401</v>
      </c>
      <c r="AA52" s="684">
        <f ca="1">_xll.Spline(Curva!$S$3:$S$43,Curva!$C$3:$C$43,X52)</f>
        <v>8.4661973305130936E-2</v>
      </c>
    </row>
    <row r="53" spans="2:27" s="188" customFormat="1" ht="15.75" x14ac:dyDescent="0.2">
      <c r="B53" s="220">
        <f>'NTN-F'!B57</f>
        <v>44197</v>
      </c>
      <c r="C53" s="537">
        <f ca="1">'NTN-F'!D57</f>
        <v>-13.85003686345393</v>
      </c>
      <c r="D53" s="628">
        <f>'NTN-F'!E57</f>
        <v>0.99638396366125592</v>
      </c>
      <c r="Q53" s="636">
        <f>'NTN-F'!B58</f>
        <v>44927</v>
      </c>
      <c r="R53" s="519">
        <f>VLOOKUP(Q53,'NTN-F'!$B$54:$K$62,2,FALSE)*100</f>
        <v>9.1509</v>
      </c>
      <c r="S53" s="520">
        <f>R53-VLOOKUP(Q53,'NTN-F'!$B$54:$Z$62,11,FALSE)*100</f>
        <v>0</v>
      </c>
      <c r="T53" s="609">
        <f ca="1">VLOOKUP(Q53,'NTN-F'!$B$54:$K$62,3,FALSE)</f>
        <v>-21.910135082721659</v>
      </c>
      <c r="U53" s="610">
        <f ca="1">T53-VLOOKUP(Q53,'NTN-F'!$B$54:$Z$62,12,FALSE)</f>
        <v>0</v>
      </c>
      <c r="V53" s="578">
        <f>VLOOKUP(Q53,'NTN-F'!$B$54:$K$62,4,FALSE)</f>
        <v>0.99448012140361308</v>
      </c>
      <c r="W53" s="579" t="e">
        <f>V53-VLOOKUP(Q53,'NTN-F'!$B$54:$Z$62,13,FALSE)</f>
        <v>#NAME?</v>
      </c>
      <c r="X53" s="638">
        <f>VLOOKUP(Q53,'NTN-F'!$B$54:$K$62,6,FALSE)</f>
        <v>44530</v>
      </c>
      <c r="Y53" s="595">
        <f>VLOOKUP(Q53,'NTN-F'!$B$54:$K$62,7,FALSE)</f>
        <v>20136.160399031323</v>
      </c>
      <c r="Z53" s="594">
        <f>VLOOKUP(Q53,'NTN-F'!$B$54:$K$62,8,FALSE)</f>
        <v>671.3583496390587</v>
      </c>
      <c r="AA53" s="683">
        <f ca="1">_xll.Spline(Curva!$S$3:$S$43,Curva!$C$3:$C$43,X53)</f>
        <v>9.1090687576993429E-2</v>
      </c>
    </row>
    <row r="54" spans="2:27" s="188" customFormat="1" ht="20.25" customHeight="1" x14ac:dyDescent="0.2">
      <c r="B54" s="220">
        <f>'NTN-F'!B58</f>
        <v>44927</v>
      </c>
      <c r="C54" s="537">
        <f ca="1">'NTN-F'!D58</f>
        <v>-21.910135082721659</v>
      </c>
      <c r="D54" s="628">
        <f>'NTN-F'!E58</f>
        <v>0.99448012140361308</v>
      </c>
      <c r="Q54" s="635">
        <f>'NTN-F'!B59</f>
        <v>45658</v>
      </c>
      <c r="R54" s="521">
        <f>VLOOKUP(Q54,'NTN-F'!$B$54:$K$62,2,FALSE)*100</f>
        <v>9.3969000000000005</v>
      </c>
      <c r="S54" s="522">
        <f>R54-VLOOKUP(Q54,'NTN-F'!$B$54:$Z$62,11,FALSE)*100</f>
        <v>0</v>
      </c>
      <c r="T54" s="611">
        <f ca="1">VLOOKUP(Q54,'NTN-F'!$B$54:$K$62,3,FALSE)</f>
        <v>-32.310067232923096</v>
      </c>
      <c r="U54" s="612">
        <f ca="1">T54-VLOOKUP(Q54,'NTN-F'!$B$54:$Z$62,12,FALSE)</f>
        <v>0</v>
      </c>
      <c r="V54" s="598">
        <f>VLOOKUP(Q54,'NTN-F'!$B$54:$K$62,4,FALSE)</f>
        <v>0.98888998453298516</v>
      </c>
      <c r="W54" s="599" t="e">
        <f>V54-VLOOKUP(Q54,'NTN-F'!$B$54:$Z$62,13,FALSE)</f>
        <v>#NAME?</v>
      </c>
      <c r="X54" s="637">
        <f>VLOOKUP(Q54,'NTN-F'!$B$54:$K$62,6,FALSE)</f>
        <v>44935</v>
      </c>
      <c r="Y54" s="596">
        <f>VLOOKUP(Q54,'NTN-F'!$B$54:$K$62,7,FALSE)</f>
        <v>25398.35262027612</v>
      </c>
      <c r="Z54" s="597">
        <f>VLOOKUP(Q54,'NTN-F'!$B$54:$K$62,8,FALSE)</f>
        <v>753.23712434423851</v>
      </c>
      <c r="AA54" s="684">
        <f ca="1">_xll.Spline(Curva!$S$3:$S$43,Curva!$C$3:$C$43,X54)</f>
        <v>9.3740579294354642E-2</v>
      </c>
    </row>
    <row r="55" spans="2:27" s="188" customFormat="1" ht="12.75" customHeight="1" thickBot="1" x14ac:dyDescent="0.25">
      <c r="B55" s="220">
        <f>'NTN-F'!B59</f>
        <v>45658</v>
      </c>
      <c r="C55" s="537">
        <f ca="1">'NTN-F'!D59</f>
        <v>-32.310067232923096</v>
      </c>
      <c r="D55" s="628">
        <f>'NTN-F'!E59</f>
        <v>0.98888998453298516</v>
      </c>
      <c r="Q55" s="636">
        <f>'NTN-F'!B60</f>
        <v>46388</v>
      </c>
      <c r="R55" s="519">
        <f>VLOOKUP(Q55,'NTN-F'!$B$54:$K$62,2,FALSE)*100</f>
        <v>9.625</v>
      </c>
      <c r="S55" s="520">
        <f>R55-VLOOKUP(Q55,'NTN-F'!$B$54:$Z$62,11,FALSE)*100</f>
        <v>0</v>
      </c>
      <c r="T55" s="609">
        <f ca="1">VLOOKUP(Q55,'NTN-F'!$B$54:$K$62,3,FALSE)</f>
        <v>-35.499946579370942</v>
      </c>
      <c r="U55" s="610">
        <f ca="1">T55-VLOOKUP(Q55,'NTN-F'!$B$54:$Z$62,12,FALSE)</f>
        <v>0</v>
      </c>
      <c r="V55" s="578">
        <f>VLOOKUP(Q55,'NTN-F'!$B$54:$K$62,4,FALSE)</f>
        <v>0.99083091697876025</v>
      </c>
      <c r="W55" s="579" t="e">
        <f>V55-VLOOKUP(Q55,'NTN-F'!$B$54:$Z$62,13,FALSE)</f>
        <v>#NAME?</v>
      </c>
      <c r="X55" s="638">
        <f>VLOOKUP(Q55,'NTN-F'!$B$54:$K$62,6,FALSE)</f>
        <v>45272</v>
      </c>
      <c r="Y55" s="595">
        <f>VLOOKUP(Q55,'NTN-F'!$B$54:$K$62,7,FALSE)</f>
        <v>29514.074778125287</v>
      </c>
      <c r="Z55" s="594">
        <f>VLOOKUP(Q55,'NTN-F'!$B$54:$K$62,8,FALSE)</f>
        <v>846.11628444379119</v>
      </c>
      <c r="AA55" s="683">
        <f ca="1">_xll.Spline(Curva!$S$3:$S$43,Curva!$C$3:$C$43,X55)</f>
        <v>9.5545344977734911E-2</v>
      </c>
    </row>
    <row r="56" spans="2:27" s="188" customFormat="1" ht="13.5" customHeight="1" x14ac:dyDescent="0.2">
      <c r="B56" s="220">
        <f>'NTN-F'!B60</f>
        <v>46388</v>
      </c>
      <c r="C56" s="537">
        <f ca="1">'NTN-F'!D60</f>
        <v>-35.499946579370942</v>
      </c>
      <c r="D56" s="628">
        <f>'NTN-F'!E60</f>
        <v>0.99083091697876025</v>
      </c>
      <c r="Q56" s="729" t="s">
        <v>252</v>
      </c>
      <c r="R56" s="730"/>
      <c r="S56" s="730"/>
      <c r="T56" s="730"/>
      <c r="U56" s="730"/>
      <c r="V56" s="730"/>
      <c r="W56" s="730"/>
      <c r="X56" s="730"/>
      <c r="Y56" s="730"/>
      <c r="Z56" s="731"/>
      <c r="AA56" s="679"/>
    </row>
    <row r="57" spans="2:27" s="188" customFormat="1" ht="12" customHeight="1" thickBot="1" x14ac:dyDescent="0.25">
      <c r="Q57" s="726"/>
      <c r="R57" s="727"/>
      <c r="S57" s="727"/>
      <c r="T57" s="727"/>
      <c r="U57" s="727"/>
      <c r="V57" s="727"/>
      <c r="W57" s="727"/>
      <c r="X57" s="727"/>
      <c r="Y57" s="727"/>
      <c r="Z57" s="728"/>
      <c r="AA57" s="680"/>
    </row>
    <row r="58" spans="2:27" s="188" customFormat="1" ht="45" customHeight="1" x14ac:dyDescent="0.2">
      <c r="B58" s="538" t="str">
        <f>'NTN-F'!B63</f>
        <v>LTN</v>
      </c>
      <c r="C58" s="229" t="str">
        <f>'NTN-F'!D63</f>
        <v>CASADO</v>
      </c>
      <c r="D58" s="240" t="str">
        <f>'NTN-F'!E63</f>
        <v>% CDI</v>
      </c>
      <c r="Q58" s="626" t="s">
        <v>453</v>
      </c>
      <c r="R58" s="517" t="s">
        <v>454</v>
      </c>
      <c r="S58" s="518" t="s">
        <v>452</v>
      </c>
      <c r="T58" s="517" t="s">
        <v>448</v>
      </c>
      <c r="U58" s="518" t="s">
        <v>444</v>
      </c>
      <c r="V58" s="517" t="s">
        <v>442</v>
      </c>
      <c r="W58" s="518" t="s">
        <v>446</v>
      </c>
      <c r="X58" s="517" t="s">
        <v>441</v>
      </c>
      <c r="Y58" s="527" t="s">
        <v>451</v>
      </c>
      <c r="Z58" s="518" t="s">
        <v>449</v>
      </c>
      <c r="AA58" s="518" t="s">
        <v>465</v>
      </c>
    </row>
    <row r="59" spans="2:27" s="188" customFormat="1" ht="15.75" x14ac:dyDescent="0.2">
      <c r="Q59" s="636">
        <f>'NTN-F'!B67</f>
        <v>43009</v>
      </c>
      <c r="R59" s="519">
        <f>VLOOKUP(Q59,'NTN-F'!$B$66:$M$78,2,FALSE)*100</f>
        <v>8.1734000000000009</v>
      </c>
      <c r="S59" s="520">
        <f>R59-VLOOKUP(Q59,'NTN-F'!$B$66:$M$78,11,FALSE)*100</f>
        <v>0</v>
      </c>
      <c r="T59" s="609">
        <f ca="1">VLOOKUP(Q59,'NTN-F'!$B$66:$M$78,3,FALSE)</f>
        <v>3.15687557986874</v>
      </c>
      <c r="U59" s="610">
        <f ca="1">T59-VLOOKUP(Q59,'NTN-F'!$B$66:$M$78,12,FALSE)</f>
        <v>0</v>
      </c>
      <c r="V59" s="578">
        <f ca="1">VLOOKUP(Q59,'NTN-F'!$B$66:$M$78,4,FALSE)</f>
        <v>1.0036933305300588</v>
      </c>
      <c r="W59" s="579">
        <f ca="1">V59-VLOOKUP(Q59,'NTN-F'!$B$66:$Z$78,13,FALSE)</f>
        <v>0</v>
      </c>
      <c r="X59" s="638">
        <f>VLOOKUP(Q59,'NTN-F'!$B$66:$M$78,6,FALSE)</f>
        <v>43010</v>
      </c>
      <c r="Y59" s="595">
        <f ca="1">VLOOKUP(Q59,'NTN-F'!$B$66:$M$78,7,FALSE)</f>
        <v>91.567634546663612</v>
      </c>
      <c r="Z59" s="594">
        <f>VLOOKUP(Q59,'NTN-F'!$B$66:$M$78,8,FALSE)</f>
        <v>500</v>
      </c>
      <c r="AA59" s="683">
        <f ca="1">_xll.Spline(Curva!$S$3:$S$43,Curva!$C$3:$C$43,X59)</f>
        <v>8.1421364545830377E-2</v>
      </c>
    </row>
    <row r="60" spans="2:27" s="188" customFormat="1" ht="15.75" x14ac:dyDescent="0.2">
      <c r="B60" s="220">
        <f>'NTN-F'!B67</f>
        <v>43009</v>
      </c>
      <c r="C60" s="711">
        <f ca="1">'NTN-F'!D67</f>
        <v>3.15687557986874</v>
      </c>
      <c r="D60" s="628">
        <f ca="1">'NTN-F'!E67</f>
        <v>1.0036933305300588</v>
      </c>
      <c r="Q60" s="635">
        <f>'NTN-F'!B68</f>
        <v>43101</v>
      </c>
      <c r="R60" s="521">
        <f>VLOOKUP(Q60,'NTN-F'!$B$66:$M$78,2,FALSE)*100</f>
        <v>7.4184999999999999</v>
      </c>
      <c r="S60" s="522">
        <f>R60-VLOOKUP(Q60,'NTN-F'!$B$66:$M$78,11,FALSE)*100</f>
        <v>0</v>
      </c>
      <c r="T60" s="611">
        <f ca="1">VLOOKUP(Q60,'NTN-F'!$B$66:$M$78,3,FALSE)</f>
        <v>-14.651727813085881</v>
      </c>
      <c r="U60" s="612">
        <f ca="1">T60-VLOOKUP(Q60,'NTN-F'!$B$66:$M$78,12,FALSE)</f>
        <v>0</v>
      </c>
      <c r="V60" s="598">
        <f ca="1">VLOOKUP(Q60,'NTN-F'!$B$66:$M$78,4,FALSE)</f>
        <v>0.98237826304668141</v>
      </c>
      <c r="W60" s="599">
        <f ca="1">V60-VLOOKUP(Q60,'NTN-F'!$B$66:$Z$78,13,FALSE)</f>
        <v>0</v>
      </c>
      <c r="X60" s="637">
        <f>VLOOKUP(Q60,'NTN-F'!$B$66:$M$78,6,FALSE)</f>
        <v>43102</v>
      </c>
      <c r="Y60" s="596">
        <f ca="1">VLOOKUP(Q60,'NTN-F'!$B$66:$M$78,7,FALSE)</f>
        <v>1196.4500091271475</v>
      </c>
      <c r="Z60" s="597">
        <f>VLOOKUP(Q60,'NTN-F'!$B$66:$M$78,8,FALSE)</f>
        <v>500</v>
      </c>
      <c r="AA60" s="684">
        <f ca="1">_xll.Spline(Curva!$S$3:$S$43,Curva!$C$3:$C$43,X60)</f>
        <v>7.5564586424080815E-2</v>
      </c>
    </row>
    <row r="61" spans="2:27" s="188" customFormat="1" ht="15.75" x14ac:dyDescent="0.2">
      <c r="B61" s="220">
        <f>'NTN-F'!B68</f>
        <v>43101</v>
      </c>
      <c r="C61" s="711">
        <f ca="1">'NTN-F'!D68</f>
        <v>-14.651727813085881</v>
      </c>
      <c r="D61" s="628">
        <f ca="1">'NTN-F'!E68</f>
        <v>0.98237826304668141</v>
      </c>
      <c r="Q61" s="636">
        <f>'NTN-F'!B69</f>
        <v>43191</v>
      </c>
      <c r="R61" s="519">
        <f>VLOOKUP(Q61,'NTN-F'!$B$66:$M$78,2,FALSE)*100</f>
        <v>7.1982999999999988</v>
      </c>
      <c r="S61" s="520">
        <f>R61-VLOOKUP(Q61,'NTN-F'!$B$66:$M$78,11,FALSE)*100</f>
        <v>0</v>
      </c>
      <c r="T61" s="609">
        <f ca="1">VLOOKUP(Q61,'NTN-F'!$B$66:$M$78,3,FALSE)</f>
        <v>-4.6694273345351807</v>
      </c>
      <c r="U61" s="610">
        <f ca="1">T61-VLOOKUP(Q61,'NTN-F'!$B$66:$M$78,12,FALSE)</f>
        <v>0</v>
      </c>
      <c r="V61" s="578">
        <f ca="1">VLOOKUP(Q61,'NTN-F'!$B$66:$M$78,4,FALSE)</f>
        <v>0.99469645284916164</v>
      </c>
      <c r="W61" s="579">
        <f ca="1">V61-VLOOKUP(Q61,'NTN-F'!$B$66:$Z$78,13,FALSE)</f>
        <v>0</v>
      </c>
      <c r="X61" s="638">
        <f>VLOOKUP(Q61,'NTN-F'!$B$66:$M$78,6,FALSE)</f>
        <v>43192</v>
      </c>
      <c r="Y61" s="595">
        <f ca="1">VLOOKUP(Q61,'NTN-F'!$B$66:$M$78,7,FALSE)</f>
        <v>2269.7161422984209</v>
      </c>
      <c r="Z61" s="594">
        <f>VLOOKUP(Q61,'NTN-F'!$B$66:$M$78,8,FALSE)</f>
        <v>500</v>
      </c>
      <c r="AA61" s="683">
        <f ca="1">_xll.Spline(Curva!$S$3:$S$43,Curva!$C$3:$C$43,X61)</f>
        <v>7.2380312824337434E-2</v>
      </c>
    </row>
    <row r="62" spans="2:27" s="188" customFormat="1" ht="15.75" x14ac:dyDescent="0.2">
      <c r="B62" s="220">
        <f>'NTN-F'!B69</f>
        <v>43191</v>
      </c>
      <c r="C62" s="711">
        <f ca="1">'NTN-F'!D69</f>
        <v>-4.6694273345351807</v>
      </c>
      <c r="D62" s="628">
        <f ca="1">'NTN-F'!E69</f>
        <v>0.99469645284916164</v>
      </c>
      <c r="Q62" s="635">
        <f>'NTN-F'!B70</f>
        <v>43282</v>
      </c>
      <c r="R62" s="521">
        <f>VLOOKUP(Q62,'NTN-F'!$B$66:$M$78,2,FALSE)*100</f>
        <v>7.1</v>
      </c>
      <c r="S62" s="522">
        <f>R62-VLOOKUP(Q62,'NTN-F'!$B$66:$M$78,11,FALSE)*100</f>
        <v>0</v>
      </c>
      <c r="T62" s="611">
        <f ca="1">VLOOKUP(Q62,'NTN-F'!$B$66:$M$78,3,FALSE)</f>
        <v>-4.5006485092598245</v>
      </c>
      <c r="U62" s="612">
        <f ca="1">T62-VLOOKUP(Q62,'NTN-F'!$B$66:$M$78,12,FALSE)</f>
        <v>0</v>
      </c>
      <c r="V62" s="598">
        <f ca="1">VLOOKUP(Q62,'NTN-F'!$B$66:$M$78,4,FALSE)</f>
        <v>0.99460889133046559</v>
      </c>
      <c r="W62" s="599">
        <f ca="1">V62-VLOOKUP(Q62,'NTN-F'!$B$66:$Z$78,13,FALSE)</f>
        <v>0</v>
      </c>
      <c r="X62" s="637">
        <f>VLOOKUP(Q62,'NTN-F'!$B$66:$M$78,6,FALSE)</f>
        <v>43283</v>
      </c>
      <c r="Y62" s="596">
        <f ca="1">VLOOKUP(Q62,'NTN-F'!$B$66:$M$78,7,FALSE)</f>
        <v>3342.5143574932008</v>
      </c>
      <c r="Z62" s="597">
        <f>VLOOKUP(Q62,'NTN-F'!$B$66:$M$78,8,FALSE)</f>
        <v>500</v>
      </c>
      <c r="AA62" s="684">
        <f ca="1">_xll.Spline(Curva!$S$3:$S$43,Curva!$C$3:$C$43,X62)</f>
        <v>7.139821260013135E-2</v>
      </c>
    </row>
    <row r="63" spans="2:27" s="188" customFormat="1" ht="15.75" x14ac:dyDescent="0.2">
      <c r="B63" s="220">
        <f>'NTN-F'!B70</f>
        <v>43282</v>
      </c>
      <c r="C63" s="711">
        <f ca="1">'NTN-F'!D70</f>
        <v>-4.5006485092598245</v>
      </c>
      <c r="D63" s="628">
        <f ca="1">'NTN-F'!E70</f>
        <v>0.99460889133046559</v>
      </c>
      <c r="Q63" s="636">
        <f>'NTN-F'!B71</f>
        <v>43374</v>
      </c>
      <c r="R63" s="519">
        <f>VLOOKUP(Q63,'NTN-F'!$B$66:$M$78,2,FALSE)*100</f>
        <v>7.1452</v>
      </c>
      <c r="S63" s="520">
        <f>R63-VLOOKUP(Q63,'NTN-F'!$B$66:$M$78,11,FALSE)*100</f>
        <v>0</v>
      </c>
      <c r="T63" s="609">
        <f ca="1">VLOOKUP(Q63,'NTN-F'!$B$66:$M$78,3,FALSE)</f>
        <v>-2.4800317919167201</v>
      </c>
      <c r="U63" s="610">
        <f ca="1">T63-VLOOKUP(Q63,'NTN-F'!$B$66:$M$78,12,FALSE)</f>
        <v>0</v>
      </c>
      <c r="V63" s="578">
        <f ca="1">VLOOKUP(Q63,'NTN-F'!$B$66:$M$78,4,FALSE)</f>
        <v>0.99716619473331414</v>
      </c>
      <c r="W63" s="579">
        <f ca="1">V63-VLOOKUP(Q63,'NTN-F'!$B$66:$Z$78,13,FALSE)</f>
        <v>0</v>
      </c>
      <c r="X63" s="638">
        <f>VLOOKUP(Q63,'NTN-F'!$B$66:$M$78,6,FALSE)</f>
        <v>43374</v>
      </c>
      <c r="Y63" s="595">
        <f ca="1">VLOOKUP(Q63,'NTN-F'!$B$66:$M$78,7,FALSE)</f>
        <v>4403.595203653822</v>
      </c>
      <c r="Z63" s="594">
        <f>VLOOKUP(Q63,'NTN-F'!$B$66:$M$78,8,FALSE)</f>
        <v>500</v>
      </c>
      <c r="AA63" s="683">
        <f ca="1">_xll.Spline(Curva!$S$3:$S$43,Curva!$C$3:$C$43,X63)</f>
        <v>7.1662135760377721E-2</v>
      </c>
    </row>
    <row r="64" spans="2:27" s="188" customFormat="1" ht="12.75" customHeight="1" x14ac:dyDescent="0.2">
      <c r="B64" s="220">
        <f>'NTN-F'!B71</f>
        <v>43374</v>
      </c>
      <c r="C64" s="711">
        <f ca="1">'NTN-F'!D71</f>
        <v>-2.4800317919167201</v>
      </c>
      <c r="D64" s="628">
        <f ca="1">'NTN-F'!E71</f>
        <v>0.99716619473331414</v>
      </c>
      <c r="Q64" s="635">
        <f>'NTN-F'!B72</f>
        <v>43466</v>
      </c>
      <c r="R64" s="521">
        <f>VLOOKUP(Q64,'NTN-F'!$B$66:$M$78,2,FALSE)*100</f>
        <v>7.28</v>
      </c>
      <c r="S64" s="522">
        <f>R64-VLOOKUP(Q64,'NTN-F'!$B$66:$M$78,11,FALSE)*100</f>
        <v>0</v>
      </c>
      <c r="T64" s="611">
        <f ca="1">VLOOKUP(Q64,'NTN-F'!$B$66:$M$78,3,FALSE)</f>
        <v>-2.000016177472197</v>
      </c>
      <c r="U64" s="612">
        <f ca="1">T64-VLOOKUP(Q64,'NTN-F'!$B$66:$M$78,12,FALSE)</f>
        <v>0</v>
      </c>
      <c r="V64" s="598">
        <f ca="1">VLOOKUP(Q64,'NTN-F'!$B$66:$M$78,4,FALSE)</f>
        <v>0.99770230897999312</v>
      </c>
      <c r="W64" s="599">
        <f ca="1">V64-VLOOKUP(Q64,'NTN-F'!$B$66:$Z$78,13,FALSE)</f>
        <v>0</v>
      </c>
      <c r="X64" s="637">
        <f>VLOOKUP(Q64,'NTN-F'!$B$66:$M$78,6,FALSE)</f>
        <v>43467</v>
      </c>
      <c r="Y64" s="596">
        <f ca="1">VLOOKUP(Q64,'NTN-F'!$B$66:$M$78,7,FALSE)</f>
        <v>5351.4099731037277</v>
      </c>
      <c r="Z64" s="597">
        <f>VLOOKUP(Q64,'NTN-F'!$B$66:$M$78,8,FALSE)</f>
        <v>500</v>
      </c>
      <c r="AA64" s="684">
        <f ca="1">_xll.Spline(Curva!$S$3:$S$43,Curva!$C$3:$C$43,X64)</f>
        <v>7.2973606708275129E-2</v>
      </c>
    </row>
    <row r="65" spans="2:27" s="188" customFormat="1" ht="13.5" customHeight="1" x14ac:dyDescent="0.2">
      <c r="B65" s="220">
        <f>'NTN-F'!B72</f>
        <v>43466</v>
      </c>
      <c r="C65" s="711">
        <f ca="1">'NTN-F'!D72</f>
        <v>-2.000016177472197</v>
      </c>
      <c r="D65" s="628">
        <f ca="1">'NTN-F'!E72</f>
        <v>0.99770230897999312</v>
      </c>
      <c r="Q65" s="636">
        <f>'NTN-F'!B73</f>
        <v>43556</v>
      </c>
      <c r="R65" s="519">
        <f>VLOOKUP(Q65,'NTN-F'!$B$66:$M$78,2,FALSE)*100</f>
        <v>7.46</v>
      </c>
      <c r="S65" s="520">
        <f>R65-VLOOKUP(Q65,'NTN-F'!$B$66:$M$78,11,FALSE)*100</f>
        <v>0</v>
      </c>
      <c r="T65" s="609">
        <f ca="1">VLOOKUP(Q65,'NTN-F'!$B$66:$M$78,3,FALSE)</f>
        <v>-0.99991483438532924</v>
      </c>
      <c r="U65" s="610">
        <f ca="1">T65-VLOOKUP(Q65,'NTN-F'!$B$66:$M$78,12,FALSE)</f>
        <v>0</v>
      </c>
      <c r="V65" s="578">
        <f ca="1">VLOOKUP(Q65,'NTN-F'!$B$66:$M$78,4,FALSE)</f>
        <v>0.99893627519111139</v>
      </c>
      <c r="W65" s="579">
        <f ca="1">V65-VLOOKUP(Q65,'NTN-F'!$B$66:$Z$78,13,FALSE)</f>
        <v>0</v>
      </c>
      <c r="X65" s="638">
        <f>VLOOKUP(Q65,'NTN-F'!$B$66:$M$78,6,FALSE)</f>
        <v>43556</v>
      </c>
      <c r="Y65" s="595">
        <f ca="1">VLOOKUP(Q65,'NTN-F'!$B$66:$M$78,7,FALSE)</f>
        <v>6265.3332851987216</v>
      </c>
      <c r="Z65" s="594">
        <f>VLOOKUP(Q65,'NTN-F'!$B$66:$M$78,8,FALSE)</f>
        <v>500</v>
      </c>
      <c r="AA65" s="683">
        <f ca="1">_xll.Spline(Curva!$S$3:$S$43,Curva!$C$3:$C$43,X65)</f>
        <v>7.4682321761070369E-2</v>
      </c>
    </row>
    <row r="66" spans="2:27" s="188" customFormat="1" ht="15.75" x14ac:dyDescent="0.2">
      <c r="B66" s="220">
        <f>'NTN-F'!B73</f>
        <v>43556</v>
      </c>
      <c r="C66" s="711">
        <f ca="1">'NTN-F'!D73</f>
        <v>-0.99991483438532924</v>
      </c>
      <c r="D66" s="628">
        <f ca="1">'NTN-F'!E73</f>
        <v>0.99893627519111139</v>
      </c>
      <c r="Q66" s="635">
        <f>'NTN-F'!B74</f>
        <v>43647</v>
      </c>
      <c r="R66" s="521">
        <f>VLOOKUP(Q66,'NTN-F'!$B$66:$M$78,2,FALSE)*100</f>
        <v>7.6700000000000008</v>
      </c>
      <c r="S66" s="522">
        <f>R66-VLOOKUP(Q66,'NTN-F'!$B$66:$M$78,11,FALSE)*100</f>
        <v>0</v>
      </c>
      <c r="T66" s="611">
        <f ca="1">VLOOKUP(Q66,'NTN-F'!$B$66:$M$78,3,FALSE)</f>
        <v>-2.24405270754513E-5</v>
      </c>
      <c r="U66" s="612">
        <f ca="1">T66-VLOOKUP(Q66,'NTN-F'!$B$66:$M$78,12,FALSE)</f>
        <v>0</v>
      </c>
      <c r="V66" s="598">
        <f ca="1">VLOOKUP(Q66,'NTN-F'!$B$66:$M$78,4,FALSE)</f>
        <v>1.0001339631361112</v>
      </c>
      <c r="W66" s="599">
        <f ca="1">V66-VLOOKUP(Q66,'NTN-F'!$B$66:$Z$78,13,FALSE)</f>
        <v>0</v>
      </c>
      <c r="X66" s="637">
        <f>VLOOKUP(Q66,'NTN-F'!$B$66:$M$78,6,FALSE)</f>
        <v>43647</v>
      </c>
      <c r="Y66" s="596">
        <f ca="1">VLOOKUP(Q66,'NTN-F'!$B$66:$M$78,7,FALSE)</f>
        <v>7126.7093221031246</v>
      </c>
      <c r="Z66" s="597">
        <f>VLOOKUP(Q66,'NTN-F'!$B$66:$M$78,8,FALSE)</f>
        <v>500</v>
      </c>
      <c r="AA66" s="684">
        <f ca="1">_xll.Spline(Curva!$S$3:$S$43,Curva!$C$3:$C$43,X66)</f>
        <v>7.6689343730161674E-2</v>
      </c>
    </row>
    <row r="67" spans="2:27" s="188" customFormat="1" ht="15.75" x14ac:dyDescent="0.2">
      <c r="B67" s="220">
        <f>'NTN-F'!B74</f>
        <v>43647</v>
      </c>
      <c r="C67" s="711">
        <f ca="1">'NTN-F'!D74</f>
        <v>-2.24405270754513E-5</v>
      </c>
      <c r="D67" s="628">
        <f ca="1">'NTN-F'!E74</f>
        <v>1.0001339631361112</v>
      </c>
      <c r="Q67" s="636">
        <f>'NTN-F'!B75</f>
        <v>43739</v>
      </c>
      <c r="R67" s="519">
        <f>VLOOKUP(Q67,'NTN-F'!$B$66:$M$78,2,FALSE)*100</f>
        <v>7.9114000000000004</v>
      </c>
      <c r="S67" s="520">
        <f>R67-VLOOKUP(Q67,'NTN-F'!$B$66:$M$78,11,FALSE)*100</f>
        <v>0</v>
      </c>
      <c r="T67" s="609">
        <f ca="1">VLOOKUP(Q67,'NTN-F'!$B$66:$M$78,3,FALSE)</f>
        <v>1.1402266612946244</v>
      </c>
      <c r="U67" s="610">
        <f ca="1">T67-VLOOKUP(Q67,'NTN-F'!$B$66:$M$78,12,FALSE)</f>
        <v>0</v>
      </c>
      <c r="V67" s="578">
        <f ca="1">VLOOKUP(Q67,'NTN-F'!$B$66:$M$78,4,FALSE)</f>
        <v>1.0014477970911526</v>
      </c>
      <c r="W67" s="579">
        <f ca="1">V67-VLOOKUP(Q67,'NTN-F'!$B$66:$Z$78,13,FALSE)</f>
        <v>0</v>
      </c>
      <c r="X67" s="638">
        <f>VLOOKUP(Q67,'NTN-F'!$B$66:$M$78,6,FALSE)</f>
        <v>43739</v>
      </c>
      <c r="Y67" s="595">
        <f ca="1">VLOOKUP(Q67,'NTN-F'!$B$66:$M$78,7,FALSE)</f>
        <v>7984.6441899280762</v>
      </c>
      <c r="Z67" s="594">
        <f>VLOOKUP(Q67,'NTN-F'!$B$66:$M$78,8,FALSE)</f>
        <v>500</v>
      </c>
      <c r="AA67" s="683">
        <f ca="1">_xll.Spline(Curva!$S$3:$S$43,Curva!$C$3:$C$43,X67)</f>
        <v>7.8995239483740765E-2</v>
      </c>
    </row>
    <row r="68" spans="2:27" s="188" customFormat="1" ht="15.75" x14ac:dyDescent="0.2">
      <c r="B68" s="220">
        <f>'NTN-F'!B75</f>
        <v>43739</v>
      </c>
      <c r="C68" s="711">
        <f ca="1">'NTN-F'!D75</f>
        <v>1.1402266612946244</v>
      </c>
      <c r="D68" s="628">
        <f ca="1">'NTN-F'!E75</f>
        <v>1.0014477970911526</v>
      </c>
      <c r="Q68" s="635">
        <f>'NTN-F'!B76</f>
        <v>43831</v>
      </c>
      <c r="R68" s="521">
        <f>VLOOKUP(Q68,'NTN-F'!$B$66:$M$78,2,FALSE)*100</f>
        <v>8.0478000000000005</v>
      </c>
      <c r="S68" s="522">
        <f>R68-VLOOKUP(Q68,'NTN-F'!$B$66:$M$78,11,FALSE)*100</f>
        <v>0</v>
      </c>
      <c r="T68" s="611">
        <f ca="1">VLOOKUP(Q68,'NTN-F'!$B$66:$M$78,3,FALSE)</f>
        <v>-0.21971822441277378</v>
      </c>
      <c r="U68" s="612">
        <f ca="1">T68-VLOOKUP(Q68,'NTN-F'!$B$66:$M$78,12,FALSE)</f>
        <v>0</v>
      </c>
      <c r="V68" s="598">
        <f ca="1">VLOOKUP(Q68,'NTN-F'!$B$66:$M$78,4,FALSE)</f>
        <v>0.99975617883032408</v>
      </c>
      <c r="W68" s="599">
        <f ca="1">V68-VLOOKUP(Q68,'NTN-F'!$B$66:$Z$78,13,FALSE)</f>
        <v>0</v>
      </c>
      <c r="X68" s="637">
        <f>VLOOKUP(Q68,'NTN-F'!$B$66:$M$78,6,FALSE)</f>
        <v>43832</v>
      </c>
      <c r="Y68" s="596">
        <f ca="1">VLOOKUP(Q68,'NTN-F'!$B$66:$M$78,7,FALSE)</f>
        <v>8773.3039944250777</v>
      </c>
      <c r="Z68" s="597">
        <f>VLOOKUP(Q68,'NTN-F'!$B$66:$M$78,8,FALSE)</f>
        <v>500</v>
      </c>
      <c r="AA68" s="684">
        <f ca="1">_xll.Spline(Curva!$S$3:$S$43,Curva!$C$3:$C$43,X68)</f>
        <v>8.049839348405774E-2</v>
      </c>
    </row>
    <row r="69" spans="2:27" s="188" customFormat="1" ht="15.75" x14ac:dyDescent="0.2">
      <c r="B69" s="220">
        <f>'NTN-F'!B76</f>
        <v>43831</v>
      </c>
      <c r="C69" s="711">
        <f ca="1">'NTN-F'!D76</f>
        <v>-0.21971822441277378</v>
      </c>
      <c r="D69" s="628">
        <f ca="1">'NTN-F'!E76</f>
        <v>0.99975617883032408</v>
      </c>
      <c r="Q69" s="636">
        <f>'NTN-F'!B77</f>
        <v>44013</v>
      </c>
      <c r="R69" s="519">
        <f>VLOOKUP(Q69,'NTN-F'!$B$66:$M$78,2,FALSE)*100</f>
        <v>8.4199000000000002</v>
      </c>
      <c r="S69" s="520">
        <f>R69-VLOOKUP(Q69,'NTN-F'!$B$66:$M$78,11,FALSE)*100</f>
        <v>0</v>
      </c>
      <c r="T69" s="609">
        <f ca="1">VLOOKUP(Q69,'NTN-F'!$B$66:$M$78,3,FALSE)</f>
        <v>-1.0235101152444859E-2</v>
      </c>
      <c r="U69" s="610">
        <f ca="1">T69-VLOOKUP(Q69,'NTN-F'!$B$66:$M$78,12,FALSE)</f>
        <v>0</v>
      </c>
      <c r="V69" s="578">
        <f ca="1">VLOOKUP(Q69,'NTN-F'!$B$66:$M$78,4,FALSE)</f>
        <v>0.99994215867549974</v>
      </c>
      <c r="W69" s="579">
        <f ca="1">V69-VLOOKUP(Q69,'NTN-F'!$B$66:$Z$78,13,FALSE)</f>
        <v>0</v>
      </c>
      <c r="X69" s="638">
        <f>VLOOKUP(Q69,'NTN-F'!$B$66:$M$78,6,FALSE)</f>
        <v>44013</v>
      </c>
      <c r="Y69" s="595">
        <f ca="1">VLOOKUP(Q69,'NTN-F'!$B$66:$M$78,7,FALSE)</f>
        <v>10154.158781373553</v>
      </c>
      <c r="Z69" s="594">
        <f>VLOOKUP(Q69,'NTN-F'!$B$66:$M$78,8,FALSE)</f>
        <v>500</v>
      </c>
      <c r="AA69" s="683">
        <f ca="1">_xll.Spline(Curva!$S$3:$S$43,Curva!$C$3:$C$43,X69)</f>
        <v>8.4204069181988084E-2</v>
      </c>
    </row>
    <row r="70" spans="2:27" s="188" customFormat="1" ht="16.5" thickBot="1" x14ac:dyDescent="0.25">
      <c r="B70" s="220">
        <f>'NTN-F'!B77</f>
        <v>44013</v>
      </c>
      <c r="C70" s="711">
        <f ca="1">'NTN-F'!D77</f>
        <v>-1.0235101152444859E-2</v>
      </c>
      <c r="D70" s="628">
        <f ca="1">'NTN-F'!E77</f>
        <v>0.99994215867549974</v>
      </c>
      <c r="Q70" s="669">
        <f>'NTN-F'!B78</f>
        <v>44378</v>
      </c>
      <c r="R70" s="670">
        <f>VLOOKUP(Q70,'NTN-F'!$B$66:$M$78,2,FALSE)*100</f>
        <v>8.9700000000000006</v>
      </c>
      <c r="S70" s="671">
        <f>R70-VLOOKUP(Q70,'NTN-F'!$B$66:$M$78,11,FALSE)*100</f>
        <v>0</v>
      </c>
      <c r="T70" s="672">
        <f ca="1">VLOOKUP(Q70,'NTN-F'!$B$66:$M$78,3,FALSE)</f>
        <v>-3.3991988113157845E-5</v>
      </c>
      <c r="U70" s="673">
        <f ca="1">T70-VLOOKUP(Q70,'NTN-F'!$B$66:$M$78,12,FALSE)</f>
        <v>0</v>
      </c>
      <c r="V70" s="674">
        <f ca="1">VLOOKUP(Q70,'NTN-F'!$B$66:$M$78,4,FALSE)</f>
        <v>0.99990566922562407</v>
      </c>
      <c r="W70" s="675">
        <f ca="1">V70-VLOOKUP(Q70,'NTN-F'!$B$66:$Z$78,13,FALSE)</f>
        <v>0</v>
      </c>
      <c r="X70" s="676">
        <f>VLOOKUP(Q70,'NTN-F'!$B$66:$M$78,6,FALSE)</f>
        <v>44378</v>
      </c>
      <c r="Y70" s="677">
        <f ca="1">VLOOKUP(Q70,'NTN-F'!$B$66:$M$78,7,FALSE)</f>
        <v>12458.951670756505</v>
      </c>
      <c r="Z70" s="678">
        <f>VLOOKUP(Q70,'NTN-F'!$B$66:$M$78,8,FALSE)</f>
        <v>500</v>
      </c>
      <c r="AA70" s="685">
        <f ca="1">_xll.Spline(Curva!$S$3:$S$43,Curva!$C$3:$C$43,X70)</f>
        <v>8.9708829467223916E-2</v>
      </c>
    </row>
    <row r="71" spans="2:27" s="188" customFormat="1" x14ac:dyDescent="0.2">
      <c r="B71" s="220">
        <f>'NTN-F'!B78</f>
        <v>44378</v>
      </c>
      <c r="C71" s="711">
        <f ca="1">'NTN-F'!D78</f>
        <v>-3.3991988113157845E-5</v>
      </c>
      <c r="D71" s="628">
        <f ca="1">'NTN-F'!E78</f>
        <v>0.99990566922562407</v>
      </c>
    </row>
    <row r="72" spans="2:27" s="188" customFormat="1" x14ac:dyDescent="0.2"/>
    <row r="73" spans="2:27" s="188" customFormat="1" x14ac:dyDescent="0.2"/>
    <row r="74" spans="2:27" s="188" customFormat="1" x14ac:dyDescent="0.2"/>
    <row r="75" spans="2:27" s="188" customFormat="1" x14ac:dyDescent="0.2">
      <c r="B75" s="220"/>
      <c r="C75" s="537"/>
      <c r="D75" s="536"/>
    </row>
    <row r="76" spans="2:27" s="188" customFormat="1" x14ac:dyDescent="0.2">
      <c r="B76" s="220"/>
      <c r="C76" s="537"/>
      <c r="D76" s="536"/>
    </row>
    <row r="77" spans="2:27" s="188" customFormat="1" x14ac:dyDescent="0.2">
      <c r="B77" s="220"/>
      <c r="C77" s="537"/>
      <c r="D77" s="536"/>
    </row>
    <row r="78" spans="2:27" s="188" customFormat="1" x14ac:dyDescent="0.2">
      <c r="B78" s="220"/>
      <c r="C78" s="537"/>
      <c r="D78" s="536"/>
    </row>
    <row r="79" spans="2:27" s="188" customFormat="1" x14ac:dyDescent="0.2"/>
    <row r="80" spans="2:27" s="188" customFormat="1" x14ac:dyDescent="0.2"/>
    <row r="81" spans="2:28" s="188" customFormat="1" x14ac:dyDescent="0.2">
      <c r="B81" s="220"/>
      <c r="C81" s="537"/>
      <c r="D81" s="536"/>
    </row>
    <row r="82" spans="2:28" s="188" customFormat="1" x14ac:dyDescent="0.2">
      <c r="C82" s="537"/>
      <c r="D82" s="536"/>
    </row>
    <row r="83" spans="2:28" s="188" customFormat="1" x14ac:dyDescent="0.2">
      <c r="C83" s="537"/>
      <c r="D83" s="536"/>
      <c r="AB83" s="537"/>
    </row>
    <row r="84" spans="2:28" s="188" customFormat="1" x14ac:dyDescent="0.2">
      <c r="C84" s="537"/>
      <c r="D84" s="536"/>
    </row>
    <row r="85" spans="2:28" s="188" customFormat="1" x14ac:dyDescent="0.2"/>
    <row r="86" spans="2:28" s="188" customFormat="1" x14ac:dyDescent="0.2"/>
    <row r="87" spans="2:28" s="188" customFormat="1" x14ac:dyDescent="0.2"/>
    <row r="88" spans="2:28" s="188" customFormat="1" x14ac:dyDescent="0.2"/>
    <row r="89" spans="2:28" s="188" customFormat="1" x14ac:dyDescent="0.2"/>
    <row r="90" spans="2:28" s="188" customFormat="1" x14ac:dyDescent="0.2"/>
    <row r="91" spans="2:28" s="188" customFormat="1" x14ac:dyDescent="0.2"/>
    <row r="92" spans="2:28" s="188" customFormat="1" x14ac:dyDescent="0.2"/>
    <row r="93" spans="2:28" s="188" customFormat="1" x14ac:dyDescent="0.2"/>
    <row r="94" spans="2:28" s="188" customFormat="1" x14ac:dyDescent="0.2"/>
    <row r="95" spans="2:28" s="188" customFormat="1" x14ac:dyDescent="0.2"/>
    <row r="96" spans="2:28" s="188" customFormat="1" x14ac:dyDescent="0.2"/>
    <row r="97" spans="36:45" s="188" customFormat="1" x14ac:dyDescent="0.2"/>
    <row r="98" spans="36:45" s="188" customFormat="1" x14ac:dyDescent="0.2"/>
    <row r="99" spans="36:45" s="188" customFormat="1" ht="13.5" thickBot="1" x14ac:dyDescent="0.25"/>
    <row r="100" spans="36:45" s="188" customFormat="1" ht="19.5" thickBot="1" x14ac:dyDescent="0.35">
      <c r="AJ100" s="741" t="s">
        <v>51</v>
      </c>
      <c r="AK100" s="742"/>
      <c r="AL100" s="742"/>
      <c r="AM100" s="742"/>
      <c r="AN100" s="742"/>
      <c r="AO100" s="742"/>
      <c r="AP100" s="742"/>
      <c r="AQ100" s="742"/>
      <c r="AR100" s="742"/>
      <c r="AS100" s="743"/>
    </row>
    <row r="101" spans="36:45" s="188" customFormat="1" x14ac:dyDescent="0.2">
      <c r="AJ101" s="626"/>
      <c r="AK101" s="744">
        <v>42886</v>
      </c>
      <c r="AL101" s="745"/>
      <c r="AM101" s="746"/>
      <c r="AN101" s="744">
        <v>42934</v>
      </c>
      <c r="AO101" s="745"/>
      <c r="AP101" s="746"/>
      <c r="AQ101" s="517"/>
      <c r="AR101" s="527"/>
      <c r="AS101" s="518"/>
    </row>
    <row r="102" spans="36:45" s="188" customFormat="1" x14ac:dyDescent="0.2">
      <c r="AJ102" s="688" t="s">
        <v>453</v>
      </c>
      <c r="AK102" s="689" t="s">
        <v>454</v>
      </c>
      <c r="AL102" s="690" t="s">
        <v>466</v>
      </c>
      <c r="AM102" s="691" t="s">
        <v>442</v>
      </c>
      <c r="AN102" s="689" t="s">
        <v>454</v>
      </c>
      <c r="AO102" s="690" t="s">
        <v>466</v>
      </c>
      <c r="AP102" s="691" t="s">
        <v>442</v>
      </c>
      <c r="AQ102" s="689" t="s">
        <v>467</v>
      </c>
      <c r="AR102" s="690" t="s">
        <v>468</v>
      </c>
      <c r="AS102" s="691" t="s">
        <v>469</v>
      </c>
    </row>
    <row r="103" spans="36:45" s="188" customFormat="1" ht="15.75" x14ac:dyDescent="0.2">
      <c r="AJ103" s="627"/>
      <c r="AK103" s="519"/>
      <c r="AL103" s="692"/>
      <c r="AM103" s="579"/>
      <c r="AN103" s="519"/>
      <c r="AO103" s="692"/>
      <c r="AP103" s="579"/>
      <c r="AQ103" s="578"/>
      <c r="AR103" s="693"/>
      <c r="AS103" s="579"/>
    </row>
    <row r="104" spans="36:45" s="188" customFormat="1" ht="15.75" x14ac:dyDescent="0.2">
      <c r="AJ104" s="633">
        <v>43101</v>
      </c>
      <c r="AK104" s="521">
        <v>9.2349999999999994</v>
      </c>
      <c r="AL104" s="694">
        <v>-1.5</v>
      </c>
      <c r="AM104" s="599">
        <v>0.99909999999999999</v>
      </c>
      <c r="AN104" s="521">
        <v>8.6402999999999999</v>
      </c>
      <c r="AO104" s="694">
        <v>-0.46926377089931415</v>
      </c>
      <c r="AP104" s="599">
        <v>1.0009392396323715</v>
      </c>
      <c r="AQ104" s="524">
        <f>AN104-AK104</f>
        <v>-0.59469999999999956</v>
      </c>
      <c r="AR104" s="622">
        <f>AO104-AL104</f>
        <v>1.0307362291006859</v>
      </c>
      <c r="AS104" s="599">
        <f>AP104-AM104</f>
        <v>1.8392396323715365E-3</v>
      </c>
    </row>
    <row r="105" spans="36:45" s="188" customFormat="1" ht="15.75" x14ac:dyDescent="0.2">
      <c r="AJ105" s="634">
        <v>43466</v>
      </c>
      <c r="AK105" s="519">
        <v>9.26</v>
      </c>
      <c r="AL105" s="692">
        <v>-4</v>
      </c>
      <c r="AM105" s="579">
        <v>0.99670000000000003</v>
      </c>
      <c r="AN105" s="519">
        <v>8.4700000000000006</v>
      </c>
      <c r="AO105" s="692">
        <v>-4.000258646488092</v>
      </c>
      <c r="AP105" s="579">
        <v>0.99620729953216014</v>
      </c>
      <c r="AQ105" s="523">
        <f t="shared" ref="AQ105:AS109" si="5">AN105-AK105</f>
        <v>-0.78999999999999915</v>
      </c>
      <c r="AR105" s="624">
        <f t="shared" si="5"/>
        <v>-2.5864648809204027E-4</v>
      </c>
      <c r="AS105" s="579">
        <f t="shared" si="5"/>
        <v>-4.9270046783989052E-4</v>
      </c>
    </row>
    <row r="106" spans="36:45" s="188" customFormat="1" ht="15.75" x14ac:dyDescent="0.2">
      <c r="AJ106" s="633">
        <v>44197</v>
      </c>
      <c r="AK106" s="521">
        <v>10.205</v>
      </c>
      <c r="AL106" s="694">
        <v>-9.5</v>
      </c>
      <c r="AM106" s="599">
        <v>0.99950000000000006</v>
      </c>
      <c r="AN106" s="521">
        <v>9.4306000000000001</v>
      </c>
      <c r="AO106" s="694">
        <v>-14.940140516175315</v>
      </c>
      <c r="AP106" s="599">
        <v>0.99398650677995504</v>
      </c>
      <c r="AQ106" s="524">
        <f t="shared" si="5"/>
        <v>-0.77439999999999998</v>
      </c>
      <c r="AR106" s="622">
        <f t="shared" si="5"/>
        <v>-5.4401405161753154</v>
      </c>
      <c r="AS106" s="599">
        <f t="shared" si="5"/>
        <v>-5.5134932200450182E-3</v>
      </c>
    </row>
    <row r="107" spans="36:45" s="188" customFormat="1" ht="15.75" x14ac:dyDescent="0.2">
      <c r="AJ107" s="634">
        <v>44927</v>
      </c>
      <c r="AK107" s="519">
        <v>10.565799999999999</v>
      </c>
      <c r="AL107" s="692">
        <v>-18.399999999999999</v>
      </c>
      <c r="AM107" s="579">
        <v>0.99570000000000003</v>
      </c>
      <c r="AN107" s="519">
        <v>9.8478999999999992</v>
      </c>
      <c r="AO107" s="692">
        <v>-21.209956184149309</v>
      </c>
      <c r="AP107" s="579">
        <v>0.99261001638126323</v>
      </c>
      <c r="AQ107" s="523">
        <f t="shared" si="5"/>
        <v>-0.7179000000000002</v>
      </c>
      <c r="AR107" s="624">
        <f t="shared" si="5"/>
        <v>-2.8099561841493106</v>
      </c>
      <c r="AS107" s="579">
        <f t="shared" si="5"/>
        <v>-3.0899836187368024E-3</v>
      </c>
    </row>
    <row r="108" spans="36:45" s="188" customFormat="1" ht="15.75" x14ac:dyDescent="0.2">
      <c r="AJ108" s="633">
        <v>45658</v>
      </c>
      <c r="AK108" s="521">
        <v>10.708</v>
      </c>
      <c r="AL108" s="694">
        <v>-25.2</v>
      </c>
      <c r="AM108" s="599">
        <v>0.99219999999999997</v>
      </c>
      <c r="AN108" s="521">
        <v>10.030900000000001</v>
      </c>
      <c r="AO108" s="694">
        <v>-26.909981384117543</v>
      </c>
      <c r="AP108" s="599">
        <v>0.99039147731147203</v>
      </c>
      <c r="AQ108" s="524">
        <f t="shared" si="5"/>
        <v>-0.67709999999999937</v>
      </c>
      <c r="AR108" s="622">
        <f t="shared" si="5"/>
        <v>-1.709981384117544</v>
      </c>
      <c r="AS108" s="599">
        <f t="shared" si="5"/>
        <v>-1.808522688527936E-3</v>
      </c>
    </row>
    <row r="109" spans="36:45" s="188" customFormat="1" ht="16.5" thickBot="1" x14ac:dyDescent="0.25">
      <c r="AJ109" s="695">
        <v>46388</v>
      </c>
      <c r="AK109" s="696">
        <v>10.7113</v>
      </c>
      <c r="AL109" s="697">
        <v>-35.9</v>
      </c>
      <c r="AM109" s="698">
        <v>0.98429999999999995</v>
      </c>
      <c r="AN109" s="696">
        <v>10.145799999999999</v>
      </c>
      <c r="AO109" s="697">
        <v>-31.419900727763238</v>
      </c>
      <c r="AP109" s="698">
        <v>0.98905944932679823</v>
      </c>
      <c r="AQ109" s="699">
        <f t="shared" si="5"/>
        <v>-0.56550000000000011</v>
      </c>
      <c r="AR109" s="700">
        <f t="shared" si="5"/>
        <v>4.4800992722367603</v>
      </c>
      <c r="AS109" s="698">
        <f t="shared" si="5"/>
        <v>4.7594493267982818E-3</v>
      </c>
    </row>
    <row r="110" spans="36:45" s="188" customFormat="1" ht="16.5" thickBot="1" x14ac:dyDescent="0.25">
      <c r="AJ110" s="701"/>
      <c r="AK110" s="702"/>
      <c r="AL110" s="694"/>
      <c r="AM110" s="703"/>
      <c r="AN110" s="702"/>
      <c r="AO110" s="694"/>
      <c r="AP110" s="703"/>
      <c r="AQ110" s="703"/>
      <c r="AR110" s="703"/>
      <c r="AS110" s="703"/>
    </row>
    <row r="111" spans="36:45" s="188" customFormat="1" ht="19.5" thickBot="1" x14ac:dyDescent="0.35">
      <c r="AJ111" s="741" t="s">
        <v>252</v>
      </c>
      <c r="AK111" s="742"/>
      <c r="AL111" s="742"/>
      <c r="AM111" s="742"/>
      <c r="AN111" s="742"/>
      <c r="AO111" s="742"/>
      <c r="AP111" s="742"/>
      <c r="AQ111" s="742"/>
      <c r="AR111" s="742"/>
      <c r="AS111" s="743"/>
    </row>
    <row r="112" spans="36:45" s="188" customFormat="1" x14ac:dyDescent="0.2">
      <c r="AJ112" s="626"/>
      <c r="AK112" s="744">
        <v>42886</v>
      </c>
      <c r="AL112" s="745"/>
      <c r="AM112" s="746"/>
      <c r="AN112" s="744">
        <v>42934</v>
      </c>
      <c r="AO112" s="745"/>
      <c r="AP112" s="746"/>
      <c r="AQ112" s="517"/>
      <c r="AR112" s="527"/>
      <c r="AS112" s="518"/>
    </row>
    <row r="113" spans="36:45" s="188" customFormat="1" x14ac:dyDescent="0.2">
      <c r="AJ113" s="688" t="s">
        <v>453</v>
      </c>
      <c r="AK113" s="689" t="s">
        <v>454</v>
      </c>
      <c r="AL113" s="690" t="s">
        <v>466</v>
      </c>
      <c r="AM113" s="691" t="s">
        <v>442</v>
      </c>
      <c r="AN113" s="689" t="s">
        <v>454</v>
      </c>
      <c r="AO113" s="690" t="s">
        <v>466</v>
      </c>
      <c r="AP113" s="691" t="s">
        <v>442</v>
      </c>
      <c r="AQ113" s="689" t="s">
        <v>467</v>
      </c>
      <c r="AR113" s="690" t="s">
        <v>468</v>
      </c>
      <c r="AS113" s="691" t="s">
        <v>469</v>
      </c>
    </row>
    <row r="114" spans="36:45" s="188" customFormat="1" ht="15.75" x14ac:dyDescent="0.2">
      <c r="AJ114" s="634">
        <v>43009</v>
      </c>
      <c r="AK114" s="519">
        <v>9.6565999999999992</v>
      </c>
      <c r="AL114" s="692">
        <v>2.2000000000000002</v>
      </c>
      <c r="AM114" s="579">
        <v>1.0039</v>
      </c>
      <c r="AN114" s="519">
        <v>9.1199999999999992</v>
      </c>
      <c r="AO114" s="692">
        <v>1.0009343800602977</v>
      </c>
      <c r="AP114" s="579">
        <v>1.0031316163988615</v>
      </c>
      <c r="AQ114" s="523">
        <f t="shared" ref="AQ114:AR124" si="6">AN114-AK114</f>
        <v>-0.53659999999999997</v>
      </c>
      <c r="AR114" s="624">
        <f t="shared" si="6"/>
        <v>-1.1990656199397025</v>
      </c>
      <c r="AS114" s="579">
        <f t="shared" ref="AS114:AS121" si="7">AP114-AM114</f>
        <v>-7.6838360113851145E-4</v>
      </c>
    </row>
    <row r="115" spans="36:45" s="188" customFormat="1" ht="15.75" x14ac:dyDescent="0.2">
      <c r="AJ115" s="633">
        <v>43101</v>
      </c>
      <c r="AK115" s="521">
        <v>9.2287999999999997</v>
      </c>
      <c r="AL115" s="694">
        <v>-2.1</v>
      </c>
      <c r="AM115" s="599">
        <v>0.99909999999999999</v>
      </c>
      <c r="AN115" s="521">
        <v>8.5946999999999996</v>
      </c>
      <c r="AO115" s="694">
        <v>-5.0292637708992949</v>
      </c>
      <c r="AP115" s="599">
        <v>0.99586775378322856</v>
      </c>
      <c r="AQ115" s="524">
        <f t="shared" si="6"/>
        <v>-0.63410000000000011</v>
      </c>
      <c r="AR115" s="622">
        <f t="shared" si="6"/>
        <v>-2.9292637708992948</v>
      </c>
      <c r="AS115" s="599">
        <f t="shared" si="7"/>
        <v>-3.2322462167714283E-3</v>
      </c>
    </row>
    <row r="116" spans="36:45" s="188" customFormat="1" ht="15.75" x14ac:dyDescent="0.2">
      <c r="AJ116" s="634">
        <v>43191</v>
      </c>
      <c r="AK116" s="519">
        <v>9.1440999999999999</v>
      </c>
      <c r="AL116" s="692">
        <v>0.4</v>
      </c>
      <c r="AM116" s="579">
        <v>1.0014000000000001</v>
      </c>
      <c r="AN116" s="519">
        <v>8.4402000000000008</v>
      </c>
      <c r="AO116" s="692">
        <v>-0.47992891391984704</v>
      </c>
      <c r="AP116" s="579">
        <v>1.0005542319939338</v>
      </c>
      <c r="AQ116" s="523">
        <f t="shared" si="6"/>
        <v>-0.70389999999999908</v>
      </c>
      <c r="AR116" s="624">
        <f t="shared" si="6"/>
        <v>-0.87992891391984707</v>
      </c>
      <c r="AS116" s="579">
        <f t="shared" si="7"/>
        <v>-8.4576800606628311E-4</v>
      </c>
    </row>
    <row r="117" spans="36:45" s="188" customFormat="1" ht="15.75" x14ac:dyDescent="0.2">
      <c r="AJ117" s="633">
        <v>43282</v>
      </c>
      <c r="AK117" s="521">
        <v>9.1676000000000002</v>
      </c>
      <c r="AL117" s="694">
        <v>0.8</v>
      </c>
      <c r="AM117" s="599">
        <v>1.0016</v>
      </c>
      <c r="AN117" s="521">
        <v>8.3650000000000002</v>
      </c>
      <c r="AO117" s="694">
        <v>-1.9997381921998958</v>
      </c>
      <c r="AP117" s="599">
        <v>0.998548643098916</v>
      </c>
      <c r="AQ117" s="524">
        <f t="shared" si="6"/>
        <v>-0.80259999999999998</v>
      </c>
      <c r="AR117" s="622">
        <f t="shared" si="6"/>
        <v>-2.7997381921998956</v>
      </c>
      <c r="AS117" s="599">
        <f t="shared" si="7"/>
        <v>-3.0513569010840458E-3</v>
      </c>
    </row>
    <row r="118" spans="36:45" s="188" customFormat="1" ht="15.75" x14ac:dyDescent="0.2">
      <c r="AJ118" s="634">
        <v>43374</v>
      </c>
      <c r="AK118" s="519">
        <v>9.23</v>
      </c>
      <c r="AL118" s="692">
        <v>1</v>
      </c>
      <c r="AM118" s="579">
        <v>1.0016</v>
      </c>
      <c r="AN118" s="519">
        <v>8.4335000000000004</v>
      </c>
      <c r="AO118" s="692">
        <v>0.35007497620712091</v>
      </c>
      <c r="AP118" s="579">
        <v>1.0010420511071043</v>
      </c>
      <c r="AQ118" s="523">
        <f t="shared" si="6"/>
        <v>-0.79649999999999999</v>
      </c>
      <c r="AR118" s="624">
        <f t="shared" si="6"/>
        <v>-0.64992502379287909</v>
      </c>
      <c r="AS118" s="579">
        <f t="shared" si="7"/>
        <v>-5.5794889289573213E-4</v>
      </c>
    </row>
    <row r="119" spans="36:45" s="188" customFormat="1" ht="15.75" x14ac:dyDescent="0.2">
      <c r="AJ119" s="633">
        <v>43466</v>
      </c>
      <c r="AK119" s="521">
        <v>9.3071000000000002</v>
      </c>
      <c r="AL119" s="694">
        <v>0.7</v>
      </c>
      <c r="AM119" s="599">
        <v>1.0012000000000001</v>
      </c>
      <c r="AN119" s="521">
        <v>8.49</v>
      </c>
      <c r="AO119" s="694">
        <v>-2.0002586464881733</v>
      </c>
      <c r="AP119" s="599">
        <v>0.99824448488812501</v>
      </c>
      <c r="AQ119" s="524">
        <f t="shared" si="6"/>
        <v>-0.81709999999999994</v>
      </c>
      <c r="AR119" s="622">
        <f t="shared" si="6"/>
        <v>-2.700258646488173</v>
      </c>
      <c r="AS119" s="599">
        <f t="shared" si="7"/>
        <v>-2.9555151118750844E-3</v>
      </c>
    </row>
    <row r="120" spans="36:45" s="188" customFormat="1" ht="15.75" x14ac:dyDescent="0.2">
      <c r="AJ120" s="634">
        <v>43556</v>
      </c>
      <c r="AK120" s="519">
        <v>9.4582999999999995</v>
      </c>
      <c r="AL120" s="692">
        <v>1.8</v>
      </c>
      <c r="AM120" s="579">
        <v>1.0022</v>
      </c>
      <c r="AN120" s="519">
        <v>8.64</v>
      </c>
      <c r="AO120" s="692">
        <v>1.5888186960522077E-4</v>
      </c>
      <c r="AP120" s="579">
        <v>1.0003906589654277</v>
      </c>
      <c r="AQ120" s="523">
        <f t="shared" si="6"/>
        <v>-0.81829999999999892</v>
      </c>
      <c r="AR120" s="624">
        <f t="shared" si="6"/>
        <v>-1.7998411181303948</v>
      </c>
      <c r="AS120" s="579">
        <f t="shared" si="7"/>
        <v>-1.8093410345723093E-3</v>
      </c>
    </row>
    <row r="121" spans="36:45" s="188" customFormat="1" ht="15.75" x14ac:dyDescent="0.2">
      <c r="AJ121" s="633">
        <v>43647</v>
      </c>
      <c r="AK121" s="521">
        <v>9.5993999999999993</v>
      </c>
      <c r="AL121" s="694">
        <v>0.9</v>
      </c>
      <c r="AM121" s="599">
        <v>1.0012000000000001</v>
      </c>
      <c r="AN121" s="521">
        <v>8.7827000000000002</v>
      </c>
      <c r="AO121" s="694">
        <v>-0.72993464933376884</v>
      </c>
      <c r="AP121" s="599">
        <v>0.9995045501906521</v>
      </c>
      <c r="AQ121" s="524">
        <f t="shared" si="6"/>
        <v>-0.81669999999999909</v>
      </c>
      <c r="AR121" s="622">
        <f t="shared" si="6"/>
        <v>-1.629934649333769</v>
      </c>
      <c r="AS121" s="599">
        <f t="shared" si="7"/>
        <v>-1.6954498093479931E-3</v>
      </c>
    </row>
    <row r="122" spans="36:45" s="188" customFormat="1" ht="15.75" x14ac:dyDescent="0.2">
      <c r="AJ122" s="634">
        <v>43739</v>
      </c>
      <c r="AK122" s="519"/>
      <c r="AL122" s="692"/>
      <c r="AM122" s="579"/>
      <c r="AN122" s="519">
        <v>8.9700000000000006</v>
      </c>
      <c r="AO122" s="692">
        <v>1.0000302068180478</v>
      </c>
      <c r="AP122" s="579">
        <v>1.0012974278564226</v>
      </c>
      <c r="AQ122" s="523"/>
      <c r="AR122" s="624"/>
      <c r="AS122" s="579"/>
    </row>
    <row r="123" spans="36:45" s="188" customFormat="1" ht="15.75" x14ac:dyDescent="0.2">
      <c r="AJ123" s="633">
        <v>43831</v>
      </c>
      <c r="AK123" s="521">
        <v>9.8287999999999993</v>
      </c>
      <c r="AL123" s="694">
        <v>-1.1000000000000001</v>
      </c>
      <c r="AM123" s="599">
        <v>0.99912544931841885</v>
      </c>
      <c r="AN123" s="521">
        <v>9.07</v>
      </c>
      <c r="AO123" s="694">
        <v>-1.0000084359207406</v>
      </c>
      <c r="AP123" s="599">
        <v>0.99912544931841885</v>
      </c>
      <c r="AQ123" s="524">
        <f t="shared" si="6"/>
        <v>-0.75879999999999903</v>
      </c>
      <c r="AR123" s="622">
        <f t="shared" si="6"/>
        <v>9.9991564079259465E-2</v>
      </c>
      <c r="AS123" s="599">
        <f>AP123-AM123</f>
        <v>0</v>
      </c>
    </row>
    <row r="124" spans="36:45" s="188" customFormat="1" ht="15.75" x14ac:dyDescent="0.2">
      <c r="AJ124" s="634">
        <v>44013</v>
      </c>
      <c r="AK124" s="519">
        <v>10.14</v>
      </c>
      <c r="AL124" s="692">
        <v>3</v>
      </c>
      <c r="AM124" s="579">
        <v>1.0029999999999999</v>
      </c>
      <c r="AN124" s="519">
        <v>9.3566000000000003</v>
      </c>
      <c r="AO124" s="692">
        <v>0.66009685716530986</v>
      </c>
      <c r="AP124" s="579">
        <v>1.0007845369672372</v>
      </c>
      <c r="AQ124" s="523">
        <f t="shared" si="6"/>
        <v>-0.78340000000000032</v>
      </c>
      <c r="AR124" s="624">
        <f t="shared" si="6"/>
        <v>-2.3399031428346904</v>
      </c>
      <c r="AS124" s="579">
        <f>AP124-AM124</f>
        <v>-2.2154630327626545E-3</v>
      </c>
    </row>
    <row r="125" spans="36:45" s="188" customFormat="1" ht="16.5" thickBot="1" x14ac:dyDescent="0.25">
      <c r="AJ125" s="704">
        <v>44378</v>
      </c>
      <c r="AK125" s="670"/>
      <c r="AL125" s="705"/>
      <c r="AM125" s="675"/>
      <c r="AN125" s="670">
        <v>9.7914999999999992</v>
      </c>
      <c r="AO125" s="705">
        <v>0.15005264281345299</v>
      </c>
      <c r="AP125" s="675">
        <v>1.0001807920838277</v>
      </c>
      <c r="AQ125" s="674"/>
      <c r="AR125" s="706"/>
      <c r="AS125" s="675"/>
    </row>
    <row r="126" spans="36:45" s="188" customFormat="1" x14ac:dyDescent="0.2"/>
    <row r="127" spans="36:45" s="188" customFormat="1" x14ac:dyDescent="0.2"/>
    <row r="128" spans="36:45" s="188" customFormat="1" x14ac:dyDescent="0.2"/>
    <row r="129" s="188" customFormat="1" x14ac:dyDescent="0.2"/>
    <row r="130" s="188" customFormat="1" x14ac:dyDescent="0.2"/>
    <row r="131" s="188" customFormat="1" x14ac:dyDescent="0.2"/>
    <row r="132" s="188" customFormat="1" x14ac:dyDescent="0.2"/>
    <row r="133" s="188" customFormat="1" x14ac:dyDescent="0.2"/>
    <row r="134" s="188" customFormat="1" x14ac:dyDescent="0.2"/>
    <row r="135" s="188" customFormat="1" x14ac:dyDescent="0.2"/>
    <row r="136" s="188" customFormat="1" x14ac:dyDescent="0.2"/>
    <row r="137" s="188" customFormat="1" x14ac:dyDescent="0.2"/>
    <row r="138" s="188" customFormat="1" x14ac:dyDescent="0.2"/>
    <row r="139" s="188" customFormat="1" x14ac:dyDescent="0.2"/>
    <row r="140" s="188" customFormat="1" x14ac:dyDescent="0.2"/>
    <row r="141" s="188" customFormat="1" x14ac:dyDescent="0.2"/>
    <row r="142" s="188" customFormat="1" x14ac:dyDescent="0.2"/>
    <row r="143" s="188" customFormat="1" x14ac:dyDescent="0.2"/>
    <row r="144" s="188" customFormat="1" x14ac:dyDescent="0.2"/>
    <row r="145" s="188" customFormat="1" x14ac:dyDescent="0.2"/>
    <row r="146" s="188" customFormat="1" x14ac:dyDescent="0.2"/>
    <row r="147" s="188" customFormat="1" x14ac:dyDescent="0.2"/>
    <row r="148" s="188" customFormat="1" x14ac:dyDescent="0.2"/>
    <row r="149" s="188" customFormat="1" x14ac:dyDescent="0.2"/>
    <row r="150" s="188" customFormat="1" x14ac:dyDescent="0.2"/>
    <row r="151" s="188" customFormat="1" x14ac:dyDescent="0.2"/>
    <row r="152" s="188" customFormat="1" x14ac:dyDescent="0.2"/>
    <row r="153" s="188" customFormat="1" x14ac:dyDescent="0.2"/>
    <row r="154" s="188" customFormat="1" x14ac:dyDescent="0.2"/>
    <row r="155" s="188" customFormat="1" x14ac:dyDescent="0.2"/>
    <row r="156" s="188" customFormat="1" x14ac:dyDescent="0.2"/>
    <row r="157" s="188" customFormat="1" x14ac:dyDescent="0.2"/>
    <row r="158" s="188" customFormat="1" x14ac:dyDescent="0.2"/>
    <row r="159" s="188" customFormat="1" x14ac:dyDescent="0.2"/>
    <row r="160" s="188" customFormat="1" x14ac:dyDescent="0.2"/>
    <row r="161" s="188" customFormat="1" x14ac:dyDescent="0.2"/>
    <row r="162" s="188" customFormat="1" x14ac:dyDescent="0.2"/>
    <row r="163" s="188" customFormat="1" x14ac:dyDescent="0.2"/>
    <row r="164" s="188" customFormat="1" x14ac:dyDescent="0.2"/>
    <row r="165" s="188" customFormat="1" x14ac:dyDescent="0.2"/>
    <row r="166" s="188" customFormat="1" x14ac:dyDescent="0.2"/>
    <row r="167" s="188" customFormat="1" x14ac:dyDescent="0.2"/>
    <row r="168" s="188" customFormat="1" x14ac:dyDescent="0.2"/>
    <row r="169" s="188" customFormat="1" x14ac:dyDescent="0.2"/>
    <row r="170" s="188" customFormat="1" x14ac:dyDescent="0.2"/>
    <row r="171" s="188" customFormat="1" x14ac:dyDescent="0.2"/>
    <row r="172" s="188" customFormat="1" x14ac:dyDescent="0.2"/>
    <row r="173" s="188" customFormat="1" x14ac:dyDescent="0.2"/>
    <row r="174" s="188" customFormat="1" x14ac:dyDescent="0.2"/>
    <row r="175" s="188" customFormat="1" x14ac:dyDescent="0.2"/>
    <row r="176" s="188" customFormat="1" x14ac:dyDescent="0.2"/>
    <row r="177" s="188" customFormat="1" x14ac:dyDescent="0.2"/>
    <row r="178" s="188" customFormat="1" x14ac:dyDescent="0.2"/>
    <row r="179" s="188" customFormat="1" x14ac:dyDescent="0.2"/>
    <row r="180" s="188" customFormat="1" x14ac:dyDescent="0.2"/>
    <row r="181" s="188" customFormat="1" x14ac:dyDescent="0.2"/>
    <row r="182" s="188" customFormat="1" x14ac:dyDescent="0.2"/>
    <row r="183" s="188" customFormat="1" x14ac:dyDescent="0.2"/>
    <row r="184" s="188" customFormat="1" x14ac:dyDescent="0.2"/>
    <row r="185" s="188" customFormat="1" x14ac:dyDescent="0.2"/>
    <row r="186" s="188" customFormat="1" x14ac:dyDescent="0.2"/>
    <row r="187" s="188" customFormat="1" x14ac:dyDescent="0.2"/>
    <row r="188" s="188" customFormat="1" x14ac:dyDescent="0.2"/>
    <row r="189" s="188" customFormat="1" x14ac:dyDescent="0.2"/>
    <row r="190" s="188" customFormat="1" x14ac:dyDescent="0.2"/>
    <row r="191" s="188" customFormat="1" x14ac:dyDescent="0.2"/>
    <row r="192" s="188" customFormat="1" x14ac:dyDescent="0.2"/>
    <row r="193" s="188" customFormat="1" x14ac:dyDescent="0.2"/>
    <row r="194" s="188" customFormat="1" x14ac:dyDescent="0.2"/>
    <row r="195" s="188" customFormat="1" x14ac:dyDescent="0.2"/>
    <row r="196" s="188" customFormat="1" x14ac:dyDescent="0.2"/>
    <row r="197" s="188" customFormat="1" x14ac:dyDescent="0.2"/>
    <row r="198" s="188" customFormat="1" x14ac:dyDescent="0.2"/>
    <row r="199" s="188" customFormat="1" x14ac:dyDescent="0.2"/>
    <row r="200" s="188" customFormat="1" x14ac:dyDescent="0.2"/>
    <row r="201" s="188" customFormat="1" x14ac:dyDescent="0.2"/>
    <row r="202" s="188" customFormat="1" x14ac:dyDescent="0.2"/>
    <row r="203" s="188" customFormat="1" x14ac:dyDescent="0.2"/>
    <row r="204" s="188" customFormat="1" x14ac:dyDescent="0.2"/>
    <row r="205" s="188" customFormat="1" x14ac:dyDescent="0.2"/>
    <row r="206" s="188" customFormat="1" x14ac:dyDescent="0.2"/>
    <row r="207" s="188" customFormat="1" x14ac:dyDescent="0.2"/>
    <row r="208" s="188" customFormat="1" x14ac:dyDescent="0.2"/>
    <row r="209" s="188" customFormat="1" x14ac:dyDescent="0.2"/>
    <row r="210" s="188" customFormat="1" x14ac:dyDescent="0.2"/>
    <row r="211" s="188" customFormat="1" x14ac:dyDescent="0.2"/>
    <row r="212" s="188" customFormat="1" x14ac:dyDescent="0.2"/>
    <row r="213" s="188" customFormat="1" x14ac:dyDescent="0.2"/>
    <row r="214" s="188" customFormat="1" x14ac:dyDescent="0.2"/>
    <row r="215" s="188" customFormat="1" x14ac:dyDescent="0.2"/>
    <row r="216" s="188" customFormat="1" x14ac:dyDescent="0.2"/>
    <row r="217" s="188" customFormat="1" x14ac:dyDescent="0.2"/>
    <row r="218" s="188" customFormat="1" x14ac:dyDescent="0.2"/>
    <row r="219" s="188" customFormat="1" x14ac:dyDescent="0.2"/>
    <row r="220" s="188" customFormat="1" x14ac:dyDescent="0.2"/>
    <row r="221" s="188" customFormat="1" x14ac:dyDescent="0.2"/>
    <row r="222" s="188" customFormat="1" x14ac:dyDescent="0.2"/>
    <row r="223" s="188" customFormat="1" x14ac:dyDescent="0.2"/>
    <row r="224" s="188" customFormat="1" x14ac:dyDescent="0.2"/>
    <row r="225" s="188" customFormat="1" x14ac:dyDescent="0.2"/>
    <row r="226" s="188" customFormat="1" x14ac:dyDescent="0.2"/>
    <row r="227" s="188" customFormat="1" x14ac:dyDescent="0.2"/>
    <row r="228" s="188" customFormat="1" x14ac:dyDescent="0.2"/>
    <row r="229" s="188" customFormat="1" x14ac:dyDescent="0.2"/>
    <row r="230" s="188" customFormat="1" x14ac:dyDescent="0.2"/>
    <row r="231" s="188" customFormat="1" x14ac:dyDescent="0.2"/>
    <row r="232" s="188" customFormat="1" x14ac:dyDescent="0.2"/>
    <row r="233" s="188" customFormat="1" x14ac:dyDescent="0.2"/>
    <row r="234" s="188" customFormat="1" x14ac:dyDescent="0.2"/>
    <row r="235" s="188" customFormat="1" x14ac:dyDescent="0.2"/>
    <row r="236" s="188" customFormat="1" x14ac:dyDescent="0.2"/>
    <row r="237" s="188" customFormat="1" x14ac:dyDescent="0.2"/>
    <row r="238" s="188" customFormat="1" x14ac:dyDescent="0.2"/>
    <row r="239" s="188" customFormat="1" x14ac:dyDescent="0.2"/>
    <row r="240" s="188" customFormat="1" x14ac:dyDescent="0.2"/>
    <row r="241" s="188" customFormat="1" x14ac:dyDescent="0.2"/>
    <row r="242" s="188" customFormat="1" x14ac:dyDescent="0.2"/>
    <row r="243" s="188" customFormat="1" x14ac:dyDescent="0.2"/>
    <row r="244" s="188" customFormat="1" x14ac:dyDescent="0.2"/>
    <row r="245" s="188" customFormat="1" x14ac:dyDescent="0.2"/>
    <row r="246" s="188" customFormat="1" x14ac:dyDescent="0.2"/>
    <row r="247" s="188" customFormat="1" x14ac:dyDescent="0.2"/>
    <row r="248" s="188" customFormat="1" x14ac:dyDescent="0.2"/>
    <row r="249" s="188" customFormat="1" x14ac:dyDescent="0.2"/>
    <row r="250" s="188" customFormat="1" x14ac:dyDescent="0.2"/>
    <row r="251" s="188" customFormat="1" x14ac:dyDescent="0.2"/>
    <row r="252" s="188" customFormat="1" x14ac:dyDescent="0.2"/>
    <row r="253" s="188" customFormat="1" x14ac:dyDescent="0.2"/>
    <row r="254" s="188" customFormat="1" x14ac:dyDescent="0.2"/>
    <row r="255" s="188" customFormat="1" x14ac:dyDescent="0.2"/>
    <row r="256" s="188" customFormat="1" x14ac:dyDescent="0.2"/>
    <row r="257" s="188" customFormat="1" x14ac:dyDescent="0.2"/>
    <row r="258" s="188" customFormat="1" x14ac:dyDescent="0.2"/>
    <row r="259" s="188" customFormat="1" x14ac:dyDescent="0.2"/>
    <row r="260" s="188" customFormat="1" x14ac:dyDescent="0.2"/>
    <row r="261" s="188" customFormat="1" x14ac:dyDescent="0.2"/>
    <row r="262" s="188" customFormat="1" x14ac:dyDescent="0.2"/>
    <row r="263" s="188" customFormat="1" x14ac:dyDescent="0.2"/>
    <row r="264" s="188" customFormat="1" x14ac:dyDescent="0.2"/>
    <row r="265" s="188" customFormat="1" x14ac:dyDescent="0.2"/>
    <row r="266" s="188" customFormat="1" x14ac:dyDescent="0.2"/>
  </sheetData>
  <mergeCells count="12">
    <mergeCell ref="AJ100:AS100"/>
    <mergeCell ref="AK101:AM101"/>
    <mergeCell ref="AN101:AP101"/>
    <mergeCell ref="AJ111:AS111"/>
    <mergeCell ref="AK112:AM112"/>
    <mergeCell ref="AN112:AP112"/>
    <mergeCell ref="Q46:Z47"/>
    <mergeCell ref="Q56:Z57"/>
    <mergeCell ref="M11:O11"/>
    <mergeCell ref="B10:O10"/>
    <mergeCell ref="Q27:Z28"/>
    <mergeCell ref="V25:Z26"/>
  </mergeCells>
  <pageMargins left="0.51181102362204722" right="0.51181102362204722" top="0.78740157480314965" bottom="0.78740157480314965" header="0.31496062992125984" footer="0.31496062992125984"/>
  <pageSetup paperSize="9" scale="8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mail">
                <anchor moveWithCells="1" sizeWithCells="1">
                  <from>
                    <xdr:col>10</xdr:col>
                    <xdr:colOff>371475</xdr:colOff>
                    <xdr:row>11</xdr:row>
                    <xdr:rowOff>161925</xdr:rowOff>
                  </from>
                  <to>
                    <xdr:col>11</xdr:col>
                    <xdr:colOff>266700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email">
                <anchor moveWithCells="1" sizeWithCells="1">
                  <from>
                    <xdr:col>16</xdr:col>
                    <xdr:colOff>85725</xdr:colOff>
                    <xdr:row>16</xdr:row>
                    <xdr:rowOff>180975</xdr:rowOff>
                  </from>
                  <to>
                    <xdr:col>16</xdr:col>
                    <xdr:colOff>866775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R246"/>
  <sheetViews>
    <sheetView topLeftCell="A19" workbookViewId="0">
      <selection activeCell="C29" sqref="C29"/>
    </sheetView>
  </sheetViews>
  <sheetFormatPr defaultRowHeight="12.75" x14ac:dyDescent="0.2"/>
  <cols>
    <col min="1" max="1" width="31.7109375" style="5" customWidth="1"/>
    <col min="2" max="2" width="4.5703125" style="5" bestFit="1" customWidth="1"/>
    <col min="3" max="3" width="21.7109375" style="5" bestFit="1" customWidth="1"/>
    <col min="4" max="4" width="19.42578125" style="5" bestFit="1" customWidth="1"/>
    <col min="5" max="5" width="8.28515625" style="5" customWidth="1"/>
    <col min="6" max="6" width="29" style="5" bestFit="1" customWidth="1"/>
    <col min="7" max="9" width="9.42578125" style="5" customWidth="1"/>
    <col min="10" max="10" width="10.140625" style="5" bestFit="1" customWidth="1"/>
    <col min="11" max="11" width="14.42578125" style="5" bestFit="1" customWidth="1"/>
    <col min="12" max="12" width="9.42578125" style="5" customWidth="1"/>
    <col min="13" max="13" width="10.140625" style="5" bestFit="1" customWidth="1"/>
    <col min="14" max="14" width="8.28515625" style="5" customWidth="1"/>
    <col min="15" max="15" width="12" style="5" bestFit="1" customWidth="1"/>
    <col min="16" max="16384" width="9.140625" style="5"/>
  </cols>
  <sheetData>
    <row r="1" spans="1:15" x14ac:dyDescent="0.2">
      <c r="A1" s="5" t="s">
        <v>110</v>
      </c>
      <c r="B1" s="5" t="s">
        <v>111</v>
      </c>
      <c r="C1" s="5" t="s">
        <v>112</v>
      </c>
      <c r="D1" s="5" t="s">
        <v>113</v>
      </c>
      <c r="E1" s="5" t="s">
        <v>114</v>
      </c>
      <c r="F1" s="5" t="s">
        <v>115</v>
      </c>
      <c r="G1"/>
      <c r="H1"/>
      <c r="I1"/>
      <c r="J1"/>
      <c r="K1"/>
      <c r="L1"/>
      <c r="M1"/>
      <c r="N1"/>
      <c r="O1"/>
    </row>
    <row r="2" spans="1:15" x14ac:dyDescent="0.2">
      <c r="A2" s="5" t="s">
        <v>116</v>
      </c>
      <c r="B2" s="5" t="s">
        <v>204</v>
      </c>
      <c r="C2" s="167">
        <v>2512.1039999999998</v>
      </c>
      <c r="D2" s="167">
        <v>2495.893</v>
      </c>
      <c r="E2" s="168">
        <v>-16.210999999999999</v>
      </c>
      <c r="F2" s="167">
        <v>972.66</v>
      </c>
      <c r="G2"/>
      <c r="H2"/>
      <c r="I2"/>
      <c r="J2"/>
      <c r="K2"/>
      <c r="L2" s="219" t="s">
        <v>148</v>
      </c>
      <c r="M2">
        <v>1</v>
      </c>
      <c r="N2" t="str">
        <f>L2</f>
        <v>F</v>
      </c>
      <c r="O2"/>
    </row>
    <row r="3" spans="1:15" x14ac:dyDescent="0.2">
      <c r="B3" s="5" t="s">
        <v>436</v>
      </c>
      <c r="C3" s="167">
        <v>2520.183</v>
      </c>
      <c r="D3" s="167">
        <v>2505.3240000000001</v>
      </c>
      <c r="E3" s="168">
        <v>-14.859</v>
      </c>
      <c r="F3" s="167">
        <v>891.54</v>
      </c>
      <c r="G3"/>
      <c r="H3"/>
      <c r="I3"/>
      <c r="J3"/>
      <c r="K3"/>
      <c r="L3" s="219" t="s">
        <v>149</v>
      </c>
      <c r="M3">
        <v>2</v>
      </c>
      <c r="N3" t="str">
        <f t="shared" ref="N3:N13" si="0">L3</f>
        <v>G</v>
      </c>
      <c r="O3"/>
    </row>
    <row r="4" spans="1:15" x14ac:dyDescent="0.2">
      <c r="B4" s="5" t="s">
        <v>419</v>
      </c>
      <c r="C4" s="167">
        <v>2528.9969999999998</v>
      </c>
      <c r="D4" s="167">
        <v>2513.951</v>
      </c>
      <c r="E4" s="168">
        <v>-15.045999999999999</v>
      </c>
      <c r="F4" s="167">
        <v>902.76</v>
      </c>
      <c r="G4"/>
      <c r="H4"/>
      <c r="I4"/>
      <c r="J4"/>
      <c r="K4"/>
      <c r="L4" s="219" t="s">
        <v>150</v>
      </c>
      <c r="M4">
        <v>3</v>
      </c>
      <c r="N4" t="str">
        <f t="shared" si="0"/>
        <v>H</v>
      </c>
      <c r="O4"/>
    </row>
    <row r="5" spans="1:15" x14ac:dyDescent="0.2">
      <c r="A5" s="5" t="s">
        <v>117</v>
      </c>
      <c r="B5" s="5" t="s">
        <v>422</v>
      </c>
      <c r="C5" s="167">
        <v>140.99</v>
      </c>
      <c r="D5" s="167">
        <v>141.44999999999999</v>
      </c>
      <c r="E5" s="167">
        <v>0.46</v>
      </c>
      <c r="F5" s="167">
        <v>151.80000000000001</v>
      </c>
      <c r="G5"/>
      <c r="H5"/>
      <c r="I5"/>
      <c r="J5"/>
      <c r="K5"/>
      <c r="L5" s="219" t="s">
        <v>151</v>
      </c>
      <c r="M5">
        <v>4</v>
      </c>
      <c r="N5" t="str">
        <f t="shared" si="0"/>
        <v>J</v>
      </c>
      <c r="O5"/>
    </row>
    <row r="6" spans="1:15" x14ac:dyDescent="0.2">
      <c r="B6" s="5" t="s">
        <v>204</v>
      </c>
      <c r="C6" s="167">
        <v>138.01</v>
      </c>
      <c r="D6" s="167">
        <v>138.69</v>
      </c>
      <c r="E6" s="5">
        <v>0.68</v>
      </c>
      <c r="F6" s="167">
        <v>224.4</v>
      </c>
      <c r="G6"/>
      <c r="H6"/>
      <c r="I6"/>
      <c r="J6"/>
      <c r="K6"/>
      <c r="L6" s="219" t="s">
        <v>152</v>
      </c>
      <c r="M6">
        <v>5</v>
      </c>
      <c r="N6" t="str">
        <f t="shared" si="0"/>
        <v>K</v>
      </c>
      <c r="O6"/>
    </row>
    <row r="7" spans="1:15" x14ac:dyDescent="0.2">
      <c r="B7" s="5" t="s">
        <v>436</v>
      </c>
      <c r="C7" s="167">
        <v>137.63</v>
      </c>
      <c r="D7" s="167">
        <v>137.63999999999999</v>
      </c>
      <c r="E7" s="5">
        <v>0.01</v>
      </c>
      <c r="F7" s="167">
        <v>3.3</v>
      </c>
      <c r="G7"/>
      <c r="H7"/>
      <c r="I7"/>
      <c r="J7"/>
      <c r="K7"/>
      <c r="L7" s="219" t="s">
        <v>153</v>
      </c>
      <c r="M7">
        <v>6</v>
      </c>
      <c r="N7" t="str">
        <f t="shared" si="0"/>
        <v>M</v>
      </c>
      <c r="O7"/>
    </row>
    <row r="8" spans="1:15" x14ac:dyDescent="0.2">
      <c r="B8" s="5" t="s">
        <v>419</v>
      </c>
      <c r="C8" s="5">
        <v>137.59</v>
      </c>
      <c r="D8" s="5">
        <v>138.27000000000001</v>
      </c>
      <c r="E8" s="5">
        <v>0.68</v>
      </c>
      <c r="F8" s="167">
        <v>224.4</v>
      </c>
      <c r="G8"/>
      <c r="H8"/>
      <c r="I8"/>
      <c r="J8"/>
      <c r="K8"/>
      <c r="L8" s="219" t="s">
        <v>154</v>
      </c>
      <c r="M8">
        <v>7</v>
      </c>
      <c r="N8" t="str">
        <f t="shared" si="0"/>
        <v>N</v>
      </c>
      <c r="O8"/>
    </row>
    <row r="9" spans="1:15" x14ac:dyDescent="0.2">
      <c r="B9" s="5" t="s">
        <v>126</v>
      </c>
      <c r="C9" s="5">
        <v>135.93</v>
      </c>
      <c r="D9" s="5">
        <v>136.41999999999999</v>
      </c>
      <c r="E9" s="5">
        <v>0.49</v>
      </c>
      <c r="F9" s="167">
        <v>161.69999999999999</v>
      </c>
      <c r="G9"/>
      <c r="H9"/>
      <c r="I9"/>
      <c r="J9"/>
      <c r="K9"/>
      <c r="L9" s="219" t="s">
        <v>155</v>
      </c>
      <c r="M9">
        <v>8</v>
      </c>
      <c r="N9" t="str">
        <f t="shared" si="0"/>
        <v>Q</v>
      </c>
      <c r="O9"/>
    </row>
    <row r="10" spans="1:15" x14ac:dyDescent="0.2">
      <c r="B10" s="5" t="s">
        <v>460</v>
      </c>
      <c r="C10" s="167">
        <v>139.43</v>
      </c>
      <c r="D10" s="167">
        <v>139.93</v>
      </c>
      <c r="E10" s="5">
        <v>0.5</v>
      </c>
      <c r="F10" s="168">
        <v>165</v>
      </c>
      <c r="G10"/>
      <c r="H10"/>
      <c r="I10"/>
      <c r="J10"/>
      <c r="K10"/>
      <c r="L10" s="219" t="s">
        <v>156</v>
      </c>
      <c r="M10">
        <v>9</v>
      </c>
      <c r="N10" t="str">
        <f t="shared" si="0"/>
        <v>U</v>
      </c>
      <c r="O10"/>
    </row>
    <row r="11" spans="1:15" x14ac:dyDescent="0.2">
      <c r="B11" s="5" t="s">
        <v>219</v>
      </c>
      <c r="C11" s="167">
        <v>144.43</v>
      </c>
      <c r="D11" s="167">
        <v>145.97999999999999</v>
      </c>
      <c r="E11" s="5">
        <v>1.55</v>
      </c>
      <c r="F11" s="167">
        <v>511.5</v>
      </c>
      <c r="G11"/>
      <c r="H11"/>
      <c r="I11"/>
      <c r="J11"/>
      <c r="K11"/>
      <c r="L11" s="219" t="s">
        <v>157</v>
      </c>
      <c r="M11">
        <v>10</v>
      </c>
      <c r="N11" t="str">
        <f t="shared" si="0"/>
        <v>V</v>
      </c>
      <c r="O11"/>
    </row>
    <row r="12" spans="1:15" x14ac:dyDescent="0.2">
      <c r="A12" s="5" t="s">
        <v>222</v>
      </c>
      <c r="B12" s="5" t="s">
        <v>204</v>
      </c>
      <c r="C12" s="167">
        <v>12732</v>
      </c>
      <c r="D12" s="167">
        <v>12663</v>
      </c>
      <c r="E12" s="5">
        <v>-69</v>
      </c>
      <c r="F12" s="167">
        <v>690</v>
      </c>
      <c r="G12"/>
      <c r="H12"/>
      <c r="I12"/>
      <c r="J12"/>
      <c r="K12"/>
      <c r="L12" s="219" t="s">
        <v>158</v>
      </c>
      <c r="M12">
        <v>11</v>
      </c>
      <c r="N12" t="str">
        <f t="shared" si="0"/>
        <v>X</v>
      </c>
      <c r="O12"/>
    </row>
    <row r="13" spans="1:15" x14ac:dyDescent="0.2">
      <c r="B13" s="5" t="s">
        <v>419</v>
      </c>
      <c r="C13" s="167">
        <v>12877</v>
      </c>
      <c r="D13" s="167">
        <v>12809</v>
      </c>
      <c r="E13" s="5">
        <v>-68</v>
      </c>
      <c r="F13" s="167">
        <v>680</v>
      </c>
      <c r="G13"/>
      <c r="H13"/>
      <c r="I13"/>
      <c r="J13"/>
      <c r="K13"/>
      <c r="L13" t="s">
        <v>159</v>
      </c>
      <c r="M13">
        <v>12</v>
      </c>
      <c r="N13" t="str">
        <f t="shared" si="0"/>
        <v>Z</v>
      </c>
      <c r="O13"/>
    </row>
    <row r="14" spans="1:15" x14ac:dyDescent="0.2">
      <c r="A14" s="5" t="s">
        <v>120</v>
      </c>
      <c r="B14" s="5" t="s">
        <v>204</v>
      </c>
      <c r="C14" s="167">
        <v>2538.7280000000001</v>
      </c>
      <c r="D14" s="167">
        <v>2549.83</v>
      </c>
      <c r="E14" s="5">
        <v>11.102</v>
      </c>
      <c r="F14" s="167">
        <v>666.12</v>
      </c>
      <c r="G14"/>
      <c r="H14"/>
      <c r="I14"/>
      <c r="J14"/>
      <c r="K14"/>
      <c r="L14"/>
      <c r="M14"/>
      <c r="N14"/>
      <c r="O14"/>
    </row>
    <row r="15" spans="1:15" x14ac:dyDescent="0.2">
      <c r="B15" s="5" t="s">
        <v>419</v>
      </c>
      <c r="C15" s="167">
        <v>2559.154</v>
      </c>
      <c r="D15" s="167">
        <v>2570.86</v>
      </c>
      <c r="E15" s="5">
        <v>11.706</v>
      </c>
      <c r="F15" s="167">
        <v>702.36</v>
      </c>
      <c r="G15"/>
      <c r="H15"/>
      <c r="I15"/>
      <c r="J15"/>
      <c r="K15"/>
      <c r="L15"/>
      <c r="M15"/>
      <c r="N15"/>
      <c r="O15"/>
    </row>
    <row r="16" spans="1:15" x14ac:dyDescent="0.2">
      <c r="A16" s="5" t="s">
        <v>121</v>
      </c>
      <c r="B16" s="5" t="s">
        <v>436</v>
      </c>
      <c r="C16" s="167">
        <v>31.66</v>
      </c>
      <c r="D16" s="167">
        <v>32.020000000000003</v>
      </c>
      <c r="E16" s="5">
        <v>0.36</v>
      </c>
      <c r="F16" s="167">
        <v>162</v>
      </c>
      <c r="G16"/>
      <c r="H16"/>
      <c r="I16"/>
      <c r="J16"/>
      <c r="K16"/>
      <c r="L16"/>
      <c r="M16"/>
      <c r="N16"/>
      <c r="O16"/>
    </row>
    <row r="17" spans="1:15" x14ac:dyDescent="0.2">
      <c r="B17" s="5" t="s">
        <v>126</v>
      </c>
      <c r="C17" s="167">
        <v>33.49</v>
      </c>
      <c r="D17" s="167">
        <v>33.39</v>
      </c>
      <c r="E17" s="5">
        <v>-0.1</v>
      </c>
      <c r="F17" s="167">
        <v>45</v>
      </c>
      <c r="G17"/>
      <c r="H17"/>
      <c r="I17"/>
      <c r="J17"/>
      <c r="K17"/>
      <c r="L17"/>
      <c r="M17"/>
      <c r="N17"/>
      <c r="O17"/>
    </row>
    <row r="18" spans="1:15" x14ac:dyDescent="0.2">
      <c r="B18" s="5" t="s">
        <v>456</v>
      </c>
      <c r="C18" s="167">
        <v>34.1</v>
      </c>
      <c r="D18" s="167">
        <v>34.35</v>
      </c>
      <c r="E18" s="5">
        <v>0.25</v>
      </c>
      <c r="F18" s="167">
        <v>112.5</v>
      </c>
      <c r="G18"/>
      <c r="H18"/>
      <c r="I18"/>
      <c r="J18"/>
      <c r="K18"/>
      <c r="L18"/>
      <c r="M18"/>
      <c r="N18"/>
      <c r="O18"/>
    </row>
    <row r="19" spans="1:15" x14ac:dyDescent="0.2">
      <c r="B19" s="5" t="s">
        <v>460</v>
      </c>
      <c r="C19" s="167">
        <v>32.89</v>
      </c>
      <c r="D19" s="167">
        <v>33.130000000000003</v>
      </c>
      <c r="E19" s="5">
        <v>0.24</v>
      </c>
      <c r="F19" s="167">
        <v>108</v>
      </c>
      <c r="G19"/>
      <c r="H19"/>
      <c r="I19"/>
      <c r="J19"/>
      <c r="K19"/>
      <c r="L19"/>
      <c r="M19"/>
      <c r="N19"/>
      <c r="O19"/>
    </row>
    <row r="20" spans="1:15" x14ac:dyDescent="0.2">
      <c r="B20" s="5" t="s">
        <v>433</v>
      </c>
      <c r="C20" s="167">
        <v>32.17</v>
      </c>
      <c r="D20" s="167">
        <v>31.78</v>
      </c>
      <c r="E20" s="167">
        <v>-0.39</v>
      </c>
      <c r="F20" s="167">
        <v>175.5</v>
      </c>
      <c r="G20"/>
      <c r="H20"/>
      <c r="I20"/>
      <c r="J20"/>
      <c r="K20"/>
      <c r="L20"/>
      <c r="M20"/>
      <c r="N20"/>
      <c r="O20"/>
    </row>
    <row r="21" spans="1:15" x14ac:dyDescent="0.2">
      <c r="A21" s="5" t="s">
        <v>207</v>
      </c>
      <c r="B21" s="5" t="s">
        <v>204</v>
      </c>
      <c r="C21" s="167">
        <v>3234.2669999999998</v>
      </c>
      <c r="D21" s="167">
        <v>3239.7860000000001</v>
      </c>
      <c r="E21" s="167">
        <v>5.5190000000000001</v>
      </c>
      <c r="F21" s="167">
        <v>275.95</v>
      </c>
      <c r="G21"/>
      <c r="H21"/>
      <c r="I21"/>
      <c r="J21"/>
      <c r="K21"/>
      <c r="L21"/>
      <c r="M21"/>
      <c r="N21"/>
      <c r="O21"/>
    </row>
    <row r="22" spans="1:15" x14ac:dyDescent="0.2">
      <c r="B22" s="5" t="s">
        <v>436</v>
      </c>
      <c r="C22" s="167">
        <v>3251.9119999999998</v>
      </c>
      <c r="D22" s="167">
        <v>3260.5140000000001</v>
      </c>
      <c r="E22" s="167">
        <v>8.6020000000000003</v>
      </c>
      <c r="F22" s="167">
        <v>430.1</v>
      </c>
      <c r="G22"/>
      <c r="H22"/>
      <c r="I22"/>
      <c r="J22"/>
      <c r="K22"/>
      <c r="L22"/>
      <c r="M22"/>
      <c r="N22"/>
      <c r="O22"/>
    </row>
    <row r="23" spans="1:15" x14ac:dyDescent="0.2">
      <c r="A23" s="5" t="s">
        <v>237</v>
      </c>
      <c r="B23" s="5" t="s">
        <v>419</v>
      </c>
      <c r="C23" s="167">
        <v>5071.7</v>
      </c>
      <c r="D23" s="167">
        <v>5067</v>
      </c>
      <c r="E23" s="167">
        <v>-4.7</v>
      </c>
      <c r="F23" s="167">
        <v>117.5</v>
      </c>
      <c r="G23"/>
      <c r="H23"/>
      <c r="I23"/>
      <c r="J23"/>
      <c r="K23"/>
      <c r="L23"/>
      <c r="M23"/>
      <c r="N23"/>
      <c r="O23"/>
    </row>
    <row r="24" spans="1:15" x14ac:dyDescent="0.2">
      <c r="A24" s="5" t="s">
        <v>478</v>
      </c>
      <c r="B24" s="5" t="s">
        <v>204</v>
      </c>
      <c r="C24" s="167">
        <v>4763.201</v>
      </c>
      <c r="D24" s="167">
        <v>4776.0609999999997</v>
      </c>
      <c r="E24" s="167">
        <v>12.86</v>
      </c>
      <c r="F24" s="167">
        <v>450.1</v>
      </c>
      <c r="G24"/>
      <c r="H24"/>
      <c r="I24"/>
      <c r="J24"/>
      <c r="K24"/>
      <c r="L24"/>
      <c r="M24"/>
      <c r="N24"/>
      <c r="O24"/>
    </row>
    <row r="25" spans="1:15" x14ac:dyDescent="0.2">
      <c r="A25" s="5" t="s">
        <v>123</v>
      </c>
      <c r="B25" s="5" t="s">
        <v>204</v>
      </c>
      <c r="C25" s="167">
        <v>99595.09</v>
      </c>
      <c r="D25" s="167">
        <v>99488.03</v>
      </c>
      <c r="E25" s="167">
        <v>-107.06</v>
      </c>
      <c r="F25" s="167">
        <v>129.94999999999999</v>
      </c>
      <c r="G25"/>
      <c r="H25"/>
      <c r="I25"/>
      <c r="J25"/>
      <c r="K25"/>
      <c r="L25"/>
      <c r="M25"/>
      <c r="N25"/>
      <c r="O25"/>
    </row>
    <row r="26" spans="1:15" x14ac:dyDescent="0.2">
      <c r="B26" s="5" t="s">
        <v>126</v>
      </c>
      <c r="C26" s="167">
        <v>98974.54</v>
      </c>
      <c r="D26" s="167">
        <v>98939.75</v>
      </c>
      <c r="E26" s="167">
        <v>-34.79</v>
      </c>
      <c r="F26" s="167">
        <v>42.22</v>
      </c>
      <c r="G26"/>
      <c r="H26"/>
      <c r="I26"/>
      <c r="J26"/>
      <c r="K26"/>
      <c r="L26"/>
      <c r="M26"/>
      <c r="N26"/>
      <c r="O26"/>
    </row>
    <row r="27" spans="1:15" x14ac:dyDescent="0.2">
      <c r="B27" s="5" t="s">
        <v>362</v>
      </c>
      <c r="C27" s="167">
        <v>97069.03</v>
      </c>
      <c r="D27" s="167">
        <v>97113.49</v>
      </c>
      <c r="E27" s="167">
        <v>44.46</v>
      </c>
      <c r="F27" s="167">
        <v>53.96</v>
      </c>
      <c r="G27"/>
      <c r="H27"/>
      <c r="I27"/>
      <c r="J27"/>
      <c r="K27"/>
      <c r="L27"/>
      <c r="M27"/>
      <c r="N27"/>
      <c r="O27"/>
    </row>
    <row r="28" spans="1:15" x14ac:dyDescent="0.2">
      <c r="B28" s="5" t="s">
        <v>127</v>
      </c>
      <c r="C28" s="167">
        <v>95651.42</v>
      </c>
      <c r="D28" s="167">
        <v>95694.16</v>
      </c>
      <c r="E28" s="167">
        <v>42.74</v>
      </c>
      <c r="F28" s="167">
        <v>51.87</v>
      </c>
      <c r="G28"/>
      <c r="H28"/>
      <c r="I28"/>
      <c r="J28"/>
      <c r="K28"/>
      <c r="L28"/>
      <c r="M28"/>
      <c r="N28"/>
      <c r="O28"/>
    </row>
    <row r="29" spans="1:15" x14ac:dyDescent="0.2">
      <c r="B29" s="5" t="s">
        <v>423</v>
      </c>
      <c r="C29" s="167">
        <v>94842.97</v>
      </c>
      <c r="D29" s="167">
        <v>94911.69</v>
      </c>
      <c r="E29" s="167">
        <v>68.72</v>
      </c>
      <c r="F29" s="167">
        <v>83.41</v>
      </c>
      <c r="G29"/>
      <c r="H29"/>
      <c r="I29"/>
      <c r="J29"/>
      <c r="K29"/>
      <c r="L29"/>
      <c r="M29"/>
      <c r="N29"/>
      <c r="O29"/>
    </row>
    <row r="30" spans="1:15" x14ac:dyDescent="0.2">
      <c r="B30" s="5" t="s">
        <v>426</v>
      </c>
      <c r="C30" s="167">
        <v>89205.8</v>
      </c>
      <c r="D30" s="167">
        <v>89277.02</v>
      </c>
      <c r="E30" s="167">
        <v>71.22</v>
      </c>
      <c r="F30" s="167">
        <v>86.45</v>
      </c>
      <c r="G30"/>
      <c r="H30"/>
      <c r="I30"/>
      <c r="J30"/>
      <c r="K30"/>
      <c r="L30"/>
      <c r="M30"/>
      <c r="N30"/>
      <c r="O30"/>
    </row>
    <row r="31" spans="1:15" x14ac:dyDescent="0.2">
      <c r="B31" s="5" t="s">
        <v>425</v>
      </c>
      <c r="C31" s="167">
        <v>86064.41</v>
      </c>
      <c r="D31" s="167">
        <v>86211.86</v>
      </c>
      <c r="E31" s="167">
        <v>147.44999999999999</v>
      </c>
      <c r="F31" s="167">
        <v>178.98</v>
      </c>
      <c r="G31"/>
      <c r="H31"/>
      <c r="I31"/>
      <c r="J31"/>
      <c r="K31"/>
      <c r="L31"/>
      <c r="M31"/>
      <c r="N31"/>
      <c r="O31"/>
    </row>
    <row r="32" spans="1:15" x14ac:dyDescent="0.2">
      <c r="B32" s="5" t="s">
        <v>427</v>
      </c>
      <c r="C32" s="167">
        <v>80395.59</v>
      </c>
      <c r="D32" s="167">
        <v>80694.89</v>
      </c>
      <c r="E32" s="167">
        <v>299.3</v>
      </c>
      <c r="F32" s="167">
        <v>363.3</v>
      </c>
      <c r="G32"/>
      <c r="H32"/>
      <c r="I32"/>
      <c r="J32"/>
      <c r="K32"/>
      <c r="L32"/>
      <c r="M32"/>
      <c r="N32"/>
      <c r="O32"/>
    </row>
    <row r="33" spans="1:15" x14ac:dyDescent="0.2">
      <c r="B33" s="5" t="s">
        <v>424</v>
      </c>
      <c r="C33" s="167">
        <v>77323.89</v>
      </c>
      <c r="D33" s="167">
        <v>77572.31</v>
      </c>
      <c r="E33" s="167">
        <v>248.42</v>
      </c>
      <c r="F33" s="167">
        <v>301.54000000000002</v>
      </c>
      <c r="G33"/>
      <c r="H33"/>
      <c r="I33"/>
      <c r="J33"/>
      <c r="K33"/>
      <c r="L33"/>
      <c r="M33"/>
      <c r="N33"/>
      <c r="O33"/>
    </row>
    <row r="34" spans="1:15" x14ac:dyDescent="0.2">
      <c r="B34" s="5" t="s">
        <v>428</v>
      </c>
      <c r="C34" s="167">
        <v>72575.44</v>
      </c>
      <c r="D34" s="167">
        <v>72860.97</v>
      </c>
      <c r="E34" s="167">
        <v>285.52999999999997</v>
      </c>
      <c r="F34" s="167">
        <v>346.59</v>
      </c>
      <c r="G34"/>
      <c r="H34"/>
      <c r="I34"/>
      <c r="J34"/>
      <c r="K34"/>
      <c r="L34"/>
      <c r="M34"/>
      <c r="N34"/>
      <c r="O34"/>
    </row>
    <row r="35" spans="1:15" x14ac:dyDescent="0.2">
      <c r="B35" s="5" t="s">
        <v>432</v>
      </c>
      <c r="C35" s="167">
        <v>65535.47</v>
      </c>
      <c r="D35" s="167">
        <v>65757.45</v>
      </c>
      <c r="E35" s="167">
        <v>221.98</v>
      </c>
      <c r="F35" s="167">
        <v>269.45</v>
      </c>
      <c r="G35"/>
      <c r="H35"/>
      <c r="I35"/>
      <c r="J35"/>
      <c r="K35"/>
      <c r="L35"/>
      <c r="M35"/>
      <c r="N35"/>
      <c r="O35"/>
    </row>
    <row r="36" spans="1:15" x14ac:dyDescent="0.2">
      <c r="B36" s="5" t="s">
        <v>430</v>
      </c>
      <c r="C36" s="167">
        <v>53444.3</v>
      </c>
      <c r="D36" s="167">
        <v>53640.91</v>
      </c>
      <c r="E36" s="167">
        <v>196.61</v>
      </c>
      <c r="F36" s="167">
        <v>238.65</v>
      </c>
      <c r="G36"/>
      <c r="H36"/>
      <c r="I36"/>
      <c r="J36"/>
      <c r="K36"/>
      <c r="L36"/>
      <c r="M36"/>
      <c r="N36"/>
      <c r="O36"/>
    </row>
    <row r="37" spans="1:15" x14ac:dyDescent="0.2">
      <c r="A37" s="5" t="s">
        <v>124</v>
      </c>
      <c r="B37" s="5" t="s">
        <v>204</v>
      </c>
      <c r="C37" s="167">
        <v>100043.31</v>
      </c>
      <c r="D37" s="167">
        <v>100389.88</v>
      </c>
      <c r="E37" s="167">
        <v>346.57</v>
      </c>
      <c r="F37" s="167">
        <v>542.04999999999995</v>
      </c>
      <c r="G37"/>
      <c r="H37"/>
      <c r="I37"/>
      <c r="J37"/>
      <c r="K37"/>
      <c r="L37"/>
      <c r="M37"/>
      <c r="N37"/>
      <c r="O37"/>
    </row>
    <row r="38" spans="1:15" x14ac:dyDescent="0.2">
      <c r="B38" s="5" t="s">
        <v>436</v>
      </c>
      <c r="C38" s="167">
        <v>99812.53</v>
      </c>
      <c r="D38" s="167">
        <v>100148.28</v>
      </c>
      <c r="E38" s="167">
        <v>335.75</v>
      </c>
      <c r="F38" s="167">
        <v>525.12</v>
      </c>
      <c r="G38"/>
      <c r="H38"/>
      <c r="I38"/>
      <c r="J38"/>
      <c r="K38"/>
      <c r="L38"/>
      <c r="M38"/>
      <c r="N38"/>
      <c r="O38"/>
    </row>
    <row r="39" spans="1:15" x14ac:dyDescent="0.2">
      <c r="B39" s="5" t="s">
        <v>419</v>
      </c>
      <c r="C39" s="167">
        <v>99631.34</v>
      </c>
      <c r="D39" s="167">
        <v>99964.51</v>
      </c>
      <c r="E39" s="167">
        <v>333.17</v>
      </c>
      <c r="F39" s="167">
        <v>521.09</v>
      </c>
      <c r="G39"/>
      <c r="H39"/>
      <c r="I39"/>
      <c r="J39"/>
      <c r="K39"/>
      <c r="L39"/>
      <c r="M39"/>
      <c r="N39"/>
      <c r="O39"/>
    </row>
    <row r="40" spans="1:15" x14ac:dyDescent="0.2">
      <c r="B40" s="5" t="s">
        <v>126</v>
      </c>
      <c r="C40" s="167">
        <v>99438.57</v>
      </c>
      <c r="D40" s="167">
        <v>99768.79</v>
      </c>
      <c r="E40" s="167">
        <v>330.22</v>
      </c>
      <c r="F40" s="167">
        <v>516.48</v>
      </c>
      <c r="G40"/>
      <c r="H40"/>
      <c r="I40"/>
      <c r="J40"/>
      <c r="K40"/>
      <c r="L40"/>
      <c r="M40"/>
      <c r="N40"/>
      <c r="O40"/>
    </row>
    <row r="41" spans="1:15" x14ac:dyDescent="0.2">
      <c r="B41" s="5" t="s">
        <v>440</v>
      </c>
      <c r="C41" s="167">
        <v>99263.82</v>
      </c>
      <c r="D41" s="167">
        <v>99591.59</v>
      </c>
      <c r="E41" s="167">
        <v>327.77</v>
      </c>
      <c r="F41" s="167">
        <v>512.64</v>
      </c>
      <c r="G41"/>
      <c r="H41"/>
      <c r="I41"/>
      <c r="J41"/>
      <c r="K41"/>
      <c r="L41"/>
      <c r="M41"/>
      <c r="N41"/>
      <c r="O41"/>
    </row>
    <row r="42" spans="1:15" x14ac:dyDescent="0.2">
      <c r="B42" s="5" t="s">
        <v>456</v>
      </c>
      <c r="C42" s="167">
        <v>99095.13</v>
      </c>
      <c r="D42" s="167">
        <v>99421.97</v>
      </c>
      <c r="E42" s="167">
        <v>326.83999999999997</v>
      </c>
      <c r="F42" s="167">
        <v>511.19</v>
      </c>
      <c r="G42"/>
      <c r="H42"/>
      <c r="I42"/>
      <c r="J42"/>
      <c r="K42"/>
      <c r="L42"/>
      <c r="M42"/>
      <c r="N42"/>
      <c r="O42"/>
    </row>
    <row r="43" spans="1:15" x14ac:dyDescent="0.2">
      <c r="B43" s="5" t="s">
        <v>216</v>
      </c>
      <c r="C43" s="167">
        <v>98891.69</v>
      </c>
      <c r="D43" s="167">
        <v>99207.52</v>
      </c>
      <c r="E43" s="167">
        <v>315.83</v>
      </c>
      <c r="F43" s="167">
        <v>493.97</v>
      </c>
      <c r="G43"/>
      <c r="H43"/>
      <c r="I43"/>
      <c r="J43"/>
      <c r="K43"/>
      <c r="L43"/>
      <c r="M43"/>
      <c r="N43"/>
      <c r="O43"/>
    </row>
    <row r="44" spans="1:15" x14ac:dyDescent="0.2">
      <c r="B44" s="5" t="s">
        <v>460</v>
      </c>
      <c r="C44" s="167">
        <v>98673.42</v>
      </c>
      <c r="D44" s="167">
        <v>99000.4</v>
      </c>
      <c r="E44" s="167">
        <v>326.98</v>
      </c>
      <c r="F44" s="167">
        <v>511.41</v>
      </c>
      <c r="G44"/>
      <c r="H44"/>
      <c r="I44"/>
      <c r="J44"/>
      <c r="K44"/>
      <c r="L44"/>
      <c r="M44"/>
      <c r="N44"/>
      <c r="O44"/>
    </row>
    <row r="45" spans="1:15" x14ac:dyDescent="0.2">
      <c r="B45" s="5" t="s">
        <v>437</v>
      </c>
      <c r="C45" s="167">
        <v>98463.31</v>
      </c>
      <c r="D45" s="167">
        <v>98791.94</v>
      </c>
      <c r="E45" s="167">
        <v>328.63</v>
      </c>
      <c r="F45" s="167">
        <v>513.99</v>
      </c>
      <c r="G45"/>
      <c r="H45"/>
      <c r="I45"/>
      <c r="J45"/>
      <c r="K45"/>
      <c r="L45"/>
      <c r="M45"/>
      <c r="N45"/>
      <c r="O45"/>
    </row>
    <row r="46" spans="1:15" x14ac:dyDescent="0.2">
      <c r="B46" s="5" t="s">
        <v>218</v>
      </c>
      <c r="C46" s="167">
        <v>98251.9</v>
      </c>
      <c r="D46" s="167">
        <v>98576.88</v>
      </c>
      <c r="E46" s="167">
        <v>324.98</v>
      </c>
      <c r="F46" s="167">
        <v>508.28</v>
      </c>
      <c r="G46"/>
      <c r="H46"/>
      <c r="I46"/>
      <c r="J46"/>
      <c r="K46"/>
      <c r="L46"/>
      <c r="M46"/>
      <c r="N46"/>
      <c r="O46"/>
    </row>
    <row r="47" spans="1:15" x14ac:dyDescent="0.2">
      <c r="B47" s="5" t="s">
        <v>362</v>
      </c>
      <c r="C47" s="167">
        <v>98046.33</v>
      </c>
      <c r="D47" s="167">
        <v>98361.35</v>
      </c>
      <c r="E47" s="167">
        <v>315.02</v>
      </c>
      <c r="F47" s="167">
        <v>492.7</v>
      </c>
      <c r="G47"/>
      <c r="H47"/>
      <c r="I47"/>
      <c r="J47"/>
      <c r="K47"/>
      <c r="L47"/>
      <c r="M47"/>
      <c r="N47"/>
      <c r="O47"/>
    </row>
    <row r="48" spans="1:15" x14ac:dyDescent="0.2">
      <c r="B48" s="5" t="s">
        <v>433</v>
      </c>
      <c r="C48" s="167">
        <v>97829.51</v>
      </c>
      <c r="D48" s="167">
        <v>98145.81</v>
      </c>
      <c r="E48" s="167">
        <v>316.3</v>
      </c>
      <c r="F48" s="167">
        <v>494.7</v>
      </c>
      <c r="G48"/>
      <c r="H48"/>
      <c r="I48"/>
      <c r="J48"/>
      <c r="K48"/>
      <c r="L48"/>
      <c r="M48"/>
      <c r="N48"/>
      <c r="O48"/>
    </row>
    <row r="49" spans="2:18" x14ac:dyDescent="0.2">
      <c r="B49" s="5" t="s">
        <v>219</v>
      </c>
      <c r="C49" s="167">
        <v>97596.62</v>
      </c>
      <c r="D49" s="167">
        <v>97899.25</v>
      </c>
      <c r="E49" s="167">
        <v>302.63</v>
      </c>
      <c r="F49" s="167">
        <v>473.32</v>
      </c>
      <c r="G49"/>
      <c r="H49"/>
      <c r="I49"/>
      <c r="J49"/>
      <c r="K49"/>
      <c r="L49"/>
      <c r="M49"/>
      <c r="N49"/>
      <c r="O49"/>
    </row>
    <row r="50" spans="2:18" x14ac:dyDescent="0.2">
      <c r="B50" s="5" t="s">
        <v>127</v>
      </c>
      <c r="C50" s="167">
        <v>96822.69</v>
      </c>
      <c r="D50" s="167">
        <v>97096.81</v>
      </c>
      <c r="E50" s="167">
        <v>274.12</v>
      </c>
      <c r="F50" s="167">
        <v>428.73</v>
      </c>
      <c r="G50"/>
      <c r="H50"/>
      <c r="I50"/>
      <c r="J50"/>
      <c r="K50"/>
      <c r="L50"/>
      <c r="M50"/>
      <c r="N50"/>
      <c r="O50"/>
    </row>
    <row r="51" spans="2:18" x14ac:dyDescent="0.2">
      <c r="B51" s="5" t="s">
        <v>226</v>
      </c>
      <c r="C51" s="167">
        <v>96127.52</v>
      </c>
      <c r="D51" s="167">
        <v>96405.24</v>
      </c>
      <c r="E51" s="167">
        <v>277.72000000000003</v>
      </c>
      <c r="F51" s="167">
        <v>434.36</v>
      </c>
      <c r="G51"/>
      <c r="H51"/>
      <c r="I51"/>
      <c r="J51"/>
      <c r="K51"/>
      <c r="L51"/>
      <c r="M51"/>
      <c r="N51"/>
      <c r="O51"/>
    </row>
    <row r="52" spans="2:18" x14ac:dyDescent="0.2">
      <c r="B52" s="5" t="s">
        <v>227</v>
      </c>
      <c r="C52" s="167">
        <v>95417.69</v>
      </c>
      <c r="D52" s="167">
        <v>95677.3</v>
      </c>
      <c r="E52" s="167">
        <v>259.61</v>
      </c>
      <c r="F52" s="167">
        <v>406.04</v>
      </c>
      <c r="G52"/>
      <c r="H52"/>
      <c r="I52"/>
      <c r="J52"/>
      <c r="K52"/>
      <c r="L52"/>
      <c r="M52"/>
      <c r="N52"/>
      <c r="O52"/>
    </row>
    <row r="53" spans="2:18" x14ac:dyDescent="0.2">
      <c r="B53" s="5" t="s">
        <v>229</v>
      </c>
      <c r="C53" s="167">
        <v>94707.08</v>
      </c>
      <c r="D53" s="167">
        <v>94945.22</v>
      </c>
      <c r="E53" s="167">
        <v>238.14</v>
      </c>
      <c r="F53" s="167">
        <v>372.46</v>
      </c>
      <c r="G53"/>
      <c r="H53"/>
      <c r="I53"/>
      <c r="J53"/>
      <c r="K53"/>
      <c r="L53"/>
      <c r="M53"/>
      <c r="N53"/>
      <c r="O53"/>
    </row>
    <row r="54" spans="2:18" x14ac:dyDescent="0.2">
      <c r="B54" s="5" t="s">
        <v>128</v>
      </c>
      <c r="C54" s="167">
        <v>93900.33</v>
      </c>
      <c r="D54" s="167">
        <v>94099.37</v>
      </c>
      <c r="E54" s="167">
        <v>199.04</v>
      </c>
      <c r="F54" s="167">
        <v>311.3</v>
      </c>
      <c r="G54"/>
      <c r="H54"/>
      <c r="I54"/>
      <c r="J54"/>
      <c r="K54"/>
      <c r="L54"/>
      <c r="M54"/>
      <c r="N54"/>
      <c r="O54"/>
    </row>
    <row r="55" spans="2:18" x14ac:dyDescent="0.2">
      <c r="B55" s="5" t="s">
        <v>231</v>
      </c>
      <c r="C55" s="167">
        <v>93092.79</v>
      </c>
      <c r="D55" s="167">
        <v>93324.28</v>
      </c>
      <c r="E55" s="167">
        <v>231.49</v>
      </c>
      <c r="F55" s="167">
        <v>362.06</v>
      </c>
      <c r="G55"/>
      <c r="H55"/>
      <c r="I55"/>
      <c r="J55"/>
      <c r="K55"/>
      <c r="L55"/>
      <c r="M55"/>
      <c r="N55"/>
      <c r="O55"/>
    </row>
    <row r="56" spans="2:18" x14ac:dyDescent="0.2">
      <c r="B56" s="5" t="s">
        <v>224</v>
      </c>
      <c r="C56" s="167">
        <v>92281.81</v>
      </c>
      <c r="D56" s="167">
        <v>92472.58</v>
      </c>
      <c r="E56" s="167">
        <v>190.77</v>
      </c>
      <c r="F56" s="167">
        <v>298.37</v>
      </c>
      <c r="G56"/>
      <c r="H56"/>
      <c r="I56"/>
      <c r="J56"/>
      <c r="K56"/>
      <c r="L56"/>
      <c r="M56"/>
      <c r="N56"/>
      <c r="O56"/>
    </row>
    <row r="57" spans="2:18" x14ac:dyDescent="0.2">
      <c r="B57" s="5" t="s">
        <v>201</v>
      </c>
      <c r="C57" s="167">
        <v>91550.88</v>
      </c>
      <c r="D57" s="167">
        <v>91741.759999999995</v>
      </c>
      <c r="E57" s="167">
        <v>190.88</v>
      </c>
      <c r="F57" s="167">
        <v>298.54000000000002</v>
      </c>
      <c r="G57"/>
      <c r="H57"/>
      <c r="I57"/>
      <c r="J57"/>
      <c r="K57"/>
      <c r="L57"/>
      <c r="M57"/>
      <c r="N57"/>
      <c r="O57"/>
    </row>
    <row r="58" spans="2:18" x14ac:dyDescent="0.2">
      <c r="B58" s="5" t="s">
        <v>129</v>
      </c>
      <c r="C58" s="167">
        <v>90523.63</v>
      </c>
      <c r="D58" s="167">
        <v>90682.2</v>
      </c>
      <c r="E58" s="167">
        <v>158.57</v>
      </c>
      <c r="F58" s="167">
        <v>248.01</v>
      </c>
      <c r="G58"/>
      <c r="H58"/>
      <c r="I58"/>
      <c r="J58"/>
      <c r="K58"/>
      <c r="L58"/>
      <c r="M58"/>
      <c r="N58"/>
      <c r="O58"/>
    </row>
    <row r="59" spans="2:18" x14ac:dyDescent="0.2">
      <c r="B59" s="5" t="s">
        <v>242</v>
      </c>
      <c r="C59" s="167">
        <v>89724.31</v>
      </c>
      <c r="D59" s="167">
        <v>89871.48</v>
      </c>
      <c r="E59" s="167">
        <v>147.16999999999999</v>
      </c>
      <c r="F59" s="167">
        <v>230.18</v>
      </c>
      <c r="G59"/>
      <c r="H59"/>
      <c r="I59"/>
      <c r="J59"/>
      <c r="K59"/>
      <c r="L59"/>
      <c r="M59"/>
      <c r="N59"/>
      <c r="O59"/>
      <c r="R59" s="5" t="s">
        <v>108</v>
      </c>
    </row>
    <row r="60" spans="2:18" x14ac:dyDescent="0.2">
      <c r="B60" s="5" t="s">
        <v>235</v>
      </c>
      <c r="C60" s="167">
        <v>88856.84</v>
      </c>
      <c r="D60" s="167">
        <v>88989.59</v>
      </c>
      <c r="E60" s="167">
        <v>132.75</v>
      </c>
      <c r="F60" s="167">
        <v>207.62</v>
      </c>
      <c r="G60"/>
      <c r="H60"/>
      <c r="I60"/>
      <c r="J60"/>
      <c r="K60"/>
      <c r="L60"/>
      <c r="M60"/>
      <c r="N60"/>
      <c r="O60"/>
    </row>
    <row r="61" spans="2:18" x14ac:dyDescent="0.2">
      <c r="B61" s="5" t="s">
        <v>253</v>
      </c>
      <c r="C61" s="167">
        <v>88097.91</v>
      </c>
      <c r="D61" s="167">
        <v>88213.31</v>
      </c>
      <c r="E61" s="167">
        <v>115.4</v>
      </c>
      <c r="F61" s="167">
        <v>180.49</v>
      </c>
      <c r="G61"/>
      <c r="H61"/>
      <c r="I61"/>
      <c r="J61"/>
      <c r="K61"/>
      <c r="L61"/>
      <c r="M61"/>
      <c r="N61"/>
      <c r="O61"/>
    </row>
    <row r="62" spans="2:18" x14ac:dyDescent="0.2">
      <c r="B62" s="5" t="s">
        <v>130</v>
      </c>
      <c r="C62" s="167">
        <v>87226.6</v>
      </c>
      <c r="D62" s="167">
        <v>87354.36</v>
      </c>
      <c r="E62" s="167">
        <v>127.76</v>
      </c>
      <c r="F62" s="167">
        <v>199.82</v>
      </c>
      <c r="G62"/>
      <c r="H62"/>
      <c r="I62"/>
      <c r="J62"/>
      <c r="K62"/>
      <c r="L62"/>
      <c r="M62"/>
      <c r="N62"/>
      <c r="O62"/>
    </row>
    <row r="63" spans="2:18" x14ac:dyDescent="0.2">
      <c r="B63" s="5" t="s">
        <v>461</v>
      </c>
      <c r="C63" s="167">
        <v>86529.26</v>
      </c>
      <c r="D63" s="167">
        <v>86634.09</v>
      </c>
      <c r="E63" s="167">
        <v>104.83</v>
      </c>
      <c r="F63" s="167">
        <v>163.95</v>
      </c>
      <c r="G63"/>
      <c r="H63"/>
      <c r="I63"/>
      <c r="J63"/>
      <c r="K63"/>
      <c r="L63"/>
      <c r="M63"/>
      <c r="N63"/>
      <c r="O63"/>
    </row>
    <row r="64" spans="2:18" x14ac:dyDescent="0.2">
      <c r="B64" s="5" t="s">
        <v>236</v>
      </c>
      <c r="C64" s="167">
        <v>85636.84</v>
      </c>
      <c r="D64" s="167">
        <v>85751.2</v>
      </c>
      <c r="E64" s="167">
        <v>114.36</v>
      </c>
      <c r="F64" s="167">
        <v>178.86</v>
      </c>
      <c r="G64"/>
      <c r="H64"/>
      <c r="I64"/>
      <c r="J64"/>
      <c r="K64"/>
      <c r="L64"/>
      <c r="M64"/>
      <c r="N64"/>
      <c r="O64"/>
    </row>
    <row r="65" spans="1:15" x14ac:dyDescent="0.2">
      <c r="B65" s="5" t="s">
        <v>213</v>
      </c>
      <c r="C65" s="167">
        <v>83885.509999999995</v>
      </c>
      <c r="D65" s="167">
        <v>83942.44</v>
      </c>
      <c r="E65" s="167">
        <v>56.93</v>
      </c>
      <c r="F65" s="167">
        <v>89.04</v>
      </c>
      <c r="G65"/>
      <c r="H65"/>
      <c r="I65"/>
      <c r="J65"/>
      <c r="K65"/>
      <c r="L65"/>
      <c r="M65"/>
      <c r="N65"/>
      <c r="O65"/>
    </row>
    <row r="66" spans="1:15" x14ac:dyDescent="0.2">
      <c r="B66" s="5" t="s">
        <v>217</v>
      </c>
      <c r="C66" s="167">
        <v>80590.850000000006</v>
      </c>
      <c r="D66" s="167">
        <v>80630.03</v>
      </c>
      <c r="E66" s="167">
        <v>39.18</v>
      </c>
      <c r="F66" s="167">
        <v>61.27</v>
      </c>
      <c r="G66"/>
      <c r="H66"/>
      <c r="I66"/>
      <c r="J66"/>
      <c r="K66"/>
      <c r="L66"/>
      <c r="M66"/>
      <c r="N66"/>
      <c r="O66"/>
    </row>
    <row r="67" spans="1:15" x14ac:dyDescent="0.2">
      <c r="B67" s="5" t="s">
        <v>131</v>
      </c>
      <c r="C67" s="167">
        <v>77000.479999999996</v>
      </c>
      <c r="D67" s="167">
        <v>77099.02</v>
      </c>
      <c r="E67" s="167">
        <v>98.54</v>
      </c>
      <c r="F67" s="167">
        <v>154.12</v>
      </c>
      <c r="G67"/>
      <c r="H67"/>
      <c r="I67"/>
      <c r="J67"/>
      <c r="K67"/>
      <c r="L67"/>
      <c r="M67"/>
      <c r="N67"/>
      <c r="O67"/>
    </row>
    <row r="68" spans="1:15" x14ac:dyDescent="0.2">
      <c r="B68" s="5" t="s">
        <v>241</v>
      </c>
      <c r="C68" s="167">
        <v>73301.62</v>
      </c>
      <c r="D68" s="167">
        <v>73412.83</v>
      </c>
      <c r="E68" s="167">
        <v>111.21</v>
      </c>
      <c r="F68" s="167">
        <v>173.93</v>
      </c>
      <c r="G68"/>
      <c r="H68"/>
      <c r="I68"/>
      <c r="J68"/>
      <c r="K68"/>
      <c r="L68"/>
      <c r="M68"/>
      <c r="N68"/>
      <c r="O68"/>
    </row>
    <row r="69" spans="1:15" x14ac:dyDescent="0.2">
      <c r="B69" s="5" t="s">
        <v>413</v>
      </c>
      <c r="C69" s="167">
        <v>69461.23</v>
      </c>
      <c r="D69" s="167">
        <v>69580.17</v>
      </c>
      <c r="E69" s="167">
        <v>118.94</v>
      </c>
      <c r="F69" s="167">
        <v>186.02</v>
      </c>
      <c r="G69"/>
      <c r="H69"/>
      <c r="I69"/>
      <c r="J69"/>
      <c r="K69"/>
      <c r="L69"/>
      <c r="M69"/>
      <c r="N69"/>
      <c r="O69"/>
    </row>
    <row r="70" spans="1:15" x14ac:dyDescent="0.2">
      <c r="B70" s="5" t="s">
        <v>429</v>
      </c>
      <c r="C70" s="167">
        <v>65910.48</v>
      </c>
      <c r="D70" s="167">
        <v>66034.350000000006</v>
      </c>
      <c r="E70" s="167">
        <v>123.87</v>
      </c>
      <c r="F70" s="167">
        <v>193.73</v>
      </c>
      <c r="G70"/>
      <c r="H70"/>
      <c r="I70"/>
      <c r="J70"/>
      <c r="K70"/>
      <c r="L70"/>
      <c r="M70"/>
      <c r="N70"/>
      <c r="O70"/>
    </row>
    <row r="71" spans="1:15" x14ac:dyDescent="0.2">
      <c r="B71" s="5" t="s">
        <v>383</v>
      </c>
      <c r="C71" s="167">
        <v>59121.16</v>
      </c>
      <c r="D71" s="167">
        <v>59246.85</v>
      </c>
      <c r="E71" s="167">
        <v>125.69</v>
      </c>
      <c r="F71" s="167">
        <v>196.58</v>
      </c>
      <c r="G71"/>
      <c r="H71"/>
      <c r="I71"/>
      <c r="J71"/>
      <c r="K71"/>
      <c r="L71"/>
      <c r="M71"/>
      <c r="N71"/>
      <c r="O71"/>
    </row>
    <row r="72" spans="1:15" x14ac:dyDescent="0.2">
      <c r="A72" s="5" t="s">
        <v>132</v>
      </c>
      <c r="B72" s="5" t="s">
        <v>204</v>
      </c>
      <c r="C72" s="167">
        <v>99782.82</v>
      </c>
      <c r="D72" s="167">
        <v>99782.81</v>
      </c>
      <c r="E72" s="167">
        <v>-0.01</v>
      </c>
      <c r="F72" s="167">
        <v>0.01</v>
      </c>
      <c r="G72"/>
      <c r="H72"/>
      <c r="I72"/>
      <c r="J72"/>
      <c r="K72"/>
      <c r="L72"/>
      <c r="M72"/>
      <c r="N72"/>
      <c r="O72"/>
    </row>
    <row r="73" spans="1:15" x14ac:dyDescent="0.2">
      <c r="B73" s="5" t="s">
        <v>436</v>
      </c>
      <c r="C73" s="167">
        <v>99145.33</v>
      </c>
      <c r="D73" s="167">
        <v>99144.95</v>
      </c>
      <c r="E73" s="167">
        <v>-0.38</v>
      </c>
      <c r="F73" s="167">
        <v>0.38</v>
      </c>
      <c r="G73"/>
      <c r="H73"/>
      <c r="I73"/>
      <c r="J73"/>
      <c r="K73"/>
      <c r="L73"/>
      <c r="M73"/>
      <c r="N73"/>
      <c r="O73"/>
    </row>
    <row r="74" spans="1:15" x14ac:dyDescent="0.2">
      <c r="B74" s="5" t="s">
        <v>419</v>
      </c>
      <c r="C74" s="167">
        <v>98583.46</v>
      </c>
      <c r="D74" s="167">
        <v>98584.79</v>
      </c>
      <c r="E74" s="167">
        <v>1.33</v>
      </c>
      <c r="F74" s="167">
        <v>1.33</v>
      </c>
      <c r="G74"/>
      <c r="H74"/>
      <c r="I74"/>
      <c r="J74"/>
      <c r="K74"/>
      <c r="L74"/>
      <c r="M74"/>
      <c r="N74"/>
      <c r="O74"/>
    </row>
    <row r="75" spans="1:15" x14ac:dyDescent="0.2">
      <c r="B75" s="5" t="s">
        <v>126</v>
      </c>
      <c r="C75" s="167">
        <v>98049.73</v>
      </c>
      <c r="D75" s="167">
        <v>98051.41</v>
      </c>
      <c r="E75" s="167">
        <v>1.68</v>
      </c>
      <c r="F75" s="167">
        <v>1.68</v>
      </c>
      <c r="G75"/>
      <c r="H75"/>
      <c r="I75"/>
      <c r="J75"/>
      <c r="K75"/>
      <c r="L75"/>
      <c r="M75"/>
      <c r="N75"/>
      <c r="O75"/>
    </row>
    <row r="76" spans="1:15" x14ac:dyDescent="0.2">
      <c r="B76" s="5" t="s">
        <v>440</v>
      </c>
      <c r="C76" s="167">
        <v>97473.11</v>
      </c>
      <c r="D76" s="167">
        <v>97476.1</v>
      </c>
      <c r="E76" s="167">
        <v>2.99</v>
      </c>
      <c r="F76" s="167">
        <v>2.99</v>
      </c>
      <c r="G76"/>
      <c r="H76"/>
      <c r="I76"/>
      <c r="J76"/>
      <c r="K76"/>
      <c r="L76"/>
      <c r="M76"/>
      <c r="N76"/>
      <c r="O76"/>
    </row>
    <row r="77" spans="1:15" x14ac:dyDescent="0.2">
      <c r="B77" s="5" t="s">
        <v>456</v>
      </c>
      <c r="C77" s="167">
        <v>97003.85</v>
      </c>
      <c r="D77" s="167">
        <v>97010.76</v>
      </c>
      <c r="E77" s="167">
        <v>6.91</v>
      </c>
      <c r="F77" s="167">
        <v>6.91</v>
      </c>
      <c r="G77"/>
      <c r="H77"/>
      <c r="I77"/>
      <c r="J77"/>
      <c r="K77"/>
      <c r="L77"/>
      <c r="M77"/>
      <c r="N77"/>
      <c r="O77"/>
    </row>
    <row r="78" spans="1:15" x14ac:dyDescent="0.2">
      <c r="B78" s="5" t="s">
        <v>216</v>
      </c>
      <c r="C78" s="167">
        <v>96467.4</v>
      </c>
      <c r="D78" s="167">
        <v>96482.79</v>
      </c>
      <c r="E78" s="167">
        <v>15.39</v>
      </c>
      <c r="F78" s="167">
        <v>15.39</v>
      </c>
      <c r="G78"/>
      <c r="H78"/>
      <c r="I78"/>
      <c r="J78"/>
      <c r="K78"/>
      <c r="L78"/>
      <c r="M78"/>
      <c r="N78"/>
      <c r="O78"/>
    </row>
    <row r="79" spans="1:15" x14ac:dyDescent="0.2">
      <c r="B79" s="5" t="s">
        <v>460</v>
      </c>
      <c r="C79" s="167">
        <v>95927.88</v>
      </c>
      <c r="D79" s="167">
        <v>95947.07</v>
      </c>
      <c r="E79" s="167">
        <v>19.190000000000001</v>
      </c>
      <c r="F79" s="167">
        <v>19.190000000000001</v>
      </c>
      <c r="G79"/>
      <c r="H79"/>
      <c r="I79"/>
      <c r="J79"/>
      <c r="K79"/>
      <c r="L79"/>
      <c r="M79"/>
      <c r="N79"/>
      <c r="O79"/>
    </row>
    <row r="80" spans="1:15" x14ac:dyDescent="0.2">
      <c r="B80" s="5" t="s">
        <v>437</v>
      </c>
      <c r="C80" s="167">
        <v>95382.87</v>
      </c>
      <c r="D80" s="167">
        <v>95405.61</v>
      </c>
      <c r="E80" s="167">
        <v>22.74</v>
      </c>
      <c r="F80" s="167">
        <v>22.74</v>
      </c>
      <c r="G80"/>
      <c r="H80"/>
      <c r="I80"/>
      <c r="J80"/>
      <c r="K80"/>
      <c r="L80"/>
      <c r="M80"/>
      <c r="N80"/>
      <c r="O80"/>
    </row>
    <row r="81" spans="2:15" x14ac:dyDescent="0.2">
      <c r="B81" s="5" t="s">
        <v>218</v>
      </c>
      <c r="C81" s="167">
        <v>94850.69</v>
      </c>
      <c r="D81" s="167">
        <v>94877.72</v>
      </c>
      <c r="E81" s="5">
        <v>27.03</v>
      </c>
      <c r="F81" s="167">
        <v>27.03</v>
      </c>
      <c r="G81"/>
      <c r="H81"/>
      <c r="I81"/>
      <c r="J81"/>
      <c r="K81"/>
      <c r="L81"/>
      <c r="M81"/>
      <c r="N81"/>
      <c r="O81"/>
    </row>
    <row r="82" spans="2:15" x14ac:dyDescent="0.2">
      <c r="B82" s="5" t="s">
        <v>362</v>
      </c>
      <c r="C82" s="167">
        <v>94263.98</v>
      </c>
      <c r="D82" s="167">
        <v>94300.34</v>
      </c>
      <c r="E82" s="167">
        <v>36.36</v>
      </c>
      <c r="F82" s="167">
        <v>36.36</v>
      </c>
      <c r="G82"/>
      <c r="H82"/>
      <c r="I82"/>
      <c r="J82"/>
      <c r="K82"/>
      <c r="L82"/>
      <c r="M82"/>
      <c r="N82"/>
      <c r="O82"/>
    </row>
    <row r="83" spans="2:15" x14ac:dyDescent="0.2">
      <c r="B83" s="5" t="s">
        <v>433</v>
      </c>
      <c r="C83" s="167">
        <v>93640.67</v>
      </c>
      <c r="D83" s="167">
        <v>93688.51</v>
      </c>
      <c r="E83" s="167">
        <v>47.84</v>
      </c>
      <c r="F83" s="167">
        <v>47.84</v>
      </c>
      <c r="G83"/>
      <c r="H83"/>
      <c r="I83"/>
      <c r="J83"/>
      <c r="K83"/>
      <c r="L83"/>
      <c r="M83"/>
      <c r="N83"/>
      <c r="O83"/>
    </row>
    <row r="84" spans="2:15" x14ac:dyDescent="0.2">
      <c r="B84" s="5" t="s">
        <v>219</v>
      </c>
      <c r="C84" s="167">
        <v>93148.46</v>
      </c>
      <c r="D84" s="167">
        <v>93207.19</v>
      </c>
      <c r="E84" s="167">
        <v>58.73</v>
      </c>
      <c r="F84" s="167">
        <v>58.73</v>
      </c>
      <c r="G84"/>
      <c r="H84"/>
      <c r="I84"/>
      <c r="J84"/>
      <c r="K84"/>
      <c r="L84"/>
      <c r="M84"/>
      <c r="N84"/>
      <c r="O84"/>
    </row>
    <row r="85" spans="2:15" x14ac:dyDescent="0.2">
      <c r="B85" s="5" t="s">
        <v>127</v>
      </c>
      <c r="C85" s="167">
        <v>91419.94</v>
      </c>
      <c r="D85" s="167">
        <v>91492.62</v>
      </c>
      <c r="E85" s="167">
        <v>72.680000000000007</v>
      </c>
      <c r="F85" s="167">
        <v>72.680000000000007</v>
      </c>
      <c r="G85"/>
      <c r="H85"/>
      <c r="I85"/>
      <c r="J85"/>
      <c r="K85"/>
      <c r="L85"/>
      <c r="M85"/>
      <c r="N85"/>
      <c r="O85"/>
    </row>
    <row r="86" spans="2:15" x14ac:dyDescent="0.2">
      <c r="B86" s="5" t="s">
        <v>226</v>
      </c>
      <c r="C86" s="167">
        <v>89633.08</v>
      </c>
      <c r="D86" s="167">
        <v>89731.51</v>
      </c>
      <c r="E86" s="167">
        <v>98.43</v>
      </c>
      <c r="F86" s="167">
        <v>98.43</v>
      </c>
      <c r="G86"/>
      <c r="H86"/>
      <c r="I86"/>
      <c r="J86"/>
      <c r="K86"/>
      <c r="L86"/>
      <c r="M86"/>
      <c r="N86"/>
      <c r="O86"/>
    </row>
    <row r="87" spans="2:15" x14ac:dyDescent="0.2">
      <c r="B87" s="5" t="s">
        <v>227</v>
      </c>
      <c r="C87" s="167">
        <v>87741.55</v>
      </c>
      <c r="D87" s="167">
        <v>87868.71</v>
      </c>
      <c r="E87" s="167">
        <v>127.16</v>
      </c>
      <c r="F87" s="167">
        <v>127.16</v>
      </c>
      <c r="G87"/>
      <c r="H87"/>
      <c r="I87"/>
      <c r="J87"/>
      <c r="K87"/>
      <c r="L87"/>
      <c r="M87"/>
      <c r="N87"/>
      <c r="O87"/>
    </row>
    <row r="88" spans="2:15" x14ac:dyDescent="0.2">
      <c r="B88" s="5" t="s">
        <v>229</v>
      </c>
      <c r="C88" s="167">
        <v>85655.8</v>
      </c>
      <c r="D88" s="167">
        <v>85815.16</v>
      </c>
      <c r="E88" s="167">
        <v>159.36000000000001</v>
      </c>
      <c r="F88" s="167">
        <v>159.36000000000001</v>
      </c>
      <c r="G88"/>
      <c r="H88"/>
      <c r="I88"/>
      <c r="J88"/>
      <c r="K88"/>
      <c r="L88"/>
      <c r="M88"/>
      <c r="N88"/>
      <c r="O88"/>
    </row>
    <row r="89" spans="2:15" x14ac:dyDescent="0.2">
      <c r="B89" s="5" t="s">
        <v>128</v>
      </c>
      <c r="C89" s="167">
        <v>83698.509999999995</v>
      </c>
      <c r="D89" s="167">
        <v>83909.39</v>
      </c>
      <c r="E89" s="167">
        <v>210.88</v>
      </c>
      <c r="F89" s="167">
        <v>210.88</v>
      </c>
      <c r="G89"/>
      <c r="H89"/>
      <c r="I89"/>
      <c r="J89"/>
      <c r="K89"/>
      <c r="L89"/>
      <c r="M89"/>
      <c r="N89"/>
      <c r="O89"/>
    </row>
    <row r="90" spans="2:15" x14ac:dyDescent="0.2">
      <c r="B90" s="5" t="s">
        <v>231</v>
      </c>
      <c r="C90" s="167">
        <v>81754.13</v>
      </c>
      <c r="D90" s="167">
        <v>81982.649999999994</v>
      </c>
      <c r="E90" s="167">
        <v>228.52</v>
      </c>
      <c r="F90" s="167">
        <v>228.52</v>
      </c>
      <c r="G90"/>
      <c r="H90"/>
      <c r="I90"/>
      <c r="J90"/>
      <c r="K90"/>
      <c r="L90"/>
      <c r="M90"/>
      <c r="N90"/>
      <c r="O90"/>
    </row>
    <row r="91" spans="2:15" x14ac:dyDescent="0.2">
      <c r="B91" s="5" t="s">
        <v>224</v>
      </c>
      <c r="C91" s="167">
        <v>79795.86</v>
      </c>
      <c r="D91" s="167">
        <v>80040.5</v>
      </c>
      <c r="E91" s="167">
        <v>244.64</v>
      </c>
      <c r="F91" s="167">
        <v>244.64</v>
      </c>
      <c r="G91"/>
      <c r="H91"/>
      <c r="I91"/>
      <c r="J91"/>
      <c r="K91"/>
      <c r="L91"/>
      <c r="M91"/>
      <c r="N91"/>
      <c r="O91"/>
    </row>
    <row r="92" spans="2:15" x14ac:dyDescent="0.2">
      <c r="B92" s="5" t="s">
        <v>201</v>
      </c>
      <c r="C92" s="167">
        <v>77780.570000000007</v>
      </c>
      <c r="D92" s="167">
        <v>78019.73</v>
      </c>
      <c r="E92" s="167">
        <v>239.16</v>
      </c>
      <c r="F92" s="167">
        <v>239.16</v>
      </c>
      <c r="G92"/>
      <c r="H92"/>
      <c r="I92"/>
      <c r="J92"/>
      <c r="K92"/>
      <c r="L92"/>
      <c r="M92"/>
      <c r="N92"/>
      <c r="O92"/>
    </row>
    <row r="93" spans="2:15" x14ac:dyDescent="0.2">
      <c r="B93" s="5" t="s">
        <v>129</v>
      </c>
      <c r="C93" s="167">
        <v>75901.23</v>
      </c>
      <c r="D93" s="167">
        <v>76131.09</v>
      </c>
      <c r="E93" s="167">
        <v>229.86</v>
      </c>
      <c r="F93" s="167">
        <v>229.86</v>
      </c>
      <c r="G93"/>
      <c r="H93"/>
      <c r="I93"/>
      <c r="J93"/>
      <c r="K93"/>
      <c r="L93"/>
      <c r="M93"/>
      <c r="N93"/>
      <c r="O93"/>
    </row>
    <row r="94" spans="2:15" x14ac:dyDescent="0.2">
      <c r="B94" s="5" t="s">
        <v>242</v>
      </c>
      <c r="C94" s="167">
        <v>74100.94</v>
      </c>
      <c r="D94" s="167">
        <v>74329.990000000005</v>
      </c>
      <c r="E94" s="167">
        <v>229.05</v>
      </c>
      <c r="F94" s="167">
        <v>229.05</v>
      </c>
      <c r="G94"/>
      <c r="H94"/>
      <c r="I94"/>
      <c r="J94"/>
      <c r="K94"/>
      <c r="L94"/>
      <c r="M94"/>
      <c r="N94"/>
      <c r="O94"/>
    </row>
    <row r="95" spans="2:15" x14ac:dyDescent="0.2">
      <c r="B95" s="5" t="s">
        <v>235</v>
      </c>
      <c r="C95" s="167">
        <v>72208.820000000007</v>
      </c>
      <c r="D95" s="167">
        <v>72460.100000000006</v>
      </c>
      <c r="E95" s="167">
        <v>251.28</v>
      </c>
      <c r="F95" s="167">
        <v>251.28</v>
      </c>
      <c r="G95"/>
      <c r="H95"/>
      <c r="I95"/>
      <c r="J95"/>
      <c r="K95"/>
      <c r="L95"/>
      <c r="M95"/>
      <c r="N95"/>
      <c r="O95"/>
    </row>
    <row r="96" spans="2:15" x14ac:dyDescent="0.2">
      <c r="B96" s="5" t="s">
        <v>253</v>
      </c>
      <c r="C96" s="167">
        <v>70415.3</v>
      </c>
      <c r="D96" s="167">
        <v>70664.08</v>
      </c>
      <c r="E96" s="168">
        <v>248.78</v>
      </c>
      <c r="F96" s="167">
        <v>248.78</v>
      </c>
      <c r="G96"/>
      <c r="H96"/>
      <c r="I96"/>
      <c r="J96"/>
      <c r="K96"/>
      <c r="L96"/>
      <c r="M96"/>
      <c r="N96"/>
      <c r="O96"/>
    </row>
    <row r="97" spans="1:15" x14ac:dyDescent="0.2">
      <c r="B97" s="5" t="s">
        <v>130</v>
      </c>
      <c r="C97" s="167">
        <v>68663.37</v>
      </c>
      <c r="D97" s="167">
        <v>68907.539999999994</v>
      </c>
      <c r="E97" s="168">
        <v>244.17</v>
      </c>
      <c r="F97" s="167">
        <v>244.17</v>
      </c>
      <c r="G97"/>
      <c r="H97"/>
      <c r="I97"/>
      <c r="J97"/>
      <c r="K97"/>
      <c r="L97"/>
      <c r="M97"/>
      <c r="N97"/>
      <c r="O97"/>
    </row>
    <row r="98" spans="1:15" x14ac:dyDescent="0.2">
      <c r="B98" s="5" t="s">
        <v>461</v>
      </c>
      <c r="C98" s="167">
        <v>67013.600000000006</v>
      </c>
      <c r="D98" s="167">
        <v>67271.100000000006</v>
      </c>
      <c r="E98" s="168">
        <v>257.5</v>
      </c>
      <c r="F98" s="167">
        <v>257.5</v>
      </c>
      <c r="G98"/>
      <c r="H98"/>
      <c r="I98"/>
      <c r="J98"/>
      <c r="K98"/>
      <c r="L98"/>
      <c r="M98"/>
      <c r="N98"/>
      <c r="O98"/>
    </row>
    <row r="99" spans="1:15" x14ac:dyDescent="0.2">
      <c r="B99" s="5" t="s">
        <v>236</v>
      </c>
      <c r="C99" s="167">
        <v>65373.65</v>
      </c>
      <c r="D99" s="167">
        <v>65647</v>
      </c>
      <c r="E99" s="168">
        <v>273.35000000000002</v>
      </c>
      <c r="F99" s="167">
        <v>273.35000000000002</v>
      </c>
      <c r="G99"/>
      <c r="H99"/>
      <c r="I99"/>
      <c r="J99"/>
      <c r="K99"/>
      <c r="L99"/>
      <c r="M99"/>
      <c r="N99"/>
      <c r="O99"/>
    </row>
    <row r="100" spans="1:15" x14ac:dyDescent="0.2">
      <c r="B100" s="5" t="s">
        <v>213</v>
      </c>
      <c r="C100" s="167">
        <v>62161.81</v>
      </c>
      <c r="D100" s="167">
        <v>62464.03</v>
      </c>
      <c r="E100" s="168">
        <v>302.22000000000003</v>
      </c>
      <c r="F100" s="167">
        <v>302.22000000000003</v>
      </c>
      <c r="G100"/>
      <c r="H100"/>
      <c r="I100"/>
      <c r="J100"/>
      <c r="K100"/>
      <c r="L100"/>
      <c r="M100"/>
      <c r="N100"/>
      <c r="O100"/>
    </row>
    <row r="101" spans="1:15" x14ac:dyDescent="0.2">
      <c r="B101" s="5" t="s">
        <v>243</v>
      </c>
      <c r="C101" s="167">
        <v>59205.72</v>
      </c>
      <c r="D101" s="167">
        <v>59514.03</v>
      </c>
      <c r="E101" s="168">
        <v>308.31</v>
      </c>
      <c r="F101" s="167">
        <v>308.31</v>
      </c>
      <c r="G101"/>
      <c r="H101"/>
      <c r="I101"/>
      <c r="J101"/>
      <c r="K101"/>
      <c r="L101"/>
      <c r="M101"/>
      <c r="N101"/>
      <c r="O101"/>
    </row>
    <row r="102" spans="1:15" x14ac:dyDescent="0.2">
      <c r="B102" s="5" t="s">
        <v>217</v>
      </c>
      <c r="C102" s="167">
        <v>56233.120000000003</v>
      </c>
      <c r="D102" s="167">
        <v>56541.31</v>
      </c>
      <c r="E102" s="168">
        <v>308.19</v>
      </c>
      <c r="F102" s="167">
        <v>308.19</v>
      </c>
      <c r="G102"/>
      <c r="H102"/>
      <c r="I102"/>
      <c r="J102"/>
      <c r="K102"/>
      <c r="L102"/>
      <c r="M102"/>
      <c r="N102"/>
      <c r="O102"/>
    </row>
    <row r="103" spans="1:15" x14ac:dyDescent="0.2">
      <c r="B103" s="5" t="s">
        <v>416</v>
      </c>
      <c r="C103" s="167">
        <v>53514.55</v>
      </c>
      <c r="D103" s="167">
        <v>53824.11</v>
      </c>
      <c r="E103" s="168">
        <v>309.56</v>
      </c>
      <c r="F103" s="167">
        <v>309.56</v>
      </c>
      <c r="G103"/>
      <c r="H103"/>
      <c r="I103"/>
      <c r="J103"/>
      <c r="K103"/>
      <c r="L103"/>
      <c r="M103"/>
      <c r="N103"/>
      <c r="O103"/>
    </row>
    <row r="104" spans="1:15" x14ac:dyDescent="0.2">
      <c r="B104" s="5" t="s">
        <v>131</v>
      </c>
      <c r="C104" s="167">
        <v>50736.42</v>
      </c>
      <c r="D104" s="167">
        <v>51042.03</v>
      </c>
      <c r="E104" s="168">
        <v>305.61</v>
      </c>
      <c r="F104" s="167">
        <v>305.61</v>
      </c>
      <c r="G104"/>
      <c r="H104"/>
      <c r="I104"/>
      <c r="J104"/>
      <c r="K104"/>
      <c r="L104"/>
      <c r="M104"/>
      <c r="N104"/>
      <c r="O104"/>
    </row>
    <row r="105" spans="1:15" x14ac:dyDescent="0.2">
      <c r="B105" s="5" t="s">
        <v>241</v>
      </c>
      <c r="C105" s="167">
        <v>45789.16</v>
      </c>
      <c r="D105" s="167">
        <v>46033.55</v>
      </c>
      <c r="E105" s="168">
        <v>244.39</v>
      </c>
      <c r="F105" s="167">
        <v>244.39</v>
      </c>
      <c r="G105"/>
      <c r="H105"/>
      <c r="I105"/>
      <c r="J105"/>
      <c r="K105"/>
      <c r="L105"/>
      <c r="M105"/>
      <c r="N105"/>
      <c r="O105"/>
    </row>
    <row r="106" spans="1:15" x14ac:dyDescent="0.2">
      <c r="B106" s="5" t="s">
        <v>413</v>
      </c>
      <c r="C106" s="167">
        <v>41250.28</v>
      </c>
      <c r="D106" s="167">
        <v>41496.559999999998</v>
      </c>
      <c r="E106" s="168">
        <v>246.28</v>
      </c>
      <c r="F106" s="167">
        <v>246.28</v>
      </c>
      <c r="G106"/>
      <c r="H106"/>
      <c r="I106"/>
      <c r="J106"/>
      <c r="K106"/>
      <c r="L106"/>
      <c r="M106"/>
      <c r="N106"/>
      <c r="O106"/>
    </row>
    <row r="107" spans="1:15" x14ac:dyDescent="0.2">
      <c r="B107" s="5" t="s">
        <v>429</v>
      </c>
      <c r="C107" s="167">
        <v>37288.629999999997</v>
      </c>
      <c r="D107" s="167">
        <v>37534.99</v>
      </c>
      <c r="E107" s="168">
        <v>246.36</v>
      </c>
      <c r="F107" s="167">
        <v>246.36</v>
      </c>
      <c r="G107"/>
      <c r="H107"/>
      <c r="I107"/>
      <c r="J107"/>
      <c r="K107"/>
      <c r="L107"/>
      <c r="M107"/>
      <c r="N107"/>
      <c r="O107"/>
    </row>
    <row r="108" spans="1:15" x14ac:dyDescent="0.2">
      <c r="B108" s="5" t="s">
        <v>244</v>
      </c>
      <c r="C108" s="167">
        <v>33765.69</v>
      </c>
      <c r="D108" s="167">
        <v>34010.089999999997</v>
      </c>
      <c r="E108" s="168">
        <v>244.4</v>
      </c>
      <c r="F108" s="167">
        <v>244.4</v>
      </c>
      <c r="G108"/>
      <c r="H108"/>
      <c r="I108"/>
      <c r="J108"/>
      <c r="K108"/>
      <c r="L108"/>
      <c r="M108"/>
      <c r="N108"/>
      <c r="O108"/>
    </row>
    <row r="109" spans="1:15" x14ac:dyDescent="0.2">
      <c r="B109" s="5" t="s">
        <v>383</v>
      </c>
      <c r="C109" s="167">
        <v>30548.71</v>
      </c>
      <c r="D109" s="167">
        <v>30789.200000000001</v>
      </c>
      <c r="E109" s="168">
        <v>240.49</v>
      </c>
      <c r="F109" s="167">
        <v>240.49</v>
      </c>
      <c r="G109"/>
      <c r="H109"/>
      <c r="I109"/>
      <c r="J109"/>
      <c r="K109"/>
      <c r="L109"/>
      <c r="M109"/>
      <c r="N109"/>
      <c r="O109"/>
    </row>
    <row r="110" spans="1:15" x14ac:dyDescent="0.2">
      <c r="A110" s="5" t="s">
        <v>133</v>
      </c>
      <c r="B110" s="5" t="s">
        <v>204</v>
      </c>
      <c r="C110" s="167">
        <v>3136.261</v>
      </c>
      <c r="D110" s="167">
        <v>3147.127</v>
      </c>
      <c r="E110" s="168">
        <v>10.866</v>
      </c>
      <c r="F110" s="167">
        <v>543.29999999999995</v>
      </c>
      <c r="G110"/>
      <c r="H110"/>
      <c r="I110"/>
      <c r="J110"/>
      <c r="K110"/>
      <c r="L110"/>
      <c r="M110"/>
      <c r="N110"/>
      <c r="O110"/>
    </row>
    <row r="111" spans="1:15" x14ac:dyDescent="0.2">
      <c r="B111" s="5" t="s">
        <v>436</v>
      </c>
      <c r="C111" s="167">
        <v>3149.15</v>
      </c>
      <c r="D111" s="167">
        <v>3159.7559999999999</v>
      </c>
      <c r="E111" s="168">
        <v>10.606</v>
      </c>
      <c r="F111" s="167">
        <v>530.29999999999995</v>
      </c>
      <c r="G111"/>
      <c r="H111"/>
      <c r="I111"/>
      <c r="J111"/>
      <c r="K111"/>
      <c r="L111"/>
      <c r="M111"/>
      <c r="N111"/>
      <c r="O111"/>
    </row>
    <row r="112" spans="1:15" x14ac:dyDescent="0.2">
      <c r="B112" s="5" t="s">
        <v>419</v>
      </c>
      <c r="C112" s="167">
        <v>3161.35</v>
      </c>
      <c r="D112" s="167">
        <v>3171.8789999999999</v>
      </c>
      <c r="E112" s="168">
        <v>10.529</v>
      </c>
      <c r="F112" s="167">
        <v>526.45000000000005</v>
      </c>
      <c r="G112"/>
      <c r="H112"/>
      <c r="I112"/>
      <c r="J112"/>
      <c r="K112"/>
      <c r="L112"/>
      <c r="M112"/>
      <c r="N112"/>
      <c r="O112"/>
    </row>
    <row r="113" spans="1:15" x14ac:dyDescent="0.2">
      <c r="B113" s="5" t="s">
        <v>126</v>
      </c>
      <c r="C113" s="167">
        <v>3172.4079999999999</v>
      </c>
      <c r="D113" s="167">
        <v>3182.8890000000001</v>
      </c>
      <c r="E113" s="168">
        <v>10.481</v>
      </c>
      <c r="F113" s="167">
        <v>524.04999999999995</v>
      </c>
      <c r="G113"/>
      <c r="H113"/>
      <c r="I113"/>
      <c r="J113"/>
      <c r="K113"/>
      <c r="L113"/>
      <c r="M113"/>
      <c r="N113"/>
      <c r="O113"/>
    </row>
    <row r="114" spans="1:15" x14ac:dyDescent="0.2">
      <c r="B114" s="5" t="s">
        <v>216</v>
      </c>
      <c r="C114" s="167">
        <v>3206.7109999999998</v>
      </c>
      <c r="D114" s="167">
        <v>3216.44</v>
      </c>
      <c r="E114" s="168">
        <v>9.7289999999999992</v>
      </c>
      <c r="F114" s="167">
        <v>486.45</v>
      </c>
      <c r="G114"/>
      <c r="H114"/>
      <c r="I114"/>
      <c r="J114"/>
      <c r="K114"/>
      <c r="L114"/>
      <c r="M114"/>
      <c r="N114"/>
      <c r="O114"/>
    </row>
    <row r="115" spans="1:15" x14ac:dyDescent="0.2">
      <c r="B115" s="5" t="s">
        <v>460</v>
      </c>
      <c r="C115" s="167">
        <v>3217.6289999999999</v>
      </c>
      <c r="D115" s="167">
        <v>3227.6460000000002</v>
      </c>
      <c r="E115" s="168">
        <v>10.016999999999999</v>
      </c>
      <c r="F115" s="167">
        <v>500.85</v>
      </c>
      <c r="G115"/>
      <c r="H115"/>
      <c r="I115"/>
      <c r="J115"/>
      <c r="K115"/>
      <c r="L115"/>
      <c r="M115"/>
      <c r="N115"/>
      <c r="O115"/>
    </row>
    <row r="116" spans="1:15" x14ac:dyDescent="0.2">
      <c r="B116" s="5" t="s">
        <v>218</v>
      </c>
      <c r="C116" s="167">
        <v>3240.2689999999998</v>
      </c>
      <c r="D116" s="167">
        <v>3250.06</v>
      </c>
      <c r="E116" s="168">
        <v>9.7910000000000004</v>
      </c>
      <c r="F116" s="167">
        <v>489.55</v>
      </c>
      <c r="G116"/>
      <c r="H116"/>
      <c r="I116"/>
      <c r="J116"/>
      <c r="K116"/>
      <c r="L116"/>
      <c r="M116"/>
      <c r="N116"/>
      <c r="O116"/>
    </row>
    <row r="117" spans="1:15" x14ac:dyDescent="0.2">
      <c r="B117" s="5" t="s">
        <v>219</v>
      </c>
      <c r="C117" s="167">
        <v>3277.4769999999999</v>
      </c>
      <c r="D117" s="167">
        <v>3285.569</v>
      </c>
      <c r="E117" s="168">
        <v>8.0920000000000005</v>
      </c>
      <c r="F117" s="167">
        <v>404.6</v>
      </c>
      <c r="G117"/>
      <c r="H117"/>
      <c r="I117"/>
      <c r="J117"/>
      <c r="K117"/>
      <c r="L117"/>
      <c r="M117"/>
      <c r="N117"/>
      <c r="O117"/>
    </row>
    <row r="118" spans="1:15" x14ac:dyDescent="0.2">
      <c r="B118" s="5" t="s">
        <v>226</v>
      </c>
      <c r="C118" s="167">
        <v>3354.7489999999998</v>
      </c>
      <c r="D118" s="167">
        <v>3360.7510000000002</v>
      </c>
      <c r="E118" s="168">
        <v>6.0019999999999998</v>
      </c>
      <c r="F118" s="167">
        <v>300.10000000000002</v>
      </c>
      <c r="G118"/>
      <c r="H118"/>
      <c r="I118"/>
      <c r="J118"/>
      <c r="K118"/>
      <c r="L118"/>
      <c r="M118"/>
      <c r="N118"/>
      <c r="O118"/>
    </row>
    <row r="119" spans="1:15" x14ac:dyDescent="0.2">
      <c r="B119" s="5" t="s">
        <v>227</v>
      </c>
      <c r="C119" s="167">
        <v>3401.7649999999999</v>
      </c>
      <c r="D119" s="167">
        <v>3406.0830000000001</v>
      </c>
      <c r="E119" s="168">
        <v>4.3179999999999996</v>
      </c>
      <c r="F119" s="167">
        <v>215.9</v>
      </c>
      <c r="G119"/>
      <c r="H119"/>
      <c r="I119"/>
      <c r="J119"/>
      <c r="K119"/>
      <c r="L119"/>
      <c r="M119"/>
      <c r="N119"/>
      <c r="O119"/>
    </row>
    <row r="120" spans="1:15" x14ac:dyDescent="0.2">
      <c r="B120" s="5" t="s">
        <v>201</v>
      </c>
      <c r="C120" s="167">
        <v>3681.9</v>
      </c>
      <c r="D120" s="167">
        <v>3678.2669999999998</v>
      </c>
      <c r="E120" s="168">
        <v>-3.633</v>
      </c>
      <c r="F120" s="167">
        <v>181.65</v>
      </c>
      <c r="G120"/>
      <c r="H120"/>
      <c r="I120"/>
      <c r="J120"/>
      <c r="K120"/>
      <c r="L120"/>
      <c r="M120"/>
      <c r="N120"/>
      <c r="O120"/>
    </row>
    <row r="121" spans="1:15" x14ac:dyDescent="0.2">
      <c r="B121" s="5" t="s">
        <v>129</v>
      </c>
      <c r="C121" s="167">
        <v>3730.73</v>
      </c>
      <c r="D121" s="167">
        <v>3725.9810000000002</v>
      </c>
      <c r="E121" s="168">
        <v>-4.7489999999999997</v>
      </c>
      <c r="F121" s="167">
        <v>237.45</v>
      </c>
      <c r="G121"/>
      <c r="H121"/>
      <c r="I121"/>
      <c r="J121"/>
      <c r="K121"/>
      <c r="L121"/>
      <c r="M121"/>
      <c r="N121"/>
      <c r="O121"/>
    </row>
    <row r="122" spans="1:15" x14ac:dyDescent="0.2">
      <c r="A122" s="5" t="s">
        <v>232</v>
      </c>
      <c r="B122" s="5" t="s">
        <v>422</v>
      </c>
      <c r="C122" s="167">
        <v>1507.5</v>
      </c>
      <c r="D122" s="167">
        <v>1507.5</v>
      </c>
      <c r="E122" s="168">
        <v>0</v>
      </c>
      <c r="F122" s="167">
        <v>0</v>
      </c>
      <c r="G122"/>
      <c r="H122"/>
      <c r="I122"/>
      <c r="J122"/>
      <c r="K122"/>
      <c r="L122"/>
      <c r="M122"/>
      <c r="N122"/>
      <c r="O122"/>
    </row>
    <row r="123" spans="1:15" x14ac:dyDescent="0.2">
      <c r="B123" s="5" t="s">
        <v>204</v>
      </c>
      <c r="C123" s="167">
        <v>1530</v>
      </c>
      <c r="D123" s="167">
        <v>1530</v>
      </c>
      <c r="E123" s="168">
        <v>0</v>
      </c>
      <c r="F123" s="167">
        <v>0</v>
      </c>
      <c r="G123"/>
      <c r="H123"/>
      <c r="I123"/>
      <c r="J123"/>
      <c r="K123"/>
      <c r="L123"/>
      <c r="M123"/>
      <c r="N123"/>
      <c r="O123"/>
    </row>
    <row r="124" spans="1:15" x14ac:dyDescent="0.2">
      <c r="B124" s="5" t="s">
        <v>436</v>
      </c>
      <c r="C124" s="167">
        <v>1550</v>
      </c>
      <c r="D124" s="167">
        <v>1570</v>
      </c>
      <c r="E124" s="5">
        <v>20</v>
      </c>
      <c r="F124" s="167">
        <v>600</v>
      </c>
      <c r="G124"/>
      <c r="H124"/>
      <c r="I124"/>
      <c r="J124"/>
      <c r="K124"/>
      <c r="L124"/>
      <c r="M124"/>
      <c r="N124"/>
      <c r="O124"/>
    </row>
    <row r="125" spans="1:15" x14ac:dyDescent="0.2">
      <c r="B125" s="5" t="s">
        <v>419</v>
      </c>
      <c r="C125" s="167">
        <v>1575</v>
      </c>
      <c r="D125" s="167">
        <v>1600</v>
      </c>
      <c r="E125" s="5">
        <v>25</v>
      </c>
      <c r="F125" s="167">
        <v>750</v>
      </c>
      <c r="G125"/>
      <c r="H125"/>
      <c r="I125"/>
      <c r="J125"/>
      <c r="K125"/>
      <c r="L125"/>
      <c r="M125"/>
      <c r="N125"/>
      <c r="O125"/>
    </row>
    <row r="126" spans="1:15" x14ac:dyDescent="0.2">
      <c r="B126" s="5" t="s">
        <v>126</v>
      </c>
      <c r="C126" s="167">
        <v>1625</v>
      </c>
      <c r="D126" s="167">
        <v>1625</v>
      </c>
      <c r="E126" s="5">
        <v>0</v>
      </c>
      <c r="F126" s="167">
        <v>0</v>
      </c>
      <c r="G126"/>
      <c r="H126"/>
      <c r="I126"/>
      <c r="J126"/>
      <c r="K126"/>
      <c r="L126"/>
      <c r="M126"/>
      <c r="N126"/>
      <c r="O126"/>
    </row>
    <row r="127" spans="1:15" x14ac:dyDescent="0.2">
      <c r="B127" s="5" t="s">
        <v>440</v>
      </c>
      <c r="C127" s="167">
        <v>1625</v>
      </c>
      <c r="D127" s="167">
        <v>1625</v>
      </c>
      <c r="E127" s="5">
        <v>0</v>
      </c>
      <c r="F127" s="167">
        <v>0</v>
      </c>
      <c r="G127"/>
      <c r="H127"/>
      <c r="I127"/>
      <c r="J127"/>
      <c r="K127"/>
      <c r="L127"/>
      <c r="M127"/>
      <c r="N127"/>
      <c r="O127"/>
    </row>
    <row r="128" spans="1:15" x14ac:dyDescent="0.2">
      <c r="B128" s="5" t="s">
        <v>456</v>
      </c>
      <c r="C128" s="167">
        <v>1550</v>
      </c>
      <c r="D128" s="167">
        <v>1550</v>
      </c>
      <c r="E128" s="5">
        <v>0</v>
      </c>
      <c r="F128" s="167">
        <v>0</v>
      </c>
      <c r="G128"/>
      <c r="H128"/>
      <c r="I128"/>
      <c r="J128"/>
      <c r="K128"/>
      <c r="L128"/>
      <c r="M128"/>
      <c r="N128"/>
      <c r="O128"/>
    </row>
    <row r="129" spans="1:15" x14ac:dyDescent="0.2">
      <c r="A129" s="5" t="s">
        <v>135</v>
      </c>
      <c r="B129" s="5" t="s">
        <v>204</v>
      </c>
      <c r="C129" s="167">
        <v>3731.377</v>
      </c>
      <c r="D129" s="167">
        <v>3756.721</v>
      </c>
      <c r="E129" s="5">
        <v>25.344000000000001</v>
      </c>
      <c r="F129" s="167">
        <v>1267.2</v>
      </c>
      <c r="G129"/>
      <c r="H129"/>
      <c r="I129"/>
      <c r="J129"/>
      <c r="K129"/>
      <c r="L129"/>
      <c r="M129"/>
      <c r="N129"/>
      <c r="O129"/>
    </row>
    <row r="130" spans="1:15" x14ac:dyDescent="0.2">
      <c r="B130" s="5" t="s">
        <v>436</v>
      </c>
      <c r="C130" s="167">
        <v>3751.8789999999999</v>
      </c>
      <c r="D130" s="167">
        <v>3777.0120000000002</v>
      </c>
      <c r="E130" s="5">
        <v>25.132999999999999</v>
      </c>
      <c r="F130" s="167">
        <v>1256.6500000000001</v>
      </c>
      <c r="G130"/>
      <c r="H130"/>
      <c r="I130"/>
      <c r="J130"/>
      <c r="K130"/>
      <c r="L130"/>
      <c r="M130"/>
      <c r="N130"/>
      <c r="O130"/>
    </row>
    <row r="131" spans="1:15" x14ac:dyDescent="0.2">
      <c r="B131" s="5" t="s">
        <v>419</v>
      </c>
      <c r="C131" s="167">
        <v>3771.8470000000002</v>
      </c>
      <c r="D131" s="167">
        <v>3796.9369999999999</v>
      </c>
      <c r="E131" s="168">
        <v>25.09</v>
      </c>
      <c r="F131" s="167">
        <v>1254.5</v>
      </c>
      <c r="G131"/>
      <c r="H131"/>
      <c r="I131"/>
      <c r="J131"/>
      <c r="K131"/>
      <c r="L131"/>
      <c r="M131"/>
      <c r="N131"/>
      <c r="O131"/>
    </row>
    <row r="132" spans="1:15" x14ac:dyDescent="0.2">
      <c r="B132" s="5" t="s">
        <v>126</v>
      </c>
      <c r="C132" s="167">
        <v>3791.1590000000001</v>
      </c>
      <c r="D132" s="167">
        <v>3816.297</v>
      </c>
      <c r="E132" s="168">
        <v>25.138000000000002</v>
      </c>
      <c r="F132" s="167">
        <v>1256.9000000000001</v>
      </c>
      <c r="G132"/>
      <c r="H132"/>
      <c r="I132"/>
      <c r="J132"/>
      <c r="K132"/>
      <c r="L132"/>
      <c r="M132"/>
      <c r="N132"/>
      <c r="O132"/>
    </row>
    <row r="133" spans="1:15" x14ac:dyDescent="0.2">
      <c r="A133" s="5" t="s">
        <v>136</v>
      </c>
      <c r="B133" s="5" t="s">
        <v>436</v>
      </c>
      <c r="C133" s="167">
        <v>2.78</v>
      </c>
      <c r="D133" s="167">
        <v>2.9</v>
      </c>
      <c r="E133" s="168">
        <v>0.12</v>
      </c>
      <c r="F133" s="167">
        <v>0.06</v>
      </c>
      <c r="G133"/>
      <c r="H133"/>
      <c r="I133"/>
      <c r="J133"/>
      <c r="K133"/>
      <c r="L133"/>
      <c r="M133"/>
      <c r="N133"/>
      <c r="O133"/>
    </row>
    <row r="134" spans="1:15" x14ac:dyDescent="0.2">
      <c r="B134" s="5" t="s">
        <v>419</v>
      </c>
      <c r="C134" s="167">
        <v>2.48</v>
      </c>
      <c r="D134" s="167">
        <v>2.5499999999999998</v>
      </c>
      <c r="E134" s="168">
        <v>7.0000000000000007E-2</v>
      </c>
      <c r="F134" s="167">
        <v>0.03</v>
      </c>
      <c r="G134"/>
      <c r="H134"/>
      <c r="I134"/>
      <c r="J134"/>
      <c r="K134"/>
      <c r="L134"/>
      <c r="M134"/>
      <c r="N134"/>
      <c r="O134"/>
    </row>
    <row r="135" spans="1:15" x14ac:dyDescent="0.2">
      <c r="B135" s="5" t="s">
        <v>126</v>
      </c>
      <c r="C135" s="167">
        <v>2.38</v>
      </c>
      <c r="D135" s="167">
        <v>2.44</v>
      </c>
      <c r="E135" s="168">
        <v>0.06</v>
      </c>
      <c r="F135" s="167">
        <v>0.03</v>
      </c>
      <c r="G135"/>
      <c r="H135"/>
      <c r="I135"/>
      <c r="J135"/>
      <c r="K135"/>
      <c r="L135"/>
      <c r="M135"/>
      <c r="N135"/>
      <c r="O135"/>
    </row>
    <row r="136" spans="1:15" x14ac:dyDescent="0.2">
      <c r="B136" s="5" t="s">
        <v>440</v>
      </c>
      <c r="C136" s="167">
        <v>2.3199999999999998</v>
      </c>
      <c r="D136" s="167">
        <v>2.36</v>
      </c>
      <c r="E136" s="168">
        <v>0.04</v>
      </c>
      <c r="F136" s="167">
        <v>0.02</v>
      </c>
      <c r="G136"/>
      <c r="H136"/>
      <c r="I136"/>
      <c r="J136"/>
      <c r="K136"/>
      <c r="L136"/>
      <c r="M136"/>
      <c r="N136"/>
      <c r="O136"/>
    </row>
    <row r="137" spans="1:15" x14ac:dyDescent="0.2">
      <c r="B137" s="5" t="s">
        <v>456</v>
      </c>
      <c r="C137" s="167">
        <v>2.2999999999999998</v>
      </c>
      <c r="D137" s="167">
        <v>2.34</v>
      </c>
      <c r="E137" s="168">
        <v>0.04</v>
      </c>
      <c r="F137" s="167">
        <v>0.02</v>
      </c>
      <c r="G137"/>
      <c r="H137"/>
      <c r="I137"/>
      <c r="J137"/>
      <c r="K137"/>
      <c r="L137"/>
      <c r="M137"/>
      <c r="N137"/>
      <c r="O137"/>
    </row>
    <row r="138" spans="1:15" x14ac:dyDescent="0.2">
      <c r="B138" s="5" t="s">
        <v>216</v>
      </c>
      <c r="C138" s="167">
        <v>2.2999999999999998</v>
      </c>
      <c r="D138" s="167">
        <v>2.36</v>
      </c>
      <c r="E138" s="168">
        <v>0.06</v>
      </c>
      <c r="F138" s="167">
        <v>0.03</v>
      </c>
      <c r="G138"/>
      <c r="H138"/>
      <c r="I138"/>
      <c r="J138"/>
      <c r="K138"/>
      <c r="L138"/>
      <c r="M138"/>
      <c r="N138"/>
      <c r="O138"/>
    </row>
    <row r="139" spans="1:15" x14ac:dyDescent="0.2">
      <c r="B139" s="5" t="s">
        <v>460</v>
      </c>
      <c r="C139" s="167">
        <v>2.36</v>
      </c>
      <c r="D139" s="167">
        <v>2.38</v>
      </c>
      <c r="E139" s="168">
        <v>0.02</v>
      </c>
      <c r="F139" s="167">
        <v>0.01</v>
      </c>
      <c r="G139"/>
      <c r="H139"/>
      <c r="I139"/>
      <c r="J139"/>
      <c r="K139"/>
      <c r="L139"/>
      <c r="M139"/>
      <c r="N139"/>
      <c r="O139"/>
    </row>
    <row r="140" spans="1:15" x14ac:dyDescent="0.2">
      <c r="B140" s="5" t="s">
        <v>437</v>
      </c>
      <c r="C140" s="167">
        <v>2.39</v>
      </c>
      <c r="D140" s="167">
        <v>2.41</v>
      </c>
      <c r="E140" s="168">
        <v>0.02</v>
      </c>
      <c r="F140" s="167">
        <v>0.01</v>
      </c>
      <c r="G140"/>
      <c r="H140"/>
      <c r="I140"/>
      <c r="J140"/>
      <c r="K140"/>
      <c r="L140"/>
      <c r="M140"/>
      <c r="N140"/>
      <c r="O140"/>
    </row>
    <row r="141" spans="1:15" x14ac:dyDescent="0.2">
      <c r="B141" s="5" t="s">
        <v>218</v>
      </c>
      <c r="C141" s="167">
        <v>2.4</v>
      </c>
      <c r="D141" s="167">
        <v>2.4300000000000002</v>
      </c>
      <c r="E141" s="168">
        <v>0.03</v>
      </c>
      <c r="F141" s="167">
        <v>0.01</v>
      </c>
      <c r="G141"/>
      <c r="H141"/>
      <c r="I141"/>
      <c r="J141"/>
      <c r="K141"/>
      <c r="L141"/>
      <c r="M141"/>
      <c r="N141"/>
      <c r="O141"/>
    </row>
    <row r="142" spans="1:15" x14ac:dyDescent="0.2">
      <c r="B142" s="5" t="s">
        <v>362</v>
      </c>
      <c r="C142" s="167">
        <v>2.42</v>
      </c>
      <c r="D142" s="167">
        <v>2.4500000000000002</v>
      </c>
      <c r="E142" s="168">
        <v>0.03</v>
      </c>
      <c r="F142" s="167">
        <v>0.01</v>
      </c>
      <c r="G142"/>
      <c r="H142"/>
      <c r="I142"/>
      <c r="J142"/>
      <c r="K142"/>
      <c r="L142"/>
      <c r="M142"/>
      <c r="N142"/>
      <c r="O142"/>
    </row>
    <row r="143" spans="1:15" x14ac:dyDescent="0.2">
      <c r="B143" s="5" t="s">
        <v>433</v>
      </c>
      <c r="C143" s="167">
        <v>2.42</v>
      </c>
      <c r="D143" s="167">
        <v>2.4500000000000002</v>
      </c>
      <c r="E143" s="168">
        <v>0.03</v>
      </c>
      <c r="F143" s="167">
        <v>0.01</v>
      </c>
      <c r="G143"/>
      <c r="H143"/>
      <c r="I143"/>
      <c r="J143"/>
      <c r="K143"/>
      <c r="L143"/>
      <c r="M143"/>
      <c r="N143"/>
      <c r="O143"/>
    </row>
    <row r="144" spans="1:15" x14ac:dyDescent="0.2">
      <c r="B144" s="5" t="s">
        <v>219</v>
      </c>
      <c r="C144" s="167">
        <v>2.48</v>
      </c>
      <c r="D144" s="167">
        <v>2.52</v>
      </c>
      <c r="E144" s="168">
        <v>0.04</v>
      </c>
      <c r="F144" s="167">
        <v>0.02</v>
      </c>
      <c r="G144"/>
      <c r="H144"/>
      <c r="I144"/>
      <c r="J144"/>
      <c r="K144"/>
      <c r="L144"/>
      <c r="M144"/>
      <c r="N144"/>
      <c r="O144"/>
    </row>
    <row r="145" spans="1:15" x14ac:dyDescent="0.2">
      <c r="B145" s="5" t="s">
        <v>127</v>
      </c>
      <c r="C145" s="167">
        <v>2.62</v>
      </c>
      <c r="D145" s="167">
        <v>2.67</v>
      </c>
      <c r="E145" s="168">
        <v>0.05</v>
      </c>
      <c r="F145" s="167">
        <v>0.02</v>
      </c>
      <c r="G145"/>
      <c r="H145"/>
      <c r="I145"/>
      <c r="J145"/>
      <c r="K145"/>
      <c r="L145"/>
      <c r="M145"/>
      <c r="N145"/>
      <c r="O145"/>
    </row>
    <row r="146" spans="1:15" x14ac:dyDescent="0.2">
      <c r="B146" s="5" t="s">
        <v>226</v>
      </c>
      <c r="C146" s="167">
        <v>2.69</v>
      </c>
      <c r="D146" s="167">
        <v>2.73</v>
      </c>
      <c r="E146" s="5">
        <v>0.04</v>
      </c>
      <c r="F146" s="167">
        <v>0.02</v>
      </c>
      <c r="G146"/>
      <c r="H146"/>
      <c r="I146"/>
      <c r="J146"/>
      <c r="K146"/>
      <c r="L146"/>
      <c r="M146"/>
      <c r="N146"/>
      <c r="O146"/>
    </row>
    <row r="147" spans="1:15" x14ac:dyDescent="0.2">
      <c r="B147" s="5" t="s">
        <v>227</v>
      </c>
      <c r="C147" s="168">
        <v>2.74</v>
      </c>
      <c r="D147" s="168">
        <v>2.78</v>
      </c>
      <c r="E147" s="5">
        <v>0.04</v>
      </c>
      <c r="F147" s="167">
        <v>0.02</v>
      </c>
      <c r="G147"/>
      <c r="H147"/>
      <c r="I147"/>
      <c r="J147"/>
      <c r="K147"/>
      <c r="L147"/>
      <c r="M147"/>
      <c r="N147"/>
      <c r="O147"/>
    </row>
    <row r="148" spans="1:15" x14ac:dyDescent="0.2">
      <c r="B148" s="5" t="s">
        <v>229</v>
      </c>
      <c r="C148" s="168">
        <v>2.78</v>
      </c>
      <c r="D148" s="168">
        <v>2.83</v>
      </c>
      <c r="E148" s="5">
        <v>0.05</v>
      </c>
      <c r="F148" s="167">
        <v>0.02</v>
      </c>
      <c r="G148"/>
      <c r="H148"/>
      <c r="I148"/>
      <c r="J148"/>
      <c r="K148"/>
      <c r="L148"/>
      <c r="M148"/>
      <c r="N148"/>
      <c r="O148"/>
    </row>
    <row r="149" spans="1:15" x14ac:dyDescent="0.2">
      <c r="B149" s="5" t="s">
        <v>128</v>
      </c>
      <c r="C149" s="168">
        <v>2.87</v>
      </c>
      <c r="D149" s="168">
        <v>2.93</v>
      </c>
      <c r="E149" s="168">
        <v>0.06</v>
      </c>
      <c r="F149" s="167">
        <v>0.03</v>
      </c>
      <c r="G149"/>
      <c r="H149"/>
      <c r="I149"/>
      <c r="J149"/>
      <c r="K149"/>
      <c r="L149"/>
      <c r="M149"/>
      <c r="N149"/>
      <c r="O149"/>
    </row>
    <row r="150" spans="1:15" x14ac:dyDescent="0.2">
      <c r="B150" s="5" t="s">
        <v>231</v>
      </c>
      <c r="C150" s="168">
        <v>2.95</v>
      </c>
      <c r="D150" s="168">
        <v>2.99</v>
      </c>
      <c r="E150" s="168">
        <v>0.04</v>
      </c>
      <c r="F150" s="167">
        <v>0.02</v>
      </c>
      <c r="G150"/>
      <c r="H150"/>
      <c r="I150"/>
      <c r="J150"/>
      <c r="K150"/>
      <c r="L150"/>
      <c r="M150"/>
      <c r="N150"/>
      <c r="O150"/>
    </row>
    <row r="151" spans="1:15" x14ac:dyDescent="0.2">
      <c r="B151" s="5" t="s">
        <v>129</v>
      </c>
      <c r="C151" s="168">
        <v>3.18</v>
      </c>
      <c r="D151" s="168">
        <v>3.24</v>
      </c>
      <c r="E151" s="168">
        <v>0.06</v>
      </c>
      <c r="F151" s="167">
        <v>0.03</v>
      </c>
      <c r="G151"/>
      <c r="H151"/>
      <c r="I151"/>
      <c r="J151"/>
      <c r="K151"/>
      <c r="L151"/>
      <c r="M151"/>
      <c r="N151"/>
      <c r="O151"/>
    </row>
    <row r="152" spans="1:15" x14ac:dyDescent="0.2">
      <c r="B152" s="5" t="s">
        <v>130</v>
      </c>
      <c r="C152" s="168">
        <v>3.4</v>
      </c>
      <c r="D152" s="168">
        <v>3.46</v>
      </c>
      <c r="E152" s="168">
        <v>0.06</v>
      </c>
      <c r="F152" s="167">
        <v>0.03</v>
      </c>
      <c r="G152"/>
      <c r="H152"/>
      <c r="I152"/>
      <c r="J152"/>
      <c r="K152"/>
      <c r="L152"/>
      <c r="M152"/>
      <c r="N152"/>
      <c r="O152"/>
    </row>
    <row r="153" spans="1:15" x14ac:dyDescent="0.2">
      <c r="B153" s="5" t="s">
        <v>213</v>
      </c>
      <c r="C153" s="168">
        <v>3.62</v>
      </c>
      <c r="D153" s="168">
        <v>3.68</v>
      </c>
      <c r="E153" s="168">
        <v>0.06</v>
      </c>
      <c r="F153" s="167">
        <v>0.03</v>
      </c>
      <c r="G153"/>
      <c r="H153"/>
      <c r="I153"/>
      <c r="J153"/>
      <c r="K153"/>
      <c r="L153"/>
      <c r="M153"/>
      <c r="N153"/>
      <c r="O153"/>
    </row>
    <row r="154" spans="1:15" x14ac:dyDescent="0.2">
      <c r="B154" s="5" t="s">
        <v>131</v>
      </c>
      <c r="C154" s="168">
        <v>4.07</v>
      </c>
      <c r="D154" s="168">
        <v>4.1100000000000003</v>
      </c>
      <c r="E154" s="168">
        <v>0.04</v>
      </c>
      <c r="F154" s="167">
        <v>0.02</v>
      </c>
      <c r="G154"/>
      <c r="H154"/>
      <c r="I154"/>
      <c r="J154"/>
      <c r="K154"/>
      <c r="L154"/>
      <c r="M154"/>
      <c r="N154"/>
      <c r="O154"/>
    </row>
    <row r="155" spans="1:15" x14ac:dyDescent="0.2">
      <c r="B155" s="5" t="s">
        <v>413</v>
      </c>
      <c r="C155" s="168">
        <v>4.6900000000000004</v>
      </c>
      <c r="D155" s="168">
        <v>4.71</v>
      </c>
      <c r="E155" s="168">
        <v>0.02</v>
      </c>
      <c r="F155" s="167">
        <v>0.01</v>
      </c>
      <c r="G155"/>
      <c r="H155"/>
      <c r="I155"/>
      <c r="J155"/>
      <c r="K155"/>
      <c r="L155"/>
      <c r="M155"/>
      <c r="N155"/>
      <c r="O155"/>
    </row>
    <row r="156" spans="1:15" x14ac:dyDescent="0.2">
      <c r="A156" s="5" t="s">
        <v>137</v>
      </c>
      <c r="B156" s="5" t="s">
        <v>204</v>
      </c>
      <c r="C156" s="168">
        <v>4230.0129999999999</v>
      </c>
      <c r="D156" s="168">
        <v>4272.5619999999999</v>
      </c>
      <c r="E156" s="168">
        <v>42.548999999999999</v>
      </c>
      <c r="F156" s="167">
        <v>1489.21</v>
      </c>
      <c r="G156"/>
      <c r="H156"/>
      <c r="I156"/>
      <c r="J156"/>
      <c r="K156"/>
      <c r="L156"/>
      <c r="M156"/>
      <c r="N156"/>
      <c r="O156"/>
    </row>
    <row r="157" spans="1:15" x14ac:dyDescent="0.2">
      <c r="B157" s="5" t="s">
        <v>419</v>
      </c>
      <c r="C157" s="168">
        <v>4270.9179999999997</v>
      </c>
      <c r="D157" s="168">
        <v>4313.2820000000002</v>
      </c>
      <c r="E157" s="168">
        <v>42.363999999999997</v>
      </c>
      <c r="F157" s="167">
        <v>1482.74</v>
      </c>
      <c r="G157"/>
      <c r="H157"/>
      <c r="I157"/>
      <c r="J157"/>
      <c r="K157"/>
      <c r="L157"/>
      <c r="M157"/>
      <c r="N157"/>
      <c r="O157"/>
    </row>
    <row r="158" spans="1:15" x14ac:dyDescent="0.2">
      <c r="A158" s="5" t="s">
        <v>245</v>
      </c>
      <c r="B158" s="5" t="s">
        <v>422</v>
      </c>
      <c r="C158" s="168">
        <v>162.75</v>
      </c>
      <c r="D158" s="168">
        <v>160.80000000000001</v>
      </c>
      <c r="E158" s="168">
        <v>-1.95</v>
      </c>
      <c r="F158" s="167">
        <v>612.78</v>
      </c>
      <c r="G158"/>
      <c r="H158"/>
      <c r="I158"/>
      <c r="J158"/>
      <c r="K158"/>
      <c r="L158"/>
      <c r="M158"/>
      <c r="N158"/>
      <c r="O158"/>
    </row>
    <row r="159" spans="1:15" x14ac:dyDescent="0.2">
      <c r="B159" s="5" t="s">
        <v>419</v>
      </c>
      <c r="C159" s="168">
        <v>167.85</v>
      </c>
      <c r="D159" s="168">
        <v>165.85</v>
      </c>
      <c r="E159" s="168">
        <v>-2</v>
      </c>
      <c r="F159" s="167">
        <v>628.5</v>
      </c>
      <c r="G159"/>
      <c r="H159"/>
      <c r="I159"/>
      <c r="J159"/>
      <c r="K159"/>
      <c r="L159"/>
      <c r="M159"/>
      <c r="N159"/>
      <c r="O159"/>
    </row>
    <row r="160" spans="1:15" x14ac:dyDescent="0.2">
      <c r="B160" s="5" t="s">
        <v>456</v>
      </c>
      <c r="C160" s="168">
        <v>172.2</v>
      </c>
      <c r="D160" s="168">
        <v>170.15</v>
      </c>
      <c r="E160" s="168">
        <v>-2.0499999999999998</v>
      </c>
      <c r="F160" s="167">
        <v>644.21</v>
      </c>
      <c r="G160"/>
      <c r="H160"/>
      <c r="I160"/>
      <c r="J160"/>
      <c r="K160"/>
      <c r="L160"/>
      <c r="M160"/>
      <c r="N160"/>
      <c r="O160"/>
    </row>
    <row r="161" spans="1:15" x14ac:dyDescent="0.2">
      <c r="B161" s="5" t="s">
        <v>433</v>
      </c>
      <c r="C161" s="168">
        <v>174.75</v>
      </c>
      <c r="D161" s="168">
        <v>172.75</v>
      </c>
      <c r="E161" s="168">
        <v>-2</v>
      </c>
      <c r="F161" s="167">
        <v>628.5</v>
      </c>
      <c r="G161"/>
      <c r="H161"/>
      <c r="I161"/>
      <c r="J161"/>
      <c r="K161"/>
      <c r="L161"/>
      <c r="M161"/>
      <c r="N161"/>
      <c r="O161"/>
    </row>
    <row r="162" spans="1:15" x14ac:dyDescent="0.2">
      <c r="B162" s="5" t="s">
        <v>434</v>
      </c>
      <c r="C162" s="167">
        <v>176.05</v>
      </c>
      <c r="D162" s="167">
        <v>174.15</v>
      </c>
      <c r="E162" s="168">
        <v>-1.9</v>
      </c>
      <c r="F162" s="167">
        <v>597.07000000000005</v>
      </c>
      <c r="G162"/>
      <c r="H162"/>
      <c r="I162"/>
      <c r="J162"/>
      <c r="K162"/>
      <c r="L162"/>
      <c r="M162"/>
      <c r="N162"/>
      <c r="O162"/>
    </row>
    <row r="163" spans="1:15" x14ac:dyDescent="0.2">
      <c r="B163" s="5" t="s">
        <v>458</v>
      </c>
      <c r="C163" s="167">
        <v>185.45</v>
      </c>
      <c r="D163" s="167">
        <v>183.7</v>
      </c>
      <c r="E163" s="168">
        <v>-1.75</v>
      </c>
      <c r="F163" s="167">
        <v>549.92999999999995</v>
      </c>
      <c r="G163"/>
      <c r="H163"/>
      <c r="I163"/>
      <c r="J163"/>
      <c r="K163"/>
      <c r="L163"/>
      <c r="M163"/>
      <c r="N163"/>
      <c r="O163"/>
    </row>
    <row r="164" spans="1:15" x14ac:dyDescent="0.2">
      <c r="A164" s="5" t="s">
        <v>138</v>
      </c>
      <c r="B164" s="5" t="s">
        <v>204</v>
      </c>
      <c r="C164" s="167">
        <v>76447</v>
      </c>
      <c r="D164" s="167">
        <v>75987</v>
      </c>
      <c r="E164" s="168">
        <v>-460</v>
      </c>
      <c r="F164" s="167">
        <v>460</v>
      </c>
      <c r="G164"/>
      <c r="H164"/>
      <c r="I164"/>
      <c r="J164"/>
      <c r="K164"/>
      <c r="L164"/>
      <c r="M164"/>
      <c r="N164"/>
      <c r="O164"/>
    </row>
    <row r="165" spans="1:15" x14ac:dyDescent="0.2">
      <c r="B165" s="5" t="s">
        <v>419</v>
      </c>
      <c r="C165" s="167">
        <v>77225</v>
      </c>
      <c r="D165" s="167">
        <v>76759</v>
      </c>
      <c r="E165" s="168">
        <v>-466</v>
      </c>
      <c r="F165" s="167">
        <v>466</v>
      </c>
      <c r="G165"/>
      <c r="H165"/>
      <c r="I165"/>
      <c r="J165"/>
      <c r="K165"/>
      <c r="L165"/>
      <c r="M165"/>
      <c r="N165"/>
      <c r="O165"/>
    </row>
    <row r="166" spans="1:15" x14ac:dyDescent="0.2">
      <c r="B166" s="5" t="s">
        <v>440</v>
      </c>
      <c r="C166" s="167">
        <v>77919</v>
      </c>
      <c r="D166" s="167">
        <v>77446</v>
      </c>
      <c r="E166" s="168">
        <v>-473</v>
      </c>
      <c r="F166" s="167">
        <v>473</v>
      </c>
      <c r="G166"/>
      <c r="H166"/>
      <c r="I166"/>
      <c r="J166"/>
      <c r="K166"/>
      <c r="L166"/>
      <c r="M166"/>
      <c r="N166"/>
      <c r="O166"/>
    </row>
    <row r="167" spans="1:15" x14ac:dyDescent="0.2">
      <c r="B167" s="5" t="s">
        <v>437</v>
      </c>
      <c r="C167" s="167">
        <v>79409</v>
      </c>
      <c r="D167" s="167">
        <v>78911</v>
      </c>
      <c r="E167" s="168">
        <v>-498</v>
      </c>
      <c r="F167" s="167">
        <v>498</v>
      </c>
      <c r="G167"/>
      <c r="H167"/>
      <c r="I167"/>
      <c r="J167"/>
      <c r="K167"/>
      <c r="L167"/>
      <c r="M167"/>
      <c r="N167"/>
      <c r="O167"/>
    </row>
    <row r="168" spans="1:15" x14ac:dyDescent="0.2">
      <c r="B168" s="5" t="s">
        <v>219</v>
      </c>
      <c r="C168" s="167">
        <v>81151</v>
      </c>
      <c r="D168" s="167">
        <v>80609</v>
      </c>
      <c r="E168" s="168">
        <v>-542</v>
      </c>
      <c r="F168" s="167">
        <v>542</v>
      </c>
      <c r="G168"/>
      <c r="H168"/>
      <c r="I168"/>
      <c r="J168"/>
      <c r="K168"/>
      <c r="L168"/>
      <c r="M168"/>
      <c r="N168"/>
      <c r="O168"/>
    </row>
    <row r="169" spans="1:15" x14ac:dyDescent="0.2">
      <c r="B169" s="5" t="s">
        <v>434</v>
      </c>
      <c r="C169" s="167">
        <v>81975</v>
      </c>
      <c r="D169" s="167">
        <v>81419</v>
      </c>
      <c r="E169" s="168">
        <v>-556</v>
      </c>
      <c r="F169" s="167">
        <v>556</v>
      </c>
      <c r="G169"/>
      <c r="H169"/>
      <c r="I169"/>
      <c r="J169"/>
      <c r="K169"/>
      <c r="L169"/>
      <c r="M169"/>
      <c r="N169"/>
      <c r="O169"/>
    </row>
    <row r="170" spans="1:15" x14ac:dyDescent="0.2">
      <c r="A170" s="5" t="s">
        <v>225</v>
      </c>
      <c r="B170" s="5" t="s">
        <v>419</v>
      </c>
      <c r="C170" s="167">
        <v>2505.25</v>
      </c>
      <c r="D170" s="167">
        <v>2502</v>
      </c>
      <c r="E170" s="168">
        <v>-3.25</v>
      </c>
      <c r="F170" s="167">
        <v>510.65</v>
      </c>
      <c r="G170"/>
      <c r="H170"/>
      <c r="I170"/>
      <c r="J170"/>
      <c r="K170"/>
      <c r="L170"/>
      <c r="M170"/>
      <c r="N170"/>
      <c r="O170"/>
    </row>
    <row r="171" spans="1:15" x14ac:dyDescent="0.2">
      <c r="B171" s="5" t="s">
        <v>456</v>
      </c>
      <c r="C171" s="167">
        <v>2504.5</v>
      </c>
      <c r="D171" s="167">
        <v>2501.25</v>
      </c>
      <c r="E171" s="168">
        <v>-3.25</v>
      </c>
      <c r="F171" s="167">
        <v>510.65</v>
      </c>
      <c r="G171"/>
      <c r="H171"/>
      <c r="I171"/>
      <c r="J171"/>
      <c r="K171"/>
      <c r="L171"/>
      <c r="M171"/>
      <c r="N171"/>
      <c r="O171"/>
    </row>
    <row r="172" spans="1:15" x14ac:dyDescent="0.2">
      <c r="A172" s="5" t="s">
        <v>140</v>
      </c>
      <c r="B172" s="5" t="s">
        <v>204</v>
      </c>
      <c r="C172" s="167">
        <v>2792.72</v>
      </c>
      <c r="D172" s="167">
        <v>2796.8</v>
      </c>
      <c r="E172" s="168">
        <v>4.08</v>
      </c>
      <c r="F172" s="167">
        <v>204</v>
      </c>
      <c r="G172"/>
      <c r="H172"/>
      <c r="I172"/>
      <c r="J172"/>
      <c r="K172"/>
      <c r="L172"/>
      <c r="M172"/>
      <c r="N172"/>
      <c r="O172"/>
    </row>
    <row r="173" spans="1:15" x14ac:dyDescent="0.2">
      <c r="B173" s="5" t="s">
        <v>436</v>
      </c>
      <c r="C173" s="167">
        <v>2807.24</v>
      </c>
      <c r="D173" s="167">
        <v>2811.06</v>
      </c>
      <c r="E173" s="168">
        <v>3.82</v>
      </c>
      <c r="F173" s="167">
        <v>191</v>
      </c>
      <c r="G173"/>
      <c r="H173"/>
      <c r="I173"/>
      <c r="J173"/>
      <c r="K173"/>
      <c r="L173"/>
      <c r="M173"/>
      <c r="N173"/>
      <c r="O173"/>
    </row>
    <row r="174" spans="1:15" x14ac:dyDescent="0.2">
      <c r="B174" s="5" t="s">
        <v>419</v>
      </c>
      <c r="C174" s="167">
        <v>2821.35</v>
      </c>
      <c r="D174" s="167">
        <v>2825.1</v>
      </c>
      <c r="E174" s="168">
        <v>3.75</v>
      </c>
      <c r="F174" s="167">
        <v>187.5</v>
      </c>
      <c r="G174"/>
      <c r="H174"/>
      <c r="I174"/>
      <c r="J174"/>
      <c r="K174"/>
      <c r="L174"/>
      <c r="M174"/>
      <c r="N174"/>
      <c r="O174"/>
    </row>
    <row r="175" spans="1:15" x14ac:dyDescent="0.2">
      <c r="A175" s="5" t="s">
        <v>141</v>
      </c>
      <c r="B175" s="5" t="s">
        <v>204</v>
      </c>
      <c r="C175" s="167">
        <v>1756.0219999999999</v>
      </c>
      <c r="D175" s="167">
        <v>1757.049</v>
      </c>
      <c r="E175" s="168">
        <v>1.0269999999999999</v>
      </c>
      <c r="F175" s="167">
        <v>77.02</v>
      </c>
      <c r="G175"/>
      <c r="H175"/>
      <c r="I175"/>
      <c r="J175"/>
      <c r="K175"/>
      <c r="L175"/>
      <c r="M175"/>
      <c r="N175"/>
      <c r="O175"/>
    </row>
    <row r="176" spans="1:15" x14ac:dyDescent="0.2">
      <c r="B176" s="5" t="s">
        <v>436</v>
      </c>
      <c r="C176" s="167">
        <v>1754.318</v>
      </c>
      <c r="D176" s="167">
        <v>1755.1790000000001</v>
      </c>
      <c r="E176" s="168">
        <v>0.86099999999999999</v>
      </c>
      <c r="F176" s="167">
        <v>64.569999999999993</v>
      </c>
      <c r="G176"/>
      <c r="H176"/>
      <c r="I176"/>
      <c r="J176"/>
      <c r="K176"/>
      <c r="L176"/>
      <c r="M176"/>
      <c r="N176"/>
      <c r="O176"/>
    </row>
    <row r="177" spans="1:15" x14ac:dyDescent="0.2">
      <c r="B177" s="5" t="s">
        <v>419</v>
      </c>
      <c r="C177" s="167">
        <v>1752.384</v>
      </c>
      <c r="D177" s="167">
        <v>1753.162</v>
      </c>
      <c r="E177" s="168">
        <v>0.77800000000000002</v>
      </c>
      <c r="F177" s="167">
        <v>58.35</v>
      </c>
      <c r="G177"/>
      <c r="H177"/>
      <c r="I177"/>
      <c r="J177"/>
      <c r="K177"/>
      <c r="L177"/>
      <c r="M177"/>
      <c r="N177"/>
      <c r="O177"/>
    </row>
    <row r="178" spans="1:15" x14ac:dyDescent="0.2">
      <c r="A178" s="5" t="s">
        <v>464</v>
      </c>
      <c r="B178" s="5" t="s">
        <v>204</v>
      </c>
      <c r="C178" s="167">
        <v>2302.585</v>
      </c>
      <c r="D178" s="167">
        <v>2300.6759999999999</v>
      </c>
      <c r="E178" s="168">
        <v>-1.909</v>
      </c>
      <c r="F178" s="167">
        <v>143.16999999999999</v>
      </c>
      <c r="G178"/>
      <c r="H178"/>
      <c r="I178"/>
      <c r="J178"/>
      <c r="K178"/>
      <c r="L178"/>
      <c r="M178"/>
      <c r="N178"/>
      <c r="O178"/>
    </row>
    <row r="179" spans="1:15" x14ac:dyDescent="0.2">
      <c r="A179" s="5" t="s">
        <v>470</v>
      </c>
      <c r="B179" s="5" t="s">
        <v>126</v>
      </c>
      <c r="C179" s="167">
        <v>98047.28</v>
      </c>
      <c r="D179" s="167">
        <v>98048.95</v>
      </c>
      <c r="E179" s="168">
        <v>1.67</v>
      </c>
      <c r="F179" s="167">
        <v>1.67</v>
      </c>
      <c r="G179"/>
      <c r="H179"/>
      <c r="I179"/>
      <c r="J179"/>
      <c r="K179"/>
      <c r="L179"/>
      <c r="M179"/>
      <c r="N179"/>
      <c r="O179"/>
    </row>
    <row r="180" spans="1:15" x14ac:dyDescent="0.2">
      <c r="A180" s="5" t="s">
        <v>142</v>
      </c>
      <c r="B180" s="5">
        <v>0</v>
      </c>
      <c r="C180" s="167">
        <v>131.185</v>
      </c>
      <c r="D180" s="167">
        <v>130.31899999999999</v>
      </c>
      <c r="E180" s="168">
        <v>0.9</v>
      </c>
      <c r="F180" s="167">
        <v>216.28</v>
      </c>
      <c r="G180"/>
      <c r="H180"/>
      <c r="I180"/>
      <c r="J180"/>
      <c r="K180"/>
      <c r="L180"/>
      <c r="M180"/>
      <c r="N180"/>
      <c r="O180"/>
    </row>
    <row r="181" spans="1:15" x14ac:dyDescent="0.2">
      <c r="A181" s="5" t="s">
        <v>238</v>
      </c>
      <c r="B181" s="5" t="s">
        <v>436</v>
      </c>
      <c r="C181" s="167">
        <v>21.384499999999999</v>
      </c>
      <c r="D181" s="167">
        <v>21.401</v>
      </c>
      <c r="E181" s="168">
        <v>1.6500000000000001E-2</v>
      </c>
      <c r="F181" s="167">
        <v>23.33</v>
      </c>
      <c r="G181"/>
      <c r="H181"/>
      <c r="I181"/>
      <c r="J181"/>
      <c r="K181"/>
      <c r="L181"/>
      <c r="M181"/>
      <c r="N181"/>
      <c r="O181"/>
    </row>
    <row r="182" spans="1:15" x14ac:dyDescent="0.2">
      <c r="B182" s="5" t="s">
        <v>126</v>
      </c>
      <c r="C182" s="167">
        <v>21.616</v>
      </c>
      <c r="D182" s="167">
        <v>21.626999999999999</v>
      </c>
      <c r="E182" s="168">
        <v>1.0999999999999999E-2</v>
      </c>
      <c r="F182" s="167">
        <v>15.55</v>
      </c>
      <c r="G182"/>
      <c r="H182"/>
      <c r="I182"/>
      <c r="J182"/>
      <c r="K182"/>
      <c r="L182"/>
      <c r="M182"/>
      <c r="N182"/>
      <c r="O182"/>
    </row>
    <row r="183" spans="1:15" x14ac:dyDescent="0.2">
      <c r="B183" s="5" t="s">
        <v>456</v>
      </c>
      <c r="C183" s="167">
        <v>21.819900000000001</v>
      </c>
      <c r="D183" s="167">
        <v>21.8309</v>
      </c>
      <c r="E183" s="168">
        <v>1.0999999999999999E-2</v>
      </c>
      <c r="F183" s="167">
        <v>15.55</v>
      </c>
      <c r="G183"/>
      <c r="H183"/>
      <c r="I183"/>
      <c r="J183"/>
      <c r="K183"/>
      <c r="L183"/>
      <c r="M183"/>
      <c r="N183"/>
      <c r="O183"/>
    </row>
    <row r="184" spans="1:15" x14ac:dyDescent="0.2">
      <c r="B184" s="5" t="s">
        <v>460</v>
      </c>
      <c r="C184" s="167">
        <v>22.001799999999999</v>
      </c>
      <c r="D184" s="167">
        <v>22.012799999999999</v>
      </c>
      <c r="E184" s="168">
        <v>1.0999999999999999E-2</v>
      </c>
      <c r="F184" s="167">
        <v>15.55</v>
      </c>
      <c r="G184"/>
      <c r="H184"/>
      <c r="I184"/>
      <c r="J184"/>
      <c r="K184"/>
      <c r="L184"/>
      <c r="M184"/>
      <c r="N184"/>
      <c r="O184"/>
    </row>
    <row r="185" spans="1:15" x14ac:dyDescent="0.2">
      <c r="A185" s="5" t="s">
        <v>145</v>
      </c>
      <c r="B185" s="5" t="s">
        <v>419</v>
      </c>
      <c r="C185" s="167">
        <v>125.625</v>
      </c>
      <c r="D185" s="167">
        <v>125.625</v>
      </c>
      <c r="E185" s="168">
        <v>0</v>
      </c>
      <c r="F185" s="167">
        <v>0</v>
      </c>
      <c r="G185"/>
      <c r="H185"/>
      <c r="I185"/>
      <c r="J185"/>
      <c r="K185"/>
      <c r="L185"/>
      <c r="M185"/>
      <c r="N185"/>
      <c r="O185"/>
    </row>
    <row r="186" spans="1:15" x14ac:dyDescent="0.2">
      <c r="A186" s="5" t="s">
        <v>239</v>
      </c>
      <c r="B186" s="5" t="s">
        <v>204</v>
      </c>
      <c r="C186" s="167">
        <v>891.01099999999997</v>
      </c>
      <c r="D186" s="167">
        <v>895.11300000000006</v>
      </c>
      <c r="E186" s="168">
        <v>4.1020000000000003</v>
      </c>
      <c r="F186" s="167">
        <v>307.64999999999998</v>
      </c>
      <c r="G186"/>
      <c r="H186"/>
      <c r="I186"/>
      <c r="J186"/>
      <c r="K186"/>
      <c r="L186"/>
      <c r="M186"/>
      <c r="N186"/>
      <c r="O186"/>
    </row>
    <row r="187" spans="1:15" x14ac:dyDescent="0.2">
      <c r="A187" s="5" t="s">
        <v>374</v>
      </c>
      <c r="B187" s="5" t="s">
        <v>204</v>
      </c>
      <c r="C187" s="167">
        <v>3136.261</v>
      </c>
      <c r="D187" s="167">
        <v>3147.127</v>
      </c>
      <c r="E187" s="168">
        <v>10.866</v>
      </c>
      <c r="F187" s="167">
        <v>108.66</v>
      </c>
      <c r="G187"/>
      <c r="H187"/>
      <c r="I187"/>
      <c r="J187"/>
      <c r="K187"/>
      <c r="L187"/>
      <c r="M187"/>
      <c r="N187"/>
      <c r="O187"/>
    </row>
    <row r="188" spans="1:15" x14ac:dyDescent="0.2">
      <c r="B188" s="5" t="s">
        <v>436</v>
      </c>
      <c r="C188" s="167">
        <v>3149.15</v>
      </c>
      <c r="D188" s="167">
        <v>3159.7559999999999</v>
      </c>
      <c r="E188" s="168">
        <v>10.606</v>
      </c>
      <c r="F188" s="167">
        <v>106.06</v>
      </c>
      <c r="G188"/>
      <c r="H188"/>
      <c r="I188"/>
      <c r="J188"/>
      <c r="K188"/>
      <c r="L188"/>
      <c r="M188"/>
      <c r="N188"/>
      <c r="O188"/>
    </row>
    <row r="189" spans="1:15" x14ac:dyDescent="0.2">
      <c r="B189" s="5" t="s">
        <v>419</v>
      </c>
      <c r="C189" s="167">
        <v>3161.35</v>
      </c>
      <c r="D189" s="167">
        <v>3171.8789999999999</v>
      </c>
      <c r="E189" s="168">
        <v>10.529</v>
      </c>
      <c r="F189" s="167">
        <v>105.29</v>
      </c>
      <c r="G189"/>
      <c r="H189"/>
      <c r="I189"/>
      <c r="J189"/>
      <c r="K189"/>
      <c r="L189"/>
      <c r="M189"/>
      <c r="N189"/>
      <c r="O189"/>
    </row>
    <row r="190" spans="1:15" x14ac:dyDescent="0.2">
      <c r="B190" s="5" t="s">
        <v>460</v>
      </c>
      <c r="C190" s="167">
        <v>3217.6289999999999</v>
      </c>
      <c r="D190" s="167">
        <v>3227.6460000000002</v>
      </c>
      <c r="E190" s="168">
        <v>10.016999999999999</v>
      </c>
      <c r="F190" s="167">
        <v>100.17</v>
      </c>
      <c r="G190"/>
      <c r="H190"/>
      <c r="I190"/>
      <c r="J190"/>
      <c r="K190"/>
      <c r="L190"/>
      <c r="M190"/>
      <c r="N190"/>
      <c r="O190"/>
    </row>
    <row r="191" spans="1:15" x14ac:dyDescent="0.2">
      <c r="A191" s="5" t="s">
        <v>463</v>
      </c>
      <c r="B191" s="5" t="s">
        <v>204</v>
      </c>
      <c r="C191" s="167">
        <v>3731.377</v>
      </c>
      <c r="D191" s="167">
        <v>3756.721</v>
      </c>
      <c r="E191" s="168">
        <v>25.344000000000001</v>
      </c>
      <c r="F191" s="167">
        <v>253.44</v>
      </c>
      <c r="G191"/>
      <c r="H191"/>
      <c r="I191"/>
      <c r="J191"/>
      <c r="K191"/>
      <c r="L191"/>
      <c r="M191"/>
      <c r="N191"/>
      <c r="O191"/>
    </row>
    <row r="192" spans="1:15" x14ac:dyDescent="0.2">
      <c r="A192" s="5" t="s">
        <v>147</v>
      </c>
      <c r="B192" s="5" t="s">
        <v>204</v>
      </c>
      <c r="C192" s="167">
        <v>76447</v>
      </c>
      <c r="D192" s="167">
        <v>75987</v>
      </c>
      <c r="E192" s="168">
        <v>-460</v>
      </c>
      <c r="F192" s="167">
        <v>92</v>
      </c>
      <c r="G192"/>
      <c r="H192"/>
      <c r="I192"/>
      <c r="J192"/>
      <c r="K192"/>
      <c r="L192"/>
      <c r="M192"/>
      <c r="N192"/>
      <c r="O192"/>
    </row>
    <row r="193" spans="1:15" x14ac:dyDescent="0.2">
      <c r="B193" s="5" t="s">
        <v>419</v>
      </c>
      <c r="C193" s="167">
        <v>77225</v>
      </c>
      <c r="D193" s="167">
        <v>76759</v>
      </c>
      <c r="E193" s="168">
        <v>-466</v>
      </c>
      <c r="F193" s="167">
        <v>93.2</v>
      </c>
      <c r="G193"/>
      <c r="H193"/>
      <c r="I193"/>
      <c r="J193"/>
      <c r="K193"/>
      <c r="L193"/>
      <c r="M193"/>
      <c r="N193"/>
      <c r="O193"/>
    </row>
    <row r="194" spans="1:15" x14ac:dyDescent="0.2">
      <c r="A194" s="5" t="s">
        <v>306</v>
      </c>
      <c r="B194" s="5" t="s">
        <v>436</v>
      </c>
      <c r="C194" s="167">
        <v>50.69</v>
      </c>
      <c r="D194" s="167">
        <v>50.55</v>
      </c>
      <c r="E194" s="168">
        <v>-0.14000000000000001</v>
      </c>
      <c r="F194" s="167">
        <v>43.99</v>
      </c>
      <c r="G194"/>
      <c r="H194"/>
      <c r="I194"/>
      <c r="J194"/>
      <c r="K194"/>
      <c r="L194"/>
      <c r="M194"/>
      <c r="N194"/>
      <c r="O194"/>
    </row>
    <row r="195" spans="1:15" x14ac:dyDescent="0.2">
      <c r="B195" s="5" t="s">
        <v>419</v>
      </c>
      <c r="C195" s="167">
        <v>51.04</v>
      </c>
      <c r="D195" s="167">
        <v>50.93</v>
      </c>
      <c r="E195" s="168">
        <v>-0.11</v>
      </c>
      <c r="F195" s="167">
        <v>34.56</v>
      </c>
      <c r="G195"/>
      <c r="H195"/>
      <c r="I195"/>
      <c r="J195"/>
      <c r="K195"/>
      <c r="L195"/>
      <c r="M195"/>
      <c r="N195"/>
      <c r="O195"/>
    </row>
    <row r="196" spans="1:15" x14ac:dyDescent="0.2">
      <c r="A196" s="5" t="s">
        <v>240</v>
      </c>
      <c r="B196" s="5" t="s">
        <v>204</v>
      </c>
      <c r="C196" s="167">
        <v>2345.6979999999999</v>
      </c>
      <c r="D196" s="167">
        <v>2363.614</v>
      </c>
      <c r="E196" s="168">
        <v>17.916</v>
      </c>
      <c r="F196" s="167">
        <v>627.05999999999995</v>
      </c>
      <c r="G196"/>
      <c r="H196"/>
      <c r="I196"/>
      <c r="J196"/>
      <c r="K196"/>
      <c r="L196"/>
      <c r="M196"/>
      <c r="N196"/>
      <c r="O196"/>
    </row>
    <row r="197" spans="1:15" x14ac:dyDescent="0.2">
      <c r="B197" s="5" t="s">
        <v>419</v>
      </c>
      <c r="C197" s="167">
        <v>2339.1660000000002</v>
      </c>
      <c r="D197" s="167">
        <v>2357.6880000000001</v>
      </c>
      <c r="E197" s="168">
        <v>18.521999999999998</v>
      </c>
      <c r="F197" s="167">
        <v>648.27</v>
      </c>
      <c r="G197"/>
      <c r="H197"/>
      <c r="I197"/>
      <c r="J197"/>
      <c r="K197"/>
      <c r="L197"/>
      <c r="M197"/>
      <c r="N197"/>
      <c r="O197"/>
    </row>
    <row r="198" spans="1:15" x14ac:dyDescent="0.2">
      <c r="B198" s="5" t="s">
        <v>436</v>
      </c>
      <c r="C198" s="167">
        <v>2372.2860000000001</v>
      </c>
      <c r="D198" s="167">
        <v>2363.5639999999999</v>
      </c>
      <c r="E198" s="168">
        <v>-8.7219999999999995</v>
      </c>
      <c r="F198" s="167">
        <v>305.27</v>
      </c>
      <c r="G198"/>
      <c r="H198"/>
      <c r="I198"/>
      <c r="J198"/>
      <c r="K198"/>
      <c r="L198"/>
      <c r="M198"/>
      <c r="N198"/>
      <c r="O198"/>
    </row>
    <row r="199" spans="1:15" x14ac:dyDescent="0.2">
      <c r="B199" s="5" t="s">
        <v>125</v>
      </c>
      <c r="C199" s="167">
        <v>59336</v>
      </c>
      <c r="D199" s="167">
        <v>59127</v>
      </c>
      <c r="E199" s="168">
        <v>-209</v>
      </c>
      <c r="F199" s="167">
        <v>209</v>
      </c>
      <c r="G199"/>
      <c r="H199"/>
      <c r="I199"/>
      <c r="J199"/>
      <c r="K199"/>
      <c r="L199"/>
      <c r="M199"/>
      <c r="N199"/>
      <c r="O199"/>
    </row>
    <row r="200" spans="1:15" x14ac:dyDescent="0.2">
      <c r="B200" s="5" t="s">
        <v>139</v>
      </c>
      <c r="C200" s="167">
        <v>60047</v>
      </c>
      <c r="D200" s="167">
        <v>59845</v>
      </c>
      <c r="E200" s="168">
        <v>-202</v>
      </c>
      <c r="F200" s="167">
        <v>202</v>
      </c>
      <c r="G200"/>
      <c r="H200"/>
      <c r="I200"/>
      <c r="J200"/>
      <c r="K200"/>
      <c r="L200"/>
      <c r="M200"/>
      <c r="N200"/>
      <c r="O200"/>
    </row>
    <row r="201" spans="1:15" x14ac:dyDescent="0.2">
      <c r="A201" s="5" t="s">
        <v>140</v>
      </c>
      <c r="B201" s="5" t="s">
        <v>122</v>
      </c>
      <c r="C201" s="167">
        <v>2091.8000000000002</v>
      </c>
      <c r="D201" s="167">
        <v>2095.4090000000001</v>
      </c>
      <c r="E201" s="168">
        <v>3.609</v>
      </c>
      <c r="F201" s="167">
        <v>180.45</v>
      </c>
      <c r="G201"/>
      <c r="H201"/>
      <c r="I201"/>
      <c r="J201"/>
      <c r="K201"/>
      <c r="L201"/>
      <c r="M201"/>
      <c r="N201"/>
      <c r="O201"/>
    </row>
    <row r="202" spans="1:15" x14ac:dyDescent="0.2">
      <c r="B202" s="5" t="s">
        <v>118</v>
      </c>
      <c r="C202" s="167">
        <v>2107.3789999999999</v>
      </c>
      <c r="D202" s="167">
        <v>2110.6410000000001</v>
      </c>
      <c r="E202" s="168">
        <v>3.262</v>
      </c>
      <c r="F202" s="167">
        <v>163.1</v>
      </c>
      <c r="G202"/>
      <c r="H202"/>
      <c r="I202"/>
      <c r="J202"/>
      <c r="K202"/>
      <c r="L202"/>
      <c r="M202"/>
      <c r="N202"/>
      <c r="O202"/>
    </row>
    <row r="203" spans="1:15" x14ac:dyDescent="0.2">
      <c r="A203" s="5" t="s">
        <v>141</v>
      </c>
      <c r="B203" s="5" t="s">
        <v>122</v>
      </c>
      <c r="C203" s="167">
        <v>1299.1400000000001</v>
      </c>
      <c r="D203" s="167">
        <v>1292.4069999999999</v>
      </c>
      <c r="E203" s="168">
        <v>-6.7329999999999997</v>
      </c>
      <c r="F203" s="167">
        <v>504.97</v>
      </c>
      <c r="G203"/>
      <c r="H203"/>
      <c r="I203"/>
      <c r="J203"/>
      <c r="K203"/>
      <c r="L203"/>
      <c r="M203"/>
      <c r="N203"/>
      <c r="O203"/>
    </row>
    <row r="204" spans="1:15" x14ac:dyDescent="0.2">
      <c r="B204" s="5" t="s">
        <v>118</v>
      </c>
      <c r="C204" s="168">
        <v>1303.441</v>
      </c>
      <c r="D204" s="168">
        <v>1296.454</v>
      </c>
      <c r="E204" s="5">
        <v>-6.9870000000000001</v>
      </c>
      <c r="F204" s="167">
        <v>524.02</v>
      </c>
      <c r="G204"/>
      <c r="H204"/>
      <c r="I204"/>
      <c r="J204"/>
      <c r="K204"/>
      <c r="L204"/>
      <c r="M204"/>
      <c r="N204"/>
      <c r="O204"/>
    </row>
    <row r="205" spans="1:15" x14ac:dyDescent="0.2">
      <c r="A205" s="5" t="s">
        <v>142</v>
      </c>
      <c r="B205" s="5">
        <v>0</v>
      </c>
      <c r="C205" s="167">
        <v>0</v>
      </c>
      <c r="D205" s="167">
        <v>0</v>
      </c>
      <c r="E205" s="5">
        <v>-2</v>
      </c>
      <c r="F205" s="5">
        <v>0</v>
      </c>
      <c r="G205"/>
      <c r="H205"/>
      <c r="I205"/>
      <c r="J205"/>
      <c r="K205"/>
      <c r="L205"/>
      <c r="M205"/>
      <c r="N205"/>
      <c r="O205"/>
    </row>
    <row r="206" spans="1:15" x14ac:dyDescent="0.2">
      <c r="A206" s="5" t="s">
        <v>143</v>
      </c>
      <c r="B206" s="5" t="s">
        <v>119</v>
      </c>
      <c r="C206" s="167">
        <v>31.78</v>
      </c>
      <c r="D206" s="167">
        <v>31.69</v>
      </c>
      <c r="E206" s="5">
        <v>-0.09</v>
      </c>
      <c r="F206" s="167">
        <v>65.17</v>
      </c>
      <c r="G206"/>
      <c r="H206"/>
      <c r="I206"/>
      <c r="J206"/>
      <c r="K206"/>
      <c r="L206"/>
      <c r="M206"/>
      <c r="N206"/>
      <c r="O206"/>
    </row>
    <row r="207" spans="1:15" x14ac:dyDescent="0.2">
      <c r="B207" s="5" t="s">
        <v>144</v>
      </c>
      <c r="C207" s="168">
        <v>30.6</v>
      </c>
      <c r="D207" s="168">
        <v>30.58</v>
      </c>
      <c r="E207" s="5">
        <v>-0.02</v>
      </c>
      <c r="F207" s="5">
        <v>14.48</v>
      </c>
      <c r="G207"/>
      <c r="H207"/>
      <c r="I207"/>
      <c r="J207"/>
      <c r="K207"/>
      <c r="L207"/>
      <c r="M207"/>
      <c r="N207"/>
      <c r="O207"/>
    </row>
    <row r="208" spans="1:15" x14ac:dyDescent="0.2">
      <c r="A208" s="5" t="s">
        <v>145</v>
      </c>
      <c r="B208" s="5" t="s">
        <v>122</v>
      </c>
      <c r="C208" s="5">
        <v>130.32810000000001</v>
      </c>
      <c r="D208" s="5">
        <v>129.57810000000001</v>
      </c>
      <c r="E208" s="5">
        <v>-0.75</v>
      </c>
      <c r="F208" s="167">
        <v>1202.92</v>
      </c>
      <c r="G208"/>
      <c r="H208"/>
      <c r="I208"/>
      <c r="J208"/>
      <c r="K208"/>
      <c r="L208"/>
      <c r="M208"/>
      <c r="N208"/>
      <c r="O208"/>
    </row>
    <row r="209" spans="1:15" x14ac:dyDescent="0.2">
      <c r="B209" s="5" t="s">
        <v>134</v>
      </c>
      <c r="C209" s="167">
        <v>129.39060000000001</v>
      </c>
      <c r="D209" s="167">
        <v>128.64060000000001</v>
      </c>
      <c r="E209" s="5">
        <v>-0.75</v>
      </c>
      <c r="F209" s="167">
        <v>1202.92</v>
      </c>
      <c r="G209"/>
      <c r="H209"/>
      <c r="I209"/>
      <c r="J209"/>
      <c r="K209"/>
      <c r="L209"/>
      <c r="M209"/>
      <c r="N209"/>
      <c r="O209"/>
    </row>
    <row r="210" spans="1:15" x14ac:dyDescent="0.2">
      <c r="A210" s="5" t="s">
        <v>146</v>
      </c>
      <c r="B210" s="5" t="s">
        <v>122</v>
      </c>
      <c r="C210" s="167">
        <v>1604.796</v>
      </c>
      <c r="D210" s="167">
        <v>1613.0160000000001</v>
      </c>
      <c r="E210" s="5">
        <v>8.2200000000000006</v>
      </c>
      <c r="F210" s="167">
        <v>41.1</v>
      </c>
      <c r="G210"/>
      <c r="H210"/>
      <c r="I210"/>
      <c r="J210"/>
      <c r="K210"/>
      <c r="L210"/>
      <c r="M210"/>
      <c r="N210"/>
      <c r="O210"/>
    </row>
    <row r="211" spans="1:15" x14ac:dyDescent="0.2">
      <c r="B211" s="5" t="s">
        <v>118</v>
      </c>
      <c r="C211" s="167">
        <v>1616.615</v>
      </c>
      <c r="D211" s="167">
        <v>1624.6089999999999</v>
      </c>
      <c r="E211" s="168">
        <v>7.9939999999999998</v>
      </c>
      <c r="F211" s="167">
        <v>39.97</v>
      </c>
      <c r="G211"/>
      <c r="H211"/>
      <c r="I211"/>
      <c r="J211"/>
      <c r="K211"/>
      <c r="L211"/>
      <c r="M211"/>
      <c r="N211"/>
      <c r="O211"/>
    </row>
    <row r="212" spans="1:15" x14ac:dyDescent="0.2">
      <c r="A212" s="5" t="s">
        <v>147</v>
      </c>
      <c r="B212" s="5" t="s">
        <v>118</v>
      </c>
      <c r="C212" s="168">
        <v>54569</v>
      </c>
      <c r="D212" s="168">
        <v>54373</v>
      </c>
      <c r="E212" s="168">
        <v>-196</v>
      </c>
      <c r="F212" s="5">
        <v>39.200000000000003</v>
      </c>
      <c r="G212"/>
      <c r="H212"/>
      <c r="I212"/>
      <c r="J212"/>
      <c r="K212"/>
      <c r="L212"/>
      <c r="M212"/>
      <c r="N212"/>
      <c r="O212"/>
    </row>
    <row r="213" spans="1:15" x14ac:dyDescent="0.2">
      <c r="B213" s="5" t="s">
        <v>134</v>
      </c>
      <c r="C213" s="168">
        <v>55383</v>
      </c>
      <c r="D213" s="168">
        <v>55185</v>
      </c>
      <c r="E213" s="168">
        <v>-198</v>
      </c>
      <c r="F213" s="5">
        <v>39.6</v>
      </c>
      <c r="G213"/>
      <c r="H213"/>
      <c r="I213"/>
      <c r="J213"/>
      <c r="K213"/>
      <c r="L213"/>
      <c r="M213"/>
      <c r="N213"/>
      <c r="O213"/>
    </row>
    <row r="214" spans="1:15" x14ac:dyDescent="0.2">
      <c r="A214" s="5" t="s">
        <v>192</v>
      </c>
      <c r="G214"/>
      <c r="H214"/>
      <c r="I214"/>
      <c r="J214"/>
      <c r="K214"/>
      <c r="L214"/>
      <c r="M214"/>
      <c r="N214"/>
      <c r="O214"/>
    </row>
    <row r="215" spans="1:15" x14ac:dyDescent="0.2">
      <c r="A215" s="5" t="s">
        <v>193</v>
      </c>
      <c r="G215"/>
      <c r="H215"/>
      <c r="I215"/>
      <c r="J215"/>
      <c r="K215"/>
      <c r="L215"/>
      <c r="M215"/>
      <c r="N215"/>
      <c r="O215"/>
    </row>
    <row r="216" spans="1:15" x14ac:dyDescent="0.2">
      <c r="A216" s="5" t="s">
        <v>194</v>
      </c>
      <c r="C216" s="167"/>
      <c r="D216" s="167"/>
      <c r="F216" s="167"/>
      <c r="G216"/>
      <c r="H216"/>
      <c r="I216"/>
      <c r="J216"/>
      <c r="K216"/>
      <c r="L216"/>
      <c r="M216"/>
      <c r="N216"/>
      <c r="O216"/>
    </row>
    <row r="217" spans="1:15" x14ac:dyDescent="0.2">
      <c r="A217" s="5" t="s">
        <v>195</v>
      </c>
      <c r="C217" s="167"/>
      <c r="D217" s="167"/>
      <c r="F217" s="167"/>
      <c r="G217"/>
      <c r="H217"/>
      <c r="I217"/>
      <c r="J217"/>
      <c r="K217"/>
      <c r="L217"/>
      <c r="M217"/>
      <c r="N217"/>
      <c r="O217"/>
    </row>
    <row r="218" spans="1:15" x14ac:dyDescent="0.2">
      <c r="C218" s="167"/>
      <c r="D218" s="167"/>
      <c r="F218" s="167"/>
      <c r="G218"/>
      <c r="H218"/>
      <c r="I218"/>
      <c r="J218"/>
      <c r="K218"/>
      <c r="L218"/>
      <c r="M218"/>
      <c r="N218"/>
      <c r="O218"/>
    </row>
    <row r="219" spans="1:15" x14ac:dyDescent="0.2">
      <c r="A219" s="5" t="s">
        <v>196</v>
      </c>
      <c r="C219" s="167"/>
      <c r="D219" s="167"/>
      <c r="F219" s="167"/>
      <c r="G219"/>
      <c r="H219"/>
      <c r="I219"/>
      <c r="J219"/>
      <c r="K219"/>
      <c r="L219"/>
      <c r="M219"/>
      <c r="N219"/>
      <c r="O219"/>
    </row>
    <row r="220" spans="1:15" x14ac:dyDescent="0.2">
      <c r="A220" s="5" t="s">
        <v>195</v>
      </c>
      <c r="C220" s="167"/>
      <c r="D220" s="167"/>
      <c r="F220" s="167"/>
      <c r="G220"/>
      <c r="H220"/>
      <c r="I220"/>
      <c r="J220"/>
      <c r="K220"/>
      <c r="L220"/>
      <c r="M220"/>
      <c r="N220"/>
      <c r="O220"/>
    </row>
    <row r="221" spans="1:15" x14ac:dyDescent="0.2">
      <c r="C221" s="167"/>
      <c r="D221" s="167"/>
      <c r="F221" s="167"/>
      <c r="G221"/>
      <c r="H221"/>
      <c r="I221"/>
      <c r="J221"/>
      <c r="K221"/>
      <c r="L221"/>
      <c r="M221"/>
      <c r="N221"/>
      <c r="O221"/>
    </row>
    <row r="222" spans="1:15" x14ac:dyDescent="0.2">
      <c r="A222" s="5" t="s">
        <v>196</v>
      </c>
      <c r="C222" s="167"/>
      <c r="D222" s="167"/>
      <c r="F222" s="167"/>
      <c r="G222"/>
      <c r="H222"/>
      <c r="I222"/>
      <c r="J222"/>
      <c r="K222"/>
      <c r="L222"/>
      <c r="M222"/>
      <c r="N222"/>
      <c r="O222"/>
    </row>
    <row r="223" spans="1:15" x14ac:dyDescent="0.2">
      <c r="A223" s="5" t="s">
        <v>194</v>
      </c>
      <c r="G223"/>
      <c r="H223"/>
      <c r="I223"/>
      <c r="J223"/>
      <c r="K223"/>
      <c r="L223"/>
      <c r="M223"/>
      <c r="N223"/>
      <c r="O223"/>
    </row>
    <row r="224" spans="1:15" x14ac:dyDescent="0.2">
      <c r="A224" s="5" t="s">
        <v>195</v>
      </c>
      <c r="G224"/>
      <c r="H224"/>
      <c r="I224"/>
      <c r="J224"/>
      <c r="K224"/>
      <c r="L224"/>
      <c r="M224"/>
      <c r="N224"/>
      <c r="O224"/>
    </row>
    <row r="225" spans="1:15" x14ac:dyDescent="0.2">
      <c r="G225"/>
      <c r="H225"/>
      <c r="I225"/>
      <c r="J225"/>
      <c r="K225"/>
      <c r="L225"/>
      <c r="M225"/>
      <c r="N225"/>
      <c r="O225"/>
    </row>
    <row r="226" spans="1:15" x14ac:dyDescent="0.2">
      <c r="A226" s="5" t="s">
        <v>196</v>
      </c>
      <c r="C226" s="167"/>
      <c r="D226" s="167"/>
      <c r="F226" s="167"/>
      <c r="G226"/>
      <c r="H226"/>
      <c r="I226"/>
      <c r="J226"/>
      <c r="K226"/>
      <c r="L226"/>
      <c r="M226"/>
      <c r="N226"/>
      <c r="O226"/>
    </row>
    <row r="227" spans="1:15" x14ac:dyDescent="0.2">
      <c r="G227"/>
      <c r="H227"/>
      <c r="I227"/>
      <c r="J227"/>
      <c r="K227"/>
      <c r="L227"/>
      <c r="M227"/>
      <c r="N227"/>
      <c r="O227"/>
    </row>
    <row r="228" spans="1:15" x14ac:dyDescent="0.2">
      <c r="G228"/>
      <c r="H228"/>
      <c r="I228"/>
      <c r="J228"/>
      <c r="K228"/>
      <c r="L228"/>
      <c r="M228"/>
      <c r="N228"/>
      <c r="O228"/>
    </row>
    <row r="229" spans="1:15" x14ac:dyDescent="0.2">
      <c r="G229"/>
      <c r="H229"/>
      <c r="I229"/>
      <c r="J229"/>
      <c r="K229"/>
      <c r="L229"/>
      <c r="M229"/>
      <c r="N229"/>
      <c r="O229"/>
    </row>
    <row r="230" spans="1:15" x14ac:dyDescent="0.2">
      <c r="G230"/>
      <c r="H230"/>
      <c r="I230"/>
      <c r="J230"/>
      <c r="K230"/>
      <c r="L230"/>
      <c r="M230"/>
      <c r="N230"/>
      <c r="O230"/>
    </row>
    <row r="231" spans="1:15" x14ac:dyDescent="0.2">
      <c r="G231"/>
      <c r="H231"/>
      <c r="I231"/>
      <c r="J231"/>
      <c r="K231"/>
      <c r="L231"/>
      <c r="M231"/>
      <c r="N231"/>
      <c r="O231"/>
    </row>
    <row r="232" spans="1:15" x14ac:dyDescent="0.2">
      <c r="G232"/>
      <c r="H232"/>
      <c r="I232"/>
      <c r="J232"/>
      <c r="K232"/>
      <c r="L232"/>
      <c r="M232"/>
      <c r="N232"/>
      <c r="O232"/>
    </row>
    <row r="233" spans="1:15" x14ac:dyDescent="0.2">
      <c r="G233"/>
      <c r="H233"/>
      <c r="I233"/>
      <c r="J233"/>
      <c r="K233"/>
      <c r="L233"/>
      <c r="M233"/>
      <c r="N233"/>
      <c r="O233"/>
    </row>
    <row r="234" spans="1:15" x14ac:dyDescent="0.2">
      <c r="G234"/>
      <c r="H234"/>
      <c r="I234"/>
      <c r="J234"/>
      <c r="K234"/>
      <c r="L234"/>
      <c r="M234"/>
      <c r="N234"/>
      <c r="O234"/>
    </row>
    <row r="235" spans="1:15" x14ac:dyDescent="0.2">
      <c r="G235"/>
      <c r="H235"/>
      <c r="I235"/>
      <c r="J235"/>
      <c r="K235"/>
      <c r="L235"/>
      <c r="M235"/>
      <c r="N235"/>
      <c r="O235"/>
    </row>
    <row r="236" spans="1:15" x14ac:dyDescent="0.2">
      <c r="G236"/>
      <c r="H236"/>
      <c r="I236"/>
      <c r="J236"/>
      <c r="K236"/>
      <c r="L236"/>
      <c r="M236"/>
      <c r="N236"/>
      <c r="O236"/>
    </row>
    <row r="237" spans="1:15" x14ac:dyDescent="0.2">
      <c r="G237"/>
      <c r="H237"/>
      <c r="I237"/>
      <c r="J237"/>
      <c r="K237"/>
      <c r="L237"/>
      <c r="M237"/>
      <c r="N237"/>
      <c r="O237"/>
    </row>
    <row r="238" spans="1:15" x14ac:dyDescent="0.2">
      <c r="G238"/>
      <c r="H238"/>
      <c r="I238"/>
      <c r="J238"/>
      <c r="K238"/>
      <c r="L238"/>
      <c r="M238"/>
      <c r="N238"/>
      <c r="O238"/>
    </row>
    <row r="239" spans="1:15" x14ac:dyDescent="0.2">
      <c r="G239"/>
      <c r="H239"/>
      <c r="I239"/>
      <c r="J239"/>
      <c r="K239"/>
      <c r="L239"/>
      <c r="M239"/>
      <c r="N239"/>
      <c r="O239"/>
    </row>
    <row r="240" spans="1:15" x14ac:dyDescent="0.2">
      <c r="G240"/>
      <c r="H240"/>
      <c r="I240"/>
      <c r="J240"/>
      <c r="K240"/>
      <c r="L240"/>
      <c r="M240"/>
      <c r="N240"/>
      <c r="O240"/>
    </row>
    <row r="241" spans="7:15" x14ac:dyDescent="0.2">
      <c r="G241"/>
      <c r="H241"/>
      <c r="I241"/>
      <c r="J241"/>
      <c r="K241"/>
      <c r="L241"/>
      <c r="M241"/>
      <c r="N241"/>
      <c r="O241"/>
    </row>
    <row r="242" spans="7:15" x14ac:dyDescent="0.2">
      <c r="G242"/>
    </row>
    <row r="243" spans="7:15" x14ac:dyDescent="0.2">
      <c r="G243"/>
    </row>
    <row r="244" spans="7:15" x14ac:dyDescent="0.2">
      <c r="G244"/>
    </row>
    <row r="245" spans="7:15" x14ac:dyDescent="0.2">
      <c r="G245"/>
    </row>
    <row r="246" spans="7:15" x14ac:dyDescent="0.2">
      <c r="G246"/>
    </row>
  </sheetData>
  <phoneticPr fontId="25" type="noConversion"/>
  <pageMargins left="0.78740157499999996" right="0.78740157499999996" top="0.984251969" bottom="0.984251969" header="0.49212598499999999" footer="0.49212598499999999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U700"/>
  <sheetViews>
    <sheetView topLeftCell="A4" workbookViewId="0">
      <selection activeCell="B17" sqref="B17"/>
    </sheetView>
  </sheetViews>
  <sheetFormatPr defaultRowHeight="12.75" x14ac:dyDescent="0.2"/>
  <cols>
    <col min="1" max="1" width="81.140625" style="614" customWidth="1"/>
    <col min="2" max="2" width="9.42578125" style="614" bestFit="1" customWidth="1"/>
    <col min="3" max="3" width="10.140625" style="614" bestFit="1" customWidth="1"/>
    <col min="4" max="4" width="14.7109375" style="614" bestFit="1" customWidth="1"/>
    <col min="5" max="5" width="10.140625" style="614" customWidth="1"/>
    <col min="6" max="6" width="81.140625" style="614" customWidth="1"/>
    <col min="7" max="7" width="15.140625" style="614" customWidth="1"/>
    <col min="8" max="8" width="8.85546875" style="614" customWidth="1"/>
    <col min="9" max="9" width="14.7109375" style="614" customWidth="1"/>
    <col min="10" max="11" width="14.7109375" style="614" bestFit="1" customWidth="1"/>
    <col min="12" max="12" width="9.140625" style="614"/>
    <col min="13" max="13" width="19.140625" style="614" bestFit="1" customWidth="1"/>
    <col min="14" max="14" width="10" style="614" bestFit="1" customWidth="1"/>
    <col min="15" max="16" width="10" style="614" customWidth="1"/>
    <col min="17" max="17" width="17.140625" style="614" customWidth="1"/>
    <col min="18" max="18" width="12.28515625" style="614" bestFit="1" customWidth="1"/>
    <col min="19" max="19" width="57.7109375" style="614" customWidth="1"/>
    <col min="20" max="16384" width="9.140625" style="614"/>
  </cols>
  <sheetData>
    <row r="1" spans="1:21" x14ac:dyDescent="0.2">
      <c r="A1" s="614" t="s">
        <v>308</v>
      </c>
      <c r="K1"/>
      <c r="M1" s="747" t="s">
        <v>309</v>
      </c>
      <c r="N1" s="747"/>
      <c r="O1" s="747" t="s">
        <v>310</v>
      </c>
      <c r="P1" s="747"/>
      <c r="Q1" s="747" t="s">
        <v>3</v>
      </c>
      <c r="R1" s="747"/>
      <c r="T1" s="615" t="str">
        <f>IF(ISERROR(IF(#REF!="Taxa SELIC*",RIGHT(LEFT(#REF!,13),6),"")+1-1),"",(IF(#REF!="Taxa SELIC*",RIGHT(LEFT(#REF!,13),6),"")+1-1))</f>
        <v/>
      </c>
      <c r="U1" s="614" t="str">
        <f t="shared" ref="U1:U7" si="0">IF((LEFT(H1,7)="venda ="),RIGHT(H1,6)+1-1,"")</f>
        <v/>
      </c>
    </row>
    <row r="2" spans="1:21" x14ac:dyDescent="0.2">
      <c r="K2"/>
      <c r="M2" s="616" t="str">
        <f>IF(ISERROR(IF(#REF!="Índice de taxa média de depósitos interfinanceiros de um dia - IDI",RIGHT(LEFT(A2,13),10),"")+1-1),"",IF(#REF!="Índice de taxa média de depósitos interfinanceiros de um dia - IDI",RIGHT(LEFT(A2,13),10),"")+1-1)</f>
        <v/>
      </c>
      <c r="N2" s="614" t="str">
        <f>IF(ISERROR(IF(#REF!="Índice de taxa média de depósitos interfinanceiros de um dia - IDI",LEFT(RIGHT(A2,19),11),"")+1-1),"",(IF(#REF!="Índice de taxa média de depósitos interfinanceiros de um dia - IDI",LEFT(RIGHT(A2,19),11),"")+1-1))</f>
        <v/>
      </c>
      <c r="O2" s="616" t="str">
        <f>IF(ISERROR(IF(#REF!="Índice de taxa média de depósitos interfinanceiros de um dia - IDI",RIGHT(LEFT(A2,13),10),"")+1-1),"",IF(#REF!="Índice de taxa média de depósitos interfinanceiros de um dia - IDI",RIGHT(LEFT(A2,13),10),"")+1-1)</f>
        <v/>
      </c>
      <c r="P2" s="614" t="str">
        <f>IF(ISERROR(IF(#REF!="Índice de taxa média de depósitos interfinanceiros de um dia - IDI",LEFT(RIGHT(A2,19),11),"")+1-1),"",(IF(#REF!="Índice de taxa média de depósitos interfinanceiros de um dia - IDI",LEFT(RIGHT(A2,19),11),"")+1-1))</f>
        <v/>
      </c>
      <c r="Q2" s="616" t="str">
        <f>IF(ISERROR(IF(#REF!="Taxa Referencial de DI / Cetip",RIGHT(A2,10),"")+1-1),"",(IF(#REF!="Taxa Referencial de DI / Cetip",RIGHT(A2,10),"")+1-1))</f>
        <v/>
      </c>
      <c r="R2" s="615">
        <f>SUM(R3:R368)</f>
        <v>0.14139999999999997</v>
      </c>
      <c r="S2" s="616" t="str">
        <f>IF(ISERROR(IF(#REF!="Taxa SELIC*",RIGHT(A2,11),"")+1-1),"",(IF(#REF!="Taxa SELIC*",RIGHT(A2,11),"")+1-1))</f>
        <v/>
      </c>
      <c r="T2" s="615">
        <f>SUM(T3:T368)</f>
        <v>0.14149999999999996</v>
      </c>
      <c r="U2" s="617" t="e">
        <f>SUM(U3:U368)</f>
        <v>#REF!</v>
      </c>
    </row>
    <row r="3" spans="1:21" x14ac:dyDescent="0.2">
      <c r="A3" s="614" t="s">
        <v>311</v>
      </c>
      <c r="K3"/>
      <c r="M3" s="616" t="str">
        <f t="shared" ref="M3:M66" si="1">IF(ISERROR(IF(A1="Índice de taxa média de depósitos interfinanceiros de um dia - IDI",RIGHT(LEFT(A3,13),10),"")+1-1),"",IF(A1="Índice de taxa média de depósitos interfinanceiros de um dia - IDI",RIGHT(LEFT(A3,13),10),"")+1-1)</f>
        <v/>
      </c>
      <c r="N3" s="614" t="str">
        <f t="shared" ref="N3:N66" si="2">IF(ISERROR(IF(A1="Índice de taxa média de depósitos interfinanceiros de um dia - IDI",LEFT(RIGHT(A3,19),11),"")+1-1),"",(IF(A1="Índice de taxa média de depósitos interfinanceiros de um dia - IDI",LEFT(RIGHT(A3,19),11),"")+1-1))</f>
        <v/>
      </c>
      <c r="O3" s="616" t="str">
        <f>IF(ISERROR(IF(#REF!="Índice de taxa média de depósitos interfinanceiros de um dia - IDI",RIGHT(LEFT(A3,13),10),"")+1-1),"",IF(#REF!="Índice de taxa média de depósitos interfinanceiros de um dia - IDI",RIGHT(LEFT(A3,13),10),"")+1-1)</f>
        <v/>
      </c>
      <c r="P3" s="614" t="str">
        <f>IF(ISERROR(IF(#REF!="Índice de taxa média de depósitos interfinanceiros de um dia - IDI",LEFT(RIGHT(A3,19),11),"")+1-1),"",(IF(#REF!="Índice de taxa média de depósitos interfinanceiros de um dia - IDI",LEFT(RIGHT(A3,19),11),"")+1-1))</f>
        <v/>
      </c>
      <c r="Q3" s="616" t="str">
        <f t="shared" ref="Q3:Q66" si="3">IF(ISERROR(IF(A1="Taxa Referencial de DI / Cetip",RIGHT(A3,10),"")+1-1),"",(IF(A1="Taxa Referencial de DI / Cetip",RIGHT(A3,10),"")+1-1))</f>
        <v/>
      </c>
      <c r="R3" s="615" t="str">
        <f t="shared" ref="R3:R66" si="4">IF(ISERROR(IF(A1="Taxa Referencial de DI / Cetip",RIGHT(LEFT(A2,15),6),"")+1-1),"",(IF(A1="Taxa Referencial de DI / Cetip",RIGHT(LEFT(A2,15),6),"")+1-1))</f>
        <v/>
      </c>
      <c r="S3" s="616" t="str">
        <f t="shared" ref="S3:S66" si="5">IF(ISERROR(IF(A1="Taxa SELIC*",RIGHT(A3,11),"")+1-1),"",(IF(A1="Taxa SELIC*",RIGHT(A3,11),"")+1-1))</f>
        <v/>
      </c>
      <c r="T3" s="615" t="str">
        <f t="shared" ref="T3:T66" si="6">IF(ISERROR(IF(A1="Taxa SELIC*",RIGHT(LEFT(A2,13),6),"")+1-1),"",(IF(A1="Taxa SELIC*",RIGHT(LEFT(A2,13),6),"")+1-1))</f>
        <v/>
      </c>
      <c r="U3" s="614" t="str">
        <f t="shared" si="0"/>
        <v/>
      </c>
    </row>
    <row r="4" spans="1:21" x14ac:dyDescent="0.2">
      <c r="K4"/>
      <c r="M4" s="616" t="str">
        <f t="shared" si="1"/>
        <v/>
      </c>
      <c r="N4" s="614" t="str">
        <f t="shared" si="2"/>
        <v/>
      </c>
      <c r="O4" s="616" t="str">
        <f>IF(ISERROR(IF(#REF!="Índice de taxa média de depósitos interfinanceiros de um dia - IDI",RIGHT(LEFT(A4,13),10),"")+1-1),"",IF(#REF!="Índice de taxa média de depósitos interfinanceiros de um dia - IDI",RIGHT(LEFT(A4,13),10),"")+1-1)</f>
        <v/>
      </c>
      <c r="P4" s="614" t="str">
        <f>IF(ISERROR(IF(#REF!="Índice de taxa média de depósitos interfinanceiros de um dia - IDI",LEFT(RIGHT(A4,19),11),"")+1-1),"",(IF(#REF!="Índice de taxa média de depósitos interfinanceiros de um dia - IDI",LEFT(RIGHT(A4,19),11),"")+1-1))</f>
        <v/>
      </c>
      <c r="Q4" s="616" t="str">
        <f t="shared" si="3"/>
        <v/>
      </c>
      <c r="R4" s="615" t="str">
        <f t="shared" si="4"/>
        <v/>
      </c>
      <c r="S4" s="616" t="str">
        <f t="shared" si="5"/>
        <v/>
      </c>
      <c r="T4" s="615" t="str">
        <f t="shared" si="6"/>
        <v/>
      </c>
      <c r="U4" s="614" t="str">
        <f t="shared" si="0"/>
        <v/>
      </c>
    </row>
    <row r="5" spans="1:21" x14ac:dyDescent="0.2">
      <c r="A5" s="614" t="s">
        <v>387</v>
      </c>
      <c r="K5"/>
      <c r="M5" s="616" t="str">
        <f t="shared" si="1"/>
        <v/>
      </c>
      <c r="N5" s="614" t="str">
        <f t="shared" si="2"/>
        <v/>
      </c>
      <c r="O5" s="616" t="str">
        <f>IF(ISERROR(IF(#REF!="Índice de taxa média de depósitos interfinanceiros de um dia - IDI",RIGHT(LEFT(A5,13),10),"")+1-1),"",IF(#REF!="Índice de taxa média de depósitos interfinanceiros de um dia - IDI",RIGHT(LEFT(A5,13),10),"")+1-1)</f>
        <v/>
      </c>
      <c r="P5" s="614" t="str">
        <f>IF(ISERROR(IF(#REF!="Índice de taxa média de depósitos interfinanceiros de um dia - IDI",LEFT(RIGHT(A5,19),11),"")+1-1),"",(IF(#REF!="Índice de taxa média de depósitos interfinanceiros de um dia - IDI",LEFT(RIGHT(A5,19),11),"")+1-1))</f>
        <v/>
      </c>
      <c r="Q5" s="616" t="str">
        <f t="shared" si="3"/>
        <v/>
      </c>
      <c r="R5" s="615" t="str">
        <f t="shared" si="4"/>
        <v/>
      </c>
      <c r="S5" s="616" t="str">
        <f t="shared" si="5"/>
        <v/>
      </c>
      <c r="T5" s="615" t="str">
        <f t="shared" si="6"/>
        <v/>
      </c>
      <c r="U5" s="614" t="str">
        <f t="shared" si="0"/>
        <v/>
      </c>
    </row>
    <row r="6" spans="1:21" x14ac:dyDescent="0.2">
      <c r="A6" s="614" t="s">
        <v>312</v>
      </c>
      <c r="F6" s="614" t="s">
        <v>313</v>
      </c>
      <c r="K6"/>
      <c r="M6" s="616" t="str">
        <f t="shared" si="1"/>
        <v/>
      </c>
      <c r="N6" s="614" t="str">
        <f t="shared" si="2"/>
        <v/>
      </c>
      <c r="O6" s="616" t="str">
        <f t="shared" ref="O6:O69" si="7">IF(ISERROR(IF(A1="Índice de taxa média de depósitos interfinanceiros de um dia - IDI",RIGHT(LEFT(A6,13),10),"")+1-1),"",IF(A1="Índice de taxa média de depósitos interfinanceiros de um dia - IDI",RIGHT(LEFT(A6,13),10),"")+1-1)</f>
        <v/>
      </c>
      <c r="P6" s="614" t="str">
        <f t="shared" ref="P6:P69" si="8">IF(ISERROR(IF(A1="Índice de taxa média de depósitos interfinanceiros de um dia - IDI",LEFT(RIGHT(A6,19),11),"")+1-1),"",(IF(A1="Índice de taxa média de depósitos interfinanceiros de um dia - IDI",LEFT(RIGHT(A6,19),11),"")+1-1))</f>
        <v/>
      </c>
      <c r="Q6" s="616" t="str">
        <f t="shared" si="3"/>
        <v/>
      </c>
      <c r="R6" s="615" t="str">
        <f t="shared" si="4"/>
        <v/>
      </c>
      <c r="S6" s="616" t="str">
        <f t="shared" si="5"/>
        <v/>
      </c>
      <c r="T6" s="615" t="str">
        <f t="shared" si="6"/>
        <v/>
      </c>
      <c r="U6" s="614" t="str">
        <f t="shared" si="0"/>
        <v/>
      </c>
    </row>
    <row r="7" spans="1:21" x14ac:dyDescent="0.2">
      <c r="A7" s="614" t="s">
        <v>359</v>
      </c>
      <c r="F7" s="614" t="s">
        <v>314</v>
      </c>
      <c r="G7" s="614" t="s">
        <v>401</v>
      </c>
      <c r="K7"/>
      <c r="M7" s="616" t="str">
        <f t="shared" si="1"/>
        <v/>
      </c>
      <c r="N7" s="614" t="str">
        <f t="shared" si="2"/>
        <v/>
      </c>
      <c r="O7" s="616" t="str">
        <f t="shared" si="7"/>
        <v/>
      </c>
      <c r="P7" s="614" t="str">
        <f t="shared" si="8"/>
        <v/>
      </c>
      <c r="Q7" s="616" t="str">
        <f t="shared" si="3"/>
        <v/>
      </c>
      <c r="R7" s="615" t="str">
        <f t="shared" si="4"/>
        <v/>
      </c>
      <c r="S7" s="616" t="str">
        <f t="shared" si="5"/>
        <v/>
      </c>
      <c r="T7" s="615" t="str">
        <f t="shared" si="6"/>
        <v/>
      </c>
      <c r="U7" s="614" t="str">
        <f t="shared" si="0"/>
        <v/>
      </c>
    </row>
    <row r="8" spans="1:21" x14ac:dyDescent="0.2">
      <c r="A8" s="614" t="s">
        <v>388</v>
      </c>
      <c r="G8" s="614" t="s">
        <v>402</v>
      </c>
      <c r="K8"/>
      <c r="M8" s="616" t="str">
        <f t="shared" si="1"/>
        <v/>
      </c>
      <c r="N8" s="614" t="str">
        <f t="shared" si="2"/>
        <v/>
      </c>
      <c r="O8" s="616" t="str">
        <f t="shared" si="7"/>
        <v/>
      </c>
      <c r="P8" s="614" t="str">
        <f t="shared" si="8"/>
        <v/>
      </c>
      <c r="Q8" s="616" t="str">
        <f t="shared" si="3"/>
        <v/>
      </c>
      <c r="R8" s="615" t="str">
        <f t="shared" si="4"/>
        <v/>
      </c>
      <c r="S8" s="616" t="str">
        <f t="shared" si="5"/>
        <v/>
      </c>
      <c r="T8" s="615">
        <f t="shared" si="6"/>
        <v>0.14149999999999996</v>
      </c>
      <c r="U8" s="614">
        <f>IF(ISERROR(Indicadores!R2),_xll.BDP("BZDIOVRA Index","PX_LAST")/100,Indicadores!R2)</f>
        <v>0.14139999999999997</v>
      </c>
    </row>
    <row r="9" spans="1:21" x14ac:dyDescent="0.2">
      <c r="G9" s="614" t="s">
        <v>403</v>
      </c>
      <c r="K9"/>
      <c r="M9" s="616" t="str">
        <f t="shared" si="1"/>
        <v/>
      </c>
      <c r="N9" s="614" t="str">
        <f t="shared" si="2"/>
        <v/>
      </c>
      <c r="O9" s="616" t="str">
        <f t="shared" si="7"/>
        <v/>
      </c>
      <c r="P9" s="614" t="str">
        <f t="shared" si="8"/>
        <v/>
      </c>
      <c r="Q9" s="616" t="str">
        <f t="shared" si="3"/>
        <v/>
      </c>
      <c r="R9" s="615" t="str">
        <f t="shared" si="4"/>
        <v/>
      </c>
      <c r="S9" s="616" t="str">
        <f t="shared" si="5"/>
        <v/>
      </c>
      <c r="T9" s="615" t="str">
        <f t="shared" si="6"/>
        <v/>
      </c>
      <c r="U9" s="614" t="str">
        <f t="shared" ref="U9:U72" si="9">IF((LEFT(H9,7)="venda ="),RIGHT(H9,6)+1-1,"")</f>
        <v/>
      </c>
    </row>
    <row r="10" spans="1:21" x14ac:dyDescent="0.2">
      <c r="A10" s="614" t="s">
        <v>315</v>
      </c>
      <c r="F10" s="614" t="s">
        <v>404</v>
      </c>
      <c r="K10"/>
      <c r="M10" s="616" t="str">
        <f t="shared" si="1"/>
        <v/>
      </c>
      <c r="N10" s="614" t="str">
        <f t="shared" si="2"/>
        <v/>
      </c>
      <c r="O10" s="616" t="str">
        <f t="shared" si="7"/>
        <v/>
      </c>
      <c r="P10" s="614" t="str">
        <f t="shared" si="8"/>
        <v/>
      </c>
      <c r="Q10" s="616" t="str">
        <f t="shared" si="3"/>
        <v/>
      </c>
      <c r="R10" s="615" t="str">
        <f t="shared" si="4"/>
        <v/>
      </c>
      <c r="S10" s="616" t="str">
        <f t="shared" si="5"/>
        <v/>
      </c>
      <c r="T10" s="615" t="str">
        <f t="shared" si="6"/>
        <v/>
      </c>
      <c r="U10" s="614" t="str">
        <f t="shared" si="9"/>
        <v/>
      </c>
    </row>
    <row r="11" spans="1:21" x14ac:dyDescent="0.2">
      <c r="A11" s="618" t="s">
        <v>366</v>
      </c>
      <c r="K11"/>
      <c r="M11" s="616" t="str">
        <f t="shared" si="1"/>
        <v/>
      </c>
      <c r="N11" s="614" t="str">
        <f t="shared" si="2"/>
        <v/>
      </c>
      <c r="O11" s="616" t="str">
        <f t="shared" si="7"/>
        <v/>
      </c>
      <c r="P11" s="614" t="str">
        <f t="shared" si="8"/>
        <v/>
      </c>
      <c r="Q11" s="616" t="str">
        <f t="shared" si="3"/>
        <v/>
      </c>
      <c r="R11" s="615" t="str">
        <f t="shared" si="4"/>
        <v/>
      </c>
      <c r="S11" s="616" t="str">
        <f t="shared" si="5"/>
        <v/>
      </c>
      <c r="T11" s="615" t="str">
        <f t="shared" si="6"/>
        <v/>
      </c>
      <c r="U11" s="614" t="str">
        <f t="shared" si="9"/>
        <v/>
      </c>
    </row>
    <row r="12" spans="1:21" x14ac:dyDescent="0.2">
      <c r="A12" s="614" t="s">
        <v>389</v>
      </c>
      <c r="F12" s="614" t="s">
        <v>316</v>
      </c>
      <c r="K12"/>
      <c r="M12" s="616" t="str">
        <f t="shared" si="1"/>
        <v/>
      </c>
      <c r="N12" s="614" t="str">
        <f t="shared" si="2"/>
        <v/>
      </c>
      <c r="O12" s="616" t="str">
        <f t="shared" si="7"/>
        <v/>
      </c>
      <c r="P12" s="614" t="str">
        <f t="shared" si="8"/>
        <v/>
      </c>
      <c r="Q12" s="616">
        <f t="shared" si="3"/>
        <v>42338</v>
      </c>
      <c r="R12" s="615">
        <f t="shared" si="4"/>
        <v>0.14139999999999997</v>
      </c>
      <c r="S12" s="616" t="str">
        <f t="shared" si="5"/>
        <v/>
      </c>
      <c r="T12" s="615" t="str">
        <f t="shared" si="6"/>
        <v/>
      </c>
      <c r="U12" s="614" t="str">
        <f t="shared" si="9"/>
        <v/>
      </c>
    </row>
    <row r="13" spans="1:21" x14ac:dyDescent="0.2">
      <c r="F13" s="614" t="s">
        <v>405</v>
      </c>
      <c r="K13"/>
      <c r="M13" s="616" t="str">
        <f t="shared" si="1"/>
        <v/>
      </c>
      <c r="N13" s="614" t="str">
        <f t="shared" si="2"/>
        <v/>
      </c>
      <c r="O13" s="616" t="str">
        <f t="shared" si="7"/>
        <v/>
      </c>
      <c r="P13" s="614" t="str">
        <f t="shared" si="8"/>
        <v/>
      </c>
      <c r="Q13" s="616" t="str">
        <f t="shared" si="3"/>
        <v/>
      </c>
      <c r="R13" s="615" t="str">
        <f t="shared" si="4"/>
        <v/>
      </c>
      <c r="S13" s="616" t="str">
        <f t="shared" si="5"/>
        <v/>
      </c>
      <c r="T13" s="615" t="str">
        <f t="shared" si="6"/>
        <v/>
      </c>
      <c r="U13" s="614" t="str">
        <f t="shared" si="9"/>
        <v/>
      </c>
    </row>
    <row r="14" spans="1:21" x14ac:dyDescent="0.2">
      <c r="A14" s="614" t="s">
        <v>317</v>
      </c>
      <c r="F14" s="614" t="s">
        <v>406</v>
      </c>
      <c r="K14"/>
      <c r="M14" s="616" t="str">
        <f t="shared" si="1"/>
        <v/>
      </c>
      <c r="N14" s="614" t="str">
        <f t="shared" si="2"/>
        <v/>
      </c>
      <c r="O14" s="616" t="str">
        <f t="shared" si="7"/>
        <v/>
      </c>
      <c r="P14" s="614" t="str">
        <f t="shared" si="8"/>
        <v/>
      </c>
      <c r="Q14" s="616" t="str">
        <f t="shared" si="3"/>
        <v/>
      </c>
      <c r="R14" s="615" t="str">
        <f t="shared" si="4"/>
        <v/>
      </c>
      <c r="S14" s="616" t="str">
        <f t="shared" si="5"/>
        <v/>
      </c>
      <c r="T14" s="615" t="str">
        <f t="shared" si="6"/>
        <v/>
      </c>
      <c r="U14" s="614" t="str">
        <f t="shared" si="9"/>
        <v/>
      </c>
    </row>
    <row r="15" spans="1:21" x14ac:dyDescent="0.2">
      <c r="A15" s="614" t="s">
        <v>318</v>
      </c>
      <c r="F15" s="614" t="s">
        <v>319</v>
      </c>
      <c r="K15"/>
      <c r="M15" s="616" t="str">
        <f t="shared" si="1"/>
        <v/>
      </c>
      <c r="N15" s="614" t="str">
        <f t="shared" si="2"/>
        <v/>
      </c>
      <c r="O15" s="616" t="str">
        <f t="shared" si="7"/>
        <v/>
      </c>
      <c r="P15" s="614" t="str">
        <f t="shared" si="8"/>
        <v/>
      </c>
      <c r="Q15" s="616" t="str">
        <f t="shared" si="3"/>
        <v/>
      </c>
      <c r="R15" s="615" t="str">
        <f t="shared" si="4"/>
        <v/>
      </c>
      <c r="S15" s="616" t="str">
        <f t="shared" si="5"/>
        <v/>
      </c>
      <c r="T15" s="615" t="str">
        <f t="shared" si="6"/>
        <v/>
      </c>
      <c r="U15" s="614" t="str">
        <f t="shared" si="9"/>
        <v/>
      </c>
    </row>
    <row r="16" spans="1:21" x14ac:dyDescent="0.2">
      <c r="A16" s="614" t="s">
        <v>390</v>
      </c>
      <c r="F16" s="614" t="s">
        <v>367</v>
      </c>
      <c r="K16"/>
      <c r="M16" s="616">
        <f t="shared" si="1"/>
        <v>42338</v>
      </c>
      <c r="N16" s="614">
        <f t="shared" si="2"/>
        <v>481323.68</v>
      </c>
      <c r="O16" s="616" t="str">
        <f t="shared" si="7"/>
        <v/>
      </c>
      <c r="P16" s="614" t="str">
        <f t="shared" si="8"/>
        <v/>
      </c>
      <c r="Q16" s="616" t="str">
        <f t="shared" si="3"/>
        <v/>
      </c>
      <c r="R16" s="615" t="str">
        <f t="shared" si="4"/>
        <v/>
      </c>
      <c r="S16" s="616" t="str">
        <f t="shared" si="5"/>
        <v/>
      </c>
      <c r="T16" s="615" t="str">
        <f t="shared" si="6"/>
        <v/>
      </c>
      <c r="U16" s="614" t="str">
        <f t="shared" si="9"/>
        <v/>
      </c>
    </row>
    <row r="17" spans="1:21" x14ac:dyDescent="0.2">
      <c r="A17" s="614" t="s">
        <v>320</v>
      </c>
      <c r="F17" s="614" t="s">
        <v>321</v>
      </c>
      <c r="K17"/>
      <c r="M17" s="616" t="str">
        <f t="shared" si="1"/>
        <v/>
      </c>
      <c r="N17" s="614" t="str">
        <f t="shared" si="2"/>
        <v/>
      </c>
      <c r="O17" s="616" t="str">
        <f t="shared" si="7"/>
        <v/>
      </c>
      <c r="P17" s="614" t="str">
        <f t="shared" si="8"/>
        <v/>
      </c>
      <c r="Q17" s="616" t="str">
        <f t="shared" si="3"/>
        <v/>
      </c>
      <c r="R17" s="615" t="str">
        <f t="shared" si="4"/>
        <v/>
      </c>
      <c r="S17" s="616" t="str">
        <f t="shared" si="5"/>
        <v/>
      </c>
      <c r="T17" s="615" t="str">
        <f t="shared" si="6"/>
        <v/>
      </c>
      <c r="U17" s="614" t="str">
        <f t="shared" si="9"/>
        <v/>
      </c>
    </row>
    <row r="18" spans="1:21" x14ac:dyDescent="0.2">
      <c r="A18" s="614" t="s">
        <v>391</v>
      </c>
      <c r="F18" s="614" t="s">
        <v>385</v>
      </c>
      <c r="K18"/>
      <c r="M18" s="616" t="str">
        <f t="shared" si="1"/>
        <v/>
      </c>
      <c r="N18" s="614" t="str">
        <f t="shared" si="2"/>
        <v/>
      </c>
      <c r="O18" s="616" t="str">
        <f t="shared" si="7"/>
        <v/>
      </c>
      <c r="P18" s="614" t="str">
        <f t="shared" si="8"/>
        <v/>
      </c>
      <c r="Q18" s="616" t="str">
        <f t="shared" si="3"/>
        <v/>
      </c>
      <c r="R18" s="615" t="str">
        <f t="shared" si="4"/>
        <v/>
      </c>
      <c r="S18" s="616" t="str">
        <f t="shared" si="5"/>
        <v/>
      </c>
      <c r="T18" s="615" t="str">
        <f t="shared" si="6"/>
        <v/>
      </c>
      <c r="U18" s="614" t="str">
        <f t="shared" si="9"/>
        <v/>
      </c>
    </row>
    <row r="19" spans="1:21" x14ac:dyDescent="0.2">
      <c r="F19" s="614" t="s">
        <v>407</v>
      </c>
      <c r="K19"/>
      <c r="M19" s="616" t="str">
        <f t="shared" si="1"/>
        <v/>
      </c>
      <c r="N19" s="614" t="str">
        <f t="shared" si="2"/>
        <v/>
      </c>
      <c r="O19" s="616" t="str">
        <f t="shared" si="7"/>
        <v/>
      </c>
      <c r="P19" s="614" t="str">
        <f t="shared" si="8"/>
        <v/>
      </c>
      <c r="Q19" s="616" t="str">
        <f t="shared" si="3"/>
        <v/>
      </c>
      <c r="R19" s="615" t="str">
        <f t="shared" si="4"/>
        <v/>
      </c>
      <c r="S19" s="616" t="str">
        <f t="shared" si="5"/>
        <v/>
      </c>
      <c r="T19" s="615" t="str">
        <f t="shared" si="6"/>
        <v/>
      </c>
      <c r="U19" s="614" t="str">
        <f t="shared" si="9"/>
        <v/>
      </c>
    </row>
    <row r="20" spans="1:21" x14ac:dyDescent="0.2">
      <c r="A20" s="614" t="s">
        <v>322</v>
      </c>
      <c r="K20"/>
      <c r="M20" s="616" t="str">
        <f t="shared" si="1"/>
        <v/>
      </c>
      <c r="N20" s="614" t="str">
        <f t="shared" si="2"/>
        <v/>
      </c>
      <c r="O20" s="616" t="str">
        <f t="shared" si="7"/>
        <v/>
      </c>
      <c r="P20" s="614" t="str">
        <f t="shared" si="8"/>
        <v/>
      </c>
      <c r="Q20" s="616" t="str">
        <f t="shared" si="3"/>
        <v/>
      </c>
      <c r="R20" s="615" t="str">
        <f t="shared" si="4"/>
        <v/>
      </c>
      <c r="S20" s="616" t="str">
        <f t="shared" si="5"/>
        <v/>
      </c>
      <c r="T20" s="615" t="str">
        <f t="shared" si="6"/>
        <v/>
      </c>
      <c r="U20" s="614" t="str">
        <f t="shared" si="9"/>
        <v/>
      </c>
    </row>
    <row r="21" spans="1:21" x14ac:dyDescent="0.2">
      <c r="A21" s="614" t="s">
        <v>392</v>
      </c>
      <c r="F21" s="614" t="s">
        <v>323</v>
      </c>
      <c r="K21"/>
      <c r="M21" s="616" t="str">
        <f t="shared" si="1"/>
        <v/>
      </c>
      <c r="N21" s="614" t="str">
        <f t="shared" si="2"/>
        <v/>
      </c>
      <c r="O21" s="616" t="str">
        <f t="shared" si="7"/>
        <v/>
      </c>
      <c r="P21" s="614" t="str">
        <f t="shared" si="8"/>
        <v/>
      </c>
      <c r="Q21" s="616" t="str">
        <f t="shared" si="3"/>
        <v/>
      </c>
      <c r="R21" s="615" t="str">
        <f t="shared" si="4"/>
        <v/>
      </c>
      <c r="S21" s="616" t="str">
        <f t="shared" si="5"/>
        <v/>
      </c>
      <c r="T21" s="615" t="str">
        <f t="shared" si="6"/>
        <v/>
      </c>
      <c r="U21" s="614" t="str">
        <f t="shared" si="9"/>
        <v/>
      </c>
    </row>
    <row r="22" spans="1:21" x14ac:dyDescent="0.2">
      <c r="F22" s="614" t="s">
        <v>408</v>
      </c>
      <c r="K22"/>
      <c r="M22" s="616" t="str">
        <f t="shared" si="1"/>
        <v/>
      </c>
      <c r="N22" s="614" t="str">
        <f t="shared" si="2"/>
        <v/>
      </c>
      <c r="O22" s="616" t="str">
        <f t="shared" si="7"/>
        <v/>
      </c>
      <c r="P22" s="614" t="str">
        <f t="shared" si="8"/>
        <v/>
      </c>
      <c r="Q22" s="616" t="str">
        <f t="shared" si="3"/>
        <v/>
      </c>
      <c r="R22" s="615" t="str">
        <f t="shared" si="4"/>
        <v/>
      </c>
      <c r="S22" s="616" t="str">
        <f t="shared" si="5"/>
        <v/>
      </c>
      <c r="T22" s="615" t="str">
        <f t="shared" si="6"/>
        <v/>
      </c>
      <c r="U22" s="614" t="str">
        <f t="shared" si="9"/>
        <v/>
      </c>
    </row>
    <row r="23" spans="1:21" x14ac:dyDescent="0.2">
      <c r="F23" s="614" t="s">
        <v>324</v>
      </c>
      <c r="K23"/>
      <c r="M23" s="616" t="str">
        <f t="shared" si="1"/>
        <v/>
      </c>
      <c r="N23" s="614" t="str">
        <f t="shared" si="2"/>
        <v/>
      </c>
      <c r="O23" s="616" t="str">
        <f t="shared" si="7"/>
        <v/>
      </c>
      <c r="P23" s="614" t="str">
        <f t="shared" si="8"/>
        <v/>
      </c>
      <c r="Q23" s="616" t="str">
        <f t="shared" si="3"/>
        <v/>
      </c>
      <c r="R23" s="615" t="str">
        <f t="shared" si="4"/>
        <v/>
      </c>
      <c r="S23" s="616" t="str">
        <f t="shared" si="5"/>
        <v/>
      </c>
      <c r="T23" s="615" t="str">
        <f t="shared" si="6"/>
        <v/>
      </c>
      <c r="U23" s="614" t="str">
        <f t="shared" si="9"/>
        <v/>
      </c>
    </row>
    <row r="24" spans="1:21" x14ac:dyDescent="0.2">
      <c r="A24" s="614" t="s">
        <v>325</v>
      </c>
      <c r="K24"/>
      <c r="M24" s="616" t="str">
        <f t="shared" si="1"/>
        <v/>
      </c>
      <c r="N24" s="614" t="str">
        <f t="shared" si="2"/>
        <v/>
      </c>
      <c r="O24" s="616" t="str">
        <f t="shared" si="7"/>
        <v/>
      </c>
      <c r="P24" s="614" t="str">
        <f t="shared" si="8"/>
        <v/>
      </c>
      <c r="Q24" s="616" t="str">
        <f t="shared" si="3"/>
        <v/>
      </c>
      <c r="R24" s="615" t="str">
        <f t="shared" si="4"/>
        <v/>
      </c>
      <c r="S24" s="616" t="str">
        <f t="shared" si="5"/>
        <v/>
      </c>
      <c r="T24" s="615" t="str">
        <f t="shared" si="6"/>
        <v/>
      </c>
      <c r="U24" s="614" t="str">
        <f t="shared" si="9"/>
        <v/>
      </c>
    </row>
    <row r="25" spans="1:21" x14ac:dyDescent="0.2">
      <c r="A25" s="614" t="s">
        <v>393</v>
      </c>
      <c r="F25" s="614" t="s">
        <v>326</v>
      </c>
      <c r="K25"/>
      <c r="M25" s="616" t="str">
        <f t="shared" si="1"/>
        <v/>
      </c>
      <c r="N25" s="614" t="str">
        <f t="shared" si="2"/>
        <v/>
      </c>
      <c r="O25" s="616" t="str">
        <f t="shared" si="7"/>
        <v/>
      </c>
      <c r="P25" s="614" t="str">
        <f t="shared" si="8"/>
        <v/>
      </c>
      <c r="Q25" s="616" t="str">
        <f t="shared" si="3"/>
        <v/>
      </c>
      <c r="R25" s="615" t="str">
        <f t="shared" si="4"/>
        <v/>
      </c>
      <c r="S25" s="616" t="str">
        <f t="shared" si="5"/>
        <v/>
      </c>
      <c r="T25" s="615" t="str">
        <f t="shared" si="6"/>
        <v/>
      </c>
      <c r="U25" s="614" t="str">
        <f t="shared" si="9"/>
        <v/>
      </c>
    </row>
    <row r="26" spans="1:21" x14ac:dyDescent="0.2">
      <c r="F26" s="614" t="s">
        <v>409</v>
      </c>
      <c r="K26"/>
      <c r="M26" s="616" t="str">
        <f t="shared" si="1"/>
        <v/>
      </c>
      <c r="N26" s="614" t="str">
        <f t="shared" si="2"/>
        <v/>
      </c>
      <c r="O26" s="616" t="str">
        <f t="shared" si="7"/>
        <v/>
      </c>
      <c r="P26" s="614" t="str">
        <f t="shared" si="8"/>
        <v/>
      </c>
      <c r="Q26" s="616" t="str">
        <f t="shared" si="3"/>
        <v/>
      </c>
      <c r="R26" s="615" t="str">
        <f t="shared" si="4"/>
        <v/>
      </c>
      <c r="S26" s="616" t="str">
        <f t="shared" si="5"/>
        <v/>
      </c>
      <c r="T26" s="615" t="str">
        <f t="shared" si="6"/>
        <v/>
      </c>
      <c r="U26" s="614" t="str">
        <f t="shared" si="9"/>
        <v/>
      </c>
    </row>
    <row r="27" spans="1:21" x14ac:dyDescent="0.2">
      <c r="A27" s="614" t="s">
        <v>327</v>
      </c>
      <c r="F27" s="614" t="s">
        <v>410</v>
      </c>
      <c r="K27"/>
      <c r="M27" s="616" t="str">
        <f t="shared" si="1"/>
        <v/>
      </c>
      <c r="N27" s="614" t="str">
        <f t="shared" si="2"/>
        <v/>
      </c>
      <c r="O27" s="616" t="str">
        <f t="shared" si="7"/>
        <v/>
      </c>
      <c r="P27" s="614" t="str">
        <f t="shared" si="8"/>
        <v/>
      </c>
      <c r="Q27" s="616" t="str">
        <f t="shared" si="3"/>
        <v/>
      </c>
      <c r="R27" s="615" t="str">
        <f t="shared" si="4"/>
        <v/>
      </c>
      <c r="S27" s="616" t="str">
        <f t="shared" si="5"/>
        <v/>
      </c>
      <c r="T27" s="615" t="str">
        <f t="shared" si="6"/>
        <v/>
      </c>
      <c r="U27" s="614" t="str">
        <f t="shared" si="9"/>
        <v/>
      </c>
    </row>
    <row r="28" spans="1:21" x14ac:dyDescent="0.2">
      <c r="A28" s="614" t="s">
        <v>394</v>
      </c>
      <c r="F28" s="614" t="s">
        <v>389</v>
      </c>
      <c r="K28"/>
      <c r="M28" s="616" t="str">
        <f t="shared" si="1"/>
        <v/>
      </c>
      <c r="N28" s="614" t="str">
        <f t="shared" si="2"/>
        <v/>
      </c>
      <c r="O28" s="616" t="str">
        <f t="shared" si="7"/>
        <v/>
      </c>
      <c r="P28" s="614" t="str">
        <f t="shared" si="8"/>
        <v/>
      </c>
      <c r="Q28" s="616" t="str">
        <f t="shared" si="3"/>
        <v/>
      </c>
      <c r="R28" s="615" t="str">
        <f t="shared" si="4"/>
        <v/>
      </c>
      <c r="S28" s="616" t="str">
        <f t="shared" si="5"/>
        <v/>
      </c>
      <c r="T28" s="615" t="str">
        <f t="shared" si="6"/>
        <v/>
      </c>
      <c r="U28" s="614" t="str">
        <f t="shared" si="9"/>
        <v/>
      </c>
    </row>
    <row r="29" spans="1:21" x14ac:dyDescent="0.2">
      <c r="K29"/>
      <c r="M29" s="616" t="str">
        <f t="shared" si="1"/>
        <v/>
      </c>
      <c r="N29" s="614" t="str">
        <f t="shared" si="2"/>
        <v/>
      </c>
      <c r="O29" s="616" t="str">
        <f t="shared" si="7"/>
        <v/>
      </c>
      <c r="P29" s="614" t="str">
        <f t="shared" si="8"/>
        <v/>
      </c>
      <c r="Q29" s="616" t="str">
        <f t="shared" si="3"/>
        <v/>
      </c>
      <c r="R29" s="615" t="str">
        <f t="shared" si="4"/>
        <v/>
      </c>
      <c r="S29" s="616" t="str">
        <f t="shared" si="5"/>
        <v/>
      </c>
      <c r="T29" s="615" t="str">
        <f t="shared" si="6"/>
        <v/>
      </c>
      <c r="U29" s="614" t="str">
        <f t="shared" si="9"/>
        <v/>
      </c>
    </row>
    <row r="30" spans="1:21" x14ac:dyDescent="0.2">
      <c r="A30" s="614" t="s">
        <v>328</v>
      </c>
      <c r="F30" s="614" t="s">
        <v>329</v>
      </c>
      <c r="K30"/>
      <c r="M30" s="616" t="str">
        <f t="shared" si="1"/>
        <v/>
      </c>
      <c r="N30" s="614" t="str">
        <f t="shared" si="2"/>
        <v/>
      </c>
      <c r="O30" s="616" t="str">
        <f t="shared" si="7"/>
        <v/>
      </c>
      <c r="P30" s="614" t="str">
        <f t="shared" si="8"/>
        <v/>
      </c>
      <c r="Q30" s="616" t="str">
        <f t="shared" si="3"/>
        <v/>
      </c>
      <c r="R30" s="615" t="str">
        <f t="shared" si="4"/>
        <v/>
      </c>
      <c r="S30" s="616" t="str">
        <f t="shared" si="5"/>
        <v/>
      </c>
      <c r="T30" s="615" t="str">
        <f t="shared" si="6"/>
        <v/>
      </c>
      <c r="U30" s="614" t="str">
        <f t="shared" si="9"/>
        <v/>
      </c>
    </row>
    <row r="31" spans="1:21" x14ac:dyDescent="0.2">
      <c r="A31" s="614" t="s">
        <v>395</v>
      </c>
      <c r="F31" s="614" t="s">
        <v>368</v>
      </c>
      <c r="K31"/>
      <c r="M31" s="616" t="str">
        <f t="shared" si="1"/>
        <v/>
      </c>
      <c r="N31" s="614" t="str">
        <f t="shared" si="2"/>
        <v/>
      </c>
      <c r="O31" s="616" t="str">
        <f t="shared" si="7"/>
        <v/>
      </c>
      <c r="P31" s="614" t="str">
        <f t="shared" si="8"/>
        <v/>
      </c>
      <c r="Q31" s="616" t="str">
        <f t="shared" si="3"/>
        <v/>
      </c>
      <c r="R31" s="615" t="str">
        <f t="shared" si="4"/>
        <v/>
      </c>
      <c r="S31" s="616" t="str">
        <f t="shared" si="5"/>
        <v/>
      </c>
      <c r="T31" s="615" t="str">
        <f t="shared" si="6"/>
        <v/>
      </c>
      <c r="U31" s="614" t="str">
        <f t="shared" si="9"/>
        <v/>
      </c>
    </row>
    <row r="32" spans="1:21" x14ac:dyDescent="0.2">
      <c r="A32" s="614" t="s">
        <v>396</v>
      </c>
      <c r="F32" s="614" t="s">
        <v>369</v>
      </c>
      <c r="K32"/>
      <c r="M32" s="616" t="str">
        <f t="shared" si="1"/>
        <v/>
      </c>
      <c r="N32" s="614" t="str">
        <f t="shared" si="2"/>
        <v/>
      </c>
      <c r="O32" s="616" t="str">
        <f t="shared" si="7"/>
        <v/>
      </c>
      <c r="P32" s="614" t="str">
        <f t="shared" si="8"/>
        <v/>
      </c>
      <c r="Q32" s="616" t="str">
        <f t="shared" si="3"/>
        <v/>
      </c>
      <c r="R32" s="615" t="str">
        <f t="shared" si="4"/>
        <v/>
      </c>
      <c r="S32" s="616" t="str">
        <f t="shared" si="5"/>
        <v/>
      </c>
      <c r="T32" s="615" t="str">
        <f t="shared" si="6"/>
        <v/>
      </c>
      <c r="U32" s="614" t="str">
        <f t="shared" si="9"/>
        <v/>
      </c>
    </row>
    <row r="33" spans="1:21" x14ac:dyDescent="0.2">
      <c r="A33" s="614" t="s">
        <v>397</v>
      </c>
      <c r="F33" s="614" t="s">
        <v>370</v>
      </c>
      <c r="K33"/>
      <c r="M33" s="616" t="str">
        <f t="shared" si="1"/>
        <v/>
      </c>
      <c r="N33" s="614" t="str">
        <f t="shared" si="2"/>
        <v/>
      </c>
      <c r="O33" s="616" t="str">
        <f t="shared" si="7"/>
        <v/>
      </c>
      <c r="P33" s="614" t="str">
        <f t="shared" si="8"/>
        <v/>
      </c>
      <c r="Q33" s="616" t="str">
        <f t="shared" si="3"/>
        <v/>
      </c>
      <c r="R33" s="615" t="str">
        <f t="shared" si="4"/>
        <v/>
      </c>
      <c r="S33" s="616" t="str">
        <f t="shared" si="5"/>
        <v/>
      </c>
      <c r="T33" s="615" t="str">
        <f t="shared" si="6"/>
        <v/>
      </c>
      <c r="U33" s="614" t="str">
        <f t="shared" si="9"/>
        <v/>
      </c>
    </row>
    <row r="34" spans="1:21" x14ac:dyDescent="0.2">
      <c r="A34" s="614" t="s">
        <v>398</v>
      </c>
      <c r="F34" s="614" t="s">
        <v>371</v>
      </c>
      <c r="K34"/>
      <c r="M34" s="616" t="str">
        <f t="shared" si="1"/>
        <v/>
      </c>
      <c r="N34" s="614" t="str">
        <f t="shared" si="2"/>
        <v/>
      </c>
      <c r="O34" s="616" t="str">
        <f t="shared" si="7"/>
        <v/>
      </c>
      <c r="P34" s="614" t="str">
        <f t="shared" si="8"/>
        <v/>
      </c>
      <c r="Q34" s="616" t="str">
        <f t="shared" si="3"/>
        <v/>
      </c>
      <c r="R34" s="615" t="str">
        <f t="shared" si="4"/>
        <v/>
      </c>
      <c r="S34" s="616" t="str">
        <f t="shared" si="5"/>
        <v/>
      </c>
      <c r="T34" s="615" t="str">
        <f t="shared" si="6"/>
        <v/>
      </c>
      <c r="U34" s="614" t="str">
        <f t="shared" si="9"/>
        <v/>
      </c>
    </row>
    <row r="35" spans="1:21" x14ac:dyDescent="0.2">
      <c r="A35" s="614" t="s">
        <v>399</v>
      </c>
      <c r="F35" s="614" t="s">
        <v>372</v>
      </c>
      <c r="K35"/>
      <c r="M35" s="616" t="str">
        <f t="shared" si="1"/>
        <v/>
      </c>
      <c r="N35" s="614" t="str">
        <f t="shared" si="2"/>
        <v/>
      </c>
      <c r="O35" s="616" t="str">
        <f t="shared" si="7"/>
        <v/>
      </c>
      <c r="P35" s="614" t="str">
        <f t="shared" si="8"/>
        <v/>
      </c>
      <c r="Q35" s="616" t="str">
        <f t="shared" si="3"/>
        <v/>
      </c>
      <c r="R35" s="615" t="str">
        <f t="shared" si="4"/>
        <v/>
      </c>
      <c r="S35" s="616" t="str">
        <f t="shared" si="5"/>
        <v/>
      </c>
      <c r="T35" s="615" t="str">
        <f t="shared" si="6"/>
        <v/>
      </c>
      <c r="U35" s="614" t="str">
        <f t="shared" si="9"/>
        <v/>
      </c>
    </row>
    <row r="36" spans="1:21" x14ac:dyDescent="0.2">
      <c r="A36" s="614" t="s">
        <v>330</v>
      </c>
      <c r="K36"/>
      <c r="M36" s="616" t="str">
        <f t="shared" si="1"/>
        <v/>
      </c>
      <c r="N36" s="614" t="str">
        <f t="shared" si="2"/>
        <v/>
      </c>
      <c r="O36" s="616" t="str">
        <f t="shared" si="7"/>
        <v/>
      </c>
      <c r="P36" s="614" t="str">
        <f t="shared" si="8"/>
        <v/>
      </c>
      <c r="Q36" s="616" t="str">
        <f t="shared" si="3"/>
        <v/>
      </c>
      <c r="R36" s="615" t="str">
        <f t="shared" si="4"/>
        <v/>
      </c>
      <c r="S36" s="616" t="str">
        <f t="shared" si="5"/>
        <v/>
      </c>
      <c r="T36" s="615" t="str">
        <f t="shared" si="6"/>
        <v/>
      </c>
      <c r="U36" s="614" t="str">
        <f t="shared" si="9"/>
        <v/>
      </c>
    </row>
    <row r="37" spans="1:21" x14ac:dyDescent="0.2">
      <c r="A37" s="614" t="s">
        <v>331</v>
      </c>
      <c r="K37"/>
      <c r="M37" s="616" t="str">
        <f t="shared" si="1"/>
        <v/>
      </c>
      <c r="N37" s="614" t="str">
        <f t="shared" si="2"/>
        <v/>
      </c>
      <c r="O37" s="616" t="str">
        <f t="shared" si="7"/>
        <v/>
      </c>
      <c r="P37" s="614" t="str">
        <f t="shared" si="8"/>
        <v/>
      </c>
      <c r="Q37" s="616" t="str">
        <f t="shared" si="3"/>
        <v/>
      </c>
      <c r="R37" s="615" t="str">
        <f t="shared" si="4"/>
        <v/>
      </c>
      <c r="S37" s="616" t="str">
        <f t="shared" si="5"/>
        <v/>
      </c>
      <c r="T37" s="615" t="str">
        <f t="shared" si="6"/>
        <v/>
      </c>
      <c r="U37" s="614" t="str">
        <f t="shared" si="9"/>
        <v/>
      </c>
    </row>
    <row r="38" spans="1:21" x14ac:dyDescent="0.2">
      <c r="A38" s="614" t="s">
        <v>332</v>
      </c>
      <c r="K38"/>
      <c r="M38" s="616" t="str">
        <f t="shared" si="1"/>
        <v/>
      </c>
      <c r="N38" s="614" t="str">
        <f t="shared" si="2"/>
        <v/>
      </c>
      <c r="O38" s="616" t="str">
        <f t="shared" si="7"/>
        <v/>
      </c>
      <c r="P38" s="614" t="str">
        <f t="shared" si="8"/>
        <v/>
      </c>
      <c r="Q38" s="616" t="str">
        <f t="shared" si="3"/>
        <v/>
      </c>
      <c r="R38" s="615" t="str">
        <f t="shared" si="4"/>
        <v/>
      </c>
      <c r="S38" s="616" t="str">
        <f t="shared" si="5"/>
        <v/>
      </c>
      <c r="T38" s="615" t="str">
        <f t="shared" si="6"/>
        <v/>
      </c>
      <c r="U38" s="614" t="str">
        <f t="shared" si="9"/>
        <v/>
      </c>
    </row>
    <row r="39" spans="1:21" x14ac:dyDescent="0.2">
      <c r="A39" s="614" t="s">
        <v>333</v>
      </c>
      <c r="K39"/>
      <c r="M39" s="616" t="str">
        <f t="shared" si="1"/>
        <v/>
      </c>
      <c r="N39" s="614" t="str">
        <f t="shared" si="2"/>
        <v/>
      </c>
      <c r="O39" s="616" t="str">
        <f t="shared" si="7"/>
        <v/>
      </c>
      <c r="P39" s="614" t="str">
        <f t="shared" si="8"/>
        <v/>
      </c>
      <c r="Q39" s="616" t="str">
        <f t="shared" si="3"/>
        <v/>
      </c>
      <c r="R39" s="615" t="str">
        <f t="shared" si="4"/>
        <v/>
      </c>
      <c r="S39" s="616" t="str">
        <f t="shared" si="5"/>
        <v/>
      </c>
      <c r="T39" s="615" t="str">
        <f t="shared" si="6"/>
        <v/>
      </c>
      <c r="U39" s="614" t="str">
        <f t="shared" si="9"/>
        <v/>
      </c>
    </row>
    <row r="40" spans="1:21" x14ac:dyDescent="0.2">
      <c r="A40" s="614" t="s">
        <v>334</v>
      </c>
      <c r="C40" s="619"/>
      <c r="K40"/>
      <c r="M40" s="616" t="str">
        <f t="shared" si="1"/>
        <v/>
      </c>
      <c r="N40" s="614" t="str">
        <f t="shared" si="2"/>
        <v/>
      </c>
      <c r="O40" s="616" t="str">
        <f t="shared" si="7"/>
        <v/>
      </c>
      <c r="P40" s="614" t="str">
        <f t="shared" si="8"/>
        <v/>
      </c>
      <c r="Q40" s="616" t="str">
        <f t="shared" si="3"/>
        <v/>
      </c>
      <c r="R40" s="615" t="str">
        <f t="shared" si="4"/>
        <v/>
      </c>
      <c r="S40" s="616" t="str">
        <f t="shared" si="5"/>
        <v/>
      </c>
      <c r="T40" s="615" t="str">
        <f t="shared" si="6"/>
        <v/>
      </c>
      <c r="U40" s="614" t="str">
        <f t="shared" si="9"/>
        <v/>
      </c>
    </row>
    <row r="41" spans="1:21" x14ac:dyDescent="0.2">
      <c r="C41" s="619"/>
      <c r="K41"/>
      <c r="M41" s="616" t="str">
        <f t="shared" si="1"/>
        <v/>
      </c>
      <c r="N41" s="614" t="str">
        <f t="shared" si="2"/>
        <v/>
      </c>
      <c r="O41" s="616" t="str">
        <f t="shared" si="7"/>
        <v/>
      </c>
      <c r="P41" s="614" t="str">
        <f t="shared" si="8"/>
        <v/>
      </c>
      <c r="Q41" s="616" t="str">
        <f t="shared" si="3"/>
        <v/>
      </c>
      <c r="R41" s="615" t="str">
        <f t="shared" si="4"/>
        <v/>
      </c>
      <c r="S41" s="616" t="str">
        <f t="shared" si="5"/>
        <v/>
      </c>
      <c r="T41" s="615" t="str">
        <f t="shared" si="6"/>
        <v/>
      </c>
      <c r="U41" s="614" t="str">
        <f t="shared" si="9"/>
        <v/>
      </c>
    </row>
    <row r="42" spans="1:21" x14ac:dyDescent="0.2">
      <c r="A42" s="614" t="s">
        <v>336</v>
      </c>
      <c r="C42" s="619"/>
      <c r="K42"/>
      <c r="M42" s="616" t="str">
        <f t="shared" si="1"/>
        <v/>
      </c>
      <c r="N42" s="614" t="str">
        <f t="shared" si="2"/>
        <v/>
      </c>
      <c r="O42" s="616" t="str">
        <f t="shared" si="7"/>
        <v/>
      </c>
      <c r="P42" s="614" t="str">
        <f t="shared" si="8"/>
        <v/>
      </c>
      <c r="Q42" s="616" t="str">
        <f t="shared" si="3"/>
        <v/>
      </c>
      <c r="R42" s="615" t="str">
        <f t="shared" si="4"/>
        <v/>
      </c>
      <c r="S42" s="616" t="str">
        <f t="shared" si="5"/>
        <v/>
      </c>
      <c r="T42" s="615" t="str">
        <f t="shared" si="6"/>
        <v/>
      </c>
      <c r="U42" s="614" t="str">
        <f t="shared" si="9"/>
        <v/>
      </c>
    </row>
    <row r="43" spans="1:21" x14ac:dyDescent="0.2">
      <c r="A43" s="614" t="s">
        <v>375</v>
      </c>
      <c r="B43" s="614" t="s">
        <v>335</v>
      </c>
      <c r="C43" s="619">
        <v>0.22</v>
      </c>
      <c r="K43"/>
      <c r="M43" s="616" t="str">
        <f t="shared" si="1"/>
        <v/>
      </c>
      <c r="N43" s="614" t="str">
        <f t="shared" si="2"/>
        <v/>
      </c>
      <c r="O43" s="616" t="str">
        <f t="shared" si="7"/>
        <v/>
      </c>
      <c r="P43" s="614" t="str">
        <f t="shared" si="8"/>
        <v/>
      </c>
      <c r="Q43" s="616" t="str">
        <f t="shared" si="3"/>
        <v/>
      </c>
      <c r="R43" s="615" t="str">
        <f t="shared" si="4"/>
        <v/>
      </c>
      <c r="S43" s="616" t="str">
        <f t="shared" si="5"/>
        <v/>
      </c>
      <c r="T43" s="615" t="str">
        <f t="shared" si="6"/>
        <v/>
      </c>
      <c r="U43" s="614" t="str">
        <f t="shared" si="9"/>
        <v/>
      </c>
    </row>
    <row r="44" spans="1:21" x14ac:dyDescent="0.2">
      <c r="A44" s="614" t="s">
        <v>377</v>
      </c>
      <c r="B44" s="614" t="s">
        <v>335</v>
      </c>
      <c r="C44" s="619">
        <v>0.18590000000000001</v>
      </c>
      <c r="K44"/>
      <c r="M44" s="616" t="str">
        <f t="shared" si="1"/>
        <v/>
      </c>
      <c r="N44" s="614" t="str">
        <f t="shared" si="2"/>
        <v/>
      </c>
      <c r="O44" s="616" t="str">
        <f t="shared" si="7"/>
        <v/>
      </c>
      <c r="P44" s="614" t="str">
        <f t="shared" si="8"/>
        <v/>
      </c>
      <c r="Q44" s="616" t="str">
        <f t="shared" si="3"/>
        <v/>
      </c>
      <c r="R44" s="615" t="str">
        <f t="shared" si="4"/>
        <v/>
      </c>
      <c r="S44" s="616" t="str">
        <f t="shared" si="5"/>
        <v/>
      </c>
      <c r="T44" s="615" t="str">
        <f t="shared" si="6"/>
        <v/>
      </c>
      <c r="U44" s="614" t="str">
        <f t="shared" si="9"/>
        <v/>
      </c>
    </row>
    <row r="45" spans="1:21" x14ac:dyDescent="0.2">
      <c r="A45" s="614" t="s">
        <v>378</v>
      </c>
      <c r="B45" s="614" t="s">
        <v>335</v>
      </c>
      <c r="C45" s="619">
        <v>0.1855</v>
      </c>
      <c r="K45"/>
      <c r="M45" s="616" t="str">
        <f t="shared" si="1"/>
        <v/>
      </c>
      <c r="N45" s="614" t="str">
        <f t="shared" si="2"/>
        <v/>
      </c>
      <c r="O45" s="616" t="str">
        <f t="shared" si="7"/>
        <v/>
      </c>
      <c r="P45" s="614" t="str">
        <f t="shared" si="8"/>
        <v/>
      </c>
      <c r="Q45" s="616" t="str">
        <f t="shared" si="3"/>
        <v/>
      </c>
      <c r="R45" s="615" t="str">
        <f t="shared" si="4"/>
        <v/>
      </c>
      <c r="S45" s="616" t="str">
        <f t="shared" si="5"/>
        <v/>
      </c>
      <c r="T45" s="615" t="str">
        <f t="shared" si="6"/>
        <v/>
      </c>
      <c r="U45" s="614" t="str">
        <f t="shared" si="9"/>
        <v/>
      </c>
    </row>
    <row r="46" spans="1:21" x14ac:dyDescent="0.2">
      <c r="A46" s="614" t="s">
        <v>380</v>
      </c>
      <c r="B46" s="614" t="s">
        <v>335</v>
      </c>
      <c r="C46" s="619">
        <v>0.1583</v>
      </c>
      <c r="K46"/>
      <c r="M46" s="616" t="str">
        <f t="shared" si="1"/>
        <v/>
      </c>
      <c r="N46" s="614" t="str">
        <f t="shared" si="2"/>
        <v/>
      </c>
      <c r="O46" s="616" t="str">
        <f t="shared" si="7"/>
        <v/>
      </c>
      <c r="P46" s="614" t="str">
        <f t="shared" si="8"/>
        <v/>
      </c>
      <c r="Q46" s="616" t="str">
        <f t="shared" si="3"/>
        <v/>
      </c>
      <c r="R46" s="615" t="str">
        <f t="shared" si="4"/>
        <v/>
      </c>
      <c r="S46" s="616" t="str">
        <f t="shared" si="5"/>
        <v/>
      </c>
      <c r="T46" s="615" t="str">
        <f t="shared" si="6"/>
        <v/>
      </c>
      <c r="U46" s="614" t="str">
        <f t="shared" si="9"/>
        <v/>
      </c>
    </row>
    <row r="47" spans="1:21" x14ac:dyDescent="0.2">
      <c r="A47" s="614" t="s">
        <v>381</v>
      </c>
      <c r="B47" s="614" t="s">
        <v>335</v>
      </c>
      <c r="C47" s="619">
        <v>0.1867</v>
      </c>
      <c r="K47"/>
      <c r="M47" s="616" t="str">
        <f t="shared" si="1"/>
        <v/>
      </c>
      <c r="N47" s="614" t="str">
        <f t="shared" si="2"/>
        <v/>
      </c>
      <c r="O47" s="616" t="str">
        <f t="shared" si="7"/>
        <v/>
      </c>
      <c r="P47" s="614" t="str">
        <f t="shared" si="8"/>
        <v/>
      </c>
      <c r="Q47" s="616" t="str">
        <f t="shared" si="3"/>
        <v/>
      </c>
      <c r="R47" s="615" t="str">
        <f t="shared" si="4"/>
        <v/>
      </c>
      <c r="S47" s="616" t="str">
        <f t="shared" si="5"/>
        <v/>
      </c>
      <c r="T47" s="615" t="str">
        <f t="shared" si="6"/>
        <v/>
      </c>
      <c r="U47" s="614" t="str">
        <f t="shared" si="9"/>
        <v/>
      </c>
    </row>
    <row r="48" spans="1:21" x14ac:dyDescent="0.2">
      <c r="A48" s="614" t="s">
        <v>379</v>
      </c>
      <c r="B48" s="614" t="s">
        <v>335</v>
      </c>
      <c r="C48" s="614">
        <v>0.18729999999999999</v>
      </c>
      <c r="K48"/>
      <c r="M48" s="616" t="str">
        <f t="shared" si="1"/>
        <v/>
      </c>
      <c r="N48" s="614" t="str">
        <f t="shared" si="2"/>
        <v/>
      </c>
      <c r="O48" s="616" t="str">
        <f t="shared" si="7"/>
        <v/>
      </c>
      <c r="P48" s="614" t="str">
        <f t="shared" si="8"/>
        <v/>
      </c>
      <c r="Q48" s="616" t="str">
        <f t="shared" si="3"/>
        <v/>
      </c>
      <c r="R48" s="615" t="str">
        <f t="shared" si="4"/>
        <v/>
      </c>
      <c r="S48" s="616" t="str">
        <f t="shared" si="5"/>
        <v/>
      </c>
      <c r="T48" s="615" t="str">
        <f t="shared" si="6"/>
        <v/>
      </c>
      <c r="U48" s="614" t="str">
        <f t="shared" si="9"/>
        <v/>
      </c>
    </row>
    <row r="49" spans="1:21" x14ac:dyDescent="0.2">
      <c r="A49" s="614" t="s">
        <v>382</v>
      </c>
      <c r="B49" s="614" t="s">
        <v>335</v>
      </c>
      <c r="C49" s="614">
        <v>0.21099999999999999</v>
      </c>
      <c r="K49"/>
      <c r="M49" s="616" t="str">
        <f t="shared" si="1"/>
        <v/>
      </c>
      <c r="N49" s="614" t="str">
        <f t="shared" si="2"/>
        <v/>
      </c>
      <c r="O49" s="616" t="str">
        <f t="shared" si="7"/>
        <v/>
      </c>
      <c r="P49" s="614" t="str">
        <f t="shared" si="8"/>
        <v/>
      </c>
      <c r="Q49" s="616" t="str">
        <f t="shared" si="3"/>
        <v/>
      </c>
      <c r="R49" s="615" t="str">
        <f t="shared" si="4"/>
        <v/>
      </c>
      <c r="S49" s="616" t="str">
        <f t="shared" si="5"/>
        <v/>
      </c>
      <c r="T49" s="615" t="str">
        <f t="shared" si="6"/>
        <v/>
      </c>
      <c r="U49" s="614" t="str">
        <f t="shared" si="9"/>
        <v/>
      </c>
    </row>
    <row r="50" spans="1:21" x14ac:dyDescent="0.2">
      <c r="A50" s="614" t="s">
        <v>384</v>
      </c>
      <c r="B50" s="614" t="s">
        <v>335</v>
      </c>
      <c r="C50" s="614">
        <v>0.18729999999999999</v>
      </c>
      <c r="K50"/>
      <c r="M50" s="616" t="str">
        <f t="shared" si="1"/>
        <v/>
      </c>
      <c r="N50" s="614" t="str">
        <f t="shared" si="2"/>
        <v/>
      </c>
      <c r="O50" s="616" t="str">
        <f t="shared" si="7"/>
        <v/>
      </c>
      <c r="P50" s="614" t="str">
        <f t="shared" si="8"/>
        <v/>
      </c>
      <c r="Q50" s="616" t="str">
        <f t="shared" si="3"/>
        <v/>
      </c>
      <c r="R50" s="615" t="str">
        <f t="shared" si="4"/>
        <v/>
      </c>
      <c r="S50" s="616" t="str">
        <f t="shared" si="5"/>
        <v/>
      </c>
      <c r="T50" s="615" t="str">
        <f t="shared" si="6"/>
        <v/>
      </c>
      <c r="U50" s="614" t="str">
        <f t="shared" si="9"/>
        <v/>
      </c>
    </row>
    <row r="51" spans="1:21" x14ac:dyDescent="0.2">
      <c r="A51" s="614" t="s">
        <v>386</v>
      </c>
      <c r="B51" s="614" t="s">
        <v>335</v>
      </c>
      <c r="C51" s="614">
        <v>0.1638</v>
      </c>
      <c r="K51"/>
      <c r="M51" s="616" t="str">
        <f t="shared" si="1"/>
        <v/>
      </c>
      <c r="N51" s="614" t="str">
        <f t="shared" si="2"/>
        <v/>
      </c>
      <c r="O51" s="616" t="str">
        <f t="shared" si="7"/>
        <v/>
      </c>
      <c r="P51" s="614" t="str">
        <f t="shared" si="8"/>
        <v/>
      </c>
      <c r="Q51" s="616" t="str">
        <f t="shared" si="3"/>
        <v/>
      </c>
      <c r="R51" s="615" t="str">
        <f t="shared" si="4"/>
        <v/>
      </c>
      <c r="S51" s="616" t="str">
        <f t="shared" si="5"/>
        <v/>
      </c>
      <c r="T51" s="615" t="str">
        <f t="shared" si="6"/>
        <v/>
      </c>
      <c r="U51" s="614" t="str">
        <f t="shared" si="9"/>
        <v/>
      </c>
    </row>
    <row r="52" spans="1:21" x14ac:dyDescent="0.2">
      <c r="A52" s="614" t="s">
        <v>400</v>
      </c>
      <c r="B52" s="614" t="s">
        <v>335</v>
      </c>
      <c r="C52" s="614">
        <v>0.14760000000000001</v>
      </c>
      <c r="K52"/>
      <c r="M52" s="616" t="str">
        <f t="shared" si="1"/>
        <v/>
      </c>
      <c r="N52" s="614" t="str">
        <f t="shared" si="2"/>
        <v/>
      </c>
      <c r="O52" s="616" t="str">
        <f t="shared" si="7"/>
        <v/>
      </c>
      <c r="P52" s="614" t="str">
        <f t="shared" si="8"/>
        <v/>
      </c>
      <c r="Q52" s="616" t="str">
        <f t="shared" si="3"/>
        <v/>
      </c>
      <c r="R52" s="615" t="str">
        <f t="shared" si="4"/>
        <v/>
      </c>
      <c r="S52" s="616" t="str">
        <f t="shared" si="5"/>
        <v/>
      </c>
      <c r="T52" s="615" t="str">
        <f t="shared" si="6"/>
        <v/>
      </c>
      <c r="U52" s="614" t="str">
        <f t="shared" si="9"/>
        <v/>
      </c>
    </row>
    <row r="53" spans="1:21" x14ac:dyDescent="0.2">
      <c r="K53"/>
      <c r="M53" s="616" t="str">
        <f t="shared" si="1"/>
        <v/>
      </c>
      <c r="N53" s="614" t="str">
        <f t="shared" si="2"/>
        <v/>
      </c>
      <c r="O53" s="616" t="str">
        <f t="shared" si="7"/>
        <v/>
      </c>
      <c r="P53" s="614" t="str">
        <f t="shared" si="8"/>
        <v/>
      </c>
      <c r="Q53" s="616" t="str">
        <f t="shared" si="3"/>
        <v/>
      </c>
      <c r="R53" s="615" t="str">
        <f t="shared" si="4"/>
        <v/>
      </c>
      <c r="S53" s="616" t="str">
        <f t="shared" si="5"/>
        <v/>
      </c>
      <c r="T53" s="615" t="str">
        <f t="shared" si="6"/>
        <v/>
      </c>
      <c r="U53" s="614" t="str">
        <f t="shared" si="9"/>
        <v/>
      </c>
    </row>
    <row r="54" spans="1:21" x14ac:dyDescent="0.2">
      <c r="A54" s="614" t="s">
        <v>337</v>
      </c>
      <c r="K54"/>
      <c r="M54" s="616" t="str">
        <f t="shared" si="1"/>
        <v/>
      </c>
      <c r="N54" s="614" t="str">
        <f t="shared" si="2"/>
        <v/>
      </c>
      <c r="O54" s="616" t="str">
        <f t="shared" si="7"/>
        <v/>
      </c>
      <c r="P54" s="614" t="str">
        <f t="shared" si="8"/>
        <v/>
      </c>
      <c r="Q54" s="616" t="str">
        <f t="shared" si="3"/>
        <v/>
      </c>
      <c r="R54" s="615" t="str">
        <f t="shared" si="4"/>
        <v/>
      </c>
      <c r="S54" s="616" t="str">
        <f t="shared" si="5"/>
        <v/>
      </c>
      <c r="T54" s="615" t="str">
        <f t="shared" si="6"/>
        <v/>
      </c>
      <c r="U54" s="614" t="str">
        <f t="shared" si="9"/>
        <v/>
      </c>
    </row>
    <row r="55" spans="1:21" x14ac:dyDescent="0.2">
      <c r="A55" s="614" t="s">
        <v>338</v>
      </c>
      <c r="E55" s="619" t="s">
        <v>339</v>
      </c>
      <c r="F55" s="619" t="s">
        <v>340</v>
      </c>
      <c r="J55" s="614" t="s">
        <v>341</v>
      </c>
      <c r="K55"/>
      <c r="M55" s="616" t="str">
        <f t="shared" si="1"/>
        <v/>
      </c>
      <c r="N55" s="614" t="str">
        <f t="shared" si="2"/>
        <v/>
      </c>
      <c r="O55" s="616" t="str">
        <f t="shared" si="7"/>
        <v/>
      </c>
      <c r="P55" s="614" t="str">
        <f t="shared" si="8"/>
        <v/>
      </c>
      <c r="Q55" s="616" t="str">
        <f t="shared" si="3"/>
        <v/>
      </c>
      <c r="R55" s="615" t="str">
        <f t="shared" si="4"/>
        <v/>
      </c>
      <c r="S55" s="616" t="str">
        <f t="shared" si="5"/>
        <v/>
      </c>
      <c r="T55" s="615" t="str">
        <f t="shared" si="6"/>
        <v/>
      </c>
      <c r="U55" s="614" t="str">
        <f t="shared" si="9"/>
        <v/>
      </c>
    </row>
    <row r="56" spans="1:21" x14ac:dyDescent="0.2">
      <c r="A56" s="614">
        <v>25</v>
      </c>
      <c r="E56" s="619">
        <v>42363</v>
      </c>
      <c r="F56" s="619">
        <v>18</v>
      </c>
      <c r="J56" s="614">
        <v>1.0407999999999999</v>
      </c>
      <c r="K56"/>
      <c r="M56" s="616" t="str">
        <f t="shared" si="1"/>
        <v/>
      </c>
      <c r="N56" s="614" t="str">
        <f t="shared" si="2"/>
        <v/>
      </c>
      <c r="O56" s="616" t="str">
        <f t="shared" si="7"/>
        <v/>
      </c>
      <c r="P56" s="614" t="str">
        <f t="shared" si="8"/>
        <v/>
      </c>
      <c r="Q56" s="616" t="str">
        <f t="shared" si="3"/>
        <v/>
      </c>
      <c r="R56" s="615" t="str">
        <f t="shared" si="4"/>
        <v/>
      </c>
      <c r="S56" s="616" t="str">
        <f t="shared" si="5"/>
        <v/>
      </c>
      <c r="T56" s="615" t="str">
        <f t="shared" si="6"/>
        <v/>
      </c>
      <c r="U56" s="614" t="str">
        <f t="shared" si="9"/>
        <v/>
      </c>
    </row>
    <row r="57" spans="1:21" x14ac:dyDescent="0.2">
      <c r="A57" s="614">
        <v>26</v>
      </c>
      <c r="E57" s="619">
        <v>42364</v>
      </c>
      <c r="F57" s="619">
        <v>18</v>
      </c>
      <c r="J57" s="614">
        <v>1.0407999999999999</v>
      </c>
      <c r="K57"/>
      <c r="M57" s="616" t="str">
        <f t="shared" si="1"/>
        <v/>
      </c>
      <c r="N57" s="614" t="str">
        <f t="shared" si="2"/>
        <v/>
      </c>
      <c r="O57" s="616" t="str">
        <f t="shared" si="7"/>
        <v/>
      </c>
      <c r="P57" s="614" t="str">
        <f t="shared" si="8"/>
        <v/>
      </c>
      <c r="Q57" s="616" t="str">
        <f t="shared" si="3"/>
        <v/>
      </c>
      <c r="R57" s="615" t="str">
        <f t="shared" si="4"/>
        <v/>
      </c>
      <c r="S57" s="616" t="str">
        <f t="shared" si="5"/>
        <v/>
      </c>
      <c r="T57" s="615" t="str">
        <f t="shared" si="6"/>
        <v/>
      </c>
      <c r="U57" s="614" t="str">
        <f t="shared" si="9"/>
        <v/>
      </c>
    </row>
    <row r="58" spans="1:21" x14ac:dyDescent="0.2">
      <c r="A58" s="614">
        <v>27</v>
      </c>
      <c r="E58" s="619">
        <v>42365</v>
      </c>
      <c r="F58" s="619">
        <v>18</v>
      </c>
      <c r="J58" s="614">
        <v>1.0407999999999999</v>
      </c>
      <c r="K58"/>
      <c r="M58" s="616" t="str">
        <f t="shared" si="1"/>
        <v/>
      </c>
      <c r="N58" s="614" t="str">
        <f t="shared" si="2"/>
        <v/>
      </c>
      <c r="O58" s="616" t="str">
        <f t="shared" si="7"/>
        <v/>
      </c>
      <c r="P58" s="614" t="str">
        <f t="shared" si="8"/>
        <v/>
      </c>
      <c r="Q58" s="616" t="str">
        <f t="shared" si="3"/>
        <v/>
      </c>
      <c r="R58" s="615" t="str">
        <f t="shared" si="4"/>
        <v/>
      </c>
      <c r="S58" s="616" t="str">
        <f t="shared" si="5"/>
        <v/>
      </c>
      <c r="T58" s="615" t="str">
        <f t="shared" si="6"/>
        <v/>
      </c>
      <c r="U58" s="614" t="str">
        <f t="shared" si="9"/>
        <v/>
      </c>
    </row>
    <row r="59" spans="1:21" x14ac:dyDescent="0.2">
      <c r="A59" s="614">
        <v>28</v>
      </c>
      <c r="E59" s="619">
        <v>42366</v>
      </c>
      <c r="F59" s="619">
        <v>19</v>
      </c>
      <c r="J59" s="614">
        <v>1.0989</v>
      </c>
      <c r="K59"/>
      <c r="M59" s="616" t="str">
        <f t="shared" si="1"/>
        <v/>
      </c>
      <c r="N59" s="614" t="str">
        <f t="shared" si="2"/>
        <v/>
      </c>
      <c r="O59" s="616" t="str">
        <f t="shared" si="7"/>
        <v/>
      </c>
      <c r="P59" s="614" t="str">
        <f t="shared" si="8"/>
        <v/>
      </c>
      <c r="Q59" s="616" t="str">
        <f t="shared" si="3"/>
        <v/>
      </c>
      <c r="R59" s="615" t="str">
        <f t="shared" si="4"/>
        <v/>
      </c>
      <c r="S59" s="616" t="str">
        <f t="shared" si="5"/>
        <v/>
      </c>
      <c r="T59" s="615" t="str">
        <f t="shared" si="6"/>
        <v/>
      </c>
      <c r="U59" s="614" t="str">
        <f t="shared" si="9"/>
        <v/>
      </c>
    </row>
    <row r="60" spans="1:21" x14ac:dyDescent="0.2">
      <c r="A60" s="614">
        <v>29</v>
      </c>
      <c r="E60" s="619">
        <v>42367</v>
      </c>
      <c r="F60" s="619">
        <v>20</v>
      </c>
      <c r="J60" s="614">
        <v>1.1571</v>
      </c>
      <c r="K60"/>
      <c r="M60" s="616" t="str">
        <f t="shared" si="1"/>
        <v/>
      </c>
      <c r="N60" s="614" t="str">
        <f t="shared" si="2"/>
        <v/>
      </c>
      <c r="O60" s="616" t="str">
        <f t="shared" si="7"/>
        <v/>
      </c>
      <c r="P60" s="614" t="str">
        <f t="shared" si="8"/>
        <v/>
      </c>
      <c r="Q60" s="616" t="str">
        <f t="shared" si="3"/>
        <v/>
      </c>
      <c r="R60" s="615" t="str">
        <f t="shared" si="4"/>
        <v/>
      </c>
      <c r="S60" s="616" t="str">
        <f t="shared" si="5"/>
        <v/>
      </c>
      <c r="T60" s="615" t="str">
        <f t="shared" si="6"/>
        <v/>
      </c>
      <c r="U60" s="614" t="str">
        <f t="shared" si="9"/>
        <v/>
      </c>
    </row>
    <row r="61" spans="1:21" x14ac:dyDescent="0.2">
      <c r="A61" s="614">
        <v>30</v>
      </c>
      <c r="E61" s="619">
        <v>42368</v>
      </c>
      <c r="F61" s="619">
        <v>21</v>
      </c>
      <c r="J61" s="614">
        <v>1.2153</v>
      </c>
      <c r="K61"/>
      <c r="M61" s="616" t="str">
        <f t="shared" si="1"/>
        <v/>
      </c>
      <c r="N61" s="614" t="str">
        <f t="shared" si="2"/>
        <v/>
      </c>
      <c r="O61" s="616" t="str">
        <f t="shared" si="7"/>
        <v/>
      </c>
      <c r="P61" s="614" t="str">
        <f t="shared" si="8"/>
        <v/>
      </c>
      <c r="Q61" s="616" t="str">
        <f t="shared" si="3"/>
        <v/>
      </c>
      <c r="R61" s="615" t="str">
        <f t="shared" si="4"/>
        <v/>
      </c>
      <c r="S61" s="616" t="str">
        <f t="shared" si="5"/>
        <v/>
      </c>
      <c r="T61" s="615" t="str">
        <f t="shared" si="6"/>
        <v/>
      </c>
      <c r="U61" s="614" t="str">
        <f t="shared" si="9"/>
        <v/>
      </c>
    </row>
    <row r="62" spans="1:21" x14ac:dyDescent="0.2">
      <c r="A62" s="614">
        <v>31</v>
      </c>
      <c r="E62" s="619">
        <v>42369</v>
      </c>
      <c r="F62" s="619">
        <v>22</v>
      </c>
      <c r="J62" s="614">
        <v>1.2735000000000001</v>
      </c>
      <c r="K62"/>
      <c r="M62" s="616" t="str">
        <f t="shared" si="1"/>
        <v/>
      </c>
      <c r="N62" s="614" t="str">
        <f t="shared" si="2"/>
        <v/>
      </c>
      <c r="O62" s="616" t="str">
        <f t="shared" si="7"/>
        <v/>
      </c>
      <c r="P62" s="614" t="str">
        <f t="shared" si="8"/>
        <v/>
      </c>
      <c r="Q62" s="616" t="str">
        <f t="shared" si="3"/>
        <v/>
      </c>
      <c r="R62" s="615" t="str">
        <f t="shared" si="4"/>
        <v/>
      </c>
      <c r="S62" s="616" t="str">
        <f t="shared" si="5"/>
        <v/>
      </c>
      <c r="T62" s="615" t="str">
        <f t="shared" si="6"/>
        <v/>
      </c>
      <c r="U62" s="614" t="str">
        <f t="shared" si="9"/>
        <v/>
      </c>
    </row>
    <row r="63" spans="1:21" x14ac:dyDescent="0.2">
      <c r="A63" s="614">
        <v>32</v>
      </c>
      <c r="E63" s="619">
        <v>42370</v>
      </c>
      <c r="F63" s="619">
        <v>22</v>
      </c>
      <c r="J63" s="614">
        <v>1.2735000000000001</v>
      </c>
      <c r="K63"/>
      <c r="M63" s="616" t="str">
        <f t="shared" si="1"/>
        <v/>
      </c>
      <c r="N63" s="614" t="str">
        <f t="shared" si="2"/>
        <v/>
      </c>
      <c r="O63" s="616" t="str">
        <f t="shared" si="7"/>
        <v/>
      </c>
      <c r="P63" s="614" t="str">
        <f t="shared" si="8"/>
        <v/>
      </c>
      <c r="Q63" s="616" t="str">
        <f t="shared" si="3"/>
        <v/>
      </c>
      <c r="R63" s="615" t="str">
        <f t="shared" si="4"/>
        <v/>
      </c>
      <c r="S63" s="616" t="str">
        <f t="shared" si="5"/>
        <v/>
      </c>
      <c r="T63" s="615" t="str">
        <f t="shared" si="6"/>
        <v/>
      </c>
      <c r="U63" s="614" t="str">
        <f t="shared" si="9"/>
        <v/>
      </c>
    </row>
    <row r="64" spans="1:21" x14ac:dyDescent="0.2">
      <c r="A64" s="614">
        <v>33</v>
      </c>
      <c r="E64" s="619">
        <v>42371</v>
      </c>
      <c r="F64" s="619">
        <v>22</v>
      </c>
      <c r="J64" s="614">
        <v>1.2735000000000001</v>
      </c>
      <c r="K64"/>
      <c r="M64" s="616" t="str">
        <f t="shared" si="1"/>
        <v/>
      </c>
      <c r="N64" s="614" t="str">
        <f t="shared" si="2"/>
        <v/>
      </c>
      <c r="O64" s="616" t="str">
        <f t="shared" si="7"/>
        <v/>
      </c>
      <c r="P64" s="614" t="str">
        <f t="shared" si="8"/>
        <v/>
      </c>
      <c r="Q64" s="616" t="str">
        <f t="shared" si="3"/>
        <v/>
      </c>
      <c r="R64" s="615" t="str">
        <f t="shared" si="4"/>
        <v/>
      </c>
      <c r="S64" s="616" t="str">
        <f t="shared" si="5"/>
        <v/>
      </c>
      <c r="T64" s="615" t="str">
        <f t="shared" si="6"/>
        <v/>
      </c>
      <c r="U64" s="614" t="str">
        <f t="shared" si="9"/>
        <v/>
      </c>
    </row>
    <row r="65" spans="1:21" x14ac:dyDescent="0.2">
      <c r="A65" s="614">
        <v>34</v>
      </c>
      <c r="E65" s="619">
        <v>42372</v>
      </c>
      <c r="F65" s="619">
        <v>22</v>
      </c>
      <c r="J65" s="614">
        <v>1.2735000000000001</v>
      </c>
      <c r="K65"/>
      <c r="M65" s="616" t="str">
        <f t="shared" si="1"/>
        <v/>
      </c>
      <c r="N65" s="614" t="str">
        <f t="shared" si="2"/>
        <v/>
      </c>
      <c r="O65" s="616" t="str">
        <f t="shared" si="7"/>
        <v/>
      </c>
      <c r="P65" s="614" t="str">
        <f t="shared" si="8"/>
        <v/>
      </c>
      <c r="Q65" s="616" t="str">
        <f t="shared" si="3"/>
        <v/>
      </c>
      <c r="R65" s="615" t="str">
        <f t="shared" si="4"/>
        <v/>
      </c>
      <c r="S65" s="616" t="str">
        <f t="shared" si="5"/>
        <v/>
      </c>
      <c r="T65" s="615" t="str">
        <f t="shared" si="6"/>
        <v/>
      </c>
      <c r="U65" s="614" t="str">
        <f t="shared" si="9"/>
        <v/>
      </c>
    </row>
    <row r="66" spans="1:21" x14ac:dyDescent="0.2">
      <c r="A66" s="614">
        <v>35</v>
      </c>
      <c r="E66" s="619">
        <v>42373</v>
      </c>
      <c r="F66" s="619">
        <v>23</v>
      </c>
      <c r="J66" s="614">
        <v>1.3318000000000001</v>
      </c>
      <c r="K66"/>
      <c r="M66" s="616" t="str">
        <f t="shared" si="1"/>
        <v/>
      </c>
      <c r="N66" s="614" t="str">
        <f t="shared" si="2"/>
        <v/>
      </c>
      <c r="O66" s="616" t="str">
        <f t="shared" si="7"/>
        <v/>
      </c>
      <c r="P66" s="614" t="str">
        <f t="shared" si="8"/>
        <v/>
      </c>
      <c r="Q66" s="616" t="str">
        <f t="shared" si="3"/>
        <v/>
      </c>
      <c r="R66" s="615" t="str">
        <f t="shared" si="4"/>
        <v/>
      </c>
      <c r="S66" s="616" t="str">
        <f t="shared" si="5"/>
        <v/>
      </c>
      <c r="T66" s="615" t="str">
        <f t="shared" si="6"/>
        <v/>
      </c>
      <c r="U66" s="614" t="str">
        <f t="shared" si="9"/>
        <v/>
      </c>
    </row>
    <row r="67" spans="1:21" x14ac:dyDescent="0.2">
      <c r="A67" s="614" t="s">
        <v>389</v>
      </c>
      <c r="E67" s="619"/>
      <c r="F67" s="619"/>
      <c r="K67"/>
      <c r="M67" s="616" t="str">
        <f t="shared" ref="M67:M101" si="10">IF(ISERROR(IF(A65="Índice de taxa média de depósitos interfinanceiros de um dia - IDI",RIGHT(LEFT(A67,13),10),"")+1-1),"",IF(A65="Índice de taxa média de depósitos interfinanceiros de um dia - IDI",RIGHT(LEFT(A67,13),10),"")+1-1)</f>
        <v/>
      </c>
      <c r="N67" s="614" t="str">
        <f t="shared" ref="N67:N101" si="11">IF(ISERROR(IF(A65="Índice de taxa média de depósitos interfinanceiros de um dia - IDI",LEFT(RIGHT(A67,19),11),"")+1-1),"",(IF(A65="Índice de taxa média de depósitos interfinanceiros de um dia - IDI",LEFT(RIGHT(A67,19),11),"")+1-1))</f>
        <v/>
      </c>
      <c r="O67" s="616" t="str">
        <f t="shared" si="7"/>
        <v/>
      </c>
      <c r="P67" s="614" t="str">
        <f t="shared" si="8"/>
        <v/>
      </c>
      <c r="Q67" s="616" t="str">
        <f t="shared" ref="Q67:Q101" si="12">IF(ISERROR(IF(A65="Taxa Referencial de DI / Cetip",RIGHT(A67,10),"")+1-1),"",(IF(A65="Taxa Referencial de DI / Cetip",RIGHT(A67,10),"")+1-1))</f>
        <v/>
      </c>
      <c r="R67" s="615" t="str">
        <f t="shared" ref="R67:R102" si="13">IF(ISERROR(IF(A65="Taxa Referencial de DI / Cetip",RIGHT(LEFT(A66,15),6),"")+1-1),"",(IF(A65="Taxa Referencial de DI / Cetip",RIGHT(LEFT(A66,15),6),"")+1-1))</f>
        <v/>
      </c>
      <c r="S67" s="616" t="str">
        <f t="shared" ref="S67:S101" si="14">IF(ISERROR(IF(A65="Taxa SELIC*",RIGHT(A67,11),"")+1-1),"",(IF(A65="Taxa SELIC*",RIGHT(A67,11),"")+1-1))</f>
        <v/>
      </c>
      <c r="T67" s="615" t="str">
        <f t="shared" ref="T67:T102" si="15">IF(ISERROR(IF(A65="Taxa SELIC*",RIGHT(LEFT(A66,13),6),"")+1-1),"",(IF(A65="Taxa SELIC*",RIGHT(LEFT(A66,13),6),"")+1-1))</f>
        <v/>
      </c>
      <c r="U67" s="614" t="str">
        <f t="shared" si="9"/>
        <v/>
      </c>
    </row>
    <row r="68" spans="1:21" x14ac:dyDescent="0.2">
      <c r="E68" s="619"/>
      <c r="F68" s="619"/>
      <c r="K68"/>
      <c r="M68" s="616" t="str">
        <f t="shared" si="10"/>
        <v/>
      </c>
      <c r="N68" s="614" t="str">
        <f t="shared" si="11"/>
        <v/>
      </c>
      <c r="O68" s="616" t="str">
        <f t="shared" si="7"/>
        <v/>
      </c>
      <c r="P68" s="614" t="str">
        <f t="shared" si="8"/>
        <v/>
      </c>
      <c r="Q68" s="616" t="str">
        <f t="shared" si="12"/>
        <v/>
      </c>
      <c r="R68" s="615" t="str">
        <f t="shared" si="13"/>
        <v/>
      </c>
      <c r="S68" s="616" t="str">
        <f t="shared" si="14"/>
        <v/>
      </c>
      <c r="T68" s="615" t="str">
        <f t="shared" si="15"/>
        <v/>
      </c>
      <c r="U68" s="614" t="str">
        <f t="shared" si="9"/>
        <v/>
      </c>
    </row>
    <row r="69" spans="1:21" x14ac:dyDescent="0.2">
      <c r="A69" s="614" t="s">
        <v>342</v>
      </c>
      <c r="E69" s="619"/>
      <c r="F69" s="619"/>
      <c r="K69"/>
      <c r="M69" s="616" t="str">
        <f t="shared" si="10"/>
        <v/>
      </c>
      <c r="N69" s="614" t="str">
        <f t="shared" si="11"/>
        <v/>
      </c>
      <c r="O69" s="616" t="str">
        <f t="shared" si="7"/>
        <v/>
      </c>
      <c r="P69" s="614" t="str">
        <f t="shared" si="8"/>
        <v/>
      </c>
      <c r="Q69" s="616" t="str">
        <f t="shared" si="12"/>
        <v/>
      </c>
      <c r="R69" s="615" t="str">
        <f t="shared" si="13"/>
        <v/>
      </c>
      <c r="S69" s="616" t="str">
        <f t="shared" si="14"/>
        <v/>
      </c>
      <c r="T69" s="615" t="str">
        <f t="shared" si="15"/>
        <v/>
      </c>
      <c r="U69" s="614" t="str">
        <f t="shared" si="9"/>
        <v/>
      </c>
    </row>
    <row r="70" spans="1:21" x14ac:dyDescent="0.2">
      <c r="E70" s="619" t="s">
        <v>343</v>
      </c>
      <c r="F70" s="619" t="s">
        <v>344</v>
      </c>
      <c r="K70"/>
      <c r="M70" s="616" t="str">
        <f t="shared" si="10"/>
        <v/>
      </c>
      <c r="N70" s="614" t="str">
        <f t="shared" si="11"/>
        <v/>
      </c>
      <c r="O70" s="616" t="str">
        <f t="shared" ref="O70:O101" si="16">IF(ISERROR(IF(A65="Índice de taxa média de depósitos interfinanceiros de um dia - IDI",RIGHT(LEFT(A70,13),10),"")+1-1),"",IF(A65="Índice de taxa média de depósitos interfinanceiros de um dia - IDI",RIGHT(LEFT(A70,13),10),"")+1-1)</f>
        <v/>
      </c>
      <c r="P70" s="614" t="str">
        <f t="shared" ref="P70:P101" si="17">IF(ISERROR(IF(A65="Índice de taxa média de depósitos interfinanceiros de um dia - IDI",LEFT(RIGHT(A70,19),11),"")+1-1),"",(IF(A65="Índice de taxa média de depósitos interfinanceiros de um dia - IDI",LEFT(RIGHT(A70,19),11),"")+1-1))</f>
        <v/>
      </c>
      <c r="Q70" s="616" t="str">
        <f t="shared" si="12"/>
        <v/>
      </c>
      <c r="R70" s="615" t="str">
        <f t="shared" si="13"/>
        <v/>
      </c>
      <c r="S70" s="616" t="str">
        <f t="shared" si="14"/>
        <v/>
      </c>
      <c r="T70" s="615" t="str">
        <f t="shared" si="15"/>
        <v/>
      </c>
      <c r="U70" s="614" t="str">
        <f t="shared" si="9"/>
        <v/>
      </c>
    </row>
    <row r="71" spans="1:21" x14ac:dyDescent="0.2">
      <c r="A71" s="614" t="s">
        <v>345</v>
      </c>
      <c r="E71" s="614">
        <v>7.0000000000000007E-2</v>
      </c>
      <c r="F71" s="619">
        <v>-1.51</v>
      </c>
      <c r="K71"/>
      <c r="M71" s="616" t="str">
        <f t="shared" si="10"/>
        <v/>
      </c>
      <c r="N71" s="614" t="str">
        <f t="shared" si="11"/>
        <v/>
      </c>
      <c r="O71" s="616" t="str">
        <f t="shared" si="16"/>
        <v/>
      </c>
      <c r="P71" s="614" t="str">
        <f t="shared" si="17"/>
        <v/>
      </c>
      <c r="Q71" s="616" t="str">
        <f t="shared" si="12"/>
        <v/>
      </c>
      <c r="R71" s="615" t="str">
        <f t="shared" si="13"/>
        <v/>
      </c>
      <c r="S71" s="616" t="str">
        <f t="shared" si="14"/>
        <v/>
      </c>
      <c r="T71" s="615" t="str">
        <f t="shared" si="15"/>
        <v/>
      </c>
      <c r="U71" s="614" t="str">
        <f t="shared" si="9"/>
        <v/>
      </c>
    </row>
    <row r="72" spans="1:21" x14ac:dyDescent="0.2">
      <c r="A72" s="614" t="s">
        <v>346</v>
      </c>
      <c r="E72" s="614">
        <v>0.05</v>
      </c>
      <c r="F72" s="614">
        <v>-1.53</v>
      </c>
      <c r="K72"/>
      <c r="M72" s="616" t="str">
        <f t="shared" si="10"/>
        <v/>
      </c>
      <c r="N72" s="614" t="str">
        <f t="shared" si="11"/>
        <v/>
      </c>
      <c r="O72" s="616" t="str">
        <f t="shared" si="16"/>
        <v/>
      </c>
      <c r="P72" s="614" t="str">
        <f t="shared" si="17"/>
        <v/>
      </c>
      <c r="Q72" s="616" t="str">
        <f t="shared" si="12"/>
        <v/>
      </c>
      <c r="R72" s="615" t="str">
        <f t="shared" si="13"/>
        <v/>
      </c>
      <c r="S72" s="616" t="str">
        <f t="shared" si="14"/>
        <v/>
      </c>
      <c r="T72" s="615" t="str">
        <f t="shared" si="15"/>
        <v/>
      </c>
      <c r="U72" s="614" t="str">
        <f t="shared" si="9"/>
        <v/>
      </c>
    </row>
    <row r="73" spans="1:21" x14ac:dyDescent="0.2">
      <c r="A73" s="614" t="s">
        <v>360</v>
      </c>
      <c r="E73" s="614">
        <v>0</v>
      </c>
      <c r="F73" s="614">
        <v>-3</v>
      </c>
      <c r="K73"/>
      <c r="M73" s="616" t="str">
        <f t="shared" si="10"/>
        <v/>
      </c>
      <c r="N73" s="614" t="str">
        <f t="shared" si="11"/>
        <v/>
      </c>
      <c r="O73" s="616" t="str">
        <f t="shared" si="16"/>
        <v/>
      </c>
      <c r="P73" s="614" t="str">
        <f t="shared" si="17"/>
        <v/>
      </c>
      <c r="Q73" s="616" t="str">
        <f t="shared" si="12"/>
        <v/>
      </c>
      <c r="R73" s="615" t="str">
        <f t="shared" si="13"/>
        <v/>
      </c>
      <c r="S73" s="616" t="str">
        <f t="shared" si="14"/>
        <v/>
      </c>
      <c r="T73" s="615" t="str">
        <f t="shared" si="15"/>
        <v/>
      </c>
      <c r="U73" s="614" t="str">
        <f t="shared" ref="U73:U101" si="18">IF((LEFT(H73,7)="venda ="),RIGHT(H73,6)+1-1,"")</f>
        <v/>
      </c>
    </row>
    <row r="74" spans="1:21" x14ac:dyDescent="0.2">
      <c r="A74" s="614" t="s">
        <v>361</v>
      </c>
      <c r="E74" s="614">
        <v>1.1599999999999999</v>
      </c>
      <c r="F74" s="614">
        <v>2.08</v>
      </c>
      <c r="K74"/>
      <c r="M74" s="616" t="str">
        <f t="shared" si="10"/>
        <v/>
      </c>
      <c r="N74" s="614" t="str">
        <f t="shared" si="11"/>
        <v/>
      </c>
      <c r="O74" s="616" t="str">
        <f t="shared" si="16"/>
        <v/>
      </c>
      <c r="P74" s="614" t="str">
        <f t="shared" si="17"/>
        <v/>
      </c>
      <c r="Q74" s="616" t="str">
        <f t="shared" si="12"/>
        <v/>
      </c>
      <c r="R74" s="615" t="str">
        <f t="shared" si="13"/>
        <v/>
      </c>
      <c r="S74" s="616" t="str">
        <f t="shared" si="14"/>
        <v/>
      </c>
      <c r="T74" s="615" t="str">
        <f t="shared" si="15"/>
        <v/>
      </c>
      <c r="U74" s="614" t="str">
        <f t="shared" si="18"/>
        <v/>
      </c>
    </row>
    <row r="75" spans="1:21" x14ac:dyDescent="0.2">
      <c r="A75" s="614" t="s">
        <v>365</v>
      </c>
      <c r="E75" s="614">
        <v>1.07</v>
      </c>
      <c r="F75" s="614">
        <v>0.89</v>
      </c>
      <c r="K75"/>
      <c r="M75" s="616" t="str">
        <f t="shared" si="10"/>
        <v/>
      </c>
      <c r="N75" s="614" t="str">
        <f t="shared" si="11"/>
        <v/>
      </c>
      <c r="O75" s="616" t="str">
        <f t="shared" si="16"/>
        <v/>
      </c>
      <c r="P75" s="614" t="str">
        <f t="shared" si="17"/>
        <v/>
      </c>
      <c r="Q75" s="616" t="str">
        <f t="shared" si="12"/>
        <v/>
      </c>
      <c r="R75" s="615" t="str">
        <f t="shared" si="13"/>
        <v/>
      </c>
      <c r="S75" s="616" t="str">
        <f t="shared" si="14"/>
        <v/>
      </c>
      <c r="T75" s="615" t="str">
        <f t="shared" si="15"/>
        <v/>
      </c>
      <c r="U75" s="614" t="str">
        <f t="shared" si="18"/>
        <v/>
      </c>
    </row>
    <row r="76" spans="1:21" x14ac:dyDescent="0.2">
      <c r="A76" s="614" t="s">
        <v>373</v>
      </c>
      <c r="E76" s="614">
        <v>1.04</v>
      </c>
      <c r="F76" s="614">
        <v>0.79</v>
      </c>
      <c r="K76"/>
      <c r="M76" s="616" t="str">
        <f t="shared" si="10"/>
        <v/>
      </c>
      <c r="N76" s="614" t="str">
        <f t="shared" si="11"/>
        <v/>
      </c>
      <c r="O76" s="616" t="str">
        <f t="shared" si="16"/>
        <v/>
      </c>
      <c r="P76" s="614" t="str">
        <f t="shared" si="17"/>
        <v/>
      </c>
      <c r="Q76" s="616" t="str">
        <f t="shared" si="12"/>
        <v/>
      </c>
      <c r="R76" s="615" t="str">
        <f t="shared" si="13"/>
        <v/>
      </c>
      <c r="S76" s="616" t="str">
        <f t="shared" si="14"/>
        <v/>
      </c>
      <c r="T76" s="615" t="str">
        <f t="shared" si="15"/>
        <v/>
      </c>
      <c r="U76" s="614" t="str">
        <f t="shared" si="18"/>
        <v/>
      </c>
    </row>
    <row r="77" spans="1:21" x14ac:dyDescent="0.2">
      <c r="A77" s="614" t="s">
        <v>411</v>
      </c>
      <c r="K77"/>
      <c r="M77" s="616" t="str">
        <f t="shared" si="10"/>
        <v/>
      </c>
      <c r="N77" s="614" t="str">
        <f t="shared" si="11"/>
        <v/>
      </c>
      <c r="O77" s="616" t="str">
        <f t="shared" si="16"/>
        <v/>
      </c>
      <c r="P77" s="614" t="str">
        <f t="shared" si="17"/>
        <v/>
      </c>
      <c r="Q77" s="616" t="str">
        <f t="shared" si="12"/>
        <v/>
      </c>
      <c r="R77" s="615" t="str">
        <f t="shared" si="13"/>
        <v/>
      </c>
      <c r="S77" s="616" t="str">
        <f t="shared" si="14"/>
        <v/>
      </c>
      <c r="T77" s="615" t="str">
        <f t="shared" si="15"/>
        <v/>
      </c>
      <c r="U77" s="614" t="str">
        <f t="shared" si="18"/>
        <v/>
      </c>
    </row>
    <row r="78" spans="1:21" x14ac:dyDescent="0.2">
      <c r="A78" s="614" t="s">
        <v>347</v>
      </c>
      <c r="K78"/>
      <c r="M78" s="616" t="str">
        <f t="shared" si="10"/>
        <v/>
      </c>
      <c r="N78" s="614" t="str">
        <f t="shared" si="11"/>
        <v/>
      </c>
      <c r="O78" s="616" t="str">
        <f t="shared" si="16"/>
        <v/>
      </c>
      <c r="P78" s="614" t="str">
        <f t="shared" si="17"/>
        <v/>
      </c>
      <c r="Q78" s="616" t="str">
        <f t="shared" si="12"/>
        <v/>
      </c>
      <c r="R78" s="615" t="str">
        <f t="shared" si="13"/>
        <v/>
      </c>
      <c r="S78" s="616" t="str">
        <f t="shared" si="14"/>
        <v/>
      </c>
      <c r="T78" s="615" t="str">
        <f t="shared" si="15"/>
        <v/>
      </c>
      <c r="U78" s="614" t="str">
        <f t="shared" si="18"/>
        <v/>
      </c>
    </row>
    <row r="79" spans="1:21" x14ac:dyDescent="0.2">
      <c r="A79" s="614" t="s">
        <v>348</v>
      </c>
      <c r="K79"/>
      <c r="M79" s="616" t="str">
        <f t="shared" si="10"/>
        <v/>
      </c>
      <c r="N79" s="614" t="str">
        <f t="shared" si="11"/>
        <v/>
      </c>
      <c r="O79" s="616" t="str">
        <f t="shared" si="16"/>
        <v/>
      </c>
      <c r="P79" s="614" t="str">
        <f t="shared" si="17"/>
        <v/>
      </c>
      <c r="Q79" s="616" t="str">
        <f t="shared" si="12"/>
        <v/>
      </c>
      <c r="R79" s="615" t="str">
        <f t="shared" si="13"/>
        <v/>
      </c>
      <c r="S79" s="616" t="str">
        <f t="shared" si="14"/>
        <v/>
      </c>
      <c r="T79" s="615" t="str">
        <f t="shared" si="15"/>
        <v/>
      </c>
      <c r="U79" s="614" t="str">
        <f t="shared" si="18"/>
        <v/>
      </c>
    </row>
    <row r="80" spans="1:21" x14ac:dyDescent="0.2">
      <c r="K80"/>
      <c r="M80" s="616" t="str">
        <f t="shared" si="10"/>
        <v/>
      </c>
      <c r="N80" s="614" t="str">
        <f t="shared" si="11"/>
        <v/>
      </c>
      <c r="O80" s="616" t="str">
        <f t="shared" si="16"/>
        <v/>
      </c>
      <c r="P80" s="614" t="str">
        <f t="shared" si="17"/>
        <v/>
      </c>
      <c r="Q80" s="616" t="str">
        <f t="shared" si="12"/>
        <v/>
      </c>
      <c r="R80" s="615" t="str">
        <f t="shared" si="13"/>
        <v/>
      </c>
      <c r="S80" s="616" t="str">
        <f t="shared" si="14"/>
        <v/>
      </c>
      <c r="T80" s="615" t="str">
        <f t="shared" si="15"/>
        <v/>
      </c>
      <c r="U80" s="614" t="str">
        <f t="shared" si="18"/>
        <v/>
      </c>
    </row>
    <row r="81" spans="1:21" x14ac:dyDescent="0.2">
      <c r="A81" s="614" t="s">
        <v>349</v>
      </c>
      <c r="F81" s="614" t="s">
        <v>350</v>
      </c>
      <c r="K81"/>
      <c r="M81" s="616" t="str">
        <f t="shared" si="10"/>
        <v/>
      </c>
      <c r="N81" s="614" t="str">
        <f t="shared" si="11"/>
        <v/>
      </c>
      <c r="O81" s="616" t="str">
        <f t="shared" si="16"/>
        <v/>
      </c>
      <c r="P81" s="614" t="str">
        <f t="shared" si="17"/>
        <v/>
      </c>
      <c r="Q81" s="616" t="str">
        <f t="shared" si="12"/>
        <v/>
      </c>
      <c r="R81" s="615" t="str">
        <f t="shared" si="13"/>
        <v/>
      </c>
      <c r="S81" s="616" t="str">
        <f t="shared" si="14"/>
        <v/>
      </c>
      <c r="T81" s="615" t="str">
        <f t="shared" si="15"/>
        <v/>
      </c>
      <c r="U81" s="614" t="str">
        <f t="shared" si="18"/>
        <v/>
      </c>
    </row>
    <row r="82" spans="1:21" x14ac:dyDescent="0.2">
      <c r="A82" s="620" t="s">
        <v>351</v>
      </c>
      <c r="B82" s="614" t="s">
        <v>352</v>
      </c>
      <c r="C82" s="614" t="s">
        <v>353</v>
      </c>
      <c r="D82" s="614" t="s">
        <v>354</v>
      </c>
      <c r="F82" s="620" t="s">
        <v>351</v>
      </c>
      <c r="G82" s="620" t="s">
        <v>352</v>
      </c>
      <c r="H82" s="614" t="s">
        <v>353</v>
      </c>
      <c r="I82" s="614" t="s">
        <v>354</v>
      </c>
      <c r="K82"/>
      <c r="M82" s="616" t="str">
        <f t="shared" si="10"/>
        <v/>
      </c>
      <c r="N82" s="614" t="str">
        <f t="shared" si="11"/>
        <v/>
      </c>
      <c r="O82" s="616" t="str">
        <f t="shared" si="16"/>
        <v/>
      </c>
      <c r="P82" s="614" t="str">
        <f t="shared" si="17"/>
        <v/>
      </c>
      <c r="Q82" s="616" t="str">
        <f t="shared" si="12"/>
        <v/>
      </c>
      <c r="R82" s="615" t="str">
        <f t="shared" si="13"/>
        <v/>
      </c>
      <c r="S82" s="616" t="str">
        <f t="shared" si="14"/>
        <v/>
      </c>
      <c r="T82" s="615" t="str">
        <f t="shared" si="15"/>
        <v/>
      </c>
      <c r="U82" s="614" t="str">
        <f t="shared" si="18"/>
        <v/>
      </c>
    </row>
    <row r="83" spans="1:21" x14ac:dyDescent="0.2">
      <c r="A83" s="620">
        <v>42186</v>
      </c>
      <c r="B83" s="614">
        <v>-4.17</v>
      </c>
      <c r="C83" s="614">
        <v>1.71</v>
      </c>
      <c r="D83" s="614">
        <v>-8.89</v>
      </c>
      <c r="F83" s="620">
        <v>42186</v>
      </c>
      <c r="G83" s="620">
        <v>-3.75</v>
      </c>
      <c r="H83" s="614">
        <v>2.71</v>
      </c>
      <c r="I83" s="614">
        <v>-7.68</v>
      </c>
      <c r="K83"/>
      <c r="M83" s="616" t="str">
        <f t="shared" si="10"/>
        <v/>
      </c>
      <c r="N83" s="614" t="str">
        <f t="shared" si="11"/>
        <v/>
      </c>
      <c r="O83" s="616" t="str">
        <f t="shared" si="16"/>
        <v/>
      </c>
      <c r="P83" s="614" t="str">
        <f t="shared" si="17"/>
        <v/>
      </c>
      <c r="Q83" s="616" t="str">
        <f t="shared" si="12"/>
        <v/>
      </c>
      <c r="R83" s="615" t="str">
        <f t="shared" si="13"/>
        <v/>
      </c>
      <c r="S83" s="616" t="str">
        <f t="shared" si="14"/>
        <v/>
      </c>
      <c r="T83" s="615" t="str">
        <f t="shared" si="15"/>
        <v/>
      </c>
      <c r="U83" s="614" t="str">
        <f t="shared" si="18"/>
        <v/>
      </c>
    </row>
    <row r="84" spans="1:21" x14ac:dyDescent="0.2">
      <c r="A84" s="620">
        <v>42217</v>
      </c>
      <c r="B84" s="614">
        <v>-8.33</v>
      </c>
      <c r="C84" s="614">
        <v>-6.76</v>
      </c>
      <c r="D84" s="614">
        <v>0</v>
      </c>
      <c r="F84" s="620">
        <v>42217</v>
      </c>
      <c r="G84" s="620">
        <v>-7.98</v>
      </c>
      <c r="H84" s="614">
        <v>-5.49</v>
      </c>
      <c r="I84" s="614">
        <v>0</v>
      </c>
      <c r="K84"/>
      <c r="M84" s="616" t="str">
        <f t="shared" si="10"/>
        <v/>
      </c>
      <c r="N84" s="614" t="str">
        <f t="shared" si="11"/>
        <v/>
      </c>
      <c r="O84" s="616" t="str">
        <f t="shared" si="16"/>
        <v/>
      </c>
      <c r="P84" s="614" t="str">
        <f t="shared" si="17"/>
        <v/>
      </c>
      <c r="Q84" s="616" t="str">
        <f t="shared" si="12"/>
        <v/>
      </c>
      <c r="R84" s="615" t="str">
        <f t="shared" si="13"/>
        <v/>
      </c>
      <c r="S84" s="616" t="str">
        <f t="shared" si="14"/>
        <v/>
      </c>
      <c r="T84" s="615" t="str">
        <f t="shared" si="15"/>
        <v/>
      </c>
      <c r="U84" s="614" t="str">
        <f t="shared" si="18"/>
        <v/>
      </c>
    </row>
    <row r="85" spans="1:21" x14ac:dyDescent="0.2">
      <c r="A85" s="620">
        <v>42248</v>
      </c>
      <c r="B85" s="614">
        <v>-3.36</v>
      </c>
      <c r="C85" s="614">
        <v>-9.89</v>
      </c>
      <c r="D85" s="614">
        <v>-16.73</v>
      </c>
      <c r="F85" s="620">
        <v>42248</v>
      </c>
      <c r="G85" s="620">
        <v>-3.25</v>
      </c>
      <c r="H85" s="614">
        <v>-8.56</v>
      </c>
      <c r="I85" s="614">
        <v>-15.4</v>
      </c>
      <c r="K85"/>
      <c r="M85" s="616" t="str">
        <f t="shared" si="10"/>
        <v/>
      </c>
      <c r="N85" s="614" t="str">
        <f t="shared" si="11"/>
        <v/>
      </c>
      <c r="O85" s="616" t="str">
        <f t="shared" si="16"/>
        <v/>
      </c>
      <c r="P85" s="614" t="str">
        <f t="shared" si="17"/>
        <v/>
      </c>
      <c r="Q85" s="616" t="str">
        <f t="shared" si="12"/>
        <v/>
      </c>
      <c r="R85" s="615" t="str">
        <f t="shared" si="13"/>
        <v/>
      </c>
      <c r="S85" s="616" t="str">
        <f t="shared" si="14"/>
        <v/>
      </c>
      <c r="T85" s="615" t="str">
        <f t="shared" si="15"/>
        <v/>
      </c>
      <c r="U85" s="614" t="str">
        <f t="shared" si="18"/>
        <v/>
      </c>
    </row>
    <row r="86" spans="1:21" x14ac:dyDescent="0.2">
      <c r="A86" s="620">
        <v>42278</v>
      </c>
      <c r="B86" s="614">
        <v>1.8</v>
      </c>
      <c r="C86" s="614">
        <v>-8.2799999999999994</v>
      </c>
      <c r="D86" s="614">
        <v>-12.36</v>
      </c>
      <c r="F86" s="620">
        <v>42278</v>
      </c>
      <c r="G86" s="620">
        <v>1.06</v>
      </c>
      <c r="H86" s="614">
        <v>-7.6</v>
      </c>
      <c r="I86" s="614">
        <v>-11.78</v>
      </c>
      <c r="K86"/>
      <c r="M86" s="616" t="str">
        <f t="shared" si="10"/>
        <v/>
      </c>
      <c r="N86" s="614" t="str">
        <f t="shared" si="11"/>
        <v/>
      </c>
      <c r="O86" s="616" t="str">
        <f t="shared" si="16"/>
        <v/>
      </c>
      <c r="P86" s="614" t="str">
        <f t="shared" si="17"/>
        <v/>
      </c>
      <c r="Q86" s="616" t="str">
        <f t="shared" si="12"/>
        <v/>
      </c>
      <c r="R86" s="615" t="str">
        <f t="shared" si="13"/>
        <v/>
      </c>
      <c r="S86" s="616" t="str">
        <f t="shared" si="14"/>
        <v/>
      </c>
      <c r="T86" s="615" t="str">
        <f t="shared" si="15"/>
        <v/>
      </c>
      <c r="U86" s="614" t="str">
        <f t="shared" si="18"/>
        <v/>
      </c>
    </row>
    <row r="87" spans="1:21" x14ac:dyDescent="0.2">
      <c r="A87" s="620">
        <v>42309</v>
      </c>
      <c r="B87" s="614">
        <v>-1.63</v>
      </c>
      <c r="C87" s="614">
        <v>-9.77</v>
      </c>
      <c r="D87" s="614">
        <v>0</v>
      </c>
      <c r="F87" s="620">
        <v>42309</v>
      </c>
      <c r="G87" s="620">
        <v>-1.98</v>
      </c>
      <c r="H87" s="614">
        <v>-9.43</v>
      </c>
      <c r="I87" s="614">
        <v>0</v>
      </c>
      <c r="K87"/>
      <c r="M87" s="616" t="str">
        <f t="shared" si="10"/>
        <v/>
      </c>
      <c r="N87" s="614" t="str">
        <f t="shared" si="11"/>
        <v/>
      </c>
      <c r="O87" s="616" t="str">
        <f t="shared" si="16"/>
        <v/>
      </c>
      <c r="P87" s="614" t="str">
        <f t="shared" si="17"/>
        <v/>
      </c>
      <c r="Q87" s="616" t="str">
        <f t="shared" si="12"/>
        <v/>
      </c>
      <c r="R87" s="615" t="str">
        <f t="shared" si="13"/>
        <v/>
      </c>
      <c r="S87" s="616" t="str">
        <f t="shared" si="14"/>
        <v/>
      </c>
      <c r="T87" s="615" t="str">
        <f t="shared" si="15"/>
        <v/>
      </c>
      <c r="U87" s="614" t="str">
        <f t="shared" si="18"/>
        <v/>
      </c>
    </row>
    <row r="88" spans="1:21" x14ac:dyDescent="0.2">
      <c r="A88" s="620"/>
      <c r="F88" s="620"/>
      <c r="G88" s="620"/>
      <c r="K88"/>
      <c r="M88" s="616" t="str">
        <f t="shared" si="10"/>
        <v/>
      </c>
      <c r="N88" s="614" t="str">
        <f t="shared" si="11"/>
        <v/>
      </c>
      <c r="O88" s="616" t="str">
        <f t="shared" si="16"/>
        <v/>
      </c>
      <c r="P88" s="614" t="str">
        <f t="shared" si="17"/>
        <v/>
      </c>
      <c r="Q88" s="616" t="str">
        <f t="shared" si="12"/>
        <v/>
      </c>
      <c r="R88" s="615" t="str">
        <f t="shared" si="13"/>
        <v/>
      </c>
      <c r="S88" s="616" t="str">
        <f t="shared" si="14"/>
        <v/>
      </c>
      <c r="T88" s="615" t="str">
        <f t="shared" si="15"/>
        <v/>
      </c>
      <c r="U88" s="614" t="str">
        <f t="shared" si="18"/>
        <v/>
      </c>
    </row>
    <row r="89" spans="1:21" x14ac:dyDescent="0.2">
      <c r="A89" s="620" t="s">
        <v>355</v>
      </c>
      <c r="F89" s="620" t="s">
        <v>356</v>
      </c>
      <c r="G89" s="620"/>
      <c r="K89"/>
      <c r="M89" s="616" t="str">
        <f t="shared" si="10"/>
        <v/>
      </c>
      <c r="N89" s="614" t="str">
        <f t="shared" si="11"/>
        <v/>
      </c>
      <c r="O89" s="616" t="str">
        <f t="shared" si="16"/>
        <v/>
      </c>
      <c r="P89" s="614" t="str">
        <f t="shared" si="17"/>
        <v/>
      </c>
      <c r="Q89" s="616" t="str">
        <f t="shared" si="12"/>
        <v/>
      </c>
      <c r="R89" s="615" t="str">
        <f t="shared" si="13"/>
        <v/>
      </c>
      <c r="S89" s="616" t="str">
        <f t="shared" si="14"/>
        <v/>
      </c>
      <c r="T89" s="615" t="str">
        <f t="shared" si="15"/>
        <v/>
      </c>
      <c r="U89" s="614" t="str">
        <f t="shared" si="18"/>
        <v/>
      </c>
    </row>
    <row r="90" spans="1:21" x14ac:dyDescent="0.2">
      <c r="A90" s="620" t="s">
        <v>351</v>
      </c>
      <c r="B90" s="614" t="s">
        <v>352</v>
      </c>
      <c r="C90" s="614" t="s">
        <v>353</v>
      </c>
      <c r="D90" s="614" t="s">
        <v>354</v>
      </c>
      <c r="F90" s="620" t="s">
        <v>351</v>
      </c>
      <c r="G90" s="620" t="s">
        <v>352</v>
      </c>
      <c r="H90" s="614" t="s">
        <v>353</v>
      </c>
      <c r="I90" s="614" t="s">
        <v>354</v>
      </c>
      <c r="K90"/>
      <c r="M90" s="616" t="str">
        <f t="shared" si="10"/>
        <v/>
      </c>
      <c r="N90" s="614" t="str">
        <f t="shared" si="11"/>
        <v/>
      </c>
      <c r="O90" s="616" t="str">
        <f t="shared" si="16"/>
        <v/>
      </c>
      <c r="P90" s="614" t="str">
        <f t="shared" si="17"/>
        <v/>
      </c>
      <c r="Q90" s="616" t="str">
        <f t="shared" si="12"/>
        <v/>
      </c>
      <c r="R90" s="615" t="str">
        <f t="shared" si="13"/>
        <v/>
      </c>
      <c r="S90" s="616" t="str">
        <f t="shared" si="14"/>
        <v/>
      </c>
      <c r="T90" s="615" t="str">
        <f t="shared" si="15"/>
        <v/>
      </c>
      <c r="U90" s="614" t="str">
        <f t="shared" si="18"/>
        <v/>
      </c>
    </row>
    <row r="91" spans="1:21" x14ac:dyDescent="0.2">
      <c r="A91" s="620">
        <v>42186</v>
      </c>
      <c r="B91" s="614">
        <v>0.51</v>
      </c>
      <c r="C91" s="614">
        <v>17.850000000000001</v>
      </c>
      <c r="D91" s="614">
        <v>28.49</v>
      </c>
      <c r="F91" s="620">
        <v>42186</v>
      </c>
      <c r="G91" s="620">
        <v>9.39</v>
      </c>
      <c r="H91" s="614">
        <v>27.78</v>
      </c>
      <c r="I91" s="614">
        <v>49.69</v>
      </c>
      <c r="K91"/>
      <c r="M91" s="616" t="str">
        <f t="shared" si="10"/>
        <v/>
      </c>
      <c r="N91" s="614" t="str">
        <f t="shared" si="11"/>
        <v/>
      </c>
      <c r="O91" s="616" t="str">
        <f t="shared" si="16"/>
        <v/>
      </c>
      <c r="P91" s="614" t="str">
        <f t="shared" si="17"/>
        <v/>
      </c>
      <c r="Q91" s="616" t="str">
        <f t="shared" si="12"/>
        <v/>
      </c>
      <c r="R91" s="615" t="str">
        <f t="shared" si="13"/>
        <v/>
      </c>
      <c r="S91" s="616" t="str">
        <f t="shared" si="14"/>
        <v/>
      </c>
      <c r="T91" s="615" t="str">
        <f t="shared" si="15"/>
        <v/>
      </c>
      <c r="U91" s="614" t="str">
        <f t="shared" si="18"/>
        <v/>
      </c>
    </row>
    <row r="92" spans="1:21" x14ac:dyDescent="0.2">
      <c r="A92" s="620">
        <v>42217</v>
      </c>
      <c r="B92" s="614">
        <v>10.039999999999999</v>
      </c>
      <c r="C92" s="614">
        <v>29.68</v>
      </c>
      <c r="D92" s="614">
        <v>0</v>
      </c>
      <c r="F92" s="620">
        <v>42217</v>
      </c>
      <c r="G92" s="620">
        <v>7.45</v>
      </c>
      <c r="H92" s="614">
        <v>37.29</v>
      </c>
      <c r="I92" s="614">
        <v>0</v>
      </c>
      <c r="K92"/>
      <c r="M92" s="616" t="str">
        <f t="shared" si="10"/>
        <v/>
      </c>
      <c r="N92" s="614" t="str">
        <f t="shared" si="11"/>
        <v/>
      </c>
      <c r="O92" s="616" t="str">
        <f t="shared" si="16"/>
        <v/>
      </c>
      <c r="P92" s="614" t="str">
        <f t="shared" si="17"/>
        <v/>
      </c>
      <c r="Q92" s="616" t="str">
        <f t="shared" si="12"/>
        <v/>
      </c>
      <c r="R92" s="615" t="str">
        <f t="shared" si="13"/>
        <v/>
      </c>
      <c r="S92" s="616" t="str">
        <f t="shared" si="14"/>
        <v/>
      </c>
      <c r="T92" s="615" t="str">
        <f t="shared" si="15"/>
        <v/>
      </c>
      <c r="U92" s="614" t="str">
        <f t="shared" si="18"/>
        <v/>
      </c>
    </row>
    <row r="93" spans="1:21" x14ac:dyDescent="0.2">
      <c r="A93" s="620">
        <v>42248</v>
      </c>
      <c r="B93" s="614">
        <v>7.22</v>
      </c>
      <c r="C93" s="614">
        <v>39.049999999999997</v>
      </c>
      <c r="D93" s="614">
        <v>48.42</v>
      </c>
      <c r="F93" s="620">
        <v>42248</v>
      </c>
      <c r="G93" s="620">
        <v>8.9499999999999993</v>
      </c>
      <c r="H93" s="614">
        <v>49.57</v>
      </c>
      <c r="I93" s="614">
        <v>62.09</v>
      </c>
      <c r="K93"/>
      <c r="M93" s="616" t="str">
        <f t="shared" si="10"/>
        <v/>
      </c>
      <c r="N93" s="614" t="str">
        <f t="shared" si="11"/>
        <v/>
      </c>
      <c r="O93" s="616" t="str">
        <f t="shared" si="16"/>
        <v/>
      </c>
      <c r="P93" s="614" t="str">
        <f t="shared" si="17"/>
        <v/>
      </c>
      <c r="Q93" s="616" t="str">
        <f t="shared" si="12"/>
        <v/>
      </c>
      <c r="R93" s="615" t="str">
        <f t="shared" si="13"/>
        <v/>
      </c>
      <c r="S93" s="616" t="str">
        <f t="shared" si="14"/>
        <v/>
      </c>
      <c r="T93" s="615" t="str">
        <f t="shared" si="15"/>
        <v/>
      </c>
      <c r="U93" s="614" t="str">
        <f t="shared" si="18"/>
        <v/>
      </c>
    </row>
    <row r="94" spans="1:21" x14ac:dyDescent="0.2">
      <c r="A94" s="620">
        <v>42278</v>
      </c>
      <c r="B94" s="614">
        <v>-0.53</v>
      </c>
      <c r="C94" s="614">
        <v>38.31</v>
      </c>
      <c r="D94" s="614">
        <v>50.81</v>
      </c>
      <c r="F94" s="620">
        <v>42278</v>
      </c>
      <c r="G94" s="620">
        <v>-2.87</v>
      </c>
      <c r="H94" s="614">
        <v>45.28</v>
      </c>
      <c r="I94" s="614">
        <v>59.99</v>
      </c>
      <c r="K94"/>
      <c r="M94" s="616" t="str">
        <f t="shared" si="10"/>
        <v/>
      </c>
      <c r="N94" s="614" t="str">
        <f t="shared" si="11"/>
        <v/>
      </c>
      <c r="O94" s="616" t="str">
        <f t="shared" si="16"/>
        <v/>
      </c>
      <c r="P94" s="614" t="str">
        <f t="shared" si="17"/>
        <v/>
      </c>
      <c r="Q94" s="616" t="str">
        <f t="shared" si="12"/>
        <v/>
      </c>
      <c r="R94" s="615" t="str">
        <f t="shared" si="13"/>
        <v/>
      </c>
      <c r="S94" s="616" t="str">
        <f t="shared" si="14"/>
        <v/>
      </c>
      <c r="T94" s="615" t="str">
        <f t="shared" si="15"/>
        <v/>
      </c>
      <c r="U94" s="614" t="str">
        <f t="shared" si="18"/>
        <v/>
      </c>
    </row>
    <row r="95" spans="1:21" x14ac:dyDescent="0.2">
      <c r="A95" s="620">
        <v>42309</v>
      </c>
      <c r="B95" s="614">
        <v>-5.88</v>
      </c>
      <c r="C95" s="614">
        <v>30.18</v>
      </c>
      <c r="D95" s="614">
        <v>0</v>
      </c>
      <c r="F95" s="620">
        <v>42309</v>
      </c>
      <c r="G95" s="620">
        <v>-0.22</v>
      </c>
      <c r="H95" s="614">
        <v>44.97</v>
      </c>
      <c r="I95" s="614">
        <v>0</v>
      </c>
      <c r="K95"/>
      <c r="M95" s="616" t="str">
        <f t="shared" si="10"/>
        <v/>
      </c>
      <c r="N95" s="614" t="str">
        <f t="shared" si="11"/>
        <v/>
      </c>
      <c r="O95" s="616" t="str">
        <f t="shared" si="16"/>
        <v/>
      </c>
      <c r="P95" s="614" t="str">
        <f t="shared" si="17"/>
        <v/>
      </c>
      <c r="Q95" s="616" t="str">
        <f t="shared" si="12"/>
        <v/>
      </c>
      <c r="R95" s="615" t="str">
        <f t="shared" si="13"/>
        <v/>
      </c>
      <c r="S95" s="616" t="str">
        <f t="shared" si="14"/>
        <v/>
      </c>
      <c r="T95" s="615" t="str">
        <f t="shared" si="15"/>
        <v/>
      </c>
      <c r="U95" s="614" t="str">
        <f t="shared" si="18"/>
        <v/>
      </c>
    </row>
    <row r="96" spans="1:21" x14ac:dyDescent="0.2">
      <c r="A96" s="620"/>
      <c r="F96" s="620"/>
      <c r="G96" s="620"/>
      <c r="K96"/>
      <c r="M96" s="616" t="str">
        <f t="shared" si="10"/>
        <v/>
      </c>
      <c r="N96" s="614" t="str">
        <f t="shared" si="11"/>
        <v/>
      </c>
      <c r="O96" s="616" t="str">
        <f t="shared" si="16"/>
        <v/>
      </c>
      <c r="P96" s="614" t="str">
        <f t="shared" si="17"/>
        <v/>
      </c>
      <c r="Q96" s="616" t="str">
        <f t="shared" si="12"/>
        <v/>
      </c>
      <c r="R96" s="615" t="str">
        <f t="shared" si="13"/>
        <v/>
      </c>
      <c r="S96" s="616" t="str">
        <f t="shared" si="14"/>
        <v/>
      </c>
      <c r="T96" s="615" t="str">
        <f t="shared" si="15"/>
        <v/>
      </c>
      <c r="U96" s="614" t="str">
        <f t="shared" si="18"/>
        <v/>
      </c>
    </row>
    <row r="97" spans="1:21" x14ac:dyDescent="0.2">
      <c r="A97" s="620" t="s">
        <v>357</v>
      </c>
      <c r="F97" s="620" t="s">
        <v>358</v>
      </c>
      <c r="G97" s="620"/>
      <c r="K97"/>
      <c r="M97" s="616" t="str">
        <f t="shared" si="10"/>
        <v/>
      </c>
      <c r="N97" s="614" t="str">
        <f t="shared" si="11"/>
        <v/>
      </c>
      <c r="O97" s="616" t="str">
        <f t="shared" si="16"/>
        <v/>
      </c>
      <c r="P97" s="614" t="str">
        <f t="shared" si="17"/>
        <v/>
      </c>
      <c r="Q97" s="616" t="str">
        <f t="shared" si="12"/>
        <v/>
      </c>
      <c r="R97" s="615" t="str">
        <f t="shared" si="13"/>
        <v/>
      </c>
      <c r="S97" s="616" t="str">
        <f t="shared" si="14"/>
        <v/>
      </c>
      <c r="T97" s="615" t="str">
        <f t="shared" si="15"/>
        <v/>
      </c>
      <c r="U97" s="614" t="str">
        <f t="shared" si="18"/>
        <v/>
      </c>
    </row>
    <row r="98" spans="1:21" x14ac:dyDescent="0.2">
      <c r="A98" s="620" t="s">
        <v>351</v>
      </c>
      <c r="B98" s="614" t="s">
        <v>352</v>
      </c>
      <c r="C98" s="614" t="s">
        <v>353</v>
      </c>
      <c r="D98" s="614" t="s">
        <v>354</v>
      </c>
      <c r="F98" s="620" t="s">
        <v>351</v>
      </c>
      <c r="G98" s="620" t="s">
        <v>352</v>
      </c>
      <c r="H98" s="614" t="s">
        <v>353</v>
      </c>
      <c r="I98" s="614" t="s">
        <v>354</v>
      </c>
      <c r="K98"/>
      <c r="M98" s="616" t="str">
        <f t="shared" si="10"/>
        <v/>
      </c>
      <c r="N98" s="614" t="str">
        <f t="shared" si="11"/>
        <v/>
      </c>
      <c r="O98" s="616" t="str">
        <f t="shared" si="16"/>
        <v/>
      </c>
      <c r="P98" s="614" t="str">
        <f t="shared" si="17"/>
        <v/>
      </c>
      <c r="Q98" s="616" t="str">
        <f t="shared" si="12"/>
        <v/>
      </c>
      <c r="R98" s="615" t="str">
        <f t="shared" si="13"/>
        <v/>
      </c>
      <c r="S98" s="616" t="str">
        <f t="shared" si="14"/>
        <v/>
      </c>
      <c r="T98" s="615" t="str">
        <f t="shared" si="15"/>
        <v/>
      </c>
      <c r="U98" s="614" t="str">
        <f t="shared" si="18"/>
        <v/>
      </c>
    </row>
    <row r="99" spans="1:21" x14ac:dyDescent="0.2">
      <c r="A99" s="620">
        <v>42186</v>
      </c>
      <c r="B99" s="614">
        <v>0.2</v>
      </c>
      <c r="C99" s="614">
        <v>0.84</v>
      </c>
      <c r="D99" s="614">
        <v>1.35</v>
      </c>
      <c r="F99" s="620">
        <v>42186</v>
      </c>
      <c r="G99" s="620">
        <v>3.59</v>
      </c>
      <c r="H99" s="614">
        <v>22.13</v>
      </c>
      <c r="I99" s="614">
        <v>30.83</v>
      </c>
      <c r="K99"/>
      <c r="M99" s="616" t="str">
        <f t="shared" si="10"/>
        <v/>
      </c>
      <c r="N99" s="614" t="str">
        <f t="shared" si="11"/>
        <v/>
      </c>
      <c r="O99" s="616" t="str">
        <f t="shared" si="16"/>
        <v/>
      </c>
      <c r="P99" s="614" t="str">
        <f t="shared" si="17"/>
        <v/>
      </c>
      <c r="Q99" s="616" t="str">
        <f t="shared" si="12"/>
        <v/>
      </c>
      <c r="R99" s="615" t="str">
        <f t="shared" si="13"/>
        <v/>
      </c>
      <c r="S99" s="616" t="str">
        <f t="shared" si="14"/>
        <v/>
      </c>
      <c r="T99" s="615" t="str">
        <f t="shared" si="15"/>
        <v/>
      </c>
      <c r="U99" s="614" t="str">
        <f t="shared" si="18"/>
        <v/>
      </c>
    </row>
    <row r="100" spans="1:21" x14ac:dyDescent="0.2">
      <c r="A100" s="620">
        <v>42217</v>
      </c>
      <c r="B100" s="614">
        <v>0.19</v>
      </c>
      <c r="C100" s="614">
        <v>1.03</v>
      </c>
      <c r="D100" s="614">
        <v>1.43</v>
      </c>
      <c r="F100" s="620">
        <v>42217</v>
      </c>
      <c r="G100" s="620">
        <v>0</v>
      </c>
      <c r="H100" s="614">
        <v>22.13</v>
      </c>
      <c r="I100" s="614">
        <v>0</v>
      </c>
      <c r="K100"/>
      <c r="M100" s="616" t="str">
        <f t="shared" si="10"/>
        <v/>
      </c>
      <c r="N100" s="614" t="str">
        <f t="shared" si="11"/>
        <v/>
      </c>
      <c r="O100" s="616" t="str">
        <f t="shared" si="16"/>
        <v/>
      </c>
      <c r="P100" s="614" t="str">
        <f t="shared" si="17"/>
        <v/>
      </c>
      <c r="Q100" s="616" t="str">
        <f t="shared" si="12"/>
        <v/>
      </c>
      <c r="R100" s="615" t="str">
        <f t="shared" si="13"/>
        <v/>
      </c>
      <c r="S100" s="616" t="str">
        <f t="shared" si="14"/>
        <v/>
      </c>
      <c r="T100" s="615" t="str">
        <f t="shared" si="15"/>
        <v/>
      </c>
      <c r="U100" s="614" t="str">
        <f t="shared" si="18"/>
        <v/>
      </c>
    </row>
    <row r="101" spans="1:21" x14ac:dyDescent="0.2">
      <c r="A101" s="620">
        <v>42248</v>
      </c>
      <c r="B101" s="614">
        <v>0.19</v>
      </c>
      <c r="C101" s="614">
        <v>1.22</v>
      </c>
      <c r="D101" s="614">
        <v>1.57</v>
      </c>
      <c r="F101" s="620">
        <v>42248</v>
      </c>
      <c r="G101" s="620">
        <v>0</v>
      </c>
      <c r="H101" s="614">
        <v>22.13</v>
      </c>
      <c r="I101" s="614">
        <v>30.71</v>
      </c>
      <c r="K101"/>
      <c r="M101" s="616" t="str">
        <f t="shared" si="10"/>
        <v/>
      </c>
      <c r="N101" s="614" t="str">
        <f t="shared" si="11"/>
        <v/>
      </c>
      <c r="O101" s="616" t="str">
        <f t="shared" si="16"/>
        <v/>
      </c>
      <c r="P101" s="614" t="str">
        <f t="shared" si="17"/>
        <v/>
      </c>
      <c r="Q101" s="616" t="str">
        <f t="shared" si="12"/>
        <v/>
      </c>
      <c r="R101" s="615" t="str">
        <f t="shared" si="13"/>
        <v/>
      </c>
      <c r="S101" s="616" t="str">
        <f t="shared" si="14"/>
        <v/>
      </c>
      <c r="T101" s="615" t="str">
        <f t="shared" si="15"/>
        <v/>
      </c>
      <c r="U101" s="614" t="str">
        <f t="shared" si="18"/>
        <v/>
      </c>
    </row>
    <row r="102" spans="1:21" x14ac:dyDescent="0.2">
      <c r="A102" s="620">
        <v>42278</v>
      </c>
      <c r="B102" s="614">
        <v>0.18</v>
      </c>
      <c r="C102" s="614">
        <v>1.4</v>
      </c>
      <c r="D102" s="614">
        <v>1.66</v>
      </c>
      <c r="F102" s="620">
        <v>42278</v>
      </c>
      <c r="G102" s="620">
        <v>7.0000000000000007E-2</v>
      </c>
      <c r="H102" s="614">
        <v>22.21</v>
      </c>
      <c r="I102" s="614">
        <v>27.5</v>
      </c>
      <c r="K102"/>
      <c r="M102" s="616" t="str">
        <f>IF(ISERROR(IF(A100="Índice de taxa média de depósitos interfinanceiros de um dia - IDI",RIGHT(LEFT(#REF!,13),10),"")+1-1),"",IF(A100="Índice de taxa média de depósitos interfinanceiros de um dia - IDI",RIGHT(LEFT(#REF!,13),10),"")+1-1)</f>
        <v/>
      </c>
      <c r="N102" s="614" t="str">
        <f>IF(ISERROR(IF(A100="Índice de taxa média de depósitos interfinanceiros de um dia - IDI",LEFT(RIGHT(#REF!,19),11),"")+1-1),"",(IF(A100="Índice de taxa média de depósitos interfinanceiros de um dia - IDI",LEFT(RIGHT(#REF!,19),11),"")+1-1))</f>
        <v/>
      </c>
      <c r="O102" s="616" t="str">
        <f>IF(ISERROR(IF(A97="Índice de taxa média de depósitos interfinanceiros de um dia - IDI",RIGHT(LEFT(#REF!,13),10),"")+1-1),"",IF(A97="Índice de taxa média de depósitos interfinanceiros de um dia - IDI",RIGHT(LEFT(#REF!,13),10),"")+1-1)</f>
        <v/>
      </c>
      <c r="P102" s="614" t="str">
        <f>IF(ISERROR(IF(A97="Índice de taxa média de depósitos interfinanceiros de um dia - IDI",LEFT(RIGHT(#REF!,19),11),"")+1-1),"",(IF(A97="Índice de taxa média de depósitos interfinanceiros de um dia - IDI",LEFT(RIGHT(#REF!,19),11),"")+1-1))</f>
        <v/>
      </c>
      <c r="Q102" s="616" t="str">
        <f>IF(ISERROR(IF(A100="Taxa Referencial de DI / Cetip",RIGHT(#REF!,10),"")+1-1),"",(IF(A100="Taxa Referencial de DI / Cetip",RIGHT(#REF!,10),"")+1-1))</f>
        <v/>
      </c>
      <c r="R102" s="615" t="str">
        <f t="shared" si="13"/>
        <v/>
      </c>
      <c r="S102" s="616" t="str">
        <f>IF(ISERROR(IF(A100="Taxa SELIC*",RIGHT(#REF!,11),"")+1-1),"",(IF(A100="Taxa SELIC*",RIGHT(#REF!,11),"")+1-1))</f>
        <v/>
      </c>
      <c r="T102" s="615" t="str">
        <f t="shared" si="15"/>
        <v/>
      </c>
      <c r="U102" s="614" t="e">
        <f>IF((LEFT(#REF!,7)="venda ="),RIGHT(#REF!,6)+1-1,"")</f>
        <v>#REF!</v>
      </c>
    </row>
    <row r="103" spans="1:21" x14ac:dyDescent="0.2">
      <c r="A103" s="620">
        <v>42309</v>
      </c>
      <c r="B103" s="614">
        <v>0</v>
      </c>
      <c r="C103" s="614">
        <v>1.4</v>
      </c>
      <c r="D103" s="614">
        <v>1.55</v>
      </c>
      <c r="F103" s="620">
        <v>42309</v>
      </c>
      <c r="G103" s="620">
        <v>0</v>
      </c>
      <c r="H103" s="614">
        <v>22.21</v>
      </c>
      <c r="I103" s="614">
        <v>0</v>
      </c>
      <c r="K103"/>
      <c r="M103" s="616" t="str">
        <f>IF(ISERROR(IF(A101="Índice de taxa média de depósitos interfinanceiros de um dia - IDI",RIGHT(LEFT(#REF!,13),10),"")+1-1),"",IF(A101="Índice de taxa média de depósitos interfinanceiros de um dia - IDI",RIGHT(LEFT(#REF!,13),10),"")+1-1)</f>
        <v/>
      </c>
      <c r="N103" s="614" t="str">
        <f>IF(ISERROR(IF(A101="Índice de taxa média de depósitos interfinanceiros de um dia - IDI",LEFT(RIGHT(#REF!,19),11),"")+1-1),"",(IF(A101="Índice de taxa média de depósitos interfinanceiros de um dia - IDI",LEFT(RIGHT(#REF!,19),11),"")+1-1))</f>
        <v/>
      </c>
      <c r="O103" s="616" t="str">
        <f>IF(ISERROR(IF(A98="Índice de taxa média de depósitos interfinanceiros de um dia - IDI",RIGHT(LEFT(#REF!,13),10),"")+1-1),"",IF(A98="Índice de taxa média de depósitos interfinanceiros de um dia - IDI",RIGHT(LEFT(#REF!,13),10),"")+1-1)</f>
        <v/>
      </c>
      <c r="P103" s="614" t="str">
        <f>IF(ISERROR(IF(A98="Índice de taxa média de depósitos interfinanceiros de um dia - IDI",LEFT(RIGHT(#REF!,19),11),"")+1-1),"",(IF(A98="Índice de taxa média de depósitos interfinanceiros de um dia - IDI",LEFT(RIGHT(#REF!,19),11),"")+1-1))</f>
        <v/>
      </c>
      <c r="Q103" s="616" t="str">
        <f>IF(ISERROR(IF(A101="Taxa Referencial de DI / Cetip",RIGHT(#REF!,10),"")+1-1),"",(IF(A101="Taxa Referencial de DI / Cetip",RIGHT(#REF!,10),"")+1-1))</f>
        <v/>
      </c>
      <c r="R103" s="615" t="str">
        <f>IF(ISERROR(IF(A101="Taxa Referencial de DI / Cetip",RIGHT(LEFT(#REF!,15),6),"")+1-1),"",(IF(A101="Taxa Referencial de DI / Cetip",RIGHT(LEFT(#REF!,15),6),"")+1-1))</f>
        <v/>
      </c>
      <c r="S103" s="616" t="str">
        <f>IF(ISERROR(IF(A101="Taxa SELIC*",RIGHT(#REF!,11),"")+1-1),"",(IF(A101="Taxa SELIC*",RIGHT(#REF!,11),"")+1-1))</f>
        <v/>
      </c>
      <c r="T103" s="615" t="str">
        <f>IF(ISERROR(IF(A101="Taxa SELIC*",RIGHT(LEFT(#REF!,13),6),"")+1-1),"",(IF(A101="Taxa SELIC*",RIGHT(LEFT(#REF!,13),6),"")+1-1))</f>
        <v/>
      </c>
      <c r="U103" s="614" t="e">
        <f>IF((LEFT(#REF!,7)="venda ="),RIGHT(#REF!,6)+1-1,"")</f>
        <v>#REF!</v>
      </c>
    </row>
    <row r="104" spans="1:21" x14ac:dyDescent="0.2">
      <c r="K104"/>
      <c r="M104" s="616" t="str">
        <f>IF(ISERROR(IF(#REF!="Índice de taxa média de depósitos interfinanceiros de um dia - IDI",RIGHT(LEFT(#REF!,13),10),"")+1-1),"",IF(#REF!="Índice de taxa média de depósitos interfinanceiros de um dia - IDI",RIGHT(LEFT(#REF!,13),10),"")+1-1)</f>
        <v/>
      </c>
      <c r="N104" s="614" t="str">
        <f>IF(ISERROR(IF(#REF!="Índice de taxa média de depósitos interfinanceiros de um dia - IDI",LEFT(RIGHT(#REF!,19),11),"")+1-1),"",(IF(#REF!="Índice de taxa média de depósitos interfinanceiros de um dia - IDI",LEFT(RIGHT(#REF!,19),11),"")+1-1))</f>
        <v/>
      </c>
      <c r="O104" s="616" t="str">
        <f>IF(ISERROR(IF(A99="Índice de taxa média de depósitos interfinanceiros de um dia - IDI",RIGHT(LEFT(#REF!,13),10),"")+1-1),"",IF(A99="Índice de taxa média de depósitos interfinanceiros de um dia - IDI",RIGHT(LEFT(#REF!,13),10),"")+1-1)</f>
        <v/>
      </c>
      <c r="P104" s="614" t="str">
        <f>IF(ISERROR(IF(A99="Índice de taxa média de depósitos interfinanceiros de um dia - IDI",LEFT(RIGHT(#REF!,19),11),"")+1-1),"",(IF(A99="Índice de taxa média de depósitos interfinanceiros de um dia - IDI",LEFT(RIGHT(#REF!,19),11),"")+1-1))</f>
        <v/>
      </c>
      <c r="Q104" s="616" t="str">
        <f>IF(ISERROR(IF(#REF!="Taxa Referencial de DI / Cetip",RIGHT(#REF!,10),"")+1-1),"",(IF(#REF!="Taxa Referencial de DI / Cetip",RIGHT(#REF!,10),"")+1-1))</f>
        <v/>
      </c>
      <c r="R104" s="615" t="str">
        <f>IF(ISERROR(IF(#REF!="Taxa Referencial de DI / Cetip",RIGHT(LEFT(#REF!,15),6),"")+1-1),"",(IF(#REF!="Taxa Referencial de DI / Cetip",RIGHT(LEFT(#REF!,15),6),"")+1-1))</f>
        <v/>
      </c>
      <c r="S104" s="616" t="str">
        <f>IF(ISERROR(IF(#REF!="Taxa SELIC*",RIGHT(#REF!,11),"")+1-1),"",(IF(#REF!="Taxa SELIC*",RIGHT(#REF!,11),"")+1-1))</f>
        <v/>
      </c>
      <c r="T104" s="615" t="str">
        <f>IF(ISERROR(IF(#REF!="Taxa SELIC*",RIGHT(LEFT(#REF!,13),6),"")+1-1),"",(IF(#REF!="Taxa SELIC*",RIGHT(LEFT(#REF!,13),6),"")+1-1))</f>
        <v/>
      </c>
      <c r="U104" s="614" t="e">
        <f>IF((LEFT(#REF!,7)="venda ="),RIGHT(#REF!,6)+1-1,"")</f>
        <v>#REF!</v>
      </c>
    </row>
    <row r="105" spans="1:21" x14ac:dyDescent="0.2">
      <c r="K105"/>
      <c r="M105" s="616" t="str">
        <f>IF(ISERROR(IF(#REF!="Índice de taxa média de depósitos interfinanceiros de um dia - IDI",RIGHT(LEFT(#REF!,13),10),"")+1-1),"",IF(#REF!="Índice de taxa média de depósitos interfinanceiros de um dia - IDI",RIGHT(LEFT(#REF!,13),10),"")+1-1)</f>
        <v/>
      </c>
      <c r="N105" s="614" t="str">
        <f>IF(ISERROR(IF(#REF!="Índice de taxa média de depósitos interfinanceiros de um dia - IDI",LEFT(RIGHT(#REF!,19),11),"")+1-1),"",(IF(#REF!="Índice de taxa média de depósitos interfinanceiros de um dia - IDI",LEFT(RIGHT(#REF!,19),11),"")+1-1))</f>
        <v/>
      </c>
      <c r="O105" s="616" t="str">
        <f>IF(ISERROR(IF(A100="Índice de taxa média de depósitos interfinanceiros de um dia - IDI",RIGHT(LEFT(#REF!,13),10),"")+1-1),"",IF(A100="Índice de taxa média de depósitos interfinanceiros de um dia - IDI",RIGHT(LEFT(#REF!,13),10),"")+1-1)</f>
        <v/>
      </c>
      <c r="P105" s="614" t="str">
        <f>IF(ISERROR(IF(A100="Índice de taxa média de depósitos interfinanceiros de um dia - IDI",LEFT(RIGHT(#REF!,19),11),"")+1-1),"",(IF(A100="Índice de taxa média de depósitos interfinanceiros de um dia - IDI",LEFT(RIGHT(#REF!,19),11),"")+1-1))</f>
        <v/>
      </c>
      <c r="Q105" s="616" t="str">
        <f>IF(ISERROR(IF(#REF!="Taxa Referencial de DI / Cetip",RIGHT(#REF!,10),"")+1-1),"",(IF(#REF!="Taxa Referencial de DI / Cetip",RIGHT(#REF!,10),"")+1-1))</f>
        <v/>
      </c>
      <c r="R105" s="615" t="str">
        <f>IF(ISERROR(IF(#REF!="Taxa Referencial de DI / Cetip",RIGHT(LEFT(#REF!,15),6),"")+1-1),"",(IF(#REF!="Taxa Referencial de DI / Cetip",RIGHT(LEFT(#REF!,15),6),"")+1-1))</f>
        <v/>
      </c>
      <c r="S105" s="616" t="str">
        <f>IF(ISERROR(IF(#REF!="Taxa SELIC*",RIGHT(#REF!,11),"")+1-1),"",(IF(#REF!="Taxa SELIC*",RIGHT(#REF!,11),"")+1-1))</f>
        <v/>
      </c>
      <c r="T105" s="615" t="str">
        <f>IF(ISERROR(IF(#REF!="Taxa SELIC*",RIGHT(LEFT(#REF!,13),6),"")+1-1),"",(IF(#REF!="Taxa SELIC*",RIGHT(LEFT(#REF!,13),6),"")+1-1))</f>
        <v/>
      </c>
      <c r="U105" s="614" t="e">
        <f>IF((LEFT(#REF!,7)="venda ="),RIGHT(#REF!,6)+1-1,"")</f>
        <v>#REF!</v>
      </c>
    </row>
    <row r="106" spans="1:21" x14ac:dyDescent="0.2">
      <c r="K106"/>
      <c r="M106" s="616" t="str">
        <f>IF(ISERROR(IF(#REF!="Índice de taxa média de depósitos interfinanceiros de um dia - IDI",RIGHT(LEFT(#REF!,13),10),"")+1-1),"",IF(#REF!="Índice de taxa média de depósitos interfinanceiros de um dia - IDI",RIGHT(LEFT(#REF!,13),10),"")+1-1)</f>
        <v/>
      </c>
      <c r="N106" s="614" t="str">
        <f>IF(ISERROR(IF(#REF!="Índice de taxa média de depósitos interfinanceiros de um dia - IDI",LEFT(RIGHT(#REF!,19),11),"")+1-1),"",(IF(#REF!="Índice de taxa média de depósitos interfinanceiros de um dia - IDI",LEFT(RIGHT(#REF!,19),11),"")+1-1))</f>
        <v/>
      </c>
      <c r="O106" s="616" t="str">
        <f>IF(ISERROR(IF(A101="Índice de taxa média de depósitos interfinanceiros de um dia - IDI",RIGHT(LEFT(#REF!,13),10),"")+1-1),"",IF(A101="Índice de taxa média de depósitos interfinanceiros de um dia - IDI",RIGHT(LEFT(#REF!,13),10),"")+1-1)</f>
        <v/>
      </c>
      <c r="P106" s="614" t="str">
        <f>IF(ISERROR(IF(A101="Índice de taxa média de depósitos interfinanceiros de um dia - IDI",LEFT(RIGHT(#REF!,19),11),"")+1-1),"",(IF(A101="Índice de taxa média de depósitos interfinanceiros de um dia - IDI",LEFT(RIGHT(#REF!,19),11),"")+1-1))</f>
        <v/>
      </c>
      <c r="Q106" s="616" t="str">
        <f>IF(ISERROR(IF(#REF!="Taxa Referencial de DI / Cetip",RIGHT(#REF!,10),"")+1-1),"",(IF(#REF!="Taxa Referencial de DI / Cetip",RIGHT(#REF!,10),"")+1-1))</f>
        <v/>
      </c>
      <c r="R106" s="615" t="str">
        <f>IF(ISERROR(IF(#REF!="Taxa Referencial de DI / Cetip",RIGHT(LEFT(#REF!,15),6),"")+1-1),"",(IF(#REF!="Taxa Referencial de DI / Cetip",RIGHT(LEFT(#REF!,15),6),"")+1-1))</f>
        <v/>
      </c>
      <c r="S106" s="616" t="str">
        <f>IF(ISERROR(IF(#REF!="Taxa SELIC*",RIGHT(#REF!,11),"")+1-1),"",(IF(#REF!="Taxa SELIC*",RIGHT(#REF!,11),"")+1-1))</f>
        <v/>
      </c>
      <c r="T106" s="615" t="str">
        <f>IF(ISERROR(IF(#REF!="Taxa SELIC*",RIGHT(LEFT(#REF!,13),6),"")+1-1),"",(IF(#REF!="Taxa SELIC*",RIGHT(LEFT(#REF!,13),6),"")+1-1))</f>
        <v/>
      </c>
      <c r="U106" s="614" t="e">
        <f>IF((LEFT(#REF!,7)="venda ="),RIGHT(#REF!,6)+1-1,"")</f>
        <v>#REF!</v>
      </c>
    </row>
    <row r="107" spans="1:21" x14ac:dyDescent="0.2">
      <c r="K107"/>
      <c r="M107" s="616" t="str">
        <f>IF(ISERROR(IF(#REF!="Índice de taxa média de depósitos interfinanceiros de um dia - IDI",RIGHT(LEFT(#REF!,13),10),"")+1-1),"",IF(#REF!="Índice de taxa média de depósitos interfinanceiros de um dia - IDI",RIGHT(LEFT(#REF!,13),10),"")+1-1)</f>
        <v/>
      </c>
      <c r="N107" s="614" t="str">
        <f>IF(ISERROR(IF(#REF!="Índice de taxa média de depósitos interfinanceiros de um dia - IDI",LEFT(RIGHT(#REF!,19),11),"")+1-1),"",(IF(#REF!="Índice de taxa média de depósitos interfinanceiros de um dia - IDI",LEFT(RIGHT(#REF!,19),11),"")+1-1))</f>
        <v/>
      </c>
      <c r="O107" s="616" t="str">
        <f>IF(ISERROR(IF(#REF!="Índice de taxa média de depósitos interfinanceiros de um dia - IDI",RIGHT(LEFT(#REF!,13),10),"")+1-1),"",IF(#REF!="Índice de taxa média de depósitos interfinanceiros de um dia - IDI",RIGHT(LEFT(#REF!,13),10),"")+1-1)</f>
        <v/>
      </c>
      <c r="P107" s="614" t="str">
        <f>IF(ISERROR(IF(#REF!="Índice de taxa média de depósitos interfinanceiros de um dia - IDI",LEFT(RIGHT(#REF!,19),11),"")+1-1),"",(IF(#REF!="Índice de taxa média de depósitos interfinanceiros de um dia - IDI",LEFT(RIGHT(#REF!,19),11),"")+1-1))</f>
        <v/>
      </c>
      <c r="Q107" s="616" t="str">
        <f>IF(ISERROR(IF(#REF!="Taxa Referencial de DI / Cetip",RIGHT(#REF!,10),"")+1-1),"",(IF(#REF!="Taxa Referencial de DI / Cetip",RIGHT(#REF!,10),"")+1-1))</f>
        <v/>
      </c>
      <c r="R107" s="615" t="str">
        <f>IF(ISERROR(IF(#REF!="Taxa Referencial de DI / Cetip",RIGHT(LEFT(#REF!,15),6),"")+1-1),"",(IF(#REF!="Taxa Referencial de DI / Cetip",RIGHT(LEFT(#REF!,15),6),"")+1-1))</f>
        <v/>
      </c>
      <c r="S107" s="616" t="str">
        <f>IF(ISERROR(IF(#REF!="Taxa SELIC*",RIGHT(#REF!,11),"")+1-1),"",(IF(#REF!="Taxa SELIC*",RIGHT(#REF!,11),"")+1-1))</f>
        <v/>
      </c>
      <c r="T107" s="615" t="str">
        <f>IF(ISERROR(IF(#REF!="Taxa SELIC*",RIGHT(LEFT(#REF!,13),6),"")+1-1),"",(IF(#REF!="Taxa SELIC*",RIGHT(LEFT(#REF!,13),6),"")+1-1))</f>
        <v/>
      </c>
      <c r="U107" s="614" t="e">
        <f>IF((LEFT(#REF!,7)="venda ="),RIGHT(#REF!,6)+1-1,"")</f>
        <v>#REF!</v>
      </c>
    </row>
    <row r="108" spans="1:21" x14ac:dyDescent="0.2">
      <c r="K108"/>
      <c r="M108" s="616" t="str">
        <f>IF(ISERROR(IF(#REF!="Índice de taxa média de depósitos interfinanceiros de um dia - IDI",RIGHT(LEFT(#REF!,13),10),"")+1-1),"",IF(#REF!="Índice de taxa média de depósitos interfinanceiros de um dia - IDI",RIGHT(LEFT(#REF!,13),10),"")+1-1)</f>
        <v/>
      </c>
      <c r="N108" s="614" t="str">
        <f>IF(ISERROR(IF(#REF!="Índice de taxa média de depósitos interfinanceiros de um dia - IDI",LEFT(RIGHT(#REF!,19),11),"")+1-1),"",(IF(#REF!="Índice de taxa média de depósitos interfinanceiros de um dia - IDI",LEFT(RIGHT(#REF!,19),11),"")+1-1))</f>
        <v/>
      </c>
      <c r="O108" s="616" t="str">
        <f>IF(ISERROR(IF(#REF!="Índice de taxa média de depósitos interfinanceiros de um dia - IDI",RIGHT(LEFT(#REF!,13),10),"")+1-1),"",IF(#REF!="Índice de taxa média de depósitos interfinanceiros de um dia - IDI",RIGHT(LEFT(#REF!,13),10),"")+1-1)</f>
        <v/>
      </c>
      <c r="P108" s="614" t="str">
        <f>IF(ISERROR(IF(#REF!="Índice de taxa média de depósitos interfinanceiros de um dia - IDI",LEFT(RIGHT(#REF!,19),11),"")+1-1),"",(IF(#REF!="Índice de taxa média de depósitos interfinanceiros de um dia - IDI",LEFT(RIGHT(#REF!,19),11),"")+1-1))</f>
        <v/>
      </c>
      <c r="Q108" s="616" t="str">
        <f>IF(ISERROR(IF(#REF!="Taxa Referencial de DI / Cetip",RIGHT(#REF!,10),"")+1-1),"",(IF(#REF!="Taxa Referencial de DI / Cetip",RIGHT(#REF!,10),"")+1-1))</f>
        <v/>
      </c>
      <c r="R108" s="615" t="str">
        <f>IF(ISERROR(IF(#REF!="Taxa Referencial de DI / Cetip",RIGHT(LEFT(#REF!,15),6),"")+1-1),"",(IF(#REF!="Taxa Referencial de DI / Cetip",RIGHT(LEFT(#REF!,15),6),"")+1-1))</f>
        <v/>
      </c>
      <c r="S108" s="616" t="str">
        <f>IF(ISERROR(IF(#REF!="Taxa SELIC*",RIGHT(#REF!,11),"")+1-1),"",(IF(#REF!="Taxa SELIC*",RIGHT(#REF!,11),"")+1-1))</f>
        <v/>
      </c>
      <c r="T108" s="615" t="str">
        <f>IF(ISERROR(IF(#REF!="Taxa SELIC*",RIGHT(LEFT(#REF!,13),6),"")+1-1),"",(IF(#REF!="Taxa SELIC*",RIGHT(LEFT(#REF!,13),6),"")+1-1))</f>
        <v/>
      </c>
      <c r="U108" s="614" t="str">
        <f t="shared" ref="U108:U136" si="19">IF((LEFT(H103,7)="venda ="),RIGHT(H103,6)+1-1,"")</f>
        <v/>
      </c>
    </row>
    <row r="109" spans="1:21" x14ac:dyDescent="0.2">
      <c r="M109" s="616" t="str">
        <f>IF(ISERROR(IF(#REF!="Índice de taxa média de depósitos interfinanceiros de um dia - IDI",RIGHT(LEFT(#REF!,13),10),"")+1-1),"",IF(#REF!="Índice de taxa média de depósitos interfinanceiros de um dia - IDI",RIGHT(LEFT(#REF!,13),10),"")+1-1)</f>
        <v/>
      </c>
      <c r="N109" s="614" t="str">
        <f>IF(ISERROR(IF(#REF!="Índice de taxa média de depósitos interfinanceiros de um dia - IDI",LEFT(RIGHT(#REF!,19),11),"")+1-1),"",(IF(#REF!="Índice de taxa média de depósitos interfinanceiros de um dia - IDI",LEFT(RIGHT(#REF!,19),11),"")+1-1))</f>
        <v/>
      </c>
      <c r="O109" s="616" t="str">
        <f>IF(ISERROR(IF(#REF!="Índice de taxa média de depósitos interfinanceiros de um dia - IDI",RIGHT(LEFT(#REF!,13),10),"")+1-1),"",IF(#REF!="Índice de taxa média de depósitos interfinanceiros de um dia - IDI",RIGHT(LEFT(#REF!,13),10),"")+1-1)</f>
        <v/>
      </c>
      <c r="P109" s="614" t="str">
        <f>IF(ISERROR(IF(#REF!="Índice de taxa média de depósitos interfinanceiros de um dia - IDI",LEFT(RIGHT(#REF!,19),11),"")+1-1),"",(IF(#REF!="Índice de taxa média de depósitos interfinanceiros de um dia - IDI",LEFT(RIGHT(#REF!,19),11),"")+1-1))</f>
        <v/>
      </c>
      <c r="Q109" s="616" t="str">
        <f>IF(ISERROR(IF(#REF!="Taxa Referencial de DI / Cetip",RIGHT(#REF!,10),"")+1-1),"",(IF(#REF!="Taxa Referencial de DI / Cetip",RIGHT(#REF!,10),"")+1-1))</f>
        <v/>
      </c>
      <c r="R109" s="615" t="str">
        <f>IF(ISERROR(IF(#REF!="Taxa Referencial de DI / Cetip",RIGHT(LEFT(#REF!,15),6),"")+1-1),"",(IF(#REF!="Taxa Referencial de DI / Cetip",RIGHT(LEFT(#REF!,15),6),"")+1-1))</f>
        <v/>
      </c>
      <c r="S109" s="616" t="str">
        <f>IF(ISERROR(IF(#REF!="Taxa SELIC*",RIGHT(#REF!,11),"")+1-1),"",(IF(#REF!="Taxa SELIC*",RIGHT(#REF!,11),"")+1-1))</f>
        <v/>
      </c>
      <c r="T109" s="615" t="str">
        <f>IF(ISERROR(IF(#REF!="Taxa SELIC*",RIGHT(LEFT(#REF!,13),6),"")+1-1),"",(IF(#REF!="Taxa SELIC*",RIGHT(LEFT(#REF!,13),6),"")+1-1))</f>
        <v/>
      </c>
      <c r="U109" s="614" t="str">
        <f t="shared" si="19"/>
        <v/>
      </c>
    </row>
    <row r="110" spans="1:21" x14ac:dyDescent="0.2">
      <c r="M110" s="616" t="str">
        <f>IF(ISERROR(IF(#REF!="Índice de taxa média de depósitos interfinanceiros de um dia - IDI",RIGHT(LEFT(#REF!,13),10),"")+1-1),"",IF(#REF!="Índice de taxa média de depósitos interfinanceiros de um dia - IDI",RIGHT(LEFT(#REF!,13),10),"")+1-1)</f>
        <v/>
      </c>
      <c r="N110" s="614" t="str">
        <f>IF(ISERROR(IF(#REF!="Índice de taxa média de depósitos interfinanceiros de um dia - IDI",LEFT(RIGHT(#REF!,19),11),"")+1-1),"",(IF(#REF!="Índice de taxa média de depósitos interfinanceiros de um dia - IDI",LEFT(RIGHT(#REF!,19),11),"")+1-1))</f>
        <v/>
      </c>
      <c r="O110" s="616" t="str">
        <f>IF(ISERROR(IF(#REF!="Índice de taxa média de depósitos interfinanceiros de um dia - IDI",RIGHT(LEFT(#REF!,13),10),"")+1-1),"",IF(#REF!="Índice de taxa média de depósitos interfinanceiros de um dia - IDI",RIGHT(LEFT(#REF!,13),10),"")+1-1)</f>
        <v/>
      </c>
      <c r="P110" s="614" t="str">
        <f>IF(ISERROR(IF(#REF!="Índice de taxa média de depósitos interfinanceiros de um dia - IDI",LEFT(RIGHT(#REF!,19),11),"")+1-1),"",(IF(#REF!="Índice de taxa média de depósitos interfinanceiros de um dia - IDI",LEFT(RIGHT(#REF!,19),11),"")+1-1))</f>
        <v/>
      </c>
      <c r="Q110" s="616" t="str">
        <f>IF(ISERROR(IF(#REF!="Taxa Referencial de DI / Cetip",RIGHT(#REF!,10),"")+1-1),"",(IF(#REF!="Taxa Referencial de DI / Cetip",RIGHT(#REF!,10),"")+1-1))</f>
        <v/>
      </c>
      <c r="R110" s="615" t="str">
        <f>IF(ISERROR(IF(#REF!="Taxa Referencial de DI / Cetip",RIGHT(LEFT(#REF!,15),6),"")+1-1),"",(IF(#REF!="Taxa Referencial de DI / Cetip",RIGHT(LEFT(#REF!,15),6),"")+1-1))</f>
        <v/>
      </c>
      <c r="S110" s="616" t="str">
        <f>IF(ISERROR(IF(#REF!="Taxa SELIC*",RIGHT(#REF!,11),"")+1-1),"",(IF(#REF!="Taxa SELIC*",RIGHT(#REF!,11),"")+1-1))</f>
        <v/>
      </c>
      <c r="T110" s="615" t="str">
        <f>IF(ISERROR(IF(#REF!="Taxa SELIC*",RIGHT(LEFT(#REF!,13),6),"")+1-1),"",(IF(#REF!="Taxa SELIC*",RIGHT(LEFT(#REF!,13),6),"")+1-1))</f>
        <v/>
      </c>
      <c r="U110" s="614" t="str">
        <f t="shared" si="19"/>
        <v/>
      </c>
    </row>
    <row r="111" spans="1:21" x14ac:dyDescent="0.2">
      <c r="M111" s="616" t="str">
        <f>IF(ISERROR(IF(#REF!="Índice de taxa média de depósitos interfinanceiros de um dia - IDI",RIGHT(LEFT(A103,13),10),"")+1-1),"",IF(#REF!="Índice de taxa média de depósitos interfinanceiros de um dia - IDI",RIGHT(LEFT(A103,13),10),"")+1-1)</f>
        <v/>
      </c>
      <c r="N111" s="614" t="str">
        <f>IF(ISERROR(IF(#REF!="Índice de taxa média de depósitos interfinanceiros de um dia - IDI",LEFT(RIGHT(A103,19),11),"")+1-1),"",(IF(#REF!="Índice de taxa média de depósitos interfinanceiros de um dia - IDI",LEFT(RIGHT(A103,19),11),"")+1-1))</f>
        <v/>
      </c>
      <c r="O111" s="616" t="str">
        <f>IF(ISERROR(IF(#REF!="Índice de taxa média de depósitos interfinanceiros de um dia - IDI",RIGHT(LEFT(A103,13),10),"")+1-1),"",IF(#REF!="Índice de taxa média de depósitos interfinanceiros de um dia - IDI",RIGHT(LEFT(A103,13),10),"")+1-1)</f>
        <v/>
      </c>
      <c r="P111" s="614" t="str">
        <f>IF(ISERROR(IF(#REF!="Índice de taxa média de depósitos interfinanceiros de um dia - IDI",LEFT(RIGHT(A103,19),11),"")+1-1),"",(IF(#REF!="Índice de taxa média de depósitos interfinanceiros de um dia - IDI",LEFT(RIGHT(A103,19),11),"")+1-1))</f>
        <v/>
      </c>
      <c r="Q111" s="616" t="str">
        <f>IF(ISERROR(IF(#REF!="Taxa Referencial de DI / Cetip",RIGHT(A103,10),"")+1-1),"",(IF(#REF!="Taxa Referencial de DI / Cetip",RIGHT(A103,10),"")+1-1))</f>
        <v/>
      </c>
      <c r="R111" s="615" t="str">
        <f>IF(ISERROR(IF(#REF!="Taxa Referencial de DI / Cetip",RIGHT(LEFT(#REF!,15),6),"")+1-1),"",(IF(#REF!="Taxa Referencial de DI / Cetip",RIGHT(LEFT(#REF!,15),6),"")+1-1))</f>
        <v/>
      </c>
      <c r="S111" s="616" t="str">
        <f>IF(ISERROR(IF(#REF!="Taxa SELIC*",RIGHT(#REF!,11),"")+1-1),"",(IF(#REF!="Taxa SELIC*",RIGHT(#REF!,11),"")+1-1))</f>
        <v/>
      </c>
      <c r="T111" s="615" t="str">
        <f>IF(ISERROR(IF(#REF!="Taxa SELIC*",RIGHT(LEFT(#REF!,13),6),"")+1-1),"",(IF(#REF!="Taxa SELIC*",RIGHT(LEFT(#REF!,13),6),"")+1-1))</f>
        <v/>
      </c>
      <c r="U111" s="614" t="str">
        <f t="shared" si="19"/>
        <v/>
      </c>
    </row>
    <row r="112" spans="1:21" x14ac:dyDescent="0.2">
      <c r="M112" s="616" t="str">
        <f>IF(ISERROR(IF(#REF!="Índice de taxa média de depósitos interfinanceiros de um dia - IDI",RIGHT(LEFT(A104,13),10),"")+1-1),"",IF(#REF!="Índice de taxa média de depósitos interfinanceiros de um dia - IDI",RIGHT(LEFT(A104,13),10),"")+1-1)</f>
        <v/>
      </c>
      <c r="N112" s="614" t="str">
        <f>IF(ISERROR(IF(#REF!="Índice de taxa média de depósitos interfinanceiros de um dia - IDI",LEFT(RIGHT(A104,19),11),"")+1-1),"",(IF(#REF!="Índice de taxa média de depósitos interfinanceiros de um dia - IDI",LEFT(RIGHT(A104,19),11),"")+1-1))</f>
        <v/>
      </c>
      <c r="O112" s="616" t="str">
        <f>IF(ISERROR(IF(#REF!="Índice de taxa média de depósitos interfinanceiros de um dia - IDI",RIGHT(LEFT(A104,13),10),"")+1-1),"",IF(#REF!="Índice de taxa média de depósitos interfinanceiros de um dia - IDI",RIGHT(LEFT(A104,13),10),"")+1-1)</f>
        <v/>
      </c>
      <c r="P112" s="614" t="str">
        <f>IF(ISERROR(IF(#REF!="Índice de taxa média de depósitos interfinanceiros de um dia - IDI",LEFT(RIGHT(A104,19),11),"")+1-1),"",(IF(#REF!="Índice de taxa média de depósitos interfinanceiros de um dia - IDI",LEFT(RIGHT(A104,19),11),"")+1-1))</f>
        <v/>
      </c>
      <c r="Q112" s="616" t="str">
        <f>IF(ISERROR(IF(#REF!="Taxa Referencial de DI / Cetip",RIGHT(A104,10),"")+1-1),"",(IF(#REF!="Taxa Referencial de DI / Cetip",RIGHT(A104,10),"")+1-1))</f>
        <v/>
      </c>
      <c r="R112" s="615" t="str">
        <f>IF(ISERROR(IF(#REF!="Taxa Referencial de DI / Cetip",RIGHT(LEFT(A103,15),6),"")+1-1),"",(IF(#REF!="Taxa Referencial de DI / Cetip",RIGHT(LEFT(A103,15),6),"")+1-1))</f>
        <v/>
      </c>
      <c r="S112" s="616" t="str">
        <f>IF(ISERROR(IF(#REF!="Taxa SELIC*",RIGHT(A103,11),"")+1-1),"",(IF(#REF!="Taxa SELIC*",RIGHT(A103,11),"")+1-1))</f>
        <v/>
      </c>
      <c r="T112" s="615" t="str">
        <f>IF(ISERROR(IF(#REF!="Taxa SELIC*",RIGHT(LEFT(#REF!,13),6),"")+1-1),"",(IF(#REF!="Taxa SELIC*",RIGHT(LEFT(#REF!,13),6),"")+1-1))</f>
        <v/>
      </c>
      <c r="U112" s="614" t="str">
        <f t="shared" si="19"/>
        <v/>
      </c>
    </row>
    <row r="113" spans="13:21" x14ac:dyDescent="0.2">
      <c r="M113" s="616" t="str">
        <f>IF(ISERROR(IF(A103="Índice de taxa média de depósitos interfinanceiros de um dia - IDI",RIGHT(LEFT(A105,13),10),"")+1-1),"",IF(A103="Índice de taxa média de depósitos interfinanceiros de um dia - IDI",RIGHT(LEFT(A105,13),10),"")+1-1)</f>
        <v/>
      </c>
      <c r="N113" s="614" t="str">
        <f>IF(ISERROR(IF(A103="Índice de taxa média de depósitos interfinanceiros de um dia - IDI",LEFT(RIGHT(A105,19),11),"")+1-1),"",(IF(A103="Índice de taxa média de depósitos interfinanceiros de um dia - IDI",LEFT(RIGHT(A105,19),11),"")+1-1))</f>
        <v/>
      </c>
      <c r="O113" s="616" t="str">
        <f>IF(ISERROR(IF(#REF!="Índice de taxa média de depósitos interfinanceiros de um dia - IDI",RIGHT(LEFT(A105,13),10),"")+1-1),"",IF(#REF!="Índice de taxa média de depósitos interfinanceiros de um dia - IDI",RIGHT(LEFT(A105,13),10),"")+1-1)</f>
        <v/>
      </c>
      <c r="P113" s="614" t="str">
        <f>IF(ISERROR(IF(#REF!="Índice de taxa média de depósitos interfinanceiros de um dia - IDI",LEFT(RIGHT(A105,19),11),"")+1-1),"",(IF(#REF!="Índice de taxa média de depósitos interfinanceiros de um dia - IDI",LEFT(RIGHT(A105,19),11),"")+1-1))</f>
        <v/>
      </c>
      <c r="Q113" s="616" t="str">
        <f>IF(ISERROR(IF(A103="Taxa Referencial de DI / Cetip",RIGHT(A105,10),"")+1-1),"",(IF(A103="Taxa Referencial de DI / Cetip",RIGHT(A105,10),"")+1-1))</f>
        <v/>
      </c>
      <c r="R113" s="615" t="str">
        <f>IF(ISERROR(IF(A103="Taxa Referencial de DI / Cetip",RIGHT(LEFT(A104,15),6),"")+1-1),"",(IF(A103="Taxa Referencial de DI / Cetip",RIGHT(LEFT(A104,15),6),"")+1-1))</f>
        <v/>
      </c>
      <c r="S113" s="616" t="str">
        <f>IF(ISERROR(IF(#REF!="Taxa SELIC*",RIGHT(A104,11),"")+1-1),"",(IF(#REF!="Taxa SELIC*",RIGHT(A104,11),"")+1-1))</f>
        <v/>
      </c>
      <c r="T113" s="615" t="str">
        <f>IF(ISERROR(IF(#REF!="Taxa SELIC*",RIGHT(LEFT(A103,13),6),"")+1-1),"",(IF(#REF!="Taxa SELIC*",RIGHT(LEFT(A103,13),6),"")+1-1))</f>
        <v/>
      </c>
      <c r="U113" s="614" t="str">
        <f t="shared" si="19"/>
        <v/>
      </c>
    </row>
    <row r="114" spans="13:21" x14ac:dyDescent="0.2">
      <c r="M114" s="616"/>
      <c r="Q114" s="616"/>
      <c r="R114" s="615"/>
      <c r="S114" s="616" t="str">
        <f t="shared" ref="S114:S177" si="20">IF(ISERROR(IF(A103="Taxa SELIC*",RIGHT(A105,11),"")+1-1),"",(IF(A103="Taxa SELIC*",RIGHT(A105,11),"")+1-1))</f>
        <v/>
      </c>
      <c r="T114" s="615" t="str">
        <f t="shared" ref="T114:T177" si="21">IF(ISERROR(IF(A103="Taxa SELIC*",RIGHT(LEFT(A104,13),6),"")+1-1),"",(IF(A103="Taxa SELIC*",RIGHT(LEFT(A104,13),6),"")+1-1))</f>
        <v/>
      </c>
      <c r="U114" s="614" t="str">
        <f t="shared" si="19"/>
        <v/>
      </c>
    </row>
    <row r="115" spans="13:21" x14ac:dyDescent="0.2">
      <c r="M115" s="616"/>
      <c r="Q115" s="616"/>
      <c r="R115" s="615"/>
      <c r="S115" s="616" t="str">
        <f t="shared" si="20"/>
        <v/>
      </c>
      <c r="T115" s="615" t="str">
        <f t="shared" si="21"/>
        <v/>
      </c>
      <c r="U115" s="614" t="str">
        <f t="shared" si="19"/>
        <v/>
      </c>
    </row>
    <row r="116" spans="13:21" x14ac:dyDescent="0.2">
      <c r="M116" s="616"/>
      <c r="Q116" s="616"/>
      <c r="R116" s="615"/>
      <c r="S116" s="616" t="str">
        <f t="shared" si="20"/>
        <v/>
      </c>
      <c r="T116" s="615" t="str">
        <f t="shared" si="21"/>
        <v/>
      </c>
      <c r="U116" s="614" t="str">
        <f t="shared" si="19"/>
        <v/>
      </c>
    </row>
    <row r="117" spans="13:21" x14ac:dyDescent="0.2">
      <c r="M117" s="616"/>
      <c r="Q117" s="616"/>
      <c r="R117" s="615"/>
      <c r="S117" s="616" t="str">
        <f t="shared" si="20"/>
        <v/>
      </c>
      <c r="T117" s="615" t="str">
        <f t="shared" si="21"/>
        <v/>
      </c>
      <c r="U117" s="614" t="str">
        <f t="shared" si="19"/>
        <v/>
      </c>
    </row>
    <row r="118" spans="13:21" x14ac:dyDescent="0.2">
      <c r="M118" s="616"/>
      <c r="Q118" s="616"/>
      <c r="R118" s="615"/>
      <c r="S118" s="616" t="str">
        <f t="shared" si="20"/>
        <v/>
      </c>
      <c r="T118" s="615" t="str">
        <f t="shared" si="21"/>
        <v/>
      </c>
      <c r="U118" s="614" t="str">
        <f t="shared" si="19"/>
        <v/>
      </c>
    </row>
    <row r="119" spans="13:21" x14ac:dyDescent="0.2">
      <c r="M119" s="616"/>
      <c r="Q119" s="616"/>
      <c r="R119" s="615"/>
      <c r="S119" s="616" t="str">
        <f t="shared" si="20"/>
        <v/>
      </c>
      <c r="T119" s="615" t="str">
        <f t="shared" si="21"/>
        <v/>
      </c>
      <c r="U119" s="614" t="str">
        <f t="shared" si="19"/>
        <v/>
      </c>
    </row>
    <row r="120" spans="13:21" x14ac:dyDescent="0.2">
      <c r="M120" s="616"/>
      <c r="Q120" s="616"/>
      <c r="R120" s="615"/>
      <c r="S120" s="616" t="str">
        <f t="shared" si="20"/>
        <v/>
      </c>
      <c r="T120" s="615" t="str">
        <f t="shared" si="21"/>
        <v/>
      </c>
      <c r="U120" s="614" t="str">
        <f t="shared" si="19"/>
        <v/>
      </c>
    </row>
    <row r="121" spans="13:21" x14ac:dyDescent="0.2">
      <c r="M121" s="616"/>
      <c r="Q121" s="616"/>
      <c r="R121" s="615"/>
      <c r="S121" s="616" t="str">
        <f t="shared" si="20"/>
        <v/>
      </c>
      <c r="T121" s="615" t="str">
        <f t="shared" si="21"/>
        <v/>
      </c>
      <c r="U121" s="614" t="str">
        <f t="shared" si="19"/>
        <v/>
      </c>
    </row>
    <row r="122" spans="13:21" x14ac:dyDescent="0.2">
      <c r="M122" s="616"/>
      <c r="Q122" s="616"/>
      <c r="R122" s="615"/>
      <c r="S122" s="616" t="str">
        <f t="shared" si="20"/>
        <v/>
      </c>
      <c r="T122" s="615" t="str">
        <f t="shared" si="21"/>
        <v/>
      </c>
      <c r="U122" s="614" t="str">
        <f t="shared" si="19"/>
        <v/>
      </c>
    </row>
    <row r="123" spans="13:21" x14ac:dyDescent="0.2">
      <c r="M123" s="616"/>
      <c r="Q123" s="616"/>
      <c r="R123" s="615"/>
      <c r="S123" s="616" t="str">
        <f t="shared" si="20"/>
        <v/>
      </c>
      <c r="T123" s="615" t="str">
        <f t="shared" si="21"/>
        <v/>
      </c>
      <c r="U123" s="614" t="str">
        <f t="shared" si="19"/>
        <v/>
      </c>
    </row>
    <row r="124" spans="13:21" x14ac:dyDescent="0.2">
      <c r="M124" s="616"/>
      <c r="Q124" s="616"/>
      <c r="R124" s="615"/>
      <c r="S124" s="616" t="str">
        <f t="shared" si="20"/>
        <v/>
      </c>
      <c r="T124" s="615" t="str">
        <f t="shared" si="21"/>
        <v/>
      </c>
      <c r="U124" s="614" t="str">
        <f t="shared" si="19"/>
        <v/>
      </c>
    </row>
    <row r="125" spans="13:21" x14ac:dyDescent="0.2">
      <c r="M125" s="616"/>
      <c r="Q125" s="616"/>
      <c r="R125" s="615"/>
      <c r="S125" s="616" t="str">
        <f t="shared" si="20"/>
        <v/>
      </c>
      <c r="T125" s="615" t="str">
        <f t="shared" si="21"/>
        <v/>
      </c>
      <c r="U125" s="614" t="str">
        <f t="shared" si="19"/>
        <v/>
      </c>
    </row>
    <row r="126" spans="13:21" x14ac:dyDescent="0.2">
      <c r="M126" s="616"/>
      <c r="Q126" s="616"/>
      <c r="R126" s="615"/>
      <c r="S126" s="616" t="str">
        <f t="shared" si="20"/>
        <v/>
      </c>
      <c r="T126" s="615" t="str">
        <f t="shared" si="21"/>
        <v/>
      </c>
      <c r="U126" s="614" t="str">
        <f t="shared" si="19"/>
        <v/>
      </c>
    </row>
    <row r="127" spans="13:21" x14ac:dyDescent="0.2">
      <c r="M127" s="616"/>
      <c r="Q127" s="616"/>
      <c r="R127" s="615"/>
      <c r="S127" s="616" t="str">
        <f t="shared" si="20"/>
        <v/>
      </c>
      <c r="T127" s="615" t="str">
        <f t="shared" si="21"/>
        <v/>
      </c>
      <c r="U127" s="614" t="str">
        <f t="shared" si="19"/>
        <v/>
      </c>
    </row>
    <row r="128" spans="13:21" x14ac:dyDescent="0.2">
      <c r="M128" s="616"/>
      <c r="Q128" s="616"/>
      <c r="R128" s="615"/>
      <c r="S128" s="616" t="str">
        <f t="shared" si="20"/>
        <v/>
      </c>
      <c r="T128" s="615" t="str">
        <f t="shared" si="21"/>
        <v/>
      </c>
      <c r="U128" s="614" t="str">
        <f t="shared" si="19"/>
        <v/>
      </c>
    </row>
    <row r="129" spans="13:21" x14ac:dyDescent="0.2">
      <c r="M129" s="616"/>
      <c r="Q129" s="616"/>
      <c r="R129" s="615"/>
      <c r="S129" s="616" t="str">
        <f t="shared" si="20"/>
        <v/>
      </c>
      <c r="T129" s="615" t="str">
        <f t="shared" si="21"/>
        <v/>
      </c>
      <c r="U129" s="614" t="str">
        <f t="shared" si="19"/>
        <v/>
      </c>
    </row>
    <row r="130" spans="13:21" x14ac:dyDescent="0.2">
      <c r="M130" s="616"/>
      <c r="Q130" s="616"/>
      <c r="R130" s="615"/>
      <c r="S130" s="616" t="str">
        <f t="shared" si="20"/>
        <v/>
      </c>
      <c r="T130" s="615" t="str">
        <f t="shared" si="21"/>
        <v/>
      </c>
      <c r="U130" s="614" t="str">
        <f t="shared" si="19"/>
        <v/>
      </c>
    </row>
    <row r="131" spans="13:21" x14ac:dyDescent="0.2">
      <c r="M131" s="616"/>
      <c r="Q131" s="616"/>
      <c r="R131" s="615"/>
      <c r="S131" s="616" t="str">
        <f t="shared" si="20"/>
        <v/>
      </c>
      <c r="T131" s="615" t="str">
        <f t="shared" si="21"/>
        <v/>
      </c>
      <c r="U131" s="614" t="str">
        <f t="shared" si="19"/>
        <v/>
      </c>
    </row>
    <row r="132" spans="13:21" x14ac:dyDescent="0.2">
      <c r="M132" s="616"/>
      <c r="Q132" s="616"/>
      <c r="R132" s="615"/>
      <c r="S132" s="616" t="str">
        <f t="shared" si="20"/>
        <v/>
      </c>
      <c r="T132" s="615" t="str">
        <f t="shared" si="21"/>
        <v/>
      </c>
      <c r="U132" s="614" t="str">
        <f t="shared" si="19"/>
        <v/>
      </c>
    </row>
    <row r="133" spans="13:21" x14ac:dyDescent="0.2">
      <c r="M133" s="616"/>
      <c r="Q133" s="616"/>
      <c r="R133" s="615"/>
      <c r="S133" s="616" t="str">
        <f t="shared" si="20"/>
        <v/>
      </c>
      <c r="T133" s="615" t="str">
        <f t="shared" si="21"/>
        <v/>
      </c>
      <c r="U133" s="614" t="str">
        <f t="shared" si="19"/>
        <v/>
      </c>
    </row>
    <row r="134" spans="13:21" x14ac:dyDescent="0.2">
      <c r="M134" s="616"/>
      <c r="Q134" s="616"/>
      <c r="R134" s="615"/>
      <c r="S134" s="616" t="str">
        <f t="shared" si="20"/>
        <v/>
      </c>
      <c r="T134" s="615" t="str">
        <f t="shared" si="21"/>
        <v/>
      </c>
      <c r="U134" s="614" t="str">
        <f t="shared" si="19"/>
        <v/>
      </c>
    </row>
    <row r="135" spans="13:21" x14ac:dyDescent="0.2">
      <c r="M135" s="616"/>
      <c r="Q135" s="616"/>
      <c r="R135" s="615"/>
      <c r="S135" s="616" t="str">
        <f t="shared" si="20"/>
        <v/>
      </c>
      <c r="T135" s="615" t="str">
        <f t="shared" si="21"/>
        <v/>
      </c>
      <c r="U135" s="614" t="str">
        <f t="shared" si="19"/>
        <v/>
      </c>
    </row>
    <row r="136" spans="13:21" x14ac:dyDescent="0.2">
      <c r="M136" s="616"/>
      <c r="Q136" s="616"/>
      <c r="R136" s="615"/>
      <c r="S136" s="616" t="str">
        <f t="shared" si="20"/>
        <v/>
      </c>
      <c r="T136" s="615" t="str">
        <f t="shared" si="21"/>
        <v/>
      </c>
      <c r="U136" s="614" t="str">
        <f t="shared" si="19"/>
        <v/>
      </c>
    </row>
    <row r="137" spans="13:21" x14ac:dyDescent="0.2">
      <c r="M137" s="616"/>
      <c r="Q137" s="616"/>
      <c r="R137" s="615"/>
      <c r="S137" s="616" t="str">
        <f t="shared" si="20"/>
        <v/>
      </c>
      <c r="T137" s="615" t="str">
        <f t="shared" si="21"/>
        <v/>
      </c>
      <c r="U137" s="614" t="str">
        <f t="shared" ref="U137:U200" si="22">IF((LEFT(H132,7)="venda ="),RIGHT(H132,6)+1-1,"")</f>
        <v/>
      </c>
    </row>
    <row r="138" spans="13:21" x14ac:dyDescent="0.2">
      <c r="M138" s="616"/>
      <c r="Q138" s="616"/>
      <c r="R138" s="615"/>
      <c r="S138" s="616" t="str">
        <f t="shared" si="20"/>
        <v/>
      </c>
      <c r="T138" s="615" t="str">
        <f t="shared" si="21"/>
        <v/>
      </c>
      <c r="U138" s="614" t="str">
        <f t="shared" si="22"/>
        <v/>
      </c>
    </row>
    <row r="139" spans="13:21" x14ac:dyDescent="0.2">
      <c r="M139" s="616"/>
      <c r="Q139" s="616"/>
      <c r="R139" s="615"/>
      <c r="S139" s="616" t="str">
        <f t="shared" si="20"/>
        <v/>
      </c>
      <c r="T139" s="615" t="str">
        <f t="shared" si="21"/>
        <v/>
      </c>
      <c r="U139" s="614" t="str">
        <f t="shared" si="22"/>
        <v/>
      </c>
    </row>
    <row r="140" spans="13:21" x14ac:dyDescent="0.2">
      <c r="M140" s="616"/>
      <c r="Q140" s="616"/>
      <c r="R140" s="615"/>
      <c r="S140" s="616" t="str">
        <f t="shared" si="20"/>
        <v/>
      </c>
      <c r="T140" s="615" t="str">
        <f t="shared" si="21"/>
        <v/>
      </c>
      <c r="U140" s="614" t="str">
        <f t="shared" si="22"/>
        <v/>
      </c>
    </row>
    <row r="141" spans="13:21" x14ac:dyDescent="0.2">
      <c r="M141" s="616"/>
      <c r="Q141" s="616"/>
      <c r="R141" s="615"/>
      <c r="S141" s="616" t="str">
        <f t="shared" si="20"/>
        <v/>
      </c>
      <c r="T141" s="615" t="str">
        <f t="shared" si="21"/>
        <v/>
      </c>
      <c r="U141" s="614" t="str">
        <f t="shared" si="22"/>
        <v/>
      </c>
    </row>
    <row r="142" spans="13:21" x14ac:dyDescent="0.2">
      <c r="M142" s="616"/>
      <c r="Q142" s="616"/>
      <c r="R142" s="615"/>
      <c r="S142" s="616" t="str">
        <f t="shared" si="20"/>
        <v/>
      </c>
      <c r="T142" s="615" t="str">
        <f t="shared" si="21"/>
        <v/>
      </c>
      <c r="U142" s="614" t="str">
        <f t="shared" si="22"/>
        <v/>
      </c>
    </row>
    <row r="143" spans="13:21" x14ac:dyDescent="0.2">
      <c r="M143" s="616"/>
      <c r="Q143" s="616"/>
      <c r="R143" s="615"/>
      <c r="S143" s="616" t="str">
        <f t="shared" si="20"/>
        <v/>
      </c>
      <c r="T143" s="615" t="str">
        <f t="shared" si="21"/>
        <v/>
      </c>
      <c r="U143" s="614" t="str">
        <f t="shared" si="22"/>
        <v/>
      </c>
    </row>
    <row r="144" spans="13:21" x14ac:dyDescent="0.2">
      <c r="M144" s="616"/>
      <c r="Q144" s="616"/>
      <c r="R144" s="615"/>
      <c r="S144" s="616" t="str">
        <f t="shared" si="20"/>
        <v/>
      </c>
      <c r="T144" s="615" t="str">
        <f t="shared" si="21"/>
        <v/>
      </c>
      <c r="U144" s="614" t="str">
        <f t="shared" si="22"/>
        <v/>
      </c>
    </row>
    <row r="145" spans="13:21" x14ac:dyDescent="0.2">
      <c r="M145" s="616"/>
      <c r="Q145" s="616"/>
      <c r="R145" s="615"/>
      <c r="S145" s="616" t="str">
        <f t="shared" si="20"/>
        <v/>
      </c>
      <c r="T145" s="615" t="str">
        <f t="shared" si="21"/>
        <v/>
      </c>
      <c r="U145" s="614" t="str">
        <f t="shared" si="22"/>
        <v/>
      </c>
    </row>
    <row r="146" spans="13:21" x14ac:dyDescent="0.2">
      <c r="M146" s="616"/>
      <c r="Q146" s="616"/>
      <c r="R146" s="615"/>
      <c r="S146" s="616" t="str">
        <f t="shared" si="20"/>
        <v/>
      </c>
      <c r="T146" s="615" t="str">
        <f t="shared" si="21"/>
        <v/>
      </c>
      <c r="U146" s="614" t="str">
        <f t="shared" si="22"/>
        <v/>
      </c>
    </row>
    <row r="147" spans="13:21" x14ac:dyDescent="0.2">
      <c r="M147" s="616"/>
      <c r="Q147" s="616"/>
      <c r="R147" s="615"/>
      <c r="S147" s="616" t="str">
        <f t="shared" si="20"/>
        <v/>
      </c>
      <c r="T147" s="615" t="str">
        <f t="shared" si="21"/>
        <v/>
      </c>
      <c r="U147" s="614" t="str">
        <f t="shared" si="22"/>
        <v/>
      </c>
    </row>
    <row r="148" spans="13:21" x14ac:dyDescent="0.2">
      <c r="M148" s="616"/>
      <c r="Q148" s="616"/>
      <c r="R148" s="615"/>
      <c r="S148" s="616" t="str">
        <f t="shared" si="20"/>
        <v/>
      </c>
      <c r="T148" s="615" t="str">
        <f t="shared" si="21"/>
        <v/>
      </c>
      <c r="U148" s="614" t="str">
        <f t="shared" si="22"/>
        <v/>
      </c>
    </row>
    <row r="149" spans="13:21" x14ac:dyDescent="0.2">
      <c r="M149" s="616"/>
      <c r="Q149" s="616"/>
      <c r="R149" s="615"/>
      <c r="S149" s="616" t="str">
        <f t="shared" si="20"/>
        <v/>
      </c>
      <c r="T149" s="615" t="str">
        <f t="shared" si="21"/>
        <v/>
      </c>
      <c r="U149" s="614" t="str">
        <f t="shared" si="22"/>
        <v/>
      </c>
    </row>
    <row r="150" spans="13:21" x14ac:dyDescent="0.2">
      <c r="M150" s="616"/>
      <c r="Q150" s="616"/>
      <c r="R150" s="615"/>
      <c r="S150" s="616" t="str">
        <f t="shared" si="20"/>
        <v/>
      </c>
      <c r="T150" s="615" t="str">
        <f t="shared" si="21"/>
        <v/>
      </c>
      <c r="U150" s="614" t="str">
        <f t="shared" si="22"/>
        <v/>
      </c>
    </row>
    <row r="151" spans="13:21" x14ac:dyDescent="0.2">
      <c r="M151" s="616"/>
      <c r="Q151" s="616"/>
      <c r="R151" s="615"/>
      <c r="S151" s="616" t="str">
        <f t="shared" si="20"/>
        <v/>
      </c>
      <c r="T151" s="615" t="str">
        <f t="shared" si="21"/>
        <v/>
      </c>
      <c r="U151" s="614" t="str">
        <f t="shared" si="22"/>
        <v/>
      </c>
    </row>
    <row r="152" spans="13:21" x14ac:dyDescent="0.2">
      <c r="M152" s="616"/>
      <c r="Q152" s="616"/>
      <c r="R152" s="615"/>
      <c r="S152" s="616" t="str">
        <f t="shared" si="20"/>
        <v/>
      </c>
      <c r="T152" s="615" t="str">
        <f t="shared" si="21"/>
        <v/>
      </c>
      <c r="U152" s="614" t="str">
        <f t="shared" si="22"/>
        <v/>
      </c>
    </row>
    <row r="153" spans="13:21" x14ac:dyDescent="0.2">
      <c r="M153" s="616"/>
      <c r="Q153" s="616"/>
      <c r="R153" s="615"/>
      <c r="S153" s="616" t="str">
        <f t="shared" si="20"/>
        <v/>
      </c>
      <c r="T153" s="615" t="str">
        <f t="shared" si="21"/>
        <v/>
      </c>
      <c r="U153" s="614" t="str">
        <f t="shared" si="22"/>
        <v/>
      </c>
    </row>
    <row r="154" spans="13:21" x14ac:dyDescent="0.2">
      <c r="M154" s="616"/>
      <c r="Q154" s="616"/>
      <c r="R154" s="615"/>
      <c r="S154" s="616" t="str">
        <f t="shared" si="20"/>
        <v/>
      </c>
      <c r="T154" s="615" t="str">
        <f t="shared" si="21"/>
        <v/>
      </c>
      <c r="U154" s="614" t="str">
        <f t="shared" si="22"/>
        <v/>
      </c>
    </row>
    <row r="155" spans="13:21" x14ac:dyDescent="0.2">
      <c r="M155" s="616"/>
      <c r="Q155" s="616"/>
      <c r="R155" s="615"/>
      <c r="S155" s="616" t="str">
        <f t="shared" si="20"/>
        <v/>
      </c>
      <c r="T155" s="615" t="str">
        <f t="shared" si="21"/>
        <v/>
      </c>
      <c r="U155" s="614" t="str">
        <f t="shared" si="22"/>
        <v/>
      </c>
    </row>
    <row r="156" spans="13:21" x14ac:dyDescent="0.2">
      <c r="M156" s="616"/>
      <c r="Q156" s="616"/>
      <c r="R156" s="615"/>
      <c r="S156" s="616" t="str">
        <f t="shared" si="20"/>
        <v/>
      </c>
      <c r="T156" s="615" t="str">
        <f t="shared" si="21"/>
        <v/>
      </c>
      <c r="U156" s="614" t="str">
        <f t="shared" si="22"/>
        <v/>
      </c>
    </row>
    <row r="157" spans="13:21" x14ac:dyDescent="0.2">
      <c r="M157" s="616"/>
      <c r="Q157" s="616"/>
      <c r="R157" s="615"/>
      <c r="S157" s="616" t="str">
        <f t="shared" si="20"/>
        <v/>
      </c>
      <c r="T157" s="615" t="str">
        <f t="shared" si="21"/>
        <v/>
      </c>
      <c r="U157" s="614" t="str">
        <f t="shared" si="22"/>
        <v/>
      </c>
    </row>
    <row r="158" spans="13:21" x14ac:dyDescent="0.2">
      <c r="M158" s="616"/>
      <c r="Q158" s="616"/>
      <c r="R158" s="615"/>
      <c r="S158" s="616" t="str">
        <f t="shared" si="20"/>
        <v/>
      </c>
      <c r="T158" s="615" t="str">
        <f t="shared" si="21"/>
        <v/>
      </c>
      <c r="U158" s="614" t="str">
        <f t="shared" si="22"/>
        <v/>
      </c>
    </row>
    <row r="159" spans="13:21" x14ac:dyDescent="0.2">
      <c r="M159" s="616"/>
      <c r="Q159" s="616"/>
      <c r="R159" s="615"/>
      <c r="S159" s="616" t="str">
        <f t="shared" si="20"/>
        <v/>
      </c>
      <c r="T159" s="615" t="str">
        <f t="shared" si="21"/>
        <v/>
      </c>
      <c r="U159" s="614" t="str">
        <f t="shared" si="22"/>
        <v/>
      </c>
    </row>
    <row r="160" spans="13:21" x14ac:dyDescent="0.2">
      <c r="M160" s="616"/>
      <c r="Q160" s="616"/>
      <c r="R160" s="615"/>
      <c r="S160" s="616" t="str">
        <f t="shared" si="20"/>
        <v/>
      </c>
      <c r="T160" s="615" t="str">
        <f t="shared" si="21"/>
        <v/>
      </c>
      <c r="U160" s="614" t="str">
        <f t="shared" si="22"/>
        <v/>
      </c>
    </row>
    <row r="161" spans="13:21" x14ac:dyDescent="0.2">
      <c r="M161" s="616"/>
      <c r="Q161" s="616"/>
      <c r="R161" s="615"/>
      <c r="S161" s="616" t="str">
        <f t="shared" si="20"/>
        <v/>
      </c>
      <c r="T161" s="615" t="str">
        <f t="shared" si="21"/>
        <v/>
      </c>
      <c r="U161" s="614" t="str">
        <f t="shared" si="22"/>
        <v/>
      </c>
    </row>
    <row r="162" spans="13:21" x14ac:dyDescent="0.2">
      <c r="M162" s="616"/>
      <c r="Q162" s="616"/>
      <c r="R162" s="615"/>
      <c r="S162" s="616" t="str">
        <f t="shared" si="20"/>
        <v/>
      </c>
      <c r="T162" s="615" t="str">
        <f t="shared" si="21"/>
        <v/>
      </c>
      <c r="U162" s="614" t="str">
        <f t="shared" si="22"/>
        <v/>
      </c>
    </row>
    <row r="163" spans="13:21" x14ac:dyDescent="0.2">
      <c r="M163" s="616"/>
      <c r="Q163" s="616"/>
      <c r="R163" s="615"/>
      <c r="S163" s="616" t="str">
        <f t="shared" si="20"/>
        <v/>
      </c>
      <c r="T163" s="615" t="str">
        <f t="shared" si="21"/>
        <v/>
      </c>
      <c r="U163" s="614" t="str">
        <f t="shared" si="22"/>
        <v/>
      </c>
    </row>
    <row r="164" spans="13:21" x14ac:dyDescent="0.2">
      <c r="M164" s="616"/>
      <c r="Q164" s="616"/>
      <c r="R164" s="615"/>
      <c r="S164" s="616" t="str">
        <f t="shared" si="20"/>
        <v/>
      </c>
      <c r="T164" s="615" t="str">
        <f t="shared" si="21"/>
        <v/>
      </c>
      <c r="U164" s="614" t="str">
        <f t="shared" si="22"/>
        <v/>
      </c>
    </row>
    <row r="165" spans="13:21" x14ac:dyDescent="0.2">
      <c r="M165" s="616"/>
      <c r="Q165" s="616"/>
      <c r="R165" s="615"/>
      <c r="S165" s="616" t="str">
        <f t="shared" si="20"/>
        <v/>
      </c>
      <c r="T165" s="615" t="str">
        <f t="shared" si="21"/>
        <v/>
      </c>
      <c r="U165" s="614" t="str">
        <f t="shared" si="22"/>
        <v/>
      </c>
    </row>
    <row r="166" spans="13:21" x14ac:dyDescent="0.2">
      <c r="M166" s="616"/>
      <c r="Q166" s="616"/>
      <c r="R166" s="615"/>
      <c r="S166" s="616" t="str">
        <f t="shared" si="20"/>
        <v/>
      </c>
      <c r="T166" s="615" t="str">
        <f t="shared" si="21"/>
        <v/>
      </c>
      <c r="U166" s="614" t="str">
        <f t="shared" si="22"/>
        <v/>
      </c>
    </row>
    <row r="167" spans="13:21" x14ac:dyDescent="0.2">
      <c r="M167" s="616"/>
      <c r="Q167" s="616"/>
      <c r="R167" s="615"/>
      <c r="S167" s="616" t="str">
        <f t="shared" si="20"/>
        <v/>
      </c>
      <c r="T167" s="615" t="str">
        <f t="shared" si="21"/>
        <v/>
      </c>
      <c r="U167" s="614" t="str">
        <f t="shared" si="22"/>
        <v/>
      </c>
    </row>
    <row r="168" spans="13:21" x14ac:dyDescent="0.2">
      <c r="M168" s="616"/>
      <c r="Q168" s="616"/>
      <c r="R168" s="615"/>
      <c r="S168" s="616" t="str">
        <f t="shared" si="20"/>
        <v/>
      </c>
      <c r="T168" s="615" t="str">
        <f t="shared" si="21"/>
        <v/>
      </c>
      <c r="U168" s="614" t="str">
        <f t="shared" si="22"/>
        <v/>
      </c>
    </row>
    <row r="169" spans="13:21" x14ac:dyDescent="0.2">
      <c r="M169" s="616"/>
      <c r="Q169" s="616"/>
      <c r="R169" s="615"/>
      <c r="S169" s="616" t="str">
        <f t="shared" si="20"/>
        <v/>
      </c>
      <c r="T169" s="615" t="str">
        <f t="shared" si="21"/>
        <v/>
      </c>
      <c r="U169" s="614" t="str">
        <f t="shared" si="22"/>
        <v/>
      </c>
    </row>
    <row r="170" spans="13:21" x14ac:dyDescent="0.2">
      <c r="M170" s="616"/>
      <c r="Q170" s="616"/>
      <c r="R170" s="615"/>
      <c r="S170" s="616" t="str">
        <f t="shared" si="20"/>
        <v/>
      </c>
      <c r="T170" s="615" t="str">
        <f t="shared" si="21"/>
        <v/>
      </c>
      <c r="U170" s="614" t="str">
        <f t="shared" si="22"/>
        <v/>
      </c>
    </row>
    <row r="171" spans="13:21" x14ac:dyDescent="0.2">
      <c r="M171" s="616"/>
      <c r="Q171" s="616"/>
      <c r="R171" s="615"/>
      <c r="S171" s="616" t="str">
        <f t="shared" si="20"/>
        <v/>
      </c>
      <c r="T171" s="615" t="str">
        <f t="shared" si="21"/>
        <v/>
      </c>
      <c r="U171" s="614" t="str">
        <f t="shared" si="22"/>
        <v/>
      </c>
    </row>
    <row r="172" spans="13:21" x14ac:dyDescent="0.2">
      <c r="M172" s="616"/>
      <c r="Q172" s="616"/>
      <c r="R172" s="615"/>
      <c r="S172" s="616" t="str">
        <f t="shared" si="20"/>
        <v/>
      </c>
      <c r="T172" s="615" t="str">
        <f t="shared" si="21"/>
        <v/>
      </c>
      <c r="U172" s="614" t="str">
        <f t="shared" si="22"/>
        <v/>
      </c>
    </row>
    <row r="173" spans="13:21" x14ac:dyDescent="0.2">
      <c r="M173" s="616"/>
      <c r="Q173" s="616"/>
      <c r="R173" s="615"/>
      <c r="S173" s="616" t="str">
        <f t="shared" si="20"/>
        <v/>
      </c>
      <c r="T173" s="615" t="str">
        <f t="shared" si="21"/>
        <v/>
      </c>
      <c r="U173" s="614" t="str">
        <f t="shared" si="22"/>
        <v/>
      </c>
    </row>
    <row r="174" spans="13:21" x14ac:dyDescent="0.2">
      <c r="M174" s="616"/>
      <c r="Q174" s="616"/>
      <c r="R174" s="615"/>
      <c r="S174" s="616" t="str">
        <f t="shared" si="20"/>
        <v/>
      </c>
      <c r="T174" s="615" t="str">
        <f t="shared" si="21"/>
        <v/>
      </c>
      <c r="U174" s="614" t="str">
        <f t="shared" si="22"/>
        <v/>
      </c>
    </row>
    <row r="175" spans="13:21" x14ac:dyDescent="0.2">
      <c r="M175" s="616"/>
      <c r="Q175" s="616"/>
      <c r="R175" s="615"/>
      <c r="S175" s="616" t="str">
        <f t="shared" si="20"/>
        <v/>
      </c>
      <c r="T175" s="615" t="str">
        <f t="shared" si="21"/>
        <v/>
      </c>
      <c r="U175" s="614" t="str">
        <f t="shared" si="22"/>
        <v/>
      </c>
    </row>
    <row r="176" spans="13:21" x14ac:dyDescent="0.2">
      <c r="M176" s="616"/>
      <c r="Q176" s="616"/>
      <c r="R176" s="615"/>
      <c r="S176" s="616" t="str">
        <f t="shared" si="20"/>
        <v/>
      </c>
      <c r="T176" s="615" t="str">
        <f t="shared" si="21"/>
        <v/>
      </c>
      <c r="U176" s="614" t="str">
        <f t="shared" si="22"/>
        <v/>
      </c>
    </row>
    <row r="177" spans="13:21" x14ac:dyDescent="0.2">
      <c r="M177" s="616"/>
      <c r="Q177" s="616"/>
      <c r="R177" s="615"/>
      <c r="S177" s="616" t="str">
        <f t="shared" si="20"/>
        <v/>
      </c>
      <c r="T177" s="615" t="str">
        <f t="shared" si="21"/>
        <v/>
      </c>
      <c r="U177" s="614" t="str">
        <f t="shared" si="22"/>
        <v/>
      </c>
    </row>
    <row r="178" spans="13:21" x14ac:dyDescent="0.2">
      <c r="M178" s="616"/>
      <c r="Q178" s="616"/>
      <c r="R178" s="615"/>
      <c r="S178" s="616" t="str">
        <f t="shared" ref="S178:S241" si="23">IF(ISERROR(IF(A167="Taxa SELIC*",RIGHT(A169,11),"")+1-1),"",(IF(A167="Taxa SELIC*",RIGHT(A169,11),"")+1-1))</f>
        <v/>
      </c>
      <c r="T178" s="615" t="str">
        <f t="shared" ref="T178:T241" si="24">IF(ISERROR(IF(A167="Taxa SELIC*",RIGHT(LEFT(A168,13),6),"")+1-1),"",(IF(A167="Taxa SELIC*",RIGHT(LEFT(A168,13),6),"")+1-1))</f>
        <v/>
      </c>
      <c r="U178" s="614" t="str">
        <f t="shared" si="22"/>
        <v/>
      </c>
    </row>
    <row r="179" spans="13:21" x14ac:dyDescent="0.2">
      <c r="M179" s="616"/>
      <c r="Q179" s="616"/>
      <c r="R179" s="615"/>
      <c r="S179" s="616" t="str">
        <f t="shared" si="23"/>
        <v/>
      </c>
      <c r="T179" s="615" t="str">
        <f t="shared" si="24"/>
        <v/>
      </c>
      <c r="U179" s="614" t="str">
        <f t="shared" si="22"/>
        <v/>
      </c>
    </row>
    <row r="180" spans="13:21" x14ac:dyDescent="0.2">
      <c r="M180" s="616"/>
      <c r="Q180" s="616"/>
      <c r="R180" s="615"/>
      <c r="S180" s="616" t="str">
        <f t="shared" si="23"/>
        <v/>
      </c>
      <c r="T180" s="615" t="str">
        <f t="shared" si="24"/>
        <v/>
      </c>
      <c r="U180" s="614" t="str">
        <f t="shared" si="22"/>
        <v/>
      </c>
    </row>
    <row r="181" spans="13:21" x14ac:dyDescent="0.2">
      <c r="M181" s="616"/>
      <c r="Q181" s="616"/>
      <c r="R181" s="615"/>
      <c r="S181" s="616" t="str">
        <f t="shared" si="23"/>
        <v/>
      </c>
      <c r="T181" s="615" t="str">
        <f t="shared" si="24"/>
        <v/>
      </c>
      <c r="U181" s="614" t="str">
        <f t="shared" si="22"/>
        <v/>
      </c>
    </row>
    <row r="182" spans="13:21" x14ac:dyDescent="0.2">
      <c r="M182" s="616"/>
      <c r="Q182" s="616"/>
      <c r="R182" s="615"/>
      <c r="S182" s="616" t="str">
        <f t="shared" si="23"/>
        <v/>
      </c>
      <c r="T182" s="615" t="str">
        <f t="shared" si="24"/>
        <v/>
      </c>
      <c r="U182" s="614" t="str">
        <f t="shared" si="22"/>
        <v/>
      </c>
    </row>
    <row r="183" spans="13:21" x14ac:dyDescent="0.2">
      <c r="M183" s="616"/>
      <c r="Q183" s="616"/>
      <c r="R183" s="615"/>
      <c r="S183" s="616" t="str">
        <f t="shared" si="23"/>
        <v/>
      </c>
      <c r="T183" s="615" t="str">
        <f t="shared" si="24"/>
        <v/>
      </c>
      <c r="U183" s="614" t="str">
        <f t="shared" si="22"/>
        <v/>
      </c>
    </row>
    <row r="184" spans="13:21" x14ac:dyDescent="0.2">
      <c r="M184" s="616"/>
      <c r="Q184" s="616"/>
      <c r="R184" s="615"/>
      <c r="S184" s="616" t="str">
        <f t="shared" si="23"/>
        <v/>
      </c>
      <c r="T184" s="615" t="str">
        <f t="shared" si="24"/>
        <v/>
      </c>
      <c r="U184" s="614" t="str">
        <f t="shared" si="22"/>
        <v/>
      </c>
    </row>
    <row r="185" spans="13:21" x14ac:dyDescent="0.2">
      <c r="M185" s="616"/>
      <c r="Q185" s="616"/>
      <c r="R185" s="615"/>
      <c r="S185" s="616" t="str">
        <f t="shared" si="23"/>
        <v/>
      </c>
      <c r="T185" s="615" t="str">
        <f t="shared" si="24"/>
        <v/>
      </c>
      <c r="U185" s="614" t="str">
        <f t="shared" si="22"/>
        <v/>
      </c>
    </row>
    <row r="186" spans="13:21" x14ac:dyDescent="0.2">
      <c r="M186" s="616"/>
      <c r="Q186" s="616"/>
      <c r="R186" s="615"/>
      <c r="S186" s="616" t="str">
        <f t="shared" si="23"/>
        <v/>
      </c>
      <c r="T186" s="615" t="str">
        <f t="shared" si="24"/>
        <v/>
      </c>
      <c r="U186" s="614" t="str">
        <f t="shared" si="22"/>
        <v/>
      </c>
    </row>
    <row r="187" spans="13:21" x14ac:dyDescent="0.2">
      <c r="M187" s="616"/>
      <c r="Q187" s="616"/>
      <c r="R187" s="615"/>
      <c r="S187" s="616" t="str">
        <f t="shared" si="23"/>
        <v/>
      </c>
      <c r="T187" s="615" t="str">
        <f t="shared" si="24"/>
        <v/>
      </c>
      <c r="U187" s="614" t="str">
        <f t="shared" si="22"/>
        <v/>
      </c>
    </row>
    <row r="188" spans="13:21" x14ac:dyDescent="0.2">
      <c r="M188" s="616"/>
      <c r="Q188" s="616"/>
      <c r="R188" s="615"/>
      <c r="S188" s="616" t="str">
        <f t="shared" si="23"/>
        <v/>
      </c>
      <c r="T188" s="615" t="str">
        <f t="shared" si="24"/>
        <v/>
      </c>
      <c r="U188" s="614" t="str">
        <f t="shared" si="22"/>
        <v/>
      </c>
    </row>
    <row r="189" spans="13:21" x14ac:dyDescent="0.2">
      <c r="M189" s="616"/>
      <c r="Q189" s="616"/>
      <c r="R189" s="615"/>
      <c r="S189" s="616" t="str">
        <f t="shared" si="23"/>
        <v/>
      </c>
      <c r="T189" s="615" t="str">
        <f t="shared" si="24"/>
        <v/>
      </c>
      <c r="U189" s="614" t="str">
        <f t="shared" si="22"/>
        <v/>
      </c>
    </row>
    <row r="190" spans="13:21" x14ac:dyDescent="0.2">
      <c r="M190" s="616"/>
      <c r="Q190" s="616"/>
      <c r="R190" s="615"/>
      <c r="S190" s="616" t="str">
        <f t="shared" si="23"/>
        <v/>
      </c>
      <c r="T190" s="615" t="str">
        <f t="shared" si="24"/>
        <v/>
      </c>
      <c r="U190" s="614" t="str">
        <f t="shared" si="22"/>
        <v/>
      </c>
    </row>
    <row r="191" spans="13:21" x14ac:dyDescent="0.2">
      <c r="M191" s="616"/>
      <c r="Q191" s="616"/>
      <c r="R191" s="615"/>
      <c r="S191" s="616" t="str">
        <f t="shared" si="23"/>
        <v/>
      </c>
      <c r="T191" s="615" t="str">
        <f t="shared" si="24"/>
        <v/>
      </c>
      <c r="U191" s="614" t="str">
        <f t="shared" si="22"/>
        <v/>
      </c>
    </row>
    <row r="192" spans="13:21" x14ac:dyDescent="0.2">
      <c r="M192" s="616"/>
      <c r="Q192" s="616"/>
      <c r="R192" s="615"/>
      <c r="S192" s="616" t="str">
        <f t="shared" si="23"/>
        <v/>
      </c>
      <c r="T192" s="615" t="str">
        <f t="shared" si="24"/>
        <v/>
      </c>
      <c r="U192" s="614" t="str">
        <f t="shared" si="22"/>
        <v/>
      </c>
    </row>
    <row r="193" spans="13:21" x14ac:dyDescent="0.2">
      <c r="M193" s="616"/>
      <c r="Q193" s="616"/>
      <c r="R193" s="615"/>
      <c r="S193" s="616" t="str">
        <f t="shared" si="23"/>
        <v/>
      </c>
      <c r="T193" s="615" t="str">
        <f t="shared" si="24"/>
        <v/>
      </c>
      <c r="U193" s="614" t="str">
        <f t="shared" si="22"/>
        <v/>
      </c>
    </row>
    <row r="194" spans="13:21" x14ac:dyDescent="0.2">
      <c r="M194" s="616"/>
      <c r="Q194" s="616"/>
      <c r="R194" s="615"/>
      <c r="S194" s="616" t="str">
        <f t="shared" si="23"/>
        <v/>
      </c>
      <c r="T194" s="615" t="str">
        <f t="shared" si="24"/>
        <v/>
      </c>
      <c r="U194" s="614" t="str">
        <f t="shared" si="22"/>
        <v/>
      </c>
    </row>
    <row r="195" spans="13:21" x14ac:dyDescent="0.2">
      <c r="M195" s="616"/>
      <c r="Q195" s="616"/>
      <c r="R195" s="615"/>
      <c r="S195" s="616" t="str">
        <f t="shared" si="23"/>
        <v/>
      </c>
      <c r="T195" s="615" t="str">
        <f t="shared" si="24"/>
        <v/>
      </c>
      <c r="U195" s="614" t="str">
        <f t="shared" si="22"/>
        <v/>
      </c>
    </row>
    <row r="196" spans="13:21" x14ac:dyDescent="0.2">
      <c r="M196" s="616"/>
      <c r="Q196" s="616"/>
      <c r="R196" s="615"/>
      <c r="S196" s="616" t="str">
        <f t="shared" si="23"/>
        <v/>
      </c>
      <c r="T196" s="615" t="str">
        <f t="shared" si="24"/>
        <v/>
      </c>
      <c r="U196" s="614" t="str">
        <f t="shared" si="22"/>
        <v/>
      </c>
    </row>
    <row r="197" spans="13:21" x14ac:dyDescent="0.2">
      <c r="M197" s="616"/>
      <c r="Q197" s="616"/>
      <c r="R197" s="615"/>
      <c r="S197" s="616" t="str">
        <f t="shared" si="23"/>
        <v/>
      </c>
      <c r="T197" s="615" t="str">
        <f t="shared" si="24"/>
        <v/>
      </c>
      <c r="U197" s="614" t="str">
        <f t="shared" si="22"/>
        <v/>
      </c>
    </row>
    <row r="198" spans="13:21" x14ac:dyDescent="0.2">
      <c r="M198" s="616"/>
      <c r="Q198" s="616"/>
      <c r="R198" s="615"/>
      <c r="S198" s="616" t="str">
        <f t="shared" si="23"/>
        <v/>
      </c>
      <c r="T198" s="615" t="str">
        <f t="shared" si="24"/>
        <v/>
      </c>
      <c r="U198" s="614" t="str">
        <f t="shared" si="22"/>
        <v/>
      </c>
    </row>
    <row r="199" spans="13:21" x14ac:dyDescent="0.2">
      <c r="M199" s="616"/>
      <c r="Q199" s="616"/>
      <c r="R199" s="615"/>
      <c r="S199" s="616" t="str">
        <f t="shared" si="23"/>
        <v/>
      </c>
      <c r="T199" s="615" t="str">
        <f t="shared" si="24"/>
        <v/>
      </c>
      <c r="U199" s="614" t="str">
        <f t="shared" si="22"/>
        <v/>
      </c>
    </row>
    <row r="200" spans="13:21" x14ac:dyDescent="0.2">
      <c r="M200" s="616"/>
      <c r="Q200" s="616"/>
      <c r="R200" s="615"/>
      <c r="S200" s="616" t="str">
        <f t="shared" si="23"/>
        <v/>
      </c>
      <c r="T200" s="615" t="str">
        <f t="shared" si="24"/>
        <v/>
      </c>
      <c r="U200" s="614" t="str">
        <f t="shared" si="22"/>
        <v/>
      </c>
    </row>
    <row r="201" spans="13:21" x14ac:dyDescent="0.2">
      <c r="M201" s="616"/>
      <c r="Q201" s="616"/>
      <c r="R201" s="615"/>
      <c r="S201" s="616" t="str">
        <f t="shared" si="23"/>
        <v/>
      </c>
      <c r="T201" s="615" t="str">
        <f t="shared" si="24"/>
        <v/>
      </c>
      <c r="U201" s="614" t="str">
        <f t="shared" ref="U201:U264" si="25">IF((LEFT(H196,7)="venda ="),RIGHT(H196,6)+1-1,"")</f>
        <v/>
      </c>
    </row>
    <row r="202" spans="13:21" x14ac:dyDescent="0.2">
      <c r="M202" s="616"/>
      <c r="Q202" s="616"/>
      <c r="R202" s="615"/>
      <c r="S202" s="616" t="str">
        <f t="shared" si="23"/>
        <v/>
      </c>
      <c r="T202" s="615" t="str">
        <f t="shared" si="24"/>
        <v/>
      </c>
      <c r="U202" s="614" t="str">
        <f t="shared" si="25"/>
        <v/>
      </c>
    </row>
    <row r="203" spans="13:21" x14ac:dyDescent="0.2">
      <c r="M203" s="616"/>
      <c r="Q203" s="616"/>
      <c r="R203" s="615"/>
      <c r="S203" s="616" t="str">
        <f t="shared" si="23"/>
        <v/>
      </c>
      <c r="T203" s="615" t="str">
        <f t="shared" si="24"/>
        <v/>
      </c>
      <c r="U203" s="614" t="str">
        <f t="shared" si="25"/>
        <v/>
      </c>
    </row>
    <row r="204" spans="13:21" x14ac:dyDescent="0.2">
      <c r="M204" s="616"/>
      <c r="Q204" s="616"/>
      <c r="R204" s="615"/>
      <c r="S204" s="616" t="str">
        <f t="shared" si="23"/>
        <v/>
      </c>
      <c r="T204" s="615" t="str">
        <f t="shared" si="24"/>
        <v/>
      </c>
      <c r="U204" s="614" t="str">
        <f t="shared" si="25"/>
        <v/>
      </c>
    </row>
    <row r="205" spans="13:21" x14ac:dyDescent="0.2">
      <c r="M205" s="616"/>
      <c r="Q205" s="616"/>
      <c r="R205" s="615"/>
      <c r="S205" s="616" t="str">
        <f t="shared" si="23"/>
        <v/>
      </c>
      <c r="T205" s="615" t="str">
        <f t="shared" si="24"/>
        <v/>
      </c>
      <c r="U205" s="614" t="str">
        <f t="shared" si="25"/>
        <v/>
      </c>
    </row>
    <row r="206" spans="13:21" x14ac:dyDescent="0.2">
      <c r="M206" s="616"/>
      <c r="Q206" s="616"/>
      <c r="R206" s="615"/>
      <c r="S206" s="616" t="str">
        <f t="shared" si="23"/>
        <v/>
      </c>
      <c r="T206" s="615" t="str">
        <f t="shared" si="24"/>
        <v/>
      </c>
      <c r="U206" s="614" t="str">
        <f t="shared" si="25"/>
        <v/>
      </c>
    </row>
    <row r="207" spans="13:21" x14ac:dyDescent="0.2">
      <c r="M207" s="616"/>
      <c r="Q207" s="616"/>
      <c r="R207" s="615"/>
      <c r="S207" s="616" t="str">
        <f t="shared" si="23"/>
        <v/>
      </c>
      <c r="T207" s="615" t="str">
        <f t="shared" si="24"/>
        <v/>
      </c>
      <c r="U207" s="614" t="str">
        <f t="shared" si="25"/>
        <v/>
      </c>
    </row>
    <row r="208" spans="13:21" x14ac:dyDescent="0.2">
      <c r="M208" s="616"/>
      <c r="Q208" s="616"/>
      <c r="R208" s="615"/>
      <c r="S208" s="616" t="str">
        <f t="shared" si="23"/>
        <v/>
      </c>
      <c r="T208" s="615" t="str">
        <f t="shared" si="24"/>
        <v/>
      </c>
      <c r="U208" s="614" t="str">
        <f t="shared" si="25"/>
        <v/>
      </c>
    </row>
    <row r="209" spans="13:21" x14ac:dyDescent="0.2">
      <c r="M209" s="616"/>
      <c r="Q209" s="616"/>
      <c r="R209" s="615"/>
      <c r="S209" s="616" t="str">
        <f t="shared" si="23"/>
        <v/>
      </c>
      <c r="T209" s="615" t="str">
        <f t="shared" si="24"/>
        <v/>
      </c>
      <c r="U209" s="614" t="str">
        <f t="shared" si="25"/>
        <v/>
      </c>
    </row>
    <row r="210" spans="13:21" x14ac:dyDescent="0.2">
      <c r="M210" s="616"/>
      <c r="Q210" s="616"/>
      <c r="R210" s="615"/>
      <c r="S210" s="616" t="str">
        <f t="shared" si="23"/>
        <v/>
      </c>
      <c r="T210" s="615" t="str">
        <f t="shared" si="24"/>
        <v/>
      </c>
      <c r="U210" s="614" t="str">
        <f t="shared" si="25"/>
        <v/>
      </c>
    </row>
    <row r="211" spans="13:21" x14ac:dyDescent="0.2">
      <c r="M211" s="616"/>
      <c r="Q211" s="616"/>
      <c r="R211" s="615"/>
      <c r="S211" s="616" t="str">
        <f t="shared" si="23"/>
        <v/>
      </c>
      <c r="T211" s="615" t="str">
        <f t="shared" si="24"/>
        <v/>
      </c>
      <c r="U211" s="614" t="str">
        <f t="shared" si="25"/>
        <v/>
      </c>
    </row>
    <row r="212" spans="13:21" x14ac:dyDescent="0.2">
      <c r="M212" s="616"/>
      <c r="Q212" s="616"/>
      <c r="R212" s="615"/>
      <c r="S212" s="616" t="str">
        <f t="shared" si="23"/>
        <v/>
      </c>
      <c r="T212" s="615" t="str">
        <f t="shared" si="24"/>
        <v/>
      </c>
      <c r="U212" s="614" t="str">
        <f t="shared" si="25"/>
        <v/>
      </c>
    </row>
    <row r="213" spans="13:21" x14ac:dyDescent="0.2">
      <c r="M213" s="616"/>
      <c r="Q213" s="616"/>
      <c r="R213" s="615"/>
      <c r="S213" s="616" t="str">
        <f t="shared" si="23"/>
        <v/>
      </c>
      <c r="T213" s="615" t="str">
        <f t="shared" si="24"/>
        <v/>
      </c>
      <c r="U213" s="614" t="str">
        <f t="shared" si="25"/>
        <v/>
      </c>
    </row>
    <row r="214" spans="13:21" x14ac:dyDescent="0.2">
      <c r="M214" s="616"/>
      <c r="Q214" s="616"/>
      <c r="R214" s="615"/>
      <c r="S214" s="616" t="str">
        <f t="shared" si="23"/>
        <v/>
      </c>
      <c r="T214" s="615" t="str">
        <f t="shared" si="24"/>
        <v/>
      </c>
      <c r="U214" s="614" t="str">
        <f t="shared" si="25"/>
        <v/>
      </c>
    </row>
    <row r="215" spans="13:21" x14ac:dyDescent="0.2">
      <c r="M215" s="616"/>
      <c r="Q215" s="616"/>
      <c r="R215" s="615"/>
      <c r="S215" s="616" t="str">
        <f t="shared" si="23"/>
        <v/>
      </c>
      <c r="T215" s="615" t="str">
        <f t="shared" si="24"/>
        <v/>
      </c>
      <c r="U215" s="614" t="str">
        <f t="shared" si="25"/>
        <v/>
      </c>
    </row>
    <row r="216" spans="13:21" x14ac:dyDescent="0.2">
      <c r="M216" s="616"/>
      <c r="Q216" s="616"/>
      <c r="R216" s="615"/>
      <c r="S216" s="616" t="str">
        <f t="shared" si="23"/>
        <v/>
      </c>
      <c r="T216" s="615" t="str">
        <f t="shared" si="24"/>
        <v/>
      </c>
      <c r="U216" s="614" t="str">
        <f t="shared" si="25"/>
        <v/>
      </c>
    </row>
    <row r="217" spans="13:21" x14ac:dyDescent="0.2">
      <c r="M217" s="616"/>
      <c r="Q217" s="616"/>
      <c r="R217" s="615"/>
      <c r="S217" s="616" t="str">
        <f t="shared" si="23"/>
        <v/>
      </c>
      <c r="T217" s="615" t="str">
        <f t="shared" si="24"/>
        <v/>
      </c>
      <c r="U217" s="614" t="str">
        <f t="shared" si="25"/>
        <v/>
      </c>
    </row>
    <row r="218" spans="13:21" x14ac:dyDescent="0.2">
      <c r="M218" s="616"/>
      <c r="Q218" s="616"/>
      <c r="R218" s="615"/>
      <c r="S218" s="616" t="str">
        <f t="shared" si="23"/>
        <v/>
      </c>
      <c r="T218" s="615" t="str">
        <f t="shared" si="24"/>
        <v/>
      </c>
      <c r="U218" s="614" t="str">
        <f t="shared" si="25"/>
        <v/>
      </c>
    </row>
    <row r="219" spans="13:21" x14ac:dyDescent="0.2">
      <c r="M219" s="616"/>
      <c r="Q219" s="616"/>
      <c r="R219" s="615"/>
      <c r="S219" s="616" t="str">
        <f t="shared" si="23"/>
        <v/>
      </c>
      <c r="T219" s="615" t="str">
        <f t="shared" si="24"/>
        <v/>
      </c>
      <c r="U219" s="614" t="str">
        <f t="shared" si="25"/>
        <v/>
      </c>
    </row>
    <row r="220" spans="13:21" x14ac:dyDescent="0.2">
      <c r="M220" s="616"/>
      <c r="Q220" s="616"/>
      <c r="R220" s="615"/>
      <c r="S220" s="616" t="str">
        <f t="shared" si="23"/>
        <v/>
      </c>
      <c r="T220" s="615" t="str">
        <f t="shared" si="24"/>
        <v/>
      </c>
      <c r="U220" s="614" t="str">
        <f t="shared" si="25"/>
        <v/>
      </c>
    </row>
    <row r="221" spans="13:21" x14ac:dyDescent="0.2">
      <c r="M221" s="616"/>
      <c r="Q221" s="616"/>
      <c r="R221" s="615"/>
      <c r="S221" s="616" t="str">
        <f t="shared" si="23"/>
        <v/>
      </c>
      <c r="T221" s="615" t="str">
        <f t="shared" si="24"/>
        <v/>
      </c>
      <c r="U221" s="614" t="str">
        <f t="shared" si="25"/>
        <v/>
      </c>
    </row>
    <row r="222" spans="13:21" x14ac:dyDescent="0.2">
      <c r="M222" s="616"/>
      <c r="Q222" s="616"/>
      <c r="R222" s="615"/>
      <c r="S222" s="616" t="str">
        <f t="shared" si="23"/>
        <v/>
      </c>
      <c r="T222" s="615" t="str">
        <f t="shared" si="24"/>
        <v/>
      </c>
      <c r="U222" s="614" t="str">
        <f t="shared" si="25"/>
        <v/>
      </c>
    </row>
    <row r="223" spans="13:21" x14ac:dyDescent="0.2">
      <c r="M223" s="616"/>
      <c r="Q223" s="616"/>
      <c r="R223" s="615"/>
      <c r="S223" s="616" t="str">
        <f t="shared" si="23"/>
        <v/>
      </c>
      <c r="T223" s="615" t="str">
        <f t="shared" si="24"/>
        <v/>
      </c>
      <c r="U223" s="614" t="str">
        <f t="shared" si="25"/>
        <v/>
      </c>
    </row>
    <row r="224" spans="13:21" x14ac:dyDescent="0.2">
      <c r="M224" s="616"/>
      <c r="Q224" s="616"/>
      <c r="R224" s="615"/>
      <c r="S224" s="616" t="str">
        <f t="shared" si="23"/>
        <v/>
      </c>
      <c r="T224" s="615" t="str">
        <f t="shared" si="24"/>
        <v/>
      </c>
      <c r="U224" s="614" t="str">
        <f t="shared" si="25"/>
        <v/>
      </c>
    </row>
    <row r="225" spans="13:21" x14ac:dyDescent="0.2">
      <c r="M225" s="616"/>
      <c r="Q225" s="616"/>
      <c r="R225" s="615"/>
      <c r="S225" s="616" t="str">
        <f t="shared" si="23"/>
        <v/>
      </c>
      <c r="T225" s="615" t="str">
        <f t="shared" si="24"/>
        <v/>
      </c>
      <c r="U225" s="614" t="str">
        <f t="shared" si="25"/>
        <v/>
      </c>
    </row>
    <row r="226" spans="13:21" x14ac:dyDescent="0.2">
      <c r="M226" s="616"/>
      <c r="Q226" s="616"/>
      <c r="R226" s="615"/>
      <c r="S226" s="616" t="str">
        <f t="shared" si="23"/>
        <v/>
      </c>
      <c r="T226" s="615" t="str">
        <f t="shared" si="24"/>
        <v/>
      </c>
      <c r="U226" s="614" t="str">
        <f t="shared" si="25"/>
        <v/>
      </c>
    </row>
    <row r="227" spans="13:21" x14ac:dyDescent="0.2">
      <c r="M227" s="616"/>
      <c r="Q227" s="616"/>
      <c r="R227" s="615"/>
      <c r="S227" s="616" t="str">
        <f t="shared" si="23"/>
        <v/>
      </c>
      <c r="T227" s="615" t="str">
        <f t="shared" si="24"/>
        <v/>
      </c>
      <c r="U227" s="614" t="str">
        <f t="shared" si="25"/>
        <v/>
      </c>
    </row>
    <row r="228" spans="13:21" x14ac:dyDescent="0.2">
      <c r="M228" s="616"/>
      <c r="Q228" s="616"/>
      <c r="R228" s="615"/>
      <c r="S228" s="616" t="str">
        <f t="shared" si="23"/>
        <v/>
      </c>
      <c r="T228" s="615" t="str">
        <f t="shared" si="24"/>
        <v/>
      </c>
      <c r="U228" s="614" t="str">
        <f t="shared" si="25"/>
        <v/>
      </c>
    </row>
    <row r="229" spans="13:21" x14ac:dyDescent="0.2">
      <c r="M229" s="616"/>
      <c r="Q229" s="616"/>
      <c r="R229" s="615"/>
      <c r="S229" s="616" t="str">
        <f t="shared" si="23"/>
        <v/>
      </c>
      <c r="T229" s="615" t="str">
        <f t="shared" si="24"/>
        <v/>
      </c>
      <c r="U229" s="614" t="str">
        <f t="shared" si="25"/>
        <v/>
      </c>
    </row>
    <row r="230" spans="13:21" x14ac:dyDescent="0.2">
      <c r="M230" s="616"/>
      <c r="Q230" s="616"/>
      <c r="R230" s="615"/>
      <c r="S230" s="616" t="str">
        <f t="shared" si="23"/>
        <v/>
      </c>
      <c r="T230" s="615" t="str">
        <f t="shared" si="24"/>
        <v/>
      </c>
      <c r="U230" s="614" t="str">
        <f t="shared" si="25"/>
        <v/>
      </c>
    </row>
    <row r="231" spans="13:21" x14ac:dyDescent="0.2">
      <c r="M231" s="616"/>
      <c r="Q231" s="616"/>
      <c r="R231" s="615"/>
      <c r="S231" s="616" t="str">
        <f t="shared" si="23"/>
        <v/>
      </c>
      <c r="T231" s="615" t="str">
        <f t="shared" si="24"/>
        <v/>
      </c>
      <c r="U231" s="614" t="str">
        <f t="shared" si="25"/>
        <v/>
      </c>
    </row>
    <row r="232" spans="13:21" x14ac:dyDescent="0.2">
      <c r="M232" s="616"/>
      <c r="Q232" s="616"/>
      <c r="R232" s="615"/>
      <c r="S232" s="616" t="str">
        <f t="shared" si="23"/>
        <v/>
      </c>
      <c r="T232" s="615" t="str">
        <f t="shared" si="24"/>
        <v/>
      </c>
      <c r="U232" s="614" t="str">
        <f t="shared" si="25"/>
        <v/>
      </c>
    </row>
    <row r="233" spans="13:21" x14ac:dyDescent="0.2">
      <c r="M233" s="616"/>
      <c r="Q233" s="616"/>
      <c r="R233" s="615"/>
      <c r="S233" s="616" t="str">
        <f t="shared" si="23"/>
        <v/>
      </c>
      <c r="T233" s="615" t="str">
        <f t="shared" si="24"/>
        <v/>
      </c>
      <c r="U233" s="614" t="str">
        <f t="shared" si="25"/>
        <v/>
      </c>
    </row>
    <row r="234" spans="13:21" x14ac:dyDescent="0.2">
      <c r="M234" s="616"/>
      <c r="Q234" s="616"/>
      <c r="R234" s="615"/>
      <c r="S234" s="616" t="str">
        <f t="shared" si="23"/>
        <v/>
      </c>
      <c r="T234" s="615" t="str">
        <f t="shared" si="24"/>
        <v/>
      </c>
      <c r="U234" s="614" t="str">
        <f t="shared" si="25"/>
        <v/>
      </c>
    </row>
    <row r="235" spans="13:21" x14ac:dyDescent="0.2">
      <c r="M235" s="616"/>
      <c r="Q235" s="616"/>
      <c r="R235" s="615"/>
      <c r="S235" s="616" t="str">
        <f t="shared" si="23"/>
        <v/>
      </c>
      <c r="T235" s="615" t="str">
        <f t="shared" si="24"/>
        <v/>
      </c>
      <c r="U235" s="614" t="str">
        <f t="shared" si="25"/>
        <v/>
      </c>
    </row>
    <row r="236" spans="13:21" x14ac:dyDescent="0.2">
      <c r="M236" s="616"/>
      <c r="Q236" s="616"/>
      <c r="R236" s="615"/>
      <c r="S236" s="616" t="str">
        <f t="shared" si="23"/>
        <v/>
      </c>
      <c r="T236" s="615" t="str">
        <f t="shared" si="24"/>
        <v/>
      </c>
      <c r="U236" s="614" t="str">
        <f t="shared" si="25"/>
        <v/>
      </c>
    </row>
    <row r="237" spans="13:21" x14ac:dyDescent="0.2">
      <c r="M237" s="616"/>
      <c r="Q237" s="616"/>
      <c r="R237" s="615"/>
      <c r="S237" s="616" t="str">
        <f t="shared" si="23"/>
        <v/>
      </c>
      <c r="T237" s="615" t="str">
        <f t="shared" si="24"/>
        <v/>
      </c>
      <c r="U237" s="614" t="str">
        <f t="shared" si="25"/>
        <v/>
      </c>
    </row>
    <row r="238" spans="13:21" x14ac:dyDescent="0.2">
      <c r="M238" s="616"/>
      <c r="Q238" s="616"/>
      <c r="R238" s="615"/>
      <c r="S238" s="616" t="str">
        <f t="shared" si="23"/>
        <v/>
      </c>
      <c r="T238" s="615" t="str">
        <f t="shared" si="24"/>
        <v/>
      </c>
      <c r="U238" s="614" t="str">
        <f t="shared" si="25"/>
        <v/>
      </c>
    </row>
    <row r="239" spans="13:21" x14ac:dyDescent="0.2">
      <c r="M239" s="616"/>
      <c r="Q239" s="616"/>
      <c r="R239" s="615"/>
      <c r="S239" s="616" t="str">
        <f t="shared" si="23"/>
        <v/>
      </c>
      <c r="T239" s="615" t="str">
        <f t="shared" si="24"/>
        <v/>
      </c>
      <c r="U239" s="614" t="str">
        <f t="shared" si="25"/>
        <v/>
      </c>
    </row>
    <row r="240" spans="13:21" x14ac:dyDescent="0.2">
      <c r="M240" s="616"/>
      <c r="Q240" s="616"/>
      <c r="R240" s="615"/>
      <c r="S240" s="616" t="str">
        <f t="shared" si="23"/>
        <v/>
      </c>
      <c r="T240" s="615" t="str">
        <f t="shared" si="24"/>
        <v/>
      </c>
      <c r="U240" s="614" t="str">
        <f t="shared" si="25"/>
        <v/>
      </c>
    </row>
    <row r="241" spans="13:21" x14ac:dyDescent="0.2">
      <c r="M241" s="616"/>
      <c r="Q241" s="616"/>
      <c r="R241" s="615"/>
      <c r="S241" s="616" t="str">
        <f t="shared" si="23"/>
        <v/>
      </c>
      <c r="T241" s="615" t="str">
        <f t="shared" si="24"/>
        <v/>
      </c>
      <c r="U241" s="614" t="str">
        <f t="shared" si="25"/>
        <v/>
      </c>
    </row>
    <row r="242" spans="13:21" x14ac:dyDescent="0.2">
      <c r="M242" s="616"/>
      <c r="Q242" s="616"/>
      <c r="R242" s="615"/>
      <c r="S242" s="616" t="str">
        <f t="shared" ref="S242:S302" si="26">IF(ISERROR(IF(A231="Taxa SELIC*",RIGHT(A233,11),"")+1-1),"",(IF(A231="Taxa SELIC*",RIGHT(A233,11),"")+1-1))</f>
        <v/>
      </c>
      <c r="T242" s="615" t="str">
        <f t="shared" ref="T242:T302" si="27">IF(ISERROR(IF(A231="Taxa SELIC*",RIGHT(LEFT(A232,13),6),"")+1-1),"",(IF(A231="Taxa SELIC*",RIGHT(LEFT(A232,13),6),"")+1-1))</f>
        <v/>
      </c>
      <c r="U242" s="614" t="str">
        <f t="shared" si="25"/>
        <v/>
      </c>
    </row>
    <row r="243" spans="13:21" x14ac:dyDescent="0.2">
      <c r="M243" s="616"/>
      <c r="Q243" s="616"/>
      <c r="R243" s="615"/>
      <c r="S243" s="616" t="str">
        <f t="shared" si="26"/>
        <v/>
      </c>
      <c r="T243" s="615" t="str">
        <f t="shared" si="27"/>
        <v/>
      </c>
      <c r="U243" s="614" t="str">
        <f t="shared" si="25"/>
        <v/>
      </c>
    </row>
    <row r="244" spans="13:21" x14ac:dyDescent="0.2">
      <c r="M244" s="616"/>
      <c r="Q244" s="616"/>
      <c r="R244" s="615"/>
      <c r="S244" s="616" t="str">
        <f t="shared" si="26"/>
        <v/>
      </c>
      <c r="T244" s="615" t="str">
        <f t="shared" si="27"/>
        <v/>
      </c>
      <c r="U244" s="614" t="str">
        <f t="shared" si="25"/>
        <v/>
      </c>
    </row>
    <row r="245" spans="13:21" x14ac:dyDescent="0.2">
      <c r="M245" s="616"/>
      <c r="Q245" s="616"/>
      <c r="R245" s="615"/>
      <c r="S245" s="616" t="str">
        <f t="shared" si="26"/>
        <v/>
      </c>
      <c r="T245" s="615" t="str">
        <f t="shared" si="27"/>
        <v/>
      </c>
      <c r="U245" s="614" t="str">
        <f t="shared" si="25"/>
        <v/>
      </c>
    </row>
    <row r="246" spans="13:21" x14ac:dyDescent="0.2">
      <c r="M246" s="616"/>
      <c r="Q246" s="616"/>
      <c r="R246" s="615"/>
      <c r="S246" s="616" t="str">
        <f t="shared" si="26"/>
        <v/>
      </c>
      <c r="T246" s="615" t="str">
        <f t="shared" si="27"/>
        <v/>
      </c>
      <c r="U246" s="614" t="str">
        <f t="shared" si="25"/>
        <v/>
      </c>
    </row>
    <row r="247" spans="13:21" x14ac:dyDescent="0.2">
      <c r="M247" s="616"/>
      <c r="Q247" s="616"/>
      <c r="R247" s="615"/>
      <c r="S247" s="616" t="str">
        <f t="shared" si="26"/>
        <v/>
      </c>
      <c r="T247" s="615" t="str">
        <f t="shared" si="27"/>
        <v/>
      </c>
      <c r="U247" s="614" t="str">
        <f t="shared" si="25"/>
        <v/>
      </c>
    </row>
    <row r="248" spans="13:21" x14ac:dyDescent="0.2">
      <c r="M248" s="616"/>
      <c r="Q248" s="616"/>
      <c r="R248" s="615"/>
      <c r="S248" s="616" t="str">
        <f t="shared" si="26"/>
        <v/>
      </c>
      <c r="T248" s="615" t="str">
        <f t="shared" si="27"/>
        <v/>
      </c>
      <c r="U248" s="614" t="str">
        <f t="shared" si="25"/>
        <v/>
      </c>
    </row>
    <row r="249" spans="13:21" x14ac:dyDescent="0.2">
      <c r="M249" s="616"/>
      <c r="Q249" s="616"/>
      <c r="R249" s="615"/>
      <c r="S249" s="616" t="str">
        <f t="shared" si="26"/>
        <v/>
      </c>
      <c r="T249" s="615" t="str">
        <f t="shared" si="27"/>
        <v/>
      </c>
      <c r="U249" s="614" t="str">
        <f t="shared" si="25"/>
        <v/>
      </c>
    </row>
    <row r="250" spans="13:21" x14ac:dyDescent="0.2">
      <c r="M250" s="616"/>
      <c r="Q250" s="616"/>
      <c r="R250" s="615"/>
      <c r="S250" s="616" t="str">
        <f t="shared" si="26"/>
        <v/>
      </c>
      <c r="T250" s="615" t="str">
        <f t="shared" si="27"/>
        <v/>
      </c>
      <c r="U250" s="614" t="str">
        <f t="shared" si="25"/>
        <v/>
      </c>
    </row>
    <row r="251" spans="13:21" x14ac:dyDescent="0.2">
      <c r="M251" s="616"/>
      <c r="Q251" s="616"/>
      <c r="R251" s="615"/>
      <c r="S251" s="616" t="str">
        <f t="shared" si="26"/>
        <v/>
      </c>
      <c r="T251" s="615" t="str">
        <f t="shared" si="27"/>
        <v/>
      </c>
      <c r="U251" s="614" t="str">
        <f t="shared" si="25"/>
        <v/>
      </c>
    </row>
    <row r="252" spans="13:21" x14ac:dyDescent="0.2">
      <c r="M252" s="616"/>
      <c r="Q252" s="616"/>
      <c r="R252" s="615"/>
      <c r="S252" s="616" t="str">
        <f t="shared" si="26"/>
        <v/>
      </c>
      <c r="T252" s="615" t="str">
        <f t="shared" si="27"/>
        <v/>
      </c>
      <c r="U252" s="614" t="str">
        <f t="shared" si="25"/>
        <v/>
      </c>
    </row>
    <row r="253" spans="13:21" x14ac:dyDescent="0.2">
      <c r="M253" s="616"/>
      <c r="Q253" s="616"/>
      <c r="R253" s="615"/>
      <c r="S253" s="616" t="str">
        <f t="shared" si="26"/>
        <v/>
      </c>
      <c r="T253" s="615" t="str">
        <f t="shared" si="27"/>
        <v/>
      </c>
      <c r="U253" s="614" t="str">
        <f t="shared" si="25"/>
        <v/>
      </c>
    </row>
    <row r="254" spans="13:21" x14ac:dyDescent="0.2">
      <c r="M254" s="616"/>
      <c r="Q254" s="616"/>
      <c r="R254" s="615"/>
      <c r="S254" s="616" t="str">
        <f t="shared" si="26"/>
        <v/>
      </c>
      <c r="T254" s="615" t="str">
        <f t="shared" si="27"/>
        <v/>
      </c>
      <c r="U254" s="614" t="str">
        <f t="shared" si="25"/>
        <v/>
      </c>
    </row>
    <row r="255" spans="13:21" x14ac:dyDescent="0.2">
      <c r="M255" s="616"/>
      <c r="Q255" s="616"/>
      <c r="R255" s="615"/>
      <c r="S255" s="616" t="str">
        <f t="shared" si="26"/>
        <v/>
      </c>
      <c r="T255" s="615" t="str">
        <f t="shared" si="27"/>
        <v/>
      </c>
      <c r="U255" s="614" t="str">
        <f t="shared" si="25"/>
        <v/>
      </c>
    </row>
    <row r="256" spans="13:21" x14ac:dyDescent="0.2">
      <c r="M256" s="616"/>
      <c r="Q256" s="616"/>
      <c r="R256" s="615"/>
      <c r="S256" s="616" t="str">
        <f t="shared" si="26"/>
        <v/>
      </c>
      <c r="T256" s="615" t="str">
        <f t="shared" si="27"/>
        <v/>
      </c>
      <c r="U256" s="614" t="str">
        <f t="shared" si="25"/>
        <v/>
      </c>
    </row>
    <row r="257" spans="13:21" x14ac:dyDescent="0.2">
      <c r="M257" s="616"/>
      <c r="Q257" s="616"/>
      <c r="R257" s="615"/>
      <c r="S257" s="616" t="str">
        <f t="shared" si="26"/>
        <v/>
      </c>
      <c r="T257" s="615" t="str">
        <f t="shared" si="27"/>
        <v/>
      </c>
      <c r="U257" s="614" t="str">
        <f t="shared" si="25"/>
        <v/>
      </c>
    </row>
    <row r="258" spans="13:21" x14ac:dyDescent="0.2">
      <c r="M258" s="616"/>
      <c r="Q258" s="616"/>
      <c r="R258" s="615"/>
      <c r="S258" s="616" t="str">
        <f t="shared" si="26"/>
        <v/>
      </c>
      <c r="T258" s="615" t="str">
        <f t="shared" si="27"/>
        <v/>
      </c>
      <c r="U258" s="614" t="str">
        <f t="shared" si="25"/>
        <v/>
      </c>
    </row>
    <row r="259" spans="13:21" x14ac:dyDescent="0.2">
      <c r="M259" s="616"/>
      <c r="Q259" s="616"/>
      <c r="R259" s="615"/>
      <c r="S259" s="616" t="str">
        <f t="shared" si="26"/>
        <v/>
      </c>
      <c r="T259" s="615" t="str">
        <f t="shared" si="27"/>
        <v/>
      </c>
      <c r="U259" s="614" t="str">
        <f t="shared" si="25"/>
        <v/>
      </c>
    </row>
    <row r="260" spans="13:21" x14ac:dyDescent="0.2">
      <c r="M260" s="616"/>
      <c r="Q260" s="616"/>
      <c r="R260" s="615"/>
      <c r="S260" s="616" t="str">
        <f t="shared" si="26"/>
        <v/>
      </c>
      <c r="T260" s="615" t="str">
        <f t="shared" si="27"/>
        <v/>
      </c>
      <c r="U260" s="614" t="str">
        <f t="shared" si="25"/>
        <v/>
      </c>
    </row>
    <row r="261" spans="13:21" x14ac:dyDescent="0.2">
      <c r="M261" s="616"/>
      <c r="Q261" s="616"/>
      <c r="R261" s="615"/>
      <c r="S261" s="616" t="str">
        <f t="shared" si="26"/>
        <v/>
      </c>
      <c r="T261" s="615" t="str">
        <f t="shared" si="27"/>
        <v/>
      </c>
      <c r="U261" s="614" t="str">
        <f t="shared" si="25"/>
        <v/>
      </c>
    </row>
    <row r="262" spans="13:21" x14ac:dyDescent="0.2">
      <c r="M262" s="616"/>
      <c r="Q262" s="616"/>
      <c r="R262" s="615"/>
      <c r="S262" s="616" t="str">
        <f t="shared" si="26"/>
        <v/>
      </c>
      <c r="T262" s="615" t="str">
        <f t="shared" si="27"/>
        <v/>
      </c>
      <c r="U262" s="614" t="str">
        <f t="shared" si="25"/>
        <v/>
      </c>
    </row>
    <row r="263" spans="13:21" x14ac:dyDescent="0.2">
      <c r="M263" s="616"/>
      <c r="Q263" s="616"/>
      <c r="R263" s="615"/>
      <c r="S263" s="616" t="str">
        <f t="shared" si="26"/>
        <v/>
      </c>
      <c r="T263" s="615" t="str">
        <f t="shared" si="27"/>
        <v/>
      </c>
      <c r="U263" s="614" t="str">
        <f t="shared" si="25"/>
        <v/>
      </c>
    </row>
    <row r="264" spans="13:21" x14ac:dyDescent="0.2">
      <c r="M264" s="616"/>
      <c r="Q264" s="616"/>
      <c r="R264" s="615"/>
      <c r="S264" s="616" t="str">
        <f t="shared" si="26"/>
        <v/>
      </c>
      <c r="T264" s="615" t="str">
        <f t="shared" si="27"/>
        <v/>
      </c>
      <c r="U264" s="614" t="str">
        <f t="shared" si="25"/>
        <v/>
      </c>
    </row>
    <row r="265" spans="13:21" x14ac:dyDescent="0.2">
      <c r="M265" s="616"/>
      <c r="Q265" s="616"/>
      <c r="R265" s="615"/>
      <c r="S265" s="616" t="str">
        <f t="shared" si="26"/>
        <v/>
      </c>
      <c r="T265" s="615" t="str">
        <f t="shared" si="27"/>
        <v/>
      </c>
      <c r="U265" s="614" t="str">
        <f t="shared" ref="U265:U298" si="28">IF((LEFT(H260,7)="venda ="),RIGHT(H260,6)+1-1,"")</f>
        <v/>
      </c>
    </row>
    <row r="266" spans="13:21" x14ac:dyDescent="0.2">
      <c r="M266" s="616"/>
      <c r="Q266" s="616"/>
      <c r="R266" s="615"/>
      <c r="S266" s="616" t="str">
        <f t="shared" si="26"/>
        <v/>
      </c>
      <c r="T266" s="615" t="str">
        <f t="shared" si="27"/>
        <v/>
      </c>
      <c r="U266" s="614" t="str">
        <f t="shared" si="28"/>
        <v/>
      </c>
    </row>
    <row r="267" spans="13:21" x14ac:dyDescent="0.2">
      <c r="M267" s="616"/>
      <c r="Q267" s="616"/>
      <c r="R267" s="615"/>
      <c r="S267" s="616" t="str">
        <f t="shared" si="26"/>
        <v/>
      </c>
      <c r="T267" s="615" t="str">
        <f t="shared" si="27"/>
        <v/>
      </c>
      <c r="U267" s="614" t="str">
        <f t="shared" si="28"/>
        <v/>
      </c>
    </row>
    <row r="268" spans="13:21" x14ac:dyDescent="0.2">
      <c r="M268" s="616"/>
      <c r="Q268" s="616"/>
      <c r="R268" s="615"/>
      <c r="S268" s="616" t="str">
        <f t="shared" si="26"/>
        <v/>
      </c>
      <c r="T268" s="615" t="str">
        <f t="shared" si="27"/>
        <v/>
      </c>
      <c r="U268" s="614" t="str">
        <f t="shared" si="28"/>
        <v/>
      </c>
    </row>
    <row r="269" spans="13:21" x14ac:dyDescent="0.2">
      <c r="M269" s="616"/>
      <c r="Q269" s="616"/>
      <c r="R269" s="615"/>
      <c r="S269" s="616" t="str">
        <f t="shared" si="26"/>
        <v/>
      </c>
      <c r="T269" s="615" t="str">
        <f t="shared" si="27"/>
        <v/>
      </c>
      <c r="U269" s="614" t="str">
        <f t="shared" si="28"/>
        <v/>
      </c>
    </row>
    <row r="270" spans="13:21" x14ac:dyDescent="0.2">
      <c r="M270" s="616"/>
      <c r="Q270" s="616"/>
      <c r="R270" s="615"/>
      <c r="S270" s="616" t="str">
        <f t="shared" si="26"/>
        <v/>
      </c>
      <c r="T270" s="615" t="str">
        <f t="shared" si="27"/>
        <v/>
      </c>
      <c r="U270" s="614" t="str">
        <f t="shared" si="28"/>
        <v/>
      </c>
    </row>
    <row r="271" spans="13:21" x14ac:dyDescent="0.2">
      <c r="M271" s="616"/>
      <c r="Q271" s="616"/>
      <c r="R271" s="615"/>
      <c r="S271" s="616" t="str">
        <f t="shared" si="26"/>
        <v/>
      </c>
      <c r="T271" s="615" t="str">
        <f t="shared" si="27"/>
        <v/>
      </c>
      <c r="U271" s="614" t="str">
        <f t="shared" si="28"/>
        <v/>
      </c>
    </row>
    <row r="272" spans="13:21" x14ac:dyDescent="0.2">
      <c r="M272" s="616"/>
      <c r="Q272" s="616"/>
      <c r="R272" s="615"/>
      <c r="S272" s="616" t="str">
        <f t="shared" si="26"/>
        <v/>
      </c>
      <c r="T272" s="615" t="str">
        <f t="shared" si="27"/>
        <v/>
      </c>
      <c r="U272" s="614" t="str">
        <f t="shared" si="28"/>
        <v/>
      </c>
    </row>
    <row r="273" spans="13:21" x14ac:dyDescent="0.2">
      <c r="M273" s="616"/>
      <c r="Q273" s="616"/>
      <c r="R273" s="615"/>
      <c r="S273" s="616" t="str">
        <f t="shared" si="26"/>
        <v/>
      </c>
      <c r="T273" s="615" t="str">
        <f t="shared" si="27"/>
        <v/>
      </c>
      <c r="U273" s="614" t="str">
        <f t="shared" si="28"/>
        <v/>
      </c>
    </row>
    <row r="274" spans="13:21" x14ac:dyDescent="0.2">
      <c r="M274" s="616"/>
      <c r="Q274" s="616"/>
      <c r="R274" s="615"/>
      <c r="S274" s="616" t="str">
        <f t="shared" si="26"/>
        <v/>
      </c>
      <c r="T274" s="615" t="str">
        <f t="shared" si="27"/>
        <v/>
      </c>
      <c r="U274" s="614" t="str">
        <f t="shared" si="28"/>
        <v/>
      </c>
    </row>
    <row r="275" spans="13:21" x14ac:dyDescent="0.2">
      <c r="M275" s="616"/>
      <c r="Q275" s="616"/>
      <c r="R275" s="615"/>
      <c r="S275" s="616" t="str">
        <f t="shared" si="26"/>
        <v/>
      </c>
      <c r="T275" s="615" t="str">
        <f t="shared" si="27"/>
        <v/>
      </c>
      <c r="U275" s="614" t="str">
        <f t="shared" si="28"/>
        <v/>
      </c>
    </row>
    <row r="276" spans="13:21" x14ac:dyDescent="0.2">
      <c r="M276" s="616"/>
      <c r="Q276" s="616"/>
      <c r="R276" s="615"/>
      <c r="S276" s="616" t="str">
        <f t="shared" si="26"/>
        <v/>
      </c>
      <c r="T276" s="615" t="str">
        <f t="shared" si="27"/>
        <v/>
      </c>
      <c r="U276" s="614" t="str">
        <f t="shared" si="28"/>
        <v/>
      </c>
    </row>
    <row r="277" spans="13:21" x14ac:dyDescent="0.2">
      <c r="M277" s="616"/>
      <c r="Q277" s="616"/>
      <c r="R277" s="615"/>
      <c r="S277" s="616" t="str">
        <f t="shared" si="26"/>
        <v/>
      </c>
      <c r="T277" s="615" t="str">
        <f t="shared" si="27"/>
        <v/>
      </c>
      <c r="U277" s="614" t="str">
        <f t="shared" si="28"/>
        <v/>
      </c>
    </row>
    <row r="278" spans="13:21" x14ac:dyDescent="0.2">
      <c r="M278" s="616"/>
      <c r="Q278" s="616"/>
      <c r="R278" s="615"/>
      <c r="S278" s="616" t="str">
        <f t="shared" si="26"/>
        <v/>
      </c>
      <c r="T278" s="615" t="str">
        <f t="shared" si="27"/>
        <v/>
      </c>
      <c r="U278" s="614" t="str">
        <f t="shared" si="28"/>
        <v/>
      </c>
    </row>
    <row r="279" spans="13:21" x14ac:dyDescent="0.2">
      <c r="M279" s="616"/>
      <c r="Q279" s="616"/>
      <c r="R279" s="615"/>
      <c r="S279" s="616" t="str">
        <f t="shared" si="26"/>
        <v/>
      </c>
      <c r="T279" s="615" t="str">
        <f t="shared" si="27"/>
        <v/>
      </c>
      <c r="U279" s="614" t="str">
        <f t="shared" si="28"/>
        <v/>
      </c>
    </row>
    <row r="280" spans="13:21" x14ac:dyDescent="0.2">
      <c r="M280" s="616"/>
      <c r="Q280" s="616"/>
      <c r="R280" s="615"/>
      <c r="S280" s="616" t="str">
        <f t="shared" si="26"/>
        <v/>
      </c>
      <c r="T280" s="615" t="str">
        <f t="shared" si="27"/>
        <v/>
      </c>
      <c r="U280" s="614" t="str">
        <f t="shared" si="28"/>
        <v/>
      </c>
    </row>
    <row r="281" spans="13:21" x14ac:dyDescent="0.2">
      <c r="M281" s="616"/>
      <c r="Q281" s="616"/>
      <c r="R281" s="615"/>
      <c r="S281" s="616" t="str">
        <f t="shared" si="26"/>
        <v/>
      </c>
      <c r="T281" s="615" t="str">
        <f t="shared" si="27"/>
        <v/>
      </c>
      <c r="U281" s="614" t="str">
        <f t="shared" si="28"/>
        <v/>
      </c>
    </row>
    <row r="282" spans="13:21" x14ac:dyDescent="0.2">
      <c r="M282" s="616"/>
      <c r="Q282" s="616"/>
      <c r="R282" s="615"/>
      <c r="S282" s="616" t="str">
        <f t="shared" si="26"/>
        <v/>
      </c>
      <c r="T282" s="615" t="str">
        <f t="shared" si="27"/>
        <v/>
      </c>
      <c r="U282" s="614" t="str">
        <f t="shared" si="28"/>
        <v/>
      </c>
    </row>
    <row r="283" spans="13:21" x14ac:dyDescent="0.2">
      <c r="M283" s="616"/>
      <c r="Q283" s="616"/>
      <c r="R283" s="615"/>
      <c r="S283" s="616" t="str">
        <f t="shared" si="26"/>
        <v/>
      </c>
      <c r="T283" s="615" t="str">
        <f t="shared" si="27"/>
        <v/>
      </c>
      <c r="U283" s="614" t="str">
        <f t="shared" si="28"/>
        <v/>
      </c>
    </row>
    <row r="284" spans="13:21" x14ac:dyDescent="0.2">
      <c r="M284" s="616"/>
      <c r="Q284" s="616"/>
      <c r="R284" s="615"/>
      <c r="S284" s="616" t="str">
        <f t="shared" si="26"/>
        <v/>
      </c>
      <c r="T284" s="615" t="str">
        <f t="shared" si="27"/>
        <v/>
      </c>
      <c r="U284" s="614" t="str">
        <f t="shared" si="28"/>
        <v/>
      </c>
    </row>
    <row r="285" spans="13:21" x14ac:dyDescent="0.2">
      <c r="M285" s="616"/>
      <c r="Q285" s="616"/>
      <c r="R285" s="615"/>
      <c r="S285" s="616" t="str">
        <f t="shared" si="26"/>
        <v/>
      </c>
      <c r="T285" s="615" t="str">
        <f t="shared" si="27"/>
        <v/>
      </c>
      <c r="U285" s="614" t="str">
        <f t="shared" si="28"/>
        <v/>
      </c>
    </row>
    <row r="286" spans="13:21" x14ac:dyDescent="0.2">
      <c r="M286" s="616"/>
      <c r="Q286" s="616"/>
      <c r="R286" s="615"/>
      <c r="S286" s="616" t="str">
        <f t="shared" si="26"/>
        <v/>
      </c>
      <c r="T286" s="615" t="str">
        <f t="shared" si="27"/>
        <v/>
      </c>
      <c r="U286" s="614" t="str">
        <f t="shared" si="28"/>
        <v/>
      </c>
    </row>
    <row r="287" spans="13:21" x14ac:dyDescent="0.2">
      <c r="M287" s="616"/>
      <c r="Q287" s="616"/>
      <c r="R287" s="615"/>
      <c r="S287" s="616" t="str">
        <f t="shared" si="26"/>
        <v/>
      </c>
      <c r="T287" s="615" t="str">
        <f t="shared" si="27"/>
        <v/>
      </c>
      <c r="U287" s="614" t="str">
        <f t="shared" si="28"/>
        <v/>
      </c>
    </row>
    <row r="288" spans="13:21" x14ac:dyDescent="0.2">
      <c r="M288" s="616"/>
      <c r="Q288" s="616"/>
      <c r="R288" s="615"/>
      <c r="S288" s="616" t="str">
        <f t="shared" si="26"/>
        <v/>
      </c>
      <c r="T288" s="615" t="str">
        <f t="shared" si="27"/>
        <v/>
      </c>
      <c r="U288" s="614" t="str">
        <f t="shared" si="28"/>
        <v/>
      </c>
    </row>
    <row r="289" spans="13:21" x14ac:dyDescent="0.2">
      <c r="M289" s="616"/>
      <c r="Q289" s="616"/>
      <c r="R289" s="615"/>
      <c r="S289" s="616" t="str">
        <f t="shared" si="26"/>
        <v/>
      </c>
      <c r="T289" s="615" t="str">
        <f t="shared" si="27"/>
        <v/>
      </c>
      <c r="U289" s="614" t="str">
        <f t="shared" si="28"/>
        <v/>
      </c>
    </row>
    <row r="290" spans="13:21" x14ac:dyDescent="0.2">
      <c r="M290" s="616"/>
      <c r="Q290" s="616"/>
      <c r="R290" s="615"/>
      <c r="S290" s="616" t="str">
        <f t="shared" si="26"/>
        <v/>
      </c>
      <c r="T290" s="615" t="str">
        <f t="shared" si="27"/>
        <v/>
      </c>
      <c r="U290" s="614" t="str">
        <f t="shared" si="28"/>
        <v/>
      </c>
    </row>
    <row r="291" spans="13:21" x14ac:dyDescent="0.2">
      <c r="M291" s="616"/>
      <c r="Q291" s="616"/>
      <c r="R291" s="615"/>
      <c r="S291" s="616" t="str">
        <f t="shared" si="26"/>
        <v/>
      </c>
      <c r="T291" s="615" t="str">
        <f t="shared" si="27"/>
        <v/>
      </c>
      <c r="U291" s="614" t="str">
        <f t="shared" si="28"/>
        <v/>
      </c>
    </row>
    <row r="292" spans="13:21" x14ac:dyDescent="0.2">
      <c r="M292" s="616"/>
      <c r="Q292" s="616"/>
      <c r="R292" s="615"/>
      <c r="S292" s="616" t="str">
        <f t="shared" si="26"/>
        <v/>
      </c>
      <c r="T292" s="615" t="str">
        <f t="shared" si="27"/>
        <v/>
      </c>
      <c r="U292" s="614" t="str">
        <f t="shared" si="28"/>
        <v/>
      </c>
    </row>
    <row r="293" spans="13:21" x14ac:dyDescent="0.2">
      <c r="M293" s="616"/>
      <c r="Q293" s="616"/>
      <c r="R293" s="615"/>
      <c r="S293" s="616" t="str">
        <f t="shared" si="26"/>
        <v/>
      </c>
      <c r="T293" s="615" t="str">
        <f t="shared" si="27"/>
        <v/>
      </c>
      <c r="U293" s="614" t="str">
        <f t="shared" si="28"/>
        <v/>
      </c>
    </row>
    <row r="294" spans="13:21" x14ac:dyDescent="0.2">
      <c r="M294" s="616"/>
      <c r="Q294" s="616"/>
      <c r="R294" s="615"/>
      <c r="S294" s="616" t="str">
        <f t="shared" si="26"/>
        <v/>
      </c>
      <c r="T294" s="615" t="str">
        <f t="shared" si="27"/>
        <v/>
      </c>
      <c r="U294" s="614" t="str">
        <f t="shared" si="28"/>
        <v/>
      </c>
    </row>
    <row r="295" spans="13:21" x14ac:dyDescent="0.2">
      <c r="M295" s="616"/>
      <c r="Q295" s="616"/>
      <c r="R295" s="615"/>
      <c r="S295" s="616" t="str">
        <f t="shared" si="26"/>
        <v/>
      </c>
      <c r="T295" s="615" t="str">
        <f t="shared" si="27"/>
        <v/>
      </c>
      <c r="U295" s="614" t="str">
        <f t="shared" si="28"/>
        <v/>
      </c>
    </row>
    <row r="296" spans="13:21" x14ac:dyDescent="0.2">
      <c r="M296" s="616"/>
      <c r="Q296" s="616"/>
      <c r="R296" s="615"/>
      <c r="S296" s="616" t="str">
        <f t="shared" si="26"/>
        <v/>
      </c>
      <c r="T296" s="615" t="str">
        <f t="shared" si="27"/>
        <v/>
      </c>
      <c r="U296" s="614" t="str">
        <f t="shared" si="28"/>
        <v/>
      </c>
    </row>
    <row r="297" spans="13:21" x14ac:dyDescent="0.2">
      <c r="M297" s="616"/>
      <c r="Q297" s="616"/>
      <c r="R297" s="615"/>
      <c r="S297" s="616" t="str">
        <f t="shared" si="26"/>
        <v/>
      </c>
      <c r="T297" s="615" t="str">
        <f t="shared" si="27"/>
        <v/>
      </c>
      <c r="U297" s="614" t="str">
        <f t="shared" si="28"/>
        <v/>
      </c>
    </row>
    <row r="298" spans="13:21" x14ac:dyDescent="0.2">
      <c r="M298" s="616"/>
      <c r="Q298" s="616"/>
      <c r="R298" s="615"/>
      <c r="S298" s="616" t="str">
        <f t="shared" si="26"/>
        <v/>
      </c>
      <c r="T298" s="615" t="str">
        <f t="shared" si="27"/>
        <v/>
      </c>
      <c r="U298" s="614" t="str">
        <f t="shared" si="28"/>
        <v/>
      </c>
    </row>
    <row r="299" spans="13:21" x14ac:dyDescent="0.2">
      <c r="M299" s="616"/>
      <c r="Q299" s="616"/>
      <c r="R299" s="615"/>
      <c r="S299" s="616" t="str">
        <f t="shared" si="26"/>
        <v/>
      </c>
      <c r="T299" s="615" t="str">
        <f t="shared" si="27"/>
        <v/>
      </c>
    </row>
    <row r="300" spans="13:21" x14ac:dyDescent="0.2">
      <c r="M300" s="616"/>
      <c r="Q300" s="616"/>
      <c r="R300" s="615"/>
      <c r="S300" s="616" t="str">
        <f t="shared" si="26"/>
        <v/>
      </c>
      <c r="T300" s="615" t="str">
        <f t="shared" si="27"/>
        <v/>
      </c>
    </row>
    <row r="301" spans="13:21" x14ac:dyDescent="0.2">
      <c r="M301" s="616"/>
      <c r="Q301" s="616"/>
      <c r="R301" s="615"/>
      <c r="S301" s="616" t="str">
        <f t="shared" si="26"/>
        <v/>
      </c>
      <c r="T301" s="615" t="str">
        <f t="shared" si="27"/>
        <v/>
      </c>
    </row>
    <row r="302" spans="13:21" x14ac:dyDescent="0.2">
      <c r="M302" s="616"/>
      <c r="Q302" s="616"/>
      <c r="R302" s="615"/>
      <c r="S302" s="616" t="str">
        <f t="shared" si="26"/>
        <v/>
      </c>
      <c r="T302" s="615" t="str">
        <f t="shared" si="27"/>
        <v/>
      </c>
    </row>
    <row r="303" spans="13:21" x14ac:dyDescent="0.2">
      <c r="M303" s="616"/>
      <c r="Q303" s="616"/>
      <c r="R303" s="615"/>
    </row>
    <row r="304" spans="13:21" x14ac:dyDescent="0.2">
      <c r="M304" s="616"/>
      <c r="Q304" s="616"/>
      <c r="R304" s="615"/>
    </row>
    <row r="305" spans="13:18" x14ac:dyDescent="0.2">
      <c r="M305" s="616"/>
      <c r="Q305" s="616"/>
      <c r="R305" s="615"/>
    </row>
    <row r="306" spans="13:18" x14ac:dyDescent="0.2">
      <c r="M306" s="616"/>
      <c r="Q306" s="616"/>
      <c r="R306" s="615"/>
    </row>
    <row r="307" spans="13:18" x14ac:dyDescent="0.2">
      <c r="M307" s="616"/>
      <c r="Q307" s="616"/>
      <c r="R307" s="615"/>
    </row>
    <row r="308" spans="13:18" x14ac:dyDescent="0.2">
      <c r="M308" s="616"/>
      <c r="Q308" s="616"/>
      <c r="R308" s="615"/>
    </row>
    <row r="309" spans="13:18" x14ac:dyDescent="0.2">
      <c r="M309" s="616"/>
      <c r="Q309" s="616"/>
      <c r="R309" s="615"/>
    </row>
    <row r="310" spans="13:18" x14ac:dyDescent="0.2">
      <c r="M310" s="616"/>
      <c r="Q310" s="616"/>
      <c r="R310" s="615"/>
    </row>
    <row r="311" spans="13:18" x14ac:dyDescent="0.2">
      <c r="M311" s="616"/>
      <c r="Q311" s="616"/>
      <c r="R311" s="615"/>
    </row>
    <row r="312" spans="13:18" x14ac:dyDescent="0.2">
      <c r="M312" s="616"/>
      <c r="Q312" s="616"/>
      <c r="R312" s="615"/>
    </row>
    <row r="313" spans="13:18" x14ac:dyDescent="0.2">
      <c r="M313" s="616"/>
      <c r="Q313" s="616"/>
      <c r="R313" s="615"/>
    </row>
    <row r="314" spans="13:18" x14ac:dyDescent="0.2">
      <c r="M314" s="616"/>
      <c r="Q314" s="616"/>
      <c r="R314" s="615"/>
    </row>
    <row r="315" spans="13:18" x14ac:dyDescent="0.2">
      <c r="M315" s="616"/>
      <c r="Q315" s="616"/>
      <c r="R315" s="615"/>
    </row>
    <row r="316" spans="13:18" x14ac:dyDescent="0.2">
      <c r="M316" s="616"/>
      <c r="Q316" s="616"/>
      <c r="R316" s="615"/>
    </row>
    <row r="317" spans="13:18" x14ac:dyDescent="0.2">
      <c r="M317" s="616"/>
      <c r="Q317" s="616"/>
      <c r="R317" s="615"/>
    </row>
    <row r="318" spans="13:18" x14ac:dyDescent="0.2">
      <c r="M318" s="616"/>
      <c r="Q318" s="616"/>
      <c r="R318" s="615"/>
    </row>
    <row r="319" spans="13:18" x14ac:dyDescent="0.2">
      <c r="M319" s="616"/>
      <c r="Q319" s="616"/>
      <c r="R319" s="615"/>
    </row>
    <row r="320" spans="13:18" x14ac:dyDescent="0.2">
      <c r="M320" s="616"/>
      <c r="Q320" s="616"/>
      <c r="R320" s="615"/>
    </row>
    <row r="321" spans="13:18" x14ac:dyDescent="0.2">
      <c r="M321" s="616"/>
      <c r="Q321" s="616"/>
      <c r="R321" s="615"/>
    </row>
    <row r="322" spans="13:18" x14ac:dyDescent="0.2">
      <c r="M322" s="616"/>
      <c r="Q322" s="616"/>
      <c r="R322" s="615"/>
    </row>
    <row r="323" spans="13:18" x14ac:dyDescent="0.2">
      <c r="M323" s="616"/>
      <c r="Q323" s="616"/>
      <c r="R323" s="615"/>
    </row>
    <row r="324" spans="13:18" x14ac:dyDescent="0.2">
      <c r="M324" s="616"/>
      <c r="Q324" s="616"/>
      <c r="R324" s="615"/>
    </row>
    <row r="325" spans="13:18" x14ac:dyDescent="0.2">
      <c r="M325" s="616"/>
      <c r="Q325" s="616"/>
      <c r="R325" s="615"/>
    </row>
    <row r="326" spans="13:18" x14ac:dyDescent="0.2">
      <c r="M326" s="616"/>
      <c r="Q326" s="616"/>
      <c r="R326" s="615"/>
    </row>
    <row r="327" spans="13:18" x14ac:dyDescent="0.2">
      <c r="M327" s="616"/>
      <c r="Q327" s="616"/>
      <c r="R327" s="615"/>
    </row>
    <row r="328" spans="13:18" x14ac:dyDescent="0.2">
      <c r="M328" s="616"/>
      <c r="Q328" s="616"/>
      <c r="R328" s="615"/>
    </row>
    <row r="329" spans="13:18" x14ac:dyDescent="0.2">
      <c r="M329" s="616"/>
      <c r="Q329" s="616"/>
      <c r="R329" s="615"/>
    </row>
    <row r="330" spans="13:18" x14ac:dyDescent="0.2">
      <c r="M330" s="616"/>
      <c r="Q330" s="616"/>
      <c r="R330" s="615"/>
    </row>
    <row r="331" spans="13:18" x14ac:dyDescent="0.2">
      <c r="M331" s="616"/>
      <c r="Q331" s="616"/>
      <c r="R331" s="615"/>
    </row>
    <row r="332" spans="13:18" x14ac:dyDescent="0.2">
      <c r="M332" s="616"/>
      <c r="Q332" s="616"/>
      <c r="R332" s="615"/>
    </row>
    <row r="333" spans="13:18" x14ac:dyDescent="0.2">
      <c r="M333" s="616"/>
      <c r="Q333" s="616"/>
      <c r="R333" s="615"/>
    </row>
    <row r="334" spans="13:18" x14ac:dyDescent="0.2">
      <c r="M334" s="616"/>
      <c r="Q334" s="616"/>
      <c r="R334" s="615"/>
    </row>
    <row r="335" spans="13:18" x14ac:dyDescent="0.2">
      <c r="M335" s="616"/>
      <c r="Q335" s="616"/>
      <c r="R335" s="615"/>
    </row>
    <row r="336" spans="13:18" x14ac:dyDescent="0.2">
      <c r="M336" s="616"/>
      <c r="Q336" s="616"/>
      <c r="R336" s="615"/>
    </row>
    <row r="337" spans="13:18" x14ac:dyDescent="0.2">
      <c r="M337" s="616"/>
      <c r="Q337" s="616"/>
      <c r="R337" s="615"/>
    </row>
    <row r="338" spans="13:18" x14ac:dyDescent="0.2">
      <c r="M338" s="616"/>
      <c r="Q338" s="616"/>
      <c r="R338" s="615"/>
    </row>
    <row r="339" spans="13:18" x14ac:dyDescent="0.2">
      <c r="M339" s="616"/>
      <c r="Q339" s="616"/>
      <c r="R339" s="615"/>
    </row>
    <row r="340" spans="13:18" x14ac:dyDescent="0.2">
      <c r="M340" s="616"/>
      <c r="Q340" s="616"/>
      <c r="R340" s="615"/>
    </row>
    <row r="341" spans="13:18" x14ac:dyDescent="0.2">
      <c r="M341" s="616"/>
      <c r="Q341" s="616"/>
      <c r="R341" s="615"/>
    </row>
    <row r="342" spans="13:18" x14ac:dyDescent="0.2">
      <c r="M342" s="616"/>
      <c r="Q342" s="616"/>
      <c r="R342" s="615"/>
    </row>
    <row r="343" spans="13:18" x14ac:dyDescent="0.2">
      <c r="M343" s="616"/>
      <c r="Q343" s="616"/>
      <c r="R343" s="615"/>
    </row>
    <row r="344" spans="13:18" x14ac:dyDescent="0.2">
      <c r="M344" s="616"/>
      <c r="Q344" s="616"/>
      <c r="R344" s="615"/>
    </row>
    <row r="345" spans="13:18" x14ac:dyDescent="0.2">
      <c r="M345" s="616"/>
      <c r="Q345" s="616"/>
      <c r="R345" s="615"/>
    </row>
    <row r="346" spans="13:18" x14ac:dyDescent="0.2">
      <c r="M346" s="616"/>
      <c r="Q346" s="616"/>
      <c r="R346" s="615"/>
    </row>
    <row r="347" spans="13:18" x14ac:dyDescent="0.2">
      <c r="M347" s="616"/>
      <c r="Q347" s="616"/>
      <c r="R347" s="615"/>
    </row>
    <row r="348" spans="13:18" x14ac:dyDescent="0.2">
      <c r="M348" s="616"/>
      <c r="Q348" s="616"/>
      <c r="R348" s="615"/>
    </row>
    <row r="349" spans="13:18" x14ac:dyDescent="0.2">
      <c r="M349" s="616"/>
      <c r="Q349" s="616"/>
      <c r="R349" s="615"/>
    </row>
    <row r="350" spans="13:18" x14ac:dyDescent="0.2">
      <c r="M350" s="616"/>
      <c r="Q350" s="616"/>
      <c r="R350" s="615"/>
    </row>
    <row r="351" spans="13:18" x14ac:dyDescent="0.2">
      <c r="M351" s="616"/>
      <c r="Q351" s="616"/>
      <c r="R351" s="615"/>
    </row>
    <row r="352" spans="13:18" x14ac:dyDescent="0.2">
      <c r="M352" s="616"/>
      <c r="Q352" s="616"/>
      <c r="R352" s="615"/>
    </row>
    <row r="353" spans="13:18" x14ac:dyDescent="0.2">
      <c r="M353" s="616"/>
      <c r="Q353" s="616"/>
      <c r="R353" s="615"/>
    </row>
    <row r="354" spans="13:18" x14ac:dyDescent="0.2">
      <c r="M354" s="616"/>
      <c r="Q354" s="616"/>
      <c r="R354" s="615"/>
    </row>
    <row r="355" spans="13:18" x14ac:dyDescent="0.2">
      <c r="M355" s="616"/>
      <c r="Q355" s="616"/>
      <c r="R355" s="615"/>
    </row>
    <row r="356" spans="13:18" x14ac:dyDescent="0.2">
      <c r="M356" s="616"/>
      <c r="Q356" s="616"/>
      <c r="R356" s="615"/>
    </row>
    <row r="357" spans="13:18" x14ac:dyDescent="0.2">
      <c r="M357" s="616"/>
      <c r="Q357" s="616"/>
      <c r="R357" s="615"/>
    </row>
    <row r="358" spans="13:18" x14ac:dyDescent="0.2">
      <c r="M358" s="616"/>
      <c r="Q358" s="616"/>
      <c r="R358" s="615"/>
    </row>
    <row r="359" spans="13:18" x14ac:dyDescent="0.2">
      <c r="M359" s="616"/>
      <c r="Q359" s="616"/>
      <c r="R359" s="615"/>
    </row>
    <row r="360" spans="13:18" x14ac:dyDescent="0.2">
      <c r="M360" s="616"/>
      <c r="Q360" s="616"/>
      <c r="R360" s="615"/>
    </row>
    <row r="361" spans="13:18" x14ac:dyDescent="0.2">
      <c r="M361" s="616"/>
      <c r="Q361" s="616"/>
      <c r="R361" s="615"/>
    </row>
    <row r="362" spans="13:18" x14ac:dyDescent="0.2">
      <c r="M362" s="616"/>
      <c r="Q362" s="616"/>
      <c r="R362" s="615"/>
    </row>
    <row r="363" spans="13:18" x14ac:dyDescent="0.2">
      <c r="M363" s="616"/>
      <c r="Q363" s="616"/>
      <c r="R363" s="615"/>
    </row>
    <row r="364" spans="13:18" x14ac:dyDescent="0.2">
      <c r="M364" s="616"/>
      <c r="Q364" s="616"/>
      <c r="R364" s="615"/>
    </row>
    <row r="365" spans="13:18" x14ac:dyDescent="0.2">
      <c r="M365" s="616"/>
      <c r="Q365" s="616"/>
      <c r="R365" s="615"/>
    </row>
    <row r="366" spans="13:18" x14ac:dyDescent="0.2">
      <c r="M366" s="616"/>
      <c r="Q366" s="616"/>
      <c r="R366" s="615"/>
    </row>
    <row r="367" spans="13:18" x14ac:dyDescent="0.2">
      <c r="M367" s="616"/>
      <c r="Q367" s="616"/>
      <c r="R367" s="615"/>
    </row>
    <row r="368" spans="13:18" x14ac:dyDescent="0.2">
      <c r="M368" s="616"/>
      <c r="Q368" s="616"/>
      <c r="R368" s="615"/>
    </row>
    <row r="369" spans="13:18" x14ac:dyDescent="0.2">
      <c r="M369" s="616"/>
      <c r="Q369" s="616"/>
      <c r="R369" s="615"/>
    </row>
    <row r="370" spans="13:18" x14ac:dyDescent="0.2">
      <c r="M370" s="616"/>
      <c r="Q370" s="616"/>
      <c r="R370" s="615"/>
    </row>
    <row r="371" spans="13:18" x14ac:dyDescent="0.2">
      <c r="M371" s="616"/>
      <c r="Q371" s="616"/>
      <c r="R371" s="615"/>
    </row>
    <row r="372" spans="13:18" x14ac:dyDescent="0.2">
      <c r="M372" s="616"/>
      <c r="Q372" s="616"/>
      <c r="R372" s="615"/>
    </row>
    <row r="373" spans="13:18" x14ac:dyDescent="0.2">
      <c r="M373" s="616"/>
      <c r="Q373" s="616"/>
      <c r="R373" s="615"/>
    </row>
    <row r="374" spans="13:18" x14ac:dyDescent="0.2">
      <c r="M374" s="616"/>
      <c r="Q374" s="616"/>
      <c r="R374" s="615"/>
    </row>
    <row r="375" spans="13:18" x14ac:dyDescent="0.2">
      <c r="M375" s="616"/>
      <c r="Q375" s="616"/>
      <c r="R375" s="615"/>
    </row>
    <row r="376" spans="13:18" x14ac:dyDescent="0.2">
      <c r="M376" s="616"/>
      <c r="Q376" s="616"/>
      <c r="R376" s="615"/>
    </row>
    <row r="377" spans="13:18" x14ac:dyDescent="0.2">
      <c r="M377" s="616"/>
      <c r="Q377" s="616"/>
      <c r="R377" s="615"/>
    </row>
    <row r="378" spans="13:18" x14ac:dyDescent="0.2">
      <c r="M378" s="616"/>
      <c r="Q378" s="616"/>
      <c r="R378" s="615"/>
    </row>
    <row r="379" spans="13:18" x14ac:dyDescent="0.2">
      <c r="M379" s="616"/>
      <c r="Q379" s="616"/>
      <c r="R379" s="615"/>
    </row>
    <row r="380" spans="13:18" x14ac:dyDescent="0.2">
      <c r="M380" s="616"/>
      <c r="Q380" s="616"/>
      <c r="R380" s="615"/>
    </row>
    <row r="381" spans="13:18" x14ac:dyDescent="0.2">
      <c r="M381" s="616"/>
      <c r="Q381" s="616"/>
      <c r="R381" s="615"/>
    </row>
    <row r="382" spans="13:18" x14ac:dyDescent="0.2">
      <c r="M382" s="616"/>
      <c r="Q382" s="616"/>
      <c r="R382" s="615"/>
    </row>
    <row r="383" spans="13:18" x14ac:dyDescent="0.2">
      <c r="M383" s="616"/>
      <c r="Q383" s="616"/>
      <c r="R383" s="615"/>
    </row>
    <row r="384" spans="13:18" x14ac:dyDescent="0.2">
      <c r="M384" s="616"/>
      <c r="Q384" s="616"/>
      <c r="R384" s="615"/>
    </row>
    <row r="385" spans="13:18" x14ac:dyDescent="0.2">
      <c r="M385" s="616"/>
      <c r="Q385" s="616"/>
      <c r="R385" s="615"/>
    </row>
    <row r="386" spans="13:18" x14ac:dyDescent="0.2">
      <c r="M386" s="616"/>
      <c r="Q386" s="616"/>
      <c r="R386" s="615"/>
    </row>
    <row r="387" spans="13:18" x14ac:dyDescent="0.2">
      <c r="M387" s="616"/>
      <c r="Q387" s="616"/>
      <c r="R387" s="615"/>
    </row>
    <row r="388" spans="13:18" x14ac:dyDescent="0.2">
      <c r="M388" s="616"/>
      <c r="Q388" s="616"/>
      <c r="R388" s="615"/>
    </row>
    <row r="389" spans="13:18" x14ac:dyDescent="0.2">
      <c r="M389" s="616"/>
      <c r="Q389" s="616"/>
      <c r="R389" s="615"/>
    </row>
    <row r="390" spans="13:18" x14ac:dyDescent="0.2">
      <c r="M390" s="616"/>
      <c r="Q390" s="616"/>
      <c r="R390" s="615"/>
    </row>
    <row r="391" spans="13:18" x14ac:dyDescent="0.2">
      <c r="M391" s="616"/>
      <c r="Q391" s="616"/>
      <c r="R391" s="615"/>
    </row>
    <row r="392" spans="13:18" x14ac:dyDescent="0.2">
      <c r="M392" s="616"/>
      <c r="Q392" s="616"/>
      <c r="R392" s="615"/>
    </row>
    <row r="393" spans="13:18" x14ac:dyDescent="0.2">
      <c r="M393" s="616"/>
      <c r="Q393" s="616"/>
      <c r="R393" s="615"/>
    </row>
    <row r="394" spans="13:18" x14ac:dyDescent="0.2">
      <c r="M394" s="616"/>
      <c r="Q394" s="616"/>
      <c r="R394" s="615"/>
    </row>
    <row r="395" spans="13:18" x14ac:dyDescent="0.2">
      <c r="M395" s="616"/>
      <c r="Q395" s="616"/>
      <c r="R395" s="615"/>
    </row>
    <row r="396" spans="13:18" x14ac:dyDescent="0.2">
      <c r="M396" s="616"/>
      <c r="Q396" s="616"/>
      <c r="R396" s="615"/>
    </row>
    <row r="397" spans="13:18" x14ac:dyDescent="0.2">
      <c r="M397" s="616"/>
      <c r="Q397" s="616"/>
      <c r="R397" s="615"/>
    </row>
    <row r="398" spans="13:18" x14ac:dyDescent="0.2">
      <c r="M398" s="616"/>
      <c r="Q398" s="616"/>
      <c r="R398" s="615"/>
    </row>
    <row r="399" spans="13:18" x14ac:dyDescent="0.2">
      <c r="M399" s="616"/>
      <c r="Q399" s="616"/>
      <c r="R399" s="615"/>
    </row>
    <row r="400" spans="13:18" x14ac:dyDescent="0.2">
      <c r="M400" s="616"/>
      <c r="Q400" s="616"/>
      <c r="R400" s="615"/>
    </row>
    <row r="401" spans="13:18" x14ac:dyDescent="0.2">
      <c r="M401" s="616"/>
      <c r="Q401" s="616"/>
      <c r="R401" s="615"/>
    </row>
    <row r="402" spans="13:18" x14ac:dyDescent="0.2">
      <c r="M402" s="616"/>
      <c r="Q402" s="616"/>
      <c r="R402" s="615"/>
    </row>
    <row r="403" spans="13:18" x14ac:dyDescent="0.2">
      <c r="M403" s="616"/>
      <c r="Q403" s="616"/>
      <c r="R403" s="615"/>
    </row>
    <row r="404" spans="13:18" x14ac:dyDescent="0.2">
      <c r="M404" s="616"/>
      <c r="Q404" s="616"/>
      <c r="R404" s="615"/>
    </row>
    <row r="405" spans="13:18" x14ac:dyDescent="0.2">
      <c r="M405" s="616"/>
      <c r="Q405" s="616"/>
      <c r="R405" s="615"/>
    </row>
    <row r="406" spans="13:18" x14ac:dyDescent="0.2">
      <c r="M406" s="616"/>
      <c r="Q406" s="616"/>
      <c r="R406" s="615"/>
    </row>
    <row r="407" spans="13:18" x14ac:dyDescent="0.2">
      <c r="M407" s="616"/>
      <c r="Q407" s="616"/>
      <c r="R407" s="615"/>
    </row>
    <row r="408" spans="13:18" x14ac:dyDescent="0.2">
      <c r="M408" s="616"/>
      <c r="Q408" s="616"/>
      <c r="R408" s="615"/>
    </row>
    <row r="409" spans="13:18" x14ac:dyDescent="0.2">
      <c r="M409" s="616"/>
      <c r="Q409" s="616"/>
      <c r="R409" s="615"/>
    </row>
    <row r="410" spans="13:18" x14ac:dyDescent="0.2">
      <c r="M410" s="616"/>
      <c r="Q410" s="616"/>
      <c r="R410" s="615"/>
    </row>
    <row r="411" spans="13:18" x14ac:dyDescent="0.2">
      <c r="M411" s="616"/>
      <c r="Q411" s="616"/>
      <c r="R411" s="615"/>
    </row>
    <row r="412" spans="13:18" x14ac:dyDescent="0.2">
      <c r="M412" s="616"/>
      <c r="Q412" s="616"/>
      <c r="R412" s="615"/>
    </row>
    <row r="413" spans="13:18" x14ac:dyDescent="0.2">
      <c r="M413" s="616"/>
      <c r="Q413" s="616"/>
      <c r="R413" s="615"/>
    </row>
    <row r="414" spans="13:18" x14ac:dyDescent="0.2">
      <c r="M414" s="616"/>
      <c r="Q414" s="616"/>
      <c r="R414" s="615"/>
    </row>
    <row r="415" spans="13:18" x14ac:dyDescent="0.2">
      <c r="M415" s="616"/>
      <c r="Q415" s="616"/>
      <c r="R415" s="615"/>
    </row>
    <row r="416" spans="13:18" x14ac:dyDescent="0.2">
      <c r="M416" s="616"/>
      <c r="Q416" s="616"/>
      <c r="R416" s="615"/>
    </row>
    <row r="417" spans="13:18" x14ac:dyDescent="0.2">
      <c r="M417" s="616"/>
      <c r="Q417" s="616"/>
      <c r="R417" s="615"/>
    </row>
    <row r="418" spans="13:18" x14ac:dyDescent="0.2">
      <c r="M418" s="616"/>
      <c r="Q418" s="616"/>
      <c r="R418" s="615"/>
    </row>
    <row r="419" spans="13:18" x14ac:dyDescent="0.2">
      <c r="M419" s="616"/>
      <c r="Q419" s="616"/>
      <c r="R419" s="615"/>
    </row>
    <row r="420" spans="13:18" x14ac:dyDescent="0.2">
      <c r="M420" s="616"/>
      <c r="Q420" s="616"/>
      <c r="R420" s="615"/>
    </row>
    <row r="421" spans="13:18" x14ac:dyDescent="0.2">
      <c r="M421" s="616"/>
      <c r="Q421" s="616"/>
      <c r="R421" s="615"/>
    </row>
    <row r="422" spans="13:18" x14ac:dyDescent="0.2">
      <c r="M422" s="616"/>
      <c r="Q422" s="616"/>
      <c r="R422" s="615"/>
    </row>
    <row r="423" spans="13:18" x14ac:dyDescent="0.2">
      <c r="M423" s="616"/>
      <c r="Q423" s="616"/>
      <c r="R423" s="615"/>
    </row>
    <row r="424" spans="13:18" x14ac:dyDescent="0.2">
      <c r="M424" s="616"/>
      <c r="Q424" s="616"/>
      <c r="R424" s="615"/>
    </row>
    <row r="425" spans="13:18" x14ac:dyDescent="0.2">
      <c r="M425" s="616"/>
      <c r="Q425" s="616"/>
      <c r="R425" s="615"/>
    </row>
    <row r="426" spans="13:18" x14ac:dyDescent="0.2">
      <c r="M426" s="616"/>
      <c r="Q426" s="616"/>
      <c r="R426" s="615"/>
    </row>
    <row r="427" spans="13:18" x14ac:dyDescent="0.2">
      <c r="M427" s="616"/>
      <c r="Q427" s="616"/>
      <c r="R427" s="615"/>
    </row>
    <row r="428" spans="13:18" x14ac:dyDescent="0.2">
      <c r="M428" s="616"/>
      <c r="Q428" s="616"/>
      <c r="R428" s="615"/>
    </row>
    <row r="429" spans="13:18" x14ac:dyDescent="0.2">
      <c r="M429" s="616"/>
      <c r="Q429" s="616"/>
      <c r="R429" s="615"/>
    </row>
    <row r="430" spans="13:18" x14ac:dyDescent="0.2">
      <c r="M430" s="616"/>
      <c r="Q430" s="616"/>
      <c r="R430" s="615"/>
    </row>
    <row r="431" spans="13:18" x14ac:dyDescent="0.2">
      <c r="M431" s="616"/>
      <c r="Q431" s="616"/>
      <c r="R431" s="615"/>
    </row>
    <row r="432" spans="13:18" x14ac:dyDescent="0.2">
      <c r="M432" s="616"/>
      <c r="Q432" s="616"/>
      <c r="R432" s="615"/>
    </row>
    <row r="433" spans="13:18" x14ac:dyDescent="0.2">
      <c r="M433" s="616"/>
      <c r="Q433" s="616"/>
      <c r="R433" s="615"/>
    </row>
    <row r="434" spans="13:18" x14ac:dyDescent="0.2">
      <c r="M434" s="616"/>
      <c r="Q434" s="616"/>
      <c r="R434" s="615"/>
    </row>
    <row r="435" spans="13:18" x14ac:dyDescent="0.2">
      <c r="M435" s="616"/>
      <c r="Q435" s="616"/>
      <c r="R435" s="615"/>
    </row>
    <row r="436" spans="13:18" x14ac:dyDescent="0.2">
      <c r="M436" s="616"/>
      <c r="Q436" s="616"/>
      <c r="R436" s="615"/>
    </row>
    <row r="437" spans="13:18" x14ac:dyDescent="0.2">
      <c r="M437" s="616"/>
      <c r="Q437" s="616"/>
      <c r="R437" s="615"/>
    </row>
    <row r="438" spans="13:18" x14ac:dyDescent="0.2">
      <c r="M438" s="616"/>
      <c r="Q438" s="616"/>
      <c r="R438" s="615"/>
    </row>
    <row r="439" spans="13:18" x14ac:dyDescent="0.2">
      <c r="M439" s="616"/>
      <c r="Q439" s="616"/>
      <c r="R439" s="615"/>
    </row>
    <row r="440" spans="13:18" x14ac:dyDescent="0.2">
      <c r="M440" s="616"/>
      <c r="Q440" s="616"/>
      <c r="R440" s="615"/>
    </row>
    <row r="441" spans="13:18" x14ac:dyDescent="0.2">
      <c r="M441" s="616"/>
      <c r="Q441" s="616"/>
      <c r="R441" s="615"/>
    </row>
    <row r="442" spans="13:18" x14ac:dyDescent="0.2">
      <c r="M442" s="616"/>
      <c r="Q442" s="616"/>
      <c r="R442" s="615"/>
    </row>
    <row r="443" spans="13:18" x14ac:dyDescent="0.2">
      <c r="M443" s="616"/>
      <c r="Q443" s="616"/>
      <c r="R443" s="615"/>
    </row>
    <row r="444" spans="13:18" x14ac:dyDescent="0.2">
      <c r="M444" s="616"/>
      <c r="Q444" s="616"/>
      <c r="R444" s="615"/>
    </row>
    <row r="445" spans="13:18" x14ac:dyDescent="0.2">
      <c r="M445" s="616"/>
      <c r="Q445" s="616"/>
      <c r="R445" s="615"/>
    </row>
    <row r="446" spans="13:18" x14ac:dyDescent="0.2">
      <c r="M446" s="616"/>
      <c r="Q446" s="616"/>
      <c r="R446" s="615"/>
    </row>
    <row r="447" spans="13:18" x14ac:dyDescent="0.2">
      <c r="M447" s="616"/>
      <c r="Q447" s="616"/>
      <c r="R447" s="615"/>
    </row>
    <row r="448" spans="13:18" x14ac:dyDescent="0.2">
      <c r="M448" s="616"/>
      <c r="Q448" s="616"/>
      <c r="R448" s="615"/>
    </row>
    <row r="449" spans="13:18" x14ac:dyDescent="0.2">
      <c r="M449" s="616"/>
      <c r="Q449" s="616"/>
      <c r="R449" s="615"/>
    </row>
    <row r="450" spans="13:18" x14ac:dyDescent="0.2">
      <c r="M450" s="616"/>
      <c r="Q450" s="616"/>
      <c r="R450" s="615"/>
    </row>
    <row r="451" spans="13:18" x14ac:dyDescent="0.2">
      <c r="M451" s="616"/>
      <c r="Q451" s="616"/>
      <c r="R451" s="615"/>
    </row>
    <row r="452" spans="13:18" x14ac:dyDescent="0.2">
      <c r="M452" s="616"/>
      <c r="Q452" s="616"/>
      <c r="R452" s="615"/>
    </row>
    <row r="453" spans="13:18" x14ac:dyDescent="0.2">
      <c r="M453" s="616"/>
      <c r="Q453" s="616"/>
      <c r="R453" s="615"/>
    </row>
    <row r="454" spans="13:18" x14ac:dyDescent="0.2">
      <c r="M454" s="616"/>
      <c r="Q454" s="616"/>
      <c r="R454" s="615"/>
    </row>
    <row r="455" spans="13:18" x14ac:dyDescent="0.2">
      <c r="M455" s="616"/>
      <c r="Q455" s="616"/>
      <c r="R455" s="615"/>
    </row>
    <row r="456" spans="13:18" x14ac:dyDescent="0.2">
      <c r="M456" s="616"/>
      <c r="Q456" s="616"/>
      <c r="R456" s="615"/>
    </row>
    <row r="457" spans="13:18" x14ac:dyDescent="0.2">
      <c r="M457" s="616"/>
      <c r="Q457" s="616"/>
      <c r="R457" s="615"/>
    </row>
    <row r="458" spans="13:18" x14ac:dyDescent="0.2">
      <c r="M458" s="616"/>
      <c r="Q458" s="616"/>
      <c r="R458" s="615"/>
    </row>
    <row r="459" spans="13:18" x14ac:dyDescent="0.2">
      <c r="M459" s="616"/>
      <c r="Q459" s="616"/>
      <c r="R459" s="615"/>
    </row>
    <row r="460" spans="13:18" x14ac:dyDescent="0.2">
      <c r="M460" s="616"/>
      <c r="Q460" s="616"/>
      <c r="R460" s="615"/>
    </row>
    <row r="461" spans="13:18" x14ac:dyDescent="0.2">
      <c r="M461" s="616"/>
      <c r="Q461" s="616"/>
      <c r="R461" s="615"/>
    </row>
    <row r="462" spans="13:18" x14ac:dyDescent="0.2">
      <c r="M462" s="616"/>
      <c r="Q462" s="616"/>
      <c r="R462" s="615"/>
    </row>
    <row r="463" spans="13:18" x14ac:dyDescent="0.2">
      <c r="M463" s="616"/>
      <c r="Q463" s="616"/>
      <c r="R463" s="615"/>
    </row>
    <row r="464" spans="13:18" x14ac:dyDescent="0.2">
      <c r="M464" s="616"/>
      <c r="Q464" s="616"/>
      <c r="R464" s="615"/>
    </row>
    <row r="465" spans="13:18" x14ac:dyDescent="0.2">
      <c r="M465" s="616"/>
      <c r="Q465" s="616"/>
      <c r="R465" s="615"/>
    </row>
    <row r="466" spans="13:18" x14ac:dyDescent="0.2">
      <c r="M466" s="616"/>
      <c r="Q466" s="616"/>
      <c r="R466" s="615"/>
    </row>
    <row r="467" spans="13:18" x14ac:dyDescent="0.2">
      <c r="M467" s="616"/>
      <c r="Q467" s="616"/>
      <c r="R467" s="615"/>
    </row>
    <row r="468" spans="13:18" x14ac:dyDescent="0.2">
      <c r="M468" s="616"/>
      <c r="Q468" s="616"/>
      <c r="R468" s="615"/>
    </row>
    <row r="469" spans="13:18" x14ac:dyDescent="0.2">
      <c r="M469" s="616"/>
      <c r="Q469" s="616"/>
      <c r="R469" s="615"/>
    </row>
    <row r="470" spans="13:18" x14ac:dyDescent="0.2">
      <c r="M470" s="616"/>
      <c r="Q470" s="616"/>
      <c r="R470" s="615"/>
    </row>
    <row r="471" spans="13:18" x14ac:dyDescent="0.2">
      <c r="M471" s="616"/>
      <c r="Q471" s="616"/>
      <c r="R471" s="615"/>
    </row>
    <row r="472" spans="13:18" x14ac:dyDescent="0.2">
      <c r="M472" s="616"/>
      <c r="Q472" s="616"/>
      <c r="R472" s="615"/>
    </row>
    <row r="473" spans="13:18" x14ac:dyDescent="0.2">
      <c r="M473" s="616"/>
      <c r="Q473" s="616"/>
      <c r="R473" s="615"/>
    </row>
    <row r="474" spans="13:18" x14ac:dyDescent="0.2">
      <c r="M474" s="616"/>
      <c r="Q474" s="616"/>
      <c r="R474" s="615"/>
    </row>
    <row r="475" spans="13:18" x14ac:dyDescent="0.2">
      <c r="M475" s="616"/>
      <c r="Q475" s="616"/>
      <c r="R475" s="615"/>
    </row>
    <row r="476" spans="13:18" x14ac:dyDescent="0.2">
      <c r="M476" s="616"/>
      <c r="Q476" s="616"/>
      <c r="R476" s="615"/>
    </row>
    <row r="477" spans="13:18" x14ac:dyDescent="0.2">
      <c r="M477" s="616"/>
      <c r="Q477" s="616"/>
      <c r="R477" s="615"/>
    </row>
    <row r="478" spans="13:18" x14ac:dyDescent="0.2">
      <c r="M478" s="616"/>
      <c r="Q478" s="616"/>
      <c r="R478" s="615"/>
    </row>
    <row r="479" spans="13:18" x14ac:dyDescent="0.2">
      <c r="M479" s="616"/>
      <c r="Q479" s="616"/>
      <c r="R479" s="615"/>
    </row>
    <row r="480" spans="13:18" x14ac:dyDescent="0.2">
      <c r="M480" s="616"/>
      <c r="Q480" s="616"/>
      <c r="R480" s="615"/>
    </row>
    <row r="481" spans="13:18" x14ac:dyDescent="0.2">
      <c r="M481" s="616"/>
      <c r="Q481" s="616"/>
      <c r="R481" s="615"/>
    </row>
    <row r="482" spans="13:18" x14ac:dyDescent="0.2">
      <c r="M482" s="616"/>
      <c r="Q482" s="616"/>
      <c r="R482" s="615"/>
    </row>
    <row r="483" spans="13:18" x14ac:dyDescent="0.2">
      <c r="M483" s="616"/>
      <c r="Q483" s="616"/>
      <c r="R483" s="615"/>
    </row>
    <row r="484" spans="13:18" x14ac:dyDescent="0.2">
      <c r="M484" s="616"/>
      <c r="Q484" s="616"/>
      <c r="R484" s="615"/>
    </row>
    <row r="485" spans="13:18" x14ac:dyDescent="0.2">
      <c r="M485" s="616"/>
      <c r="Q485" s="616"/>
      <c r="R485" s="615"/>
    </row>
    <row r="486" spans="13:18" x14ac:dyDescent="0.2">
      <c r="M486" s="616"/>
      <c r="Q486" s="616"/>
      <c r="R486" s="615"/>
    </row>
    <row r="487" spans="13:18" x14ac:dyDescent="0.2">
      <c r="M487" s="616"/>
      <c r="Q487" s="616"/>
      <c r="R487" s="615"/>
    </row>
    <row r="488" spans="13:18" x14ac:dyDescent="0.2">
      <c r="M488" s="616"/>
      <c r="Q488" s="616"/>
      <c r="R488" s="615"/>
    </row>
    <row r="489" spans="13:18" x14ac:dyDescent="0.2">
      <c r="M489" s="616"/>
      <c r="Q489" s="616"/>
      <c r="R489" s="615"/>
    </row>
    <row r="490" spans="13:18" x14ac:dyDescent="0.2">
      <c r="M490" s="616"/>
      <c r="Q490" s="616"/>
      <c r="R490" s="615"/>
    </row>
    <row r="491" spans="13:18" x14ac:dyDescent="0.2">
      <c r="M491" s="616"/>
      <c r="Q491" s="616"/>
      <c r="R491" s="615"/>
    </row>
    <row r="492" spans="13:18" x14ac:dyDescent="0.2">
      <c r="M492" s="616"/>
      <c r="Q492" s="616"/>
      <c r="R492" s="615"/>
    </row>
    <row r="493" spans="13:18" x14ac:dyDescent="0.2">
      <c r="M493" s="616"/>
      <c r="Q493" s="616"/>
      <c r="R493" s="615"/>
    </row>
    <row r="494" spans="13:18" x14ac:dyDescent="0.2">
      <c r="M494" s="616"/>
      <c r="Q494" s="616"/>
      <c r="R494" s="615"/>
    </row>
    <row r="495" spans="13:18" x14ac:dyDescent="0.2">
      <c r="M495" s="616"/>
      <c r="Q495" s="616"/>
      <c r="R495" s="615"/>
    </row>
    <row r="496" spans="13:18" x14ac:dyDescent="0.2">
      <c r="M496" s="616"/>
      <c r="Q496" s="616"/>
      <c r="R496" s="615"/>
    </row>
    <row r="497" spans="13:18" x14ac:dyDescent="0.2">
      <c r="M497" s="616"/>
      <c r="Q497" s="616"/>
      <c r="R497" s="615"/>
    </row>
    <row r="498" spans="13:18" x14ac:dyDescent="0.2">
      <c r="M498" s="616"/>
      <c r="Q498" s="616"/>
      <c r="R498" s="615"/>
    </row>
    <row r="499" spans="13:18" x14ac:dyDescent="0.2">
      <c r="M499" s="616"/>
      <c r="Q499" s="616"/>
      <c r="R499" s="615"/>
    </row>
    <row r="500" spans="13:18" x14ac:dyDescent="0.2">
      <c r="M500" s="616"/>
      <c r="Q500" s="616"/>
      <c r="R500" s="615"/>
    </row>
    <row r="501" spans="13:18" x14ac:dyDescent="0.2">
      <c r="M501" s="616"/>
      <c r="Q501" s="616"/>
      <c r="R501" s="615"/>
    </row>
    <row r="502" spans="13:18" x14ac:dyDescent="0.2">
      <c r="M502" s="616"/>
      <c r="Q502" s="616"/>
      <c r="R502" s="615"/>
    </row>
    <row r="503" spans="13:18" x14ac:dyDescent="0.2">
      <c r="M503" s="616"/>
      <c r="Q503" s="616"/>
      <c r="R503" s="615"/>
    </row>
    <row r="504" spans="13:18" x14ac:dyDescent="0.2">
      <c r="M504" s="616"/>
      <c r="Q504" s="616"/>
      <c r="R504" s="615"/>
    </row>
    <row r="505" spans="13:18" x14ac:dyDescent="0.2">
      <c r="M505" s="616"/>
      <c r="Q505" s="616"/>
      <c r="R505" s="615"/>
    </row>
    <row r="506" spans="13:18" x14ac:dyDescent="0.2">
      <c r="M506" s="616"/>
      <c r="Q506" s="616"/>
      <c r="R506" s="615"/>
    </row>
    <row r="507" spans="13:18" x14ac:dyDescent="0.2">
      <c r="M507" s="616"/>
      <c r="Q507" s="616"/>
      <c r="R507" s="615"/>
    </row>
    <row r="508" spans="13:18" x14ac:dyDescent="0.2">
      <c r="M508" s="616"/>
      <c r="Q508" s="616"/>
      <c r="R508" s="615"/>
    </row>
    <row r="509" spans="13:18" x14ac:dyDescent="0.2">
      <c r="M509" s="616"/>
      <c r="Q509" s="616"/>
      <c r="R509" s="615"/>
    </row>
    <row r="510" spans="13:18" x14ac:dyDescent="0.2">
      <c r="M510" s="616"/>
      <c r="Q510" s="616"/>
      <c r="R510" s="615"/>
    </row>
    <row r="511" spans="13:18" x14ac:dyDescent="0.2">
      <c r="M511" s="616"/>
      <c r="Q511" s="616"/>
      <c r="R511" s="615"/>
    </row>
    <row r="512" spans="13:18" x14ac:dyDescent="0.2">
      <c r="M512" s="616"/>
      <c r="Q512" s="616"/>
      <c r="R512" s="615"/>
    </row>
    <row r="513" spans="13:18" x14ac:dyDescent="0.2">
      <c r="M513" s="616"/>
      <c r="Q513" s="616"/>
      <c r="R513" s="615"/>
    </row>
    <row r="514" spans="13:18" x14ac:dyDescent="0.2">
      <c r="M514" s="616"/>
      <c r="Q514" s="616"/>
      <c r="R514" s="615"/>
    </row>
    <row r="515" spans="13:18" x14ac:dyDescent="0.2">
      <c r="M515" s="616"/>
      <c r="Q515" s="616"/>
      <c r="R515" s="615"/>
    </row>
    <row r="516" spans="13:18" x14ac:dyDescent="0.2">
      <c r="M516" s="616"/>
      <c r="Q516" s="616"/>
      <c r="R516" s="615"/>
    </row>
    <row r="517" spans="13:18" x14ac:dyDescent="0.2">
      <c r="M517" s="616"/>
      <c r="Q517" s="616"/>
      <c r="R517" s="615"/>
    </row>
    <row r="518" spans="13:18" x14ac:dyDescent="0.2">
      <c r="M518" s="616"/>
      <c r="Q518" s="616"/>
      <c r="R518" s="615"/>
    </row>
    <row r="519" spans="13:18" x14ac:dyDescent="0.2">
      <c r="M519" s="616"/>
      <c r="Q519" s="616"/>
      <c r="R519" s="615"/>
    </row>
    <row r="520" spans="13:18" x14ac:dyDescent="0.2">
      <c r="M520" s="616"/>
      <c r="Q520" s="616"/>
      <c r="R520" s="615"/>
    </row>
    <row r="521" spans="13:18" x14ac:dyDescent="0.2">
      <c r="M521" s="616"/>
      <c r="Q521" s="616"/>
      <c r="R521" s="615"/>
    </row>
    <row r="522" spans="13:18" x14ac:dyDescent="0.2">
      <c r="M522" s="616"/>
      <c r="Q522" s="616"/>
      <c r="R522" s="615"/>
    </row>
    <row r="523" spans="13:18" x14ac:dyDescent="0.2">
      <c r="M523" s="616"/>
      <c r="Q523" s="616"/>
      <c r="R523" s="615"/>
    </row>
    <row r="524" spans="13:18" x14ac:dyDescent="0.2">
      <c r="M524" s="616"/>
      <c r="Q524" s="616"/>
      <c r="R524" s="615"/>
    </row>
    <row r="525" spans="13:18" x14ac:dyDescent="0.2">
      <c r="M525" s="616"/>
      <c r="Q525" s="616"/>
      <c r="R525" s="615"/>
    </row>
    <row r="526" spans="13:18" x14ac:dyDescent="0.2">
      <c r="M526" s="616"/>
      <c r="Q526" s="616"/>
      <c r="R526" s="615"/>
    </row>
    <row r="527" spans="13:18" x14ac:dyDescent="0.2">
      <c r="M527" s="616"/>
      <c r="Q527" s="616"/>
      <c r="R527" s="615"/>
    </row>
    <row r="528" spans="13:18" x14ac:dyDescent="0.2">
      <c r="M528" s="616"/>
      <c r="Q528" s="616"/>
      <c r="R528" s="615"/>
    </row>
    <row r="529" spans="13:18" x14ac:dyDescent="0.2">
      <c r="M529" s="616"/>
      <c r="Q529" s="616"/>
      <c r="R529" s="615"/>
    </row>
    <row r="530" spans="13:18" x14ac:dyDescent="0.2">
      <c r="M530" s="616"/>
      <c r="Q530" s="616"/>
      <c r="R530" s="615"/>
    </row>
    <row r="531" spans="13:18" x14ac:dyDescent="0.2">
      <c r="M531" s="616"/>
      <c r="Q531" s="616"/>
      <c r="R531" s="615"/>
    </row>
    <row r="532" spans="13:18" x14ac:dyDescent="0.2">
      <c r="M532" s="616"/>
      <c r="Q532" s="616"/>
      <c r="R532" s="615"/>
    </row>
    <row r="533" spans="13:18" x14ac:dyDescent="0.2">
      <c r="M533" s="616"/>
      <c r="Q533" s="616"/>
      <c r="R533" s="615"/>
    </row>
    <row r="534" spans="13:18" x14ac:dyDescent="0.2">
      <c r="M534" s="616"/>
      <c r="Q534" s="616"/>
      <c r="R534" s="615"/>
    </row>
    <row r="535" spans="13:18" x14ac:dyDescent="0.2">
      <c r="M535" s="616"/>
      <c r="Q535" s="616"/>
      <c r="R535" s="615"/>
    </row>
    <row r="536" spans="13:18" x14ac:dyDescent="0.2">
      <c r="M536" s="616"/>
      <c r="Q536" s="616"/>
      <c r="R536" s="615"/>
    </row>
    <row r="537" spans="13:18" x14ac:dyDescent="0.2">
      <c r="M537" s="616"/>
      <c r="Q537" s="616"/>
      <c r="R537" s="615"/>
    </row>
    <row r="538" spans="13:18" x14ac:dyDescent="0.2">
      <c r="M538" s="616"/>
      <c r="Q538" s="616"/>
      <c r="R538" s="615"/>
    </row>
    <row r="539" spans="13:18" x14ac:dyDescent="0.2">
      <c r="M539" s="616"/>
      <c r="Q539" s="616"/>
      <c r="R539" s="615"/>
    </row>
    <row r="540" spans="13:18" x14ac:dyDescent="0.2">
      <c r="M540" s="616"/>
      <c r="Q540" s="616"/>
      <c r="R540" s="615"/>
    </row>
    <row r="541" spans="13:18" x14ac:dyDescent="0.2">
      <c r="M541" s="616"/>
      <c r="Q541" s="616"/>
      <c r="R541" s="615"/>
    </row>
    <row r="542" spans="13:18" x14ac:dyDescent="0.2">
      <c r="M542" s="616"/>
      <c r="Q542" s="616"/>
      <c r="R542" s="615"/>
    </row>
    <row r="543" spans="13:18" x14ac:dyDescent="0.2">
      <c r="M543" s="616"/>
      <c r="Q543" s="616"/>
      <c r="R543" s="615"/>
    </row>
    <row r="544" spans="13:18" x14ac:dyDescent="0.2">
      <c r="M544" s="616"/>
      <c r="Q544" s="616"/>
      <c r="R544" s="615"/>
    </row>
    <row r="545" spans="13:18" x14ac:dyDescent="0.2">
      <c r="M545" s="616"/>
      <c r="Q545" s="616"/>
      <c r="R545" s="615"/>
    </row>
    <row r="546" spans="13:18" x14ac:dyDescent="0.2">
      <c r="M546" s="616"/>
      <c r="Q546" s="616"/>
      <c r="R546" s="615"/>
    </row>
    <row r="547" spans="13:18" x14ac:dyDescent="0.2">
      <c r="M547" s="616"/>
      <c r="Q547" s="616"/>
      <c r="R547" s="615"/>
    </row>
    <row r="548" spans="13:18" x14ac:dyDescent="0.2">
      <c r="M548" s="616"/>
      <c r="Q548" s="616"/>
      <c r="R548" s="615"/>
    </row>
    <row r="549" spans="13:18" x14ac:dyDescent="0.2">
      <c r="M549" s="616"/>
      <c r="Q549" s="616"/>
      <c r="R549" s="615"/>
    </row>
    <row r="550" spans="13:18" x14ac:dyDescent="0.2">
      <c r="M550" s="616"/>
      <c r="Q550" s="616"/>
      <c r="R550" s="615"/>
    </row>
    <row r="551" spans="13:18" x14ac:dyDescent="0.2">
      <c r="M551" s="616"/>
      <c r="Q551" s="616"/>
      <c r="R551" s="615"/>
    </row>
    <row r="552" spans="13:18" x14ac:dyDescent="0.2">
      <c r="M552" s="616"/>
      <c r="Q552" s="616"/>
      <c r="R552" s="615"/>
    </row>
    <row r="553" spans="13:18" x14ac:dyDescent="0.2">
      <c r="M553" s="616"/>
      <c r="Q553" s="616"/>
      <c r="R553" s="615"/>
    </row>
    <row r="554" spans="13:18" x14ac:dyDescent="0.2">
      <c r="M554" s="616"/>
      <c r="Q554" s="616"/>
      <c r="R554" s="615"/>
    </row>
    <row r="555" spans="13:18" x14ac:dyDescent="0.2">
      <c r="M555" s="616"/>
      <c r="Q555" s="616"/>
      <c r="R555" s="615"/>
    </row>
    <row r="556" spans="13:18" x14ac:dyDescent="0.2">
      <c r="M556" s="616"/>
      <c r="Q556" s="616"/>
      <c r="R556" s="615"/>
    </row>
    <row r="557" spans="13:18" x14ac:dyDescent="0.2">
      <c r="M557" s="616"/>
      <c r="Q557" s="616"/>
      <c r="R557" s="615"/>
    </row>
    <row r="558" spans="13:18" x14ac:dyDescent="0.2">
      <c r="M558" s="616"/>
      <c r="Q558" s="616"/>
      <c r="R558" s="615"/>
    </row>
    <row r="559" spans="13:18" x14ac:dyDescent="0.2">
      <c r="M559" s="616"/>
      <c r="Q559" s="616"/>
      <c r="R559" s="615"/>
    </row>
    <row r="560" spans="13:18" x14ac:dyDescent="0.2">
      <c r="M560" s="616"/>
      <c r="Q560" s="616"/>
      <c r="R560" s="615"/>
    </row>
    <row r="561" spans="13:18" x14ac:dyDescent="0.2">
      <c r="M561" s="616"/>
      <c r="Q561" s="616"/>
      <c r="R561" s="615"/>
    </row>
    <row r="562" spans="13:18" x14ac:dyDescent="0.2">
      <c r="M562" s="616"/>
      <c r="Q562" s="616"/>
      <c r="R562" s="615"/>
    </row>
    <row r="563" spans="13:18" x14ac:dyDescent="0.2">
      <c r="M563" s="616"/>
      <c r="Q563" s="616"/>
      <c r="R563" s="615"/>
    </row>
    <row r="564" spans="13:18" x14ac:dyDescent="0.2">
      <c r="M564" s="616"/>
      <c r="Q564" s="616"/>
      <c r="R564" s="615"/>
    </row>
    <row r="565" spans="13:18" x14ac:dyDescent="0.2">
      <c r="M565" s="616"/>
      <c r="Q565" s="616"/>
      <c r="R565" s="615"/>
    </row>
    <row r="566" spans="13:18" x14ac:dyDescent="0.2">
      <c r="M566" s="616"/>
      <c r="Q566" s="616"/>
      <c r="R566" s="615"/>
    </row>
    <row r="567" spans="13:18" x14ac:dyDescent="0.2">
      <c r="M567" s="616"/>
      <c r="Q567" s="616"/>
      <c r="R567" s="615"/>
    </row>
    <row r="568" spans="13:18" x14ac:dyDescent="0.2">
      <c r="M568" s="616"/>
      <c r="Q568" s="616"/>
      <c r="R568" s="615"/>
    </row>
    <row r="569" spans="13:18" x14ac:dyDescent="0.2">
      <c r="M569" s="616"/>
      <c r="Q569" s="616"/>
      <c r="R569" s="615"/>
    </row>
    <row r="570" spans="13:18" x14ac:dyDescent="0.2">
      <c r="M570" s="616"/>
      <c r="Q570" s="616"/>
      <c r="R570" s="615"/>
    </row>
    <row r="571" spans="13:18" x14ac:dyDescent="0.2">
      <c r="M571" s="616"/>
      <c r="Q571" s="616"/>
      <c r="R571" s="615"/>
    </row>
    <row r="572" spans="13:18" x14ac:dyDescent="0.2">
      <c r="M572" s="616"/>
      <c r="Q572" s="616"/>
      <c r="R572" s="615"/>
    </row>
    <row r="573" spans="13:18" x14ac:dyDescent="0.2">
      <c r="M573" s="616"/>
      <c r="Q573" s="616"/>
      <c r="R573" s="615"/>
    </row>
    <row r="574" spans="13:18" x14ac:dyDescent="0.2">
      <c r="M574" s="616"/>
      <c r="Q574" s="616"/>
      <c r="R574" s="615"/>
    </row>
    <row r="575" spans="13:18" x14ac:dyDescent="0.2">
      <c r="M575" s="616"/>
      <c r="Q575" s="616"/>
      <c r="R575" s="615"/>
    </row>
    <row r="576" spans="13:18" x14ac:dyDescent="0.2">
      <c r="M576" s="616"/>
      <c r="Q576" s="616"/>
      <c r="R576" s="615"/>
    </row>
    <row r="577" spans="13:18" x14ac:dyDescent="0.2">
      <c r="M577" s="616"/>
      <c r="Q577" s="616"/>
      <c r="R577" s="615"/>
    </row>
    <row r="578" spans="13:18" x14ac:dyDescent="0.2">
      <c r="M578" s="616"/>
      <c r="Q578" s="616"/>
      <c r="R578" s="615"/>
    </row>
    <row r="579" spans="13:18" x14ac:dyDescent="0.2">
      <c r="M579" s="616"/>
      <c r="Q579" s="616"/>
      <c r="R579" s="615"/>
    </row>
    <row r="580" spans="13:18" x14ac:dyDescent="0.2">
      <c r="M580" s="616"/>
      <c r="Q580" s="616"/>
      <c r="R580" s="615"/>
    </row>
    <row r="581" spans="13:18" x14ac:dyDescent="0.2">
      <c r="M581" s="616"/>
      <c r="Q581" s="616"/>
      <c r="R581" s="615"/>
    </row>
    <row r="582" spans="13:18" x14ac:dyDescent="0.2">
      <c r="M582" s="616"/>
      <c r="Q582" s="616"/>
      <c r="R582" s="615"/>
    </row>
    <row r="583" spans="13:18" x14ac:dyDescent="0.2">
      <c r="M583" s="616"/>
      <c r="Q583" s="616"/>
      <c r="R583" s="615"/>
    </row>
    <row r="584" spans="13:18" x14ac:dyDescent="0.2">
      <c r="M584" s="616"/>
      <c r="Q584" s="616"/>
      <c r="R584" s="615"/>
    </row>
    <row r="585" spans="13:18" x14ac:dyDescent="0.2">
      <c r="M585" s="616"/>
      <c r="Q585" s="616"/>
      <c r="R585" s="615"/>
    </row>
    <row r="586" spans="13:18" x14ac:dyDescent="0.2">
      <c r="M586" s="616"/>
      <c r="Q586" s="616"/>
      <c r="R586" s="615"/>
    </row>
    <row r="587" spans="13:18" x14ac:dyDescent="0.2">
      <c r="M587" s="616"/>
      <c r="Q587" s="616"/>
      <c r="R587" s="615"/>
    </row>
    <row r="588" spans="13:18" x14ac:dyDescent="0.2">
      <c r="M588" s="616"/>
      <c r="Q588" s="616"/>
      <c r="R588" s="615"/>
    </row>
    <row r="589" spans="13:18" x14ac:dyDescent="0.2">
      <c r="M589" s="616"/>
      <c r="Q589" s="616"/>
      <c r="R589" s="615"/>
    </row>
    <row r="590" spans="13:18" x14ac:dyDescent="0.2">
      <c r="M590" s="616"/>
      <c r="Q590" s="616"/>
      <c r="R590" s="615"/>
    </row>
    <row r="591" spans="13:18" x14ac:dyDescent="0.2">
      <c r="M591" s="616"/>
      <c r="Q591" s="616"/>
      <c r="R591" s="615"/>
    </row>
    <row r="592" spans="13:18" x14ac:dyDescent="0.2">
      <c r="M592" s="616"/>
      <c r="Q592" s="616"/>
      <c r="R592" s="615"/>
    </row>
    <row r="593" spans="13:18" x14ac:dyDescent="0.2">
      <c r="M593" s="616"/>
      <c r="Q593" s="616"/>
      <c r="R593" s="615"/>
    </row>
    <row r="594" spans="13:18" x14ac:dyDescent="0.2">
      <c r="M594" s="616"/>
      <c r="Q594" s="616"/>
      <c r="R594" s="615"/>
    </row>
    <row r="595" spans="13:18" x14ac:dyDescent="0.2">
      <c r="M595" s="616"/>
      <c r="Q595" s="616"/>
      <c r="R595" s="615"/>
    </row>
    <row r="596" spans="13:18" x14ac:dyDescent="0.2">
      <c r="M596" s="616"/>
      <c r="Q596" s="616"/>
      <c r="R596" s="615"/>
    </row>
    <row r="597" spans="13:18" x14ac:dyDescent="0.2">
      <c r="M597" s="616"/>
      <c r="Q597" s="616"/>
      <c r="R597" s="615"/>
    </row>
    <row r="598" spans="13:18" x14ac:dyDescent="0.2">
      <c r="M598" s="616"/>
      <c r="Q598" s="616"/>
      <c r="R598" s="615"/>
    </row>
    <row r="599" spans="13:18" x14ac:dyDescent="0.2">
      <c r="M599" s="616"/>
      <c r="Q599" s="616"/>
      <c r="R599" s="615"/>
    </row>
    <row r="600" spans="13:18" x14ac:dyDescent="0.2">
      <c r="M600" s="616"/>
      <c r="Q600" s="616"/>
      <c r="R600" s="615"/>
    </row>
    <row r="601" spans="13:18" x14ac:dyDescent="0.2">
      <c r="M601" s="616"/>
      <c r="Q601" s="616"/>
      <c r="R601" s="615"/>
    </row>
    <row r="602" spans="13:18" x14ac:dyDescent="0.2">
      <c r="M602" s="616"/>
      <c r="Q602" s="616"/>
      <c r="R602" s="615"/>
    </row>
    <row r="603" spans="13:18" x14ac:dyDescent="0.2">
      <c r="M603" s="616"/>
      <c r="Q603" s="616"/>
      <c r="R603" s="615"/>
    </row>
    <row r="604" spans="13:18" x14ac:dyDescent="0.2">
      <c r="M604" s="616"/>
      <c r="Q604" s="616"/>
      <c r="R604" s="615"/>
    </row>
    <row r="605" spans="13:18" x14ac:dyDescent="0.2">
      <c r="M605" s="616"/>
      <c r="Q605" s="616"/>
      <c r="R605" s="615"/>
    </row>
    <row r="606" spans="13:18" x14ac:dyDescent="0.2">
      <c r="M606" s="616"/>
      <c r="Q606" s="616"/>
      <c r="R606" s="615"/>
    </row>
    <row r="607" spans="13:18" x14ac:dyDescent="0.2">
      <c r="M607" s="616"/>
      <c r="Q607" s="616"/>
      <c r="R607" s="615"/>
    </row>
    <row r="608" spans="13:18" x14ac:dyDescent="0.2">
      <c r="M608" s="616"/>
      <c r="Q608" s="616"/>
      <c r="R608" s="615"/>
    </row>
    <row r="609" spans="13:18" x14ac:dyDescent="0.2">
      <c r="M609" s="616"/>
      <c r="Q609" s="616"/>
      <c r="R609" s="615"/>
    </row>
    <row r="610" spans="13:18" x14ac:dyDescent="0.2">
      <c r="M610" s="616"/>
      <c r="Q610" s="616"/>
      <c r="R610" s="615"/>
    </row>
    <row r="611" spans="13:18" x14ac:dyDescent="0.2">
      <c r="M611" s="616"/>
      <c r="Q611" s="616"/>
      <c r="R611" s="615"/>
    </row>
    <row r="612" spans="13:18" x14ac:dyDescent="0.2">
      <c r="M612" s="616"/>
      <c r="Q612" s="616"/>
      <c r="R612" s="615"/>
    </row>
    <row r="613" spans="13:18" x14ac:dyDescent="0.2">
      <c r="M613" s="616"/>
      <c r="Q613" s="616"/>
      <c r="R613" s="615"/>
    </row>
    <row r="614" spans="13:18" x14ac:dyDescent="0.2">
      <c r="M614" s="616"/>
      <c r="Q614" s="616"/>
      <c r="R614" s="615"/>
    </row>
    <row r="615" spans="13:18" x14ac:dyDescent="0.2">
      <c r="M615" s="616"/>
      <c r="Q615" s="616"/>
      <c r="R615" s="615"/>
    </row>
    <row r="616" spans="13:18" x14ac:dyDescent="0.2">
      <c r="M616" s="616"/>
      <c r="Q616" s="616"/>
      <c r="R616" s="615"/>
    </row>
    <row r="617" spans="13:18" x14ac:dyDescent="0.2">
      <c r="M617" s="616"/>
      <c r="Q617" s="616"/>
      <c r="R617" s="615"/>
    </row>
    <row r="618" spans="13:18" x14ac:dyDescent="0.2">
      <c r="M618" s="616"/>
      <c r="Q618" s="616"/>
      <c r="R618" s="615"/>
    </row>
    <row r="619" spans="13:18" x14ac:dyDescent="0.2">
      <c r="M619" s="616"/>
      <c r="Q619" s="616"/>
      <c r="R619" s="615"/>
    </row>
    <row r="620" spans="13:18" x14ac:dyDescent="0.2">
      <c r="M620" s="616"/>
      <c r="Q620" s="616"/>
      <c r="R620" s="615"/>
    </row>
    <row r="621" spans="13:18" x14ac:dyDescent="0.2">
      <c r="M621" s="616"/>
      <c r="Q621" s="616"/>
      <c r="R621" s="615"/>
    </row>
    <row r="622" spans="13:18" x14ac:dyDescent="0.2">
      <c r="M622" s="616"/>
      <c r="Q622" s="616"/>
      <c r="R622" s="615"/>
    </row>
    <row r="623" spans="13:18" x14ac:dyDescent="0.2">
      <c r="M623" s="616"/>
      <c r="Q623" s="616"/>
      <c r="R623" s="615"/>
    </row>
    <row r="624" spans="13:18" x14ac:dyDescent="0.2">
      <c r="M624" s="616"/>
      <c r="Q624" s="616"/>
      <c r="R624" s="615"/>
    </row>
    <row r="625" spans="13:18" x14ac:dyDescent="0.2">
      <c r="M625" s="616"/>
      <c r="Q625" s="616"/>
      <c r="R625" s="615"/>
    </row>
    <row r="626" spans="13:18" x14ac:dyDescent="0.2">
      <c r="M626" s="616"/>
      <c r="Q626" s="616"/>
      <c r="R626" s="615"/>
    </row>
    <row r="627" spans="13:18" x14ac:dyDescent="0.2">
      <c r="M627" s="616"/>
      <c r="Q627" s="616"/>
      <c r="R627" s="615"/>
    </row>
    <row r="628" spans="13:18" x14ac:dyDescent="0.2">
      <c r="M628" s="616"/>
      <c r="Q628" s="616"/>
      <c r="R628" s="615"/>
    </row>
    <row r="629" spans="13:18" x14ac:dyDescent="0.2">
      <c r="M629" s="616"/>
      <c r="Q629" s="616"/>
      <c r="R629" s="615"/>
    </row>
    <row r="630" spans="13:18" x14ac:dyDescent="0.2">
      <c r="M630" s="616"/>
      <c r="Q630" s="616"/>
      <c r="R630" s="615"/>
    </row>
    <row r="631" spans="13:18" x14ac:dyDescent="0.2">
      <c r="M631" s="616"/>
      <c r="Q631" s="616"/>
      <c r="R631" s="615"/>
    </row>
    <row r="632" spans="13:18" x14ac:dyDescent="0.2">
      <c r="M632" s="616"/>
      <c r="Q632" s="616"/>
      <c r="R632" s="615"/>
    </row>
    <row r="633" spans="13:18" x14ac:dyDescent="0.2">
      <c r="M633" s="616"/>
      <c r="Q633" s="616"/>
      <c r="R633" s="615"/>
    </row>
    <row r="634" spans="13:18" x14ac:dyDescent="0.2">
      <c r="M634" s="616"/>
      <c r="Q634" s="616"/>
      <c r="R634" s="615"/>
    </row>
    <row r="635" spans="13:18" x14ac:dyDescent="0.2">
      <c r="M635" s="616"/>
      <c r="Q635" s="616"/>
      <c r="R635" s="615"/>
    </row>
    <row r="636" spans="13:18" x14ac:dyDescent="0.2">
      <c r="M636" s="616"/>
      <c r="Q636" s="616"/>
      <c r="R636" s="615"/>
    </row>
    <row r="637" spans="13:18" x14ac:dyDescent="0.2">
      <c r="M637" s="616"/>
      <c r="Q637" s="616"/>
      <c r="R637" s="615"/>
    </row>
    <row r="638" spans="13:18" x14ac:dyDescent="0.2">
      <c r="M638" s="616"/>
      <c r="Q638" s="616"/>
      <c r="R638" s="615"/>
    </row>
    <row r="639" spans="13:18" x14ac:dyDescent="0.2">
      <c r="M639" s="616"/>
      <c r="Q639" s="616"/>
      <c r="R639" s="615"/>
    </row>
    <row r="640" spans="13:18" x14ac:dyDescent="0.2">
      <c r="M640" s="616"/>
      <c r="Q640" s="616"/>
      <c r="R640" s="615"/>
    </row>
    <row r="641" spans="13:18" x14ac:dyDescent="0.2">
      <c r="M641" s="616"/>
      <c r="Q641" s="616"/>
      <c r="R641" s="615"/>
    </row>
    <row r="642" spans="13:18" x14ac:dyDescent="0.2">
      <c r="M642" s="616"/>
      <c r="Q642" s="616"/>
      <c r="R642" s="615"/>
    </row>
    <row r="643" spans="13:18" x14ac:dyDescent="0.2">
      <c r="M643" s="616"/>
      <c r="Q643" s="616"/>
      <c r="R643" s="615"/>
    </row>
    <row r="644" spans="13:18" x14ac:dyDescent="0.2">
      <c r="M644" s="616"/>
      <c r="Q644" s="616"/>
      <c r="R644" s="615"/>
    </row>
    <row r="645" spans="13:18" x14ac:dyDescent="0.2">
      <c r="M645" s="616"/>
      <c r="Q645" s="616"/>
      <c r="R645" s="615"/>
    </row>
    <row r="646" spans="13:18" x14ac:dyDescent="0.2">
      <c r="M646" s="616"/>
      <c r="Q646" s="616"/>
      <c r="R646" s="615"/>
    </row>
    <row r="647" spans="13:18" x14ac:dyDescent="0.2">
      <c r="M647" s="616"/>
      <c r="Q647" s="616"/>
      <c r="R647" s="615"/>
    </row>
    <row r="648" spans="13:18" x14ac:dyDescent="0.2">
      <c r="M648" s="616"/>
      <c r="Q648" s="616"/>
      <c r="R648" s="615"/>
    </row>
    <row r="649" spans="13:18" x14ac:dyDescent="0.2">
      <c r="M649" s="616"/>
      <c r="Q649" s="616"/>
      <c r="R649" s="615"/>
    </row>
    <row r="650" spans="13:18" x14ac:dyDescent="0.2">
      <c r="M650" s="616"/>
      <c r="Q650" s="616"/>
      <c r="R650" s="615"/>
    </row>
    <row r="651" spans="13:18" x14ac:dyDescent="0.2">
      <c r="M651" s="616"/>
      <c r="Q651" s="616"/>
      <c r="R651" s="615"/>
    </row>
    <row r="652" spans="13:18" x14ac:dyDescent="0.2">
      <c r="M652" s="616"/>
      <c r="Q652" s="616"/>
      <c r="R652" s="615"/>
    </row>
    <row r="653" spans="13:18" x14ac:dyDescent="0.2">
      <c r="M653" s="616" t="str">
        <f t="shared" ref="M653:M700" si="29">IF(ISERROR(IF(A643="Índice de taxa média de depósitos interfinanceiros de um dia - IDI",RIGHT(LEFT(A645,13),10),"")+1-1),"",IF(A643="Índice de taxa média de depósitos interfinanceiros de um dia - IDI",RIGHT(LEFT(A645,13),10),"")+1-1)</f>
        <v/>
      </c>
      <c r="N653" s="614" t="str">
        <f t="shared" ref="N653:N700" si="30">IF(ISERROR(IF(A643="Índice de taxa média de depósitos interfinanceiros de um dia - IDI",LEFT(RIGHT(A645,19),11),"")+1-1),"",(IF(A643="Índice de taxa média de depósitos interfinanceiros de um dia - IDI",LEFT(RIGHT(A645,19),11),"")+1-1))</f>
        <v/>
      </c>
      <c r="Q653" s="616" t="str">
        <f t="shared" ref="Q653:Q700" si="31">IF(ISERROR(IF(A643="Taxa Referencial de DI / Cetip",RIGHT(A645,10),"")+1-1),"",(IF(A643="Taxa Referencial de DI / Cetip",RIGHT(A645,10),"")+1-1))</f>
        <v/>
      </c>
      <c r="R653" s="615" t="str">
        <f t="shared" ref="R653:R700" si="32">IF(ISERROR(IF(A643="Taxa Referencial de DI / Cetip",RIGHT(LEFT(A644,15),6),"")+1-1),"",(IF(A643="Taxa Referencial de DI / Cetip",RIGHT(LEFT(A644,15),6),"")+1-1))</f>
        <v/>
      </c>
    </row>
    <row r="654" spans="13:18" x14ac:dyDescent="0.2">
      <c r="M654" s="616" t="str">
        <f t="shared" si="29"/>
        <v/>
      </c>
      <c r="N654" s="614" t="str">
        <f t="shared" si="30"/>
        <v/>
      </c>
      <c r="Q654" s="616" t="str">
        <f t="shared" si="31"/>
        <v/>
      </c>
      <c r="R654" s="615" t="str">
        <f t="shared" si="32"/>
        <v/>
      </c>
    </row>
    <row r="655" spans="13:18" x14ac:dyDescent="0.2">
      <c r="M655" s="616" t="str">
        <f t="shared" si="29"/>
        <v/>
      </c>
      <c r="N655" s="614" t="str">
        <f t="shared" si="30"/>
        <v/>
      </c>
      <c r="Q655" s="616" t="str">
        <f t="shared" si="31"/>
        <v/>
      </c>
      <c r="R655" s="615" t="str">
        <f t="shared" si="32"/>
        <v/>
      </c>
    </row>
    <row r="656" spans="13:18" x14ac:dyDescent="0.2">
      <c r="M656" s="616" t="str">
        <f t="shared" si="29"/>
        <v/>
      </c>
      <c r="N656" s="614" t="str">
        <f t="shared" si="30"/>
        <v/>
      </c>
      <c r="Q656" s="616" t="str">
        <f t="shared" si="31"/>
        <v/>
      </c>
      <c r="R656" s="615" t="str">
        <f t="shared" si="32"/>
        <v/>
      </c>
    </row>
    <row r="657" spans="13:18" x14ac:dyDescent="0.2">
      <c r="M657" s="616" t="str">
        <f t="shared" si="29"/>
        <v/>
      </c>
      <c r="N657" s="614" t="str">
        <f t="shared" si="30"/>
        <v/>
      </c>
      <c r="Q657" s="616" t="str">
        <f t="shared" si="31"/>
        <v/>
      </c>
      <c r="R657" s="615" t="str">
        <f t="shared" si="32"/>
        <v/>
      </c>
    </row>
    <row r="658" spans="13:18" x14ac:dyDescent="0.2">
      <c r="M658" s="616" t="str">
        <f t="shared" si="29"/>
        <v/>
      </c>
      <c r="N658" s="614" t="str">
        <f t="shared" si="30"/>
        <v/>
      </c>
      <c r="Q658" s="616" t="str">
        <f t="shared" si="31"/>
        <v/>
      </c>
      <c r="R658" s="615" t="str">
        <f t="shared" si="32"/>
        <v/>
      </c>
    </row>
    <row r="659" spans="13:18" x14ac:dyDescent="0.2">
      <c r="M659" s="616" t="str">
        <f t="shared" si="29"/>
        <v/>
      </c>
      <c r="N659" s="614" t="str">
        <f t="shared" si="30"/>
        <v/>
      </c>
      <c r="Q659" s="616" t="str">
        <f t="shared" si="31"/>
        <v/>
      </c>
      <c r="R659" s="615" t="str">
        <f t="shared" si="32"/>
        <v/>
      </c>
    </row>
    <row r="660" spans="13:18" x14ac:dyDescent="0.2">
      <c r="M660" s="616" t="str">
        <f t="shared" si="29"/>
        <v/>
      </c>
      <c r="N660" s="614" t="str">
        <f t="shared" si="30"/>
        <v/>
      </c>
      <c r="Q660" s="616" t="str">
        <f t="shared" si="31"/>
        <v/>
      </c>
      <c r="R660" s="615" t="str">
        <f t="shared" si="32"/>
        <v/>
      </c>
    </row>
    <row r="661" spans="13:18" x14ac:dyDescent="0.2">
      <c r="M661" s="616" t="str">
        <f t="shared" si="29"/>
        <v/>
      </c>
      <c r="N661" s="614" t="str">
        <f t="shared" si="30"/>
        <v/>
      </c>
      <c r="Q661" s="616" t="str">
        <f t="shared" si="31"/>
        <v/>
      </c>
      <c r="R661" s="615" t="str">
        <f t="shared" si="32"/>
        <v/>
      </c>
    </row>
    <row r="662" spans="13:18" x14ac:dyDescent="0.2">
      <c r="M662" s="616" t="str">
        <f t="shared" si="29"/>
        <v/>
      </c>
      <c r="N662" s="614" t="str">
        <f t="shared" si="30"/>
        <v/>
      </c>
      <c r="Q662" s="616" t="str">
        <f t="shared" si="31"/>
        <v/>
      </c>
      <c r="R662" s="615" t="str">
        <f t="shared" si="32"/>
        <v/>
      </c>
    </row>
    <row r="663" spans="13:18" x14ac:dyDescent="0.2">
      <c r="M663" s="616" t="str">
        <f t="shared" si="29"/>
        <v/>
      </c>
      <c r="N663" s="614" t="str">
        <f t="shared" si="30"/>
        <v/>
      </c>
      <c r="Q663" s="616" t="str">
        <f t="shared" si="31"/>
        <v/>
      </c>
      <c r="R663" s="615" t="str">
        <f t="shared" si="32"/>
        <v/>
      </c>
    </row>
    <row r="664" spans="13:18" x14ac:dyDescent="0.2">
      <c r="M664" s="616" t="str">
        <f t="shared" si="29"/>
        <v/>
      </c>
      <c r="N664" s="614" t="str">
        <f t="shared" si="30"/>
        <v/>
      </c>
      <c r="Q664" s="616" t="str">
        <f t="shared" si="31"/>
        <v/>
      </c>
      <c r="R664" s="615" t="str">
        <f t="shared" si="32"/>
        <v/>
      </c>
    </row>
    <row r="665" spans="13:18" x14ac:dyDescent="0.2">
      <c r="M665" s="616" t="str">
        <f t="shared" si="29"/>
        <v/>
      </c>
      <c r="N665" s="614" t="str">
        <f t="shared" si="30"/>
        <v/>
      </c>
      <c r="Q665" s="616" t="str">
        <f t="shared" si="31"/>
        <v/>
      </c>
      <c r="R665" s="615" t="str">
        <f t="shared" si="32"/>
        <v/>
      </c>
    </row>
    <row r="666" spans="13:18" x14ac:dyDescent="0.2">
      <c r="M666" s="616" t="str">
        <f t="shared" si="29"/>
        <v/>
      </c>
      <c r="N666" s="614" t="str">
        <f t="shared" si="30"/>
        <v/>
      </c>
      <c r="Q666" s="616" t="str">
        <f t="shared" si="31"/>
        <v/>
      </c>
      <c r="R666" s="615" t="str">
        <f t="shared" si="32"/>
        <v/>
      </c>
    </row>
    <row r="667" spans="13:18" x14ac:dyDescent="0.2">
      <c r="M667" s="616" t="str">
        <f t="shared" si="29"/>
        <v/>
      </c>
      <c r="N667" s="614" t="str">
        <f t="shared" si="30"/>
        <v/>
      </c>
      <c r="Q667" s="616" t="str">
        <f t="shared" si="31"/>
        <v/>
      </c>
      <c r="R667" s="615" t="str">
        <f t="shared" si="32"/>
        <v/>
      </c>
    </row>
    <row r="668" spans="13:18" x14ac:dyDescent="0.2">
      <c r="M668" s="616" t="str">
        <f t="shared" si="29"/>
        <v/>
      </c>
      <c r="N668" s="614" t="str">
        <f t="shared" si="30"/>
        <v/>
      </c>
      <c r="Q668" s="616" t="str">
        <f t="shared" si="31"/>
        <v/>
      </c>
      <c r="R668" s="615" t="str">
        <f t="shared" si="32"/>
        <v/>
      </c>
    </row>
    <row r="669" spans="13:18" x14ac:dyDescent="0.2">
      <c r="M669" s="616" t="str">
        <f t="shared" si="29"/>
        <v/>
      </c>
      <c r="N669" s="614" t="str">
        <f t="shared" si="30"/>
        <v/>
      </c>
      <c r="Q669" s="616" t="str">
        <f t="shared" si="31"/>
        <v/>
      </c>
      <c r="R669" s="615" t="str">
        <f t="shared" si="32"/>
        <v/>
      </c>
    </row>
    <row r="670" spans="13:18" x14ac:dyDescent="0.2">
      <c r="M670" s="616" t="str">
        <f t="shared" si="29"/>
        <v/>
      </c>
      <c r="N670" s="614" t="str">
        <f t="shared" si="30"/>
        <v/>
      </c>
      <c r="Q670" s="616" t="str">
        <f t="shared" si="31"/>
        <v/>
      </c>
      <c r="R670" s="615" t="str">
        <f t="shared" si="32"/>
        <v/>
      </c>
    </row>
    <row r="671" spans="13:18" x14ac:dyDescent="0.2">
      <c r="M671" s="616" t="str">
        <f t="shared" si="29"/>
        <v/>
      </c>
      <c r="N671" s="614" t="str">
        <f t="shared" si="30"/>
        <v/>
      </c>
      <c r="Q671" s="616" t="str">
        <f t="shared" si="31"/>
        <v/>
      </c>
      <c r="R671" s="615" t="str">
        <f t="shared" si="32"/>
        <v/>
      </c>
    </row>
    <row r="672" spans="13:18" x14ac:dyDescent="0.2">
      <c r="M672" s="616" t="str">
        <f t="shared" si="29"/>
        <v/>
      </c>
      <c r="N672" s="614" t="str">
        <f t="shared" si="30"/>
        <v/>
      </c>
      <c r="Q672" s="616" t="str">
        <f t="shared" si="31"/>
        <v/>
      </c>
      <c r="R672" s="615" t="str">
        <f t="shared" si="32"/>
        <v/>
      </c>
    </row>
    <row r="673" spans="13:18" x14ac:dyDescent="0.2">
      <c r="M673" s="616" t="str">
        <f t="shared" si="29"/>
        <v/>
      </c>
      <c r="N673" s="614" t="str">
        <f t="shared" si="30"/>
        <v/>
      </c>
      <c r="Q673" s="616" t="str">
        <f t="shared" si="31"/>
        <v/>
      </c>
      <c r="R673" s="615" t="str">
        <f t="shared" si="32"/>
        <v/>
      </c>
    </row>
    <row r="674" spans="13:18" x14ac:dyDescent="0.2">
      <c r="M674" s="616" t="str">
        <f t="shared" si="29"/>
        <v/>
      </c>
      <c r="N674" s="614" t="str">
        <f t="shared" si="30"/>
        <v/>
      </c>
      <c r="Q674" s="616" t="str">
        <f t="shared" si="31"/>
        <v/>
      </c>
      <c r="R674" s="615" t="str">
        <f t="shared" si="32"/>
        <v/>
      </c>
    </row>
    <row r="675" spans="13:18" x14ac:dyDescent="0.2">
      <c r="M675" s="616" t="str">
        <f t="shared" si="29"/>
        <v/>
      </c>
      <c r="N675" s="614" t="str">
        <f t="shared" si="30"/>
        <v/>
      </c>
      <c r="Q675" s="616" t="str">
        <f t="shared" si="31"/>
        <v/>
      </c>
      <c r="R675" s="615" t="str">
        <f t="shared" si="32"/>
        <v/>
      </c>
    </row>
    <row r="676" spans="13:18" x14ac:dyDescent="0.2">
      <c r="M676" s="616" t="str">
        <f t="shared" si="29"/>
        <v/>
      </c>
      <c r="N676" s="614" t="str">
        <f t="shared" si="30"/>
        <v/>
      </c>
      <c r="Q676" s="616" t="str">
        <f t="shared" si="31"/>
        <v/>
      </c>
      <c r="R676" s="615" t="str">
        <f t="shared" si="32"/>
        <v/>
      </c>
    </row>
    <row r="677" spans="13:18" x14ac:dyDescent="0.2">
      <c r="M677" s="616" t="str">
        <f t="shared" si="29"/>
        <v/>
      </c>
      <c r="N677" s="614" t="str">
        <f t="shared" si="30"/>
        <v/>
      </c>
      <c r="Q677" s="616" t="str">
        <f t="shared" si="31"/>
        <v/>
      </c>
      <c r="R677" s="615" t="str">
        <f t="shared" si="32"/>
        <v/>
      </c>
    </row>
    <row r="678" spans="13:18" x14ac:dyDescent="0.2">
      <c r="M678" s="616" t="str">
        <f t="shared" si="29"/>
        <v/>
      </c>
      <c r="N678" s="614" t="str">
        <f t="shared" si="30"/>
        <v/>
      </c>
      <c r="Q678" s="616" t="str">
        <f t="shared" si="31"/>
        <v/>
      </c>
      <c r="R678" s="615" t="str">
        <f t="shared" si="32"/>
        <v/>
      </c>
    </row>
    <row r="679" spans="13:18" x14ac:dyDescent="0.2">
      <c r="M679" s="616" t="str">
        <f t="shared" si="29"/>
        <v/>
      </c>
      <c r="N679" s="614" t="str">
        <f t="shared" si="30"/>
        <v/>
      </c>
      <c r="Q679" s="616" t="str">
        <f t="shared" si="31"/>
        <v/>
      </c>
      <c r="R679" s="615" t="str">
        <f t="shared" si="32"/>
        <v/>
      </c>
    </row>
    <row r="680" spans="13:18" x14ac:dyDescent="0.2">
      <c r="M680" s="616" t="str">
        <f t="shared" si="29"/>
        <v/>
      </c>
      <c r="N680" s="614" t="str">
        <f t="shared" si="30"/>
        <v/>
      </c>
      <c r="Q680" s="616" t="str">
        <f t="shared" si="31"/>
        <v/>
      </c>
      <c r="R680" s="615" t="str">
        <f t="shared" si="32"/>
        <v/>
      </c>
    </row>
    <row r="681" spans="13:18" x14ac:dyDescent="0.2">
      <c r="M681" s="616" t="str">
        <f t="shared" si="29"/>
        <v/>
      </c>
      <c r="N681" s="614" t="str">
        <f t="shared" si="30"/>
        <v/>
      </c>
      <c r="Q681" s="616" t="str">
        <f t="shared" si="31"/>
        <v/>
      </c>
      <c r="R681" s="615" t="str">
        <f t="shared" si="32"/>
        <v/>
      </c>
    </row>
    <row r="682" spans="13:18" x14ac:dyDescent="0.2">
      <c r="M682" s="616" t="str">
        <f t="shared" si="29"/>
        <v/>
      </c>
      <c r="N682" s="614" t="str">
        <f t="shared" si="30"/>
        <v/>
      </c>
      <c r="Q682" s="616" t="str">
        <f t="shared" si="31"/>
        <v/>
      </c>
      <c r="R682" s="615" t="str">
        <f t="shared" si="32"/>
        <v/>
      </c>
    </row>
    <row r="683" spans="13:18" x14ac:dyDescent="0.2">
      <c r="M683" s="616" t="str">
        <f t="shared" si="29"/>
        <v/>
      </c>
      <c r="N683" s="614" t="str">
        <f t="shared" si="30"/>
        <v/>
      </c>
      <c r="Q683" s="616" t="str">
        <f t="shared" si="31"/>
        <v/>
      </c>
      <c r="R683" s="615" t="str">
        <f t="shared" si="32"/>
        <v/>
      </c>
    </row>
    <row r="684" spans="13:18" x14ac:dyDescent="0.2">
      <c r="M684" s="616" t="str">
        <f t="shared" si="29"/>
        <v/>
      </c>
      <c r="N684" s="614" t="str">
        <f t="shared" si="30"/>
        <v/>
      </c>
      <c r="Q684" s="616" t="str">
        <f t="shared" si="31"/>
        <v/>
      </c>
      <c r="R684" s="615" t="str">
        <f t="shared" si="32"/>
        <v/>
      </c>
    </row>
    <row r="685" spans="13:18" x14ac:dyDescent="0.2">
      <c r="M685" s="616" t="str">
        <f t="shared" si="29"/>
        <v/>
      </c>
      <c r="N685" s="614" t="str">
        <f t="shared" si="30"/>
        <v/>
      </c>
      <c r="Q685" s="616" t="str">
        <f t="shared" si="31"/>
        <v/>
      </c>
      <c r="R685" s="615" t="str">
        <f t="shared" si="32"/>
        <v/>
      </c>
    </row>
    <row r="686" spans="13:18" x14ac:dyDescent="0.2">
      <c r="M686" s="616" t="str">
        <f t="shared" si="29"/>
        <v/>
      </c>
      <c r="N686" s="614" t="str">
        <f t="shared" si="30"/>
        <v/>
      </c>
      <c r="Q686" s="616" t="str">
        <f t="shared" si="31"/>
        <v/>
      </c>
      <c r="R686" s="615" t="str">
        <f t="shared" si="32"/>
        <v/>
      </c>
    </row>
    <row r="687" spans="13:18" x14ac:dyDescent="0.2">
      <c r="M687" s="616" t="str">
        <f t="shared" si="29"/>
        <v/>
      </c>
      <c r="N687" s="614" t="str">
        <f t="shared" si="30"/>
        <v/>
      </c>
      <c r="Q687" s="616" t="str">
        <f t="shared" si="31"/>
        <v/>
      </c>
      <c r="R687" s="615" t="str">
        <f t="shared" si="32"/>
        <v/>
      </c>
    </row>
    <row r="688" spans="13:18" x14ac:dyDescent="0.2">
      <c r="M688" s="616" t="str">
        <f t="shared" si="29"/>
        <v/>
      </c>
      <c r="N688" s="614" t="str">
        <f t="shared" si="30"/>
        <v/>
      </c>
      <c r="Q688" s="616" t="str">
        <f t="shared" si="31"/>
        <v/>
      </c>
      <c r="R688" s="615" t="str">
        <f t="shared" si="32"/>
        <v/>
      </c>
    </row>
    <row r="689" spans="13:18" x14ac:dyDescent="0.2">
      <c r="M689" s="616" t="str">
        <f t="shared" si="29"/>
        <v/>
      </c>
      <c r="N689" s="614" t="str">
        <f t="shared" si="30"/>
        <v/>
      </c>
      <c r="Q689" s="616" t="str">
        <f t="shared" si="31"/>
        <v/>
      </c>
      <c r="R689" s="615" t="str">
        <f t="shared" si="32"/>
        <v/>
      </c>
    </row>
    <row r="690" spans="13:18" x14ac:dyDescent="0.2">
      <c r="M690" s="616" t="str">
        <f t="shared" si="29"/>
        <v/>
      </c>
      <c r="N690" s="614" t="str">
        <f t="shared" si="30"/>
        <v/>
      </c>
      <c r="Q690" s="616" t="str">
        <f t="shared" si="31"/>
        <v/>
      </c>
      <c r="R690" s="615" t="str">
        <f t="shared" si="32"/>
        <v/>
      </c>
    </row>
    <row r="691" spans="13:18" x14ac:dyDescent="0.2">
      <c r="M691" s="616" t="str">
        <f t="shared" si="29"/>
        <v/>
      </c>
      <c r="N691" s="614" t="str">
        <f t="shared" si="30"/>
        <v/>
      </c>
      <c r="Q691" s="616" t="str">
        <f t="shared" si="31"/>
        <v/>
      </c>
      <c r="R691" s="615" t="str">
        <f t="shared" si="32"/>
        <v/>
      </c>
    </row>
    <row r="692" spans="13:18" x14ac:dyDescent="0.2">
      <c r="M692" s="616" t="str">
        <f t="shared" si="29"/>
        <v/>
      </c>
      <c r="N692" s="614" t="str">
        <f t="shared" si="30"/>
        <v/>
      </c>
      <c r="Q692" s="616" t="str">
        <f t="shared" si="31"/>
        <v/>
      </c>
      <c r="R692" s="615" t="str">
        <f t="shared" si="32"/>
        <v/>
      </c>
    </row>
    <row r="693" spans="13:18" x14ac:dyDescent="0.2">
      <c r="M693" s="616" t="str">
        <f t="shared" si="29"/>
        <v/>
      </c>
      <c r="N693" s="614" t="str">
        <f t="shared" si="30"/>
        <v/>
      </c>
      <c r="Q693" s="616" t="str">
        <f t="shared" si="31"/>
        <v/>
      </c>
      <c r="R693" s="615" t="str">
        <f t="shared" si="32"/>
        <v/>
      </c>
    </row>
    <row r="694" spans="13:18" x14ac:dyDescent="0.2">
      <c r="M694" s="616" t="str">
        <f t="shared" si="29"/>
        <v/>
      </c>
      <c r="N694" s="614" t="str">
        <f t="shared" si="30"/>
        <v/>
      </c>
      <c r="Q694" s="616" t="str">
        <f t="shared" si="31"/>
        <v/>
      </c>
      <c r="R694" s="615" t="str">
        <f t="shared" si="32"/>
        <v/>
      </c>
    </row>
    <row r="695" spans="13:18" x14ac:dyDescent="0.2">
      <c r="M695" s="616" t="str">
        <f t="shared" si="29"/>
        <v/>
      </c>
      <c r="N695" s="614" t="str">
        <f t="shared" si="30"/>
        <v/>
      </c>
      <c r="Q695" s="616" t="str">
        <f t="shared" si="31"/>
        <v/>
      </c>
      <c r="R695" s="615" t="str">
        <f t="shared" si="32"/>
        <v/>
      </c>
    </row>
    <row r="696" spans="13:18" x14ac:dyDescent="0.2">
      <c r="M696" s="616" t="str">
        <f t="shared" si="29"/>
        <v/>
      </c>
      <c r="N696" s="614" t="str">
        <f t="shared" si="30"/>
        <v/>
      </c>
      <c r="Q696" s="616" t="str">
        <f t="shared" si="31"/>
        <v/>
      </c>
      <c r="R696" s="615" t="str">
        <f t="shared" si="32"/>
        <v/>
      </c>
    </row>
    <row r="697" spans="13:18" x14ac:dyDescent="0.2">
      <c r="M697" s="616" t="str">
        <f t="shared" si="29"/>
        <v/>
      </c>
      <c r="N697" s="614" t="str">
        <f t="shared" si="30"/>
        <v/>
      </c>
      <c r="Q697" s="616" t="str">
        <f t="shared" si="31"/>
        <v/>
      </c>
      <c r="R697" s="615" t="str">
        <f t="shared" si="32"/>
        <v/>
      </c>
    </row>
    <row r="698" spans="13:18" x14ac:dyDescent="0.2">
      <c r="M698" s="616" t="str">
        <f t="shared" si="29"/>
        <v/>
      </c>
      <c r="N698" s="614" t="str">
        <f t="shared" si="30"/>
        <v/>
      </c>
      <c r="Q698" s="616" t="str">
        <f t="shared" si="31"/>
        <v/>
      </c>
      <c r="R698" s="615" t="str">
        <f t="shared" si="32"/>
        <v/>
      </c>
    </row>
    <row r="699" spans="13:18" x14ac:dyDescent="0.2">
      <c r="M699" s="616" t="str">
        <f t="shared" si="29"/>
        <v/>
      </c>
      <c r="N699" s="614" t="str">
        <f t="shared" si="30"/>
        <v/>
      </c>
      <c r="Q699" s="616" t="str">
        <f t="shared" si="31"/>
        <v/>
      </c>
      <c r="R699" s="615" t="str">
        <f t="shared" si="32"/>
        <v/>
      </c>
    </row>
    <row r="700" spans="13:18" x14ac:dyDescent="0.2">
      <c r="M700" s="616" t="str">
        <f t="shared" si="29"/>
        <v/>
      </c>
      <c r="N700" s="614" t="str">
        <f t="shared" si="30"/>
        <v/>
      </c>
      <c r="Q700" s="616" t="str">
        <f t="shared" si="31"/>
        <v/>
      </c>
      <c r="R700" s="615" t="str">
        <f t="shared" si="32"/>
        <v/>
      </c>
    </row>
  </sheetData>
  <mergeCells count="3">
    <mergeCell ref="M1:N1"/>
    <mergeCell ref="O1:P1"/>
    <mergeCell ref="Q1:R1"/>
  </mergeCells>
  <pageMargins left="0.78740157499999996" right="0.78740157499999996" top="0.984251969" bottom="0.984251969" header="0.49212598499999999" footer="0.49212598499999999"/>
  <pageSetup orientation="portrait" horizont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AA191"/>
  <sheetViews>
    <sheetView workbookViewId="0">
      <selection activeCell="D10" sqref="D10"/>
    </sheetView>
  </sheetViews>
  <sheetFormatPr defaultRowHeight="12.75" x14ac:dyDescent="0.2"/>
  <cols>
    <col min="1" max="1" width="22.28515625" customWidth="1"/>
    <col min="2" max="2" width="17.85546875" customWidth="1"/>
    <col min="3" max="3" width="23.140625" customWidth="1"/>
    <col min="4" max="4" width="10.5703125" customWidth="1"/>
    <col min="5" max="5" width="9.42578125" customWidth="1"/>
    <col min="6" max="6" width="12.7109375" customWidth="1"/>
    <col min="7" max="7" width="10.42578125" bestFit="1" customWidth="1"/>
    <col min="8" max="8" width="16" customWidth="1"/>
    <col min="9" max="9" width="11.5703125" customWidth="1"/>
    <col min="10" max="10" width="12.140625" customWidth="1"/>
    <col min="11" max="11" width="12.7109375" customWidth="1"/>
    <col min="12" max="12" width="6.5703125" customWidth="1"/>
    <col min="13" max="13" width="16" customWidth="1"/>
    <col min="14" max="14" width="11.5703125" customWidth="1"/>
    <col min="15" max="15" width="12.140625" customWidth="1"/>
    <col min="16" max="16" width="12.7109375" customWidth="1"/>
    <col min="17" max="18" width="9.42578125" customWidth="1"/>
    <col min="19" max="19" width="10.140625" bestFit="1" customWidth="1"/>
    <col min="20" max="20" width="14.42578125" bestFit="1" customWidth="1"/>
    <col min="21" max="21" width="9.42578125" customWidth="1"/>
    <col min="22" max="22" width="10.140625" bestFit="1" customWidth="1"/>
    <col min="23" max="23" width="8.28515625" customWidth="1"/>
    <col min="24" max="24" width="12" bestFit="1" customWidth="1"/>
  </cols>
  <sheetData>
    <row r="1" spans="1:11" x14ac:dyDescent="0.2">
      <c r="A1" t="s">
        <v>175</v>
      </c>
      <c r="K1" s="164">
        <v>42999</v>
      </c>
    </row>
    <row r="2" spans="1:11" x14ac:dyDescent="0.2">
      <c r="C2" s="157"/>
      <c r="D2" s="157"/>
      <c r="F2" s="157"/>
      <c r="G2" s="157"/>
      <c r="H2" s="157"/>
      <c r="I2" s="157"/>
      <c r="J2" s="157"/>
      <c r="K2" s="157"/>
    </row>
    <row r="3" spans="1:11" x14ac:dyDescent="0.2">
      <c r="A3" t="s">
        <v>176</v>
      </c>
      <c r="C3" s="157" t="s">
        <v>177</v>
      </c>
      <c r="D3" s="157"/>
      <c r="F3" s="157"/>
      <c r="G3" s="157"/>
      <c r="H3" s="157"/>
      <c r="I3" s="157"/>
      <c r="J3" s="157"/>
      <c r="K3" s="157"/>
    </row>
    <row r="4" spans="1:11" x14ac:dyDescent="0.2">
      <c r="A4" t="s">
        <v>178</v>
      </c>
      <c r="B4" t="s">
        <v>179</v>
      </c>
      <c r="C4" s="157" t="s">
        <v>180</v>
      </c>
      <c r="D4" s="157" t="s">
        <v>414</v>
      </c>
      <c r="E4" t="s">
        <v>415</v>
      </c>
      <c r="F4" s="157" t="s">
        <v>181</v>
      </c>
      <c r="G4" s="157" t="s">
        <v>109</v>
      </c>
      <c r="H4" s="157" t="s">
        <v>182</v>
      </c>
      <c r="I4" s="157"/>
      <c r="J4" s="157"/>
      <c r="K4" s="157"/>
    </row>
    <row r="5" spans="1:11" x14ac:dyDescent="0.2">
      <c r="C5" s="157"/>
      <c r="D5" s="157"/>
      <c r="F5" s="157"/>
      <c r="G5" s="157"/>
      <c r="H5" s="157" t="s">
        <v>183</v>
      </c>
      <c r="I5" s="157" t="s">
        <v>184</v>
      </c>
      <c r="J5" s="157" t="s">
        <v>185</v>
      </c>
      <c r="K5" s="157" t="s">
        <v>186</v>
      </c>
    </row>
    <row r="6" spans="1:11" x14ac:dyDescent="0.2">
      <c r="A6" s="650">
        <v>950199</v>
      </c>
      <c r="B6" s="651">
        <v>40914</v>
      </c>
      <c r="C6" s="651">
        <v>43101</v>
      </c>
      <c r="D6" s="652">
        <v>7.4870000000000001</v>
      </c>
      <c r="E6" s="652">
        <v>7.4560000000000004</v>
      </c>
      <c r="F6" s="652">
        <v>7.47</v>
      </c>
      <c r="G6" s="653">
        <v>1028.617129</v>
      </c>
      <c r="H6" s="652">
        <v>7.1954000000000002</v>
      </c>
      <c r="I6" s="652">
        <v>7.6950000000000003</v>
      </c>
      <c r="J6" s="652">
        <v>7.1828000000000003</v>
      </c>
      <c r="K6" s="652">
        <v>7.6802000000000001</v>
      </c>
    </row>
    <row r="7" spans="1:11" x14ac:dyDescent="0.2">
      <c r="A7" s="650">
        <v>950199</v>
      </c>
      <c r="B7" s="651">
        <v>41278</v>
      </c>
      <c r="C7" s="651">
        <v>43466</v>
      </c>
      <c r="D7" s="652">
        <v>7.2481999999999998</v>
      </c>
      <c r="E7" s="652">
        <v>7.2232000000000003</v>
      </c>
      <c r="F7" s="652">
        <v>7.2313999999999998</v>
      </c>
      <c r="G7" s="653">
        <v>1054.535615</v>
      </c>
      <c r="H7" s="652">
        <v>6.9318</v>
      </c>
      <c r="I7" s="652">
        <v>7.6574999999999998</v>
      </c>
      <c r="J7" s="652">
        <v>6.8609999999999998</v>
      </c>
      <c r="K7" s="652">
        <v>7.5861000000000001</v>
      </c>
    </row>
    <row r="8" spans="1:11" x14ac:dyDescent="0.2">
      <c r="A8" s="650">
        <v>950199</v>
      </c>
      <c r="B8" s="651">
        <v>40214</v>
      </c>
      <c r="C8" s="651">
        <v>44197</v>
      </c>
      <c r="D8" s="652">
        <v>8.5876999999999999</v>
      </c>
      <c r="E8" s="652">
        <v>8.5748999999999995</v>
      </c>
      <c r="F8" s="652">
        <v>8.5815000000000001</v>
      </c>
      <c r="G8" s="653">
        <v>1061.035752</v>
      </c>
      <c r="H8" s="652">
        <v>8.2977000000000007</v>
      </c>
      <c r="I8" s="652">
        <v>9.2552000000000003</v>
      </c>
      <c r="J8" s="652">
        <v>8.1992999999999991</v>
      </c>
      <c r="K8" s="652">
        <v>9.1565999999999992</v>
      </c>
    </row>
    <row r="9" spans="1:11" x14ac:dyDescent="0.2">
      <c r="A9" s="650">
        <v>950199</v>
      </c>
      <c r="B9" s="651">
        <v>40977</v>
      </c>
      <c r="C9" s="651">
        <v>44927</v>
      </c>
      <c r="D9" s="652">
        <v>9.1574000000000009</v>
      </c>
      <c r="E9" s="652">
        <v>9.1450999999999993</v>
      </c>
      <c r="F9" s="652">
        <v>9.1509</v>
      </c>
      <c r="G9" s="653">
        <v>1056.9982279999999</v>
      </c>
      <c r="H9" s="652">
        <v>8.8237000000000005</v>
      </c>
      <c r="I9" s="652">
        <v>9.8627000000000002</v>
      </c>
      <c r="J9" s="652">
        <v>8.7235999999999994</v>
      </c>
      <c r="K9" s="652">
        <v>9.7627000000000006</v>
      </c>
    </row>
    <row r="10" spans="1:11" x14ac:dyDescent="0.2">
      <c r="A10" s="650">
        <v>950199</v>
      </c>
      <c r="B10" s="651">
        <v>41649</v>
      </c>
      <c r="C10" s="651">
        <v>45658</v>
      </c>
      <c r="D10" s="652">
        <v>9.4055999999999997</v>
      </c>
      <c r="E10" s="652">
        <v>9.3897999999999993</v>
      </c>
      <c r="F10" s="652">
        <v>9.3969000000000005</v>
      </c>
      <c r="G10" s="653">
        <v>1053.8723620000001</v>
      </c>
      <c r="H10" s="652">
        <v>9.0771999999999995</v>
      </c>
      <c r="I10" s="652">
        <v>10.1021</v>
      </c>
      <c r="J10" s="652">
        <v>8.9829000000000008</v>
      </c>
      <c r="K10" s="652">
        <v>10.0078</v>
      </c>
    </row>
    <row r="11" spans="1:11" x14ac:dyDescent="0.2">
      <c r="A11" s="657">
        <v>950199</v>
      </c>
      <c r="B11" s="658">
        <v>42384</v>
      </c>
      <c r="C11" s="659">
        <v>46388</v>
      </c>
      <c r="D11" s="659">
        <v>9.6303000000000001</v>
      </c>
      <c r="E11" s="660">
        <v>9.6198999999999995</v>
      </c>
      <c r="F11" s="659">
        <v>9.625</v>
      </c>
      <c r="G11" s="659">
        <v>1045.8658789999999</v>
      </c>
      <c r="H11" s="659">
        <v>9.3020999999999994</v>
      </c>
      <c r="I11" s="659">
        <v>10.2996</v>
      </c>
      <c r="J11" s="659">
        <v>9.2321000000000009</v>
      </c>
      <c r="K11" s="659">
        <v>10.2295</v>
      </c>
    </row>
    <row r="12" spans="1:11" x14ac:dyDescent="0.2">
      <c r="C12" s="159"/>
    </row>
    <row r="13" spans="1:11" x14ac:dyDescent="0.2">
      <c r="C13" s="159"/>
    </row>
    <row r="59" spans="27:27" x14ac:dyDescent="0.2">
      <c r="AA59" t="s">
        <v>108</v>
      </c>
    </row>
    <row r="187" spans="19:21" x14ac:dyDescent="0.2">
      <c r="S187" s="157"/>
    </row>
    <row r="191" spans="19:21" x14ac:dyDescent="0.2">
      <c r="U191" s="157"/>
    </row>
  </sheetData>
  <phoneticPr fontId="25" type="noConversion"/>
  <pageMargins left="0.78740157499999996" right="0.78740157499999996" top="0.984251969" bottom="0.984251969" header="0.49212598499999999" footer="0.49212598499999999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AA191"/>
  <sheetViews>
    <sheetView workbookViewId="0">
      <selection activeCell="E11" sqref="E11"/>
    </sheetView>
  </sheetViews>
  <sheetFormatPr defaultRowHeight="12.75" x14ac:dyDescent="0.2"/>
  <cols>
    <col min="1" max="1" width="22.28515625" customWidth="1"/>
    <col min="2" max="2" width="17.85546875" customWidth="1"/>
    <col min="3" max="3" width="23.28515625" customWidth="1"/>
    <col min="4" max="4" width="10.5703125" customWidth="1"/>
    <col min="5" max="5" width="9.42578125" customWidth="1"/>
    <col min="6" max="6" width="12.7109375" customWidth="1"/>
    <col min="7" max="7" width="10.42578125" bestFit="1" customWidth="1"/>
    <col min="8" max="8" width="16" customWidth="1"/>
    <col min="9" max="9" width="11.5703125" customWidth="1"/>
    <col min="10" max="10" width="12.140625" customWidth="1"/>
    <col min="11" max="11" width="12.7109375" customWidth="1"/>
    <col min="12" max="12" width="6.5703125" customWidth="1"/>
    <col min="13" max="13" width="16" customWidth="1"/>
    <col min="14" max="14" width="11.5703125" customWidth="1"/>
    <col min="15" max="15" width="12.140625" customWidth="1"/>
    <col min="16" max="16" width="12.7109375" customWidth="1"/>
    <col min="17" max="18" width="9.42578125" customWidth="1"/>
    <col min="19" max="19" width="10.140625" bestFit="1" customWidth="1"/>
    <col min="20" max="20" width="14.42578125" bestFit="1" customWidth="1"/>
    <col min="21" max="21" width="9.42578125" customWidth="1"/>
    <col min="22" max="22" width="10.140625" bestFit="1" customWidth="1"/>
    <col min="23" max="23" width="8.28515625" customWidth="1"/>
    <col min="24" max="24" width="12" bestFit="1" customWidth="1"/>
  </cols>
  <sheetData>
    <row r="1" spans="1:11" x14ac:dyDescent="0.2">
      <c r="A1" t="s">
        <v>175</v>
      </c>
      <c r="B1" s="152"/>
      <c r="C1" s="219"/>
      <c r="D1" s="296"/>
      <c r="K1" s="164">
        <v>42999</v>
      </c>
    </row>
    <row r="2" spans="1:11" x14ac:dyDescent="0.2">
      <c r="C2" s="157"/>
      <c r="D2" s="157"/>
      <c r="F2" s="157"/>
      <c r="G2" s="157"/>
      <c r="H2" s="157"/>
      <c r="I2" s="157"/>
      <c r="J2" s="157"/>
      <c r="K2" s="157"/>
    </row>
    <row r="3" spans="1:11" x14ac:dyDescent="0.2">
      <c r="A3" t="s">
        <v>363</v>
      </c>
      <c r="C3" s="157" t="s">
        <v>364</v>
      </c>
      <c r="D3" s="157"/>
      <c r="F3" s="157"/>
      <c r="G3" s="157"/>
      <c r="H3" s="157"/>
      <c r="I3" s="157"/>
      <c r="J3" s="157"/>
      <c r="K3" s="157"/>
    </row>
    <row r="4" spans="1:11" x14ac:dyDescent="0.2">
      <c r="A4" t="s">
        <v>178</v>
      </c>
      <c r="B4" t="s">
        <v>179</v>
      </c>
      <c r="C4" s="157" t="s">
        <v>180</v>
      </c>
      <c r="D4" s="157" t="s">
        <v>414</v>
      </c>
      <c r="E4" t="s">
        <v>415</v>
      </c>
      <c r="F4" s="157" t="s">
        <v>181</v>
      </c>
      <c r="G4" s="157" t="s">
        <v>109</v>
      </c>
      <c r="H4" s="157" t="s">
        <v>182</v>
      </c>
      <c r="I4" s="157"/>
      <c r="J4" s="157"/>
      <c r="K4" s="157"/>
    </row>
    <row r="5" spans="1:11" x14ac:dyDescent="0.2">
      <c r="C5" s="159"/>
      <c r="D5" s="157"/>
      <c r="F5" s="157"/>
      <c r="G5" s="157"/>
      <c r="H5" s="157" t="s">
        <v>183</v>
      </c>
      <c r="I5" s="157" t="s">
        <v>184</v>
      </c>
      <c r="J5" s="157" t="s">
        <v>185</v>
      </c>
      <c r="K5" s="157" t="s">
        <v>186</v>
      </c>
    </row>
    <row r="6" spans="1:11" x14ac:dyDescent="0.2">
      <c r="A6" s="646">
        <v>760199</v>
      </c>
      <c r="B6" s="647">
        <v>36722</v>
      </c>
      <c r="C6" s="647">
        <v>43327</v>
      </c>
      <c r="D6" s="648">
        <v>3.3814000000000002</v>
      </c>
      <c r="E6" s="648">
        <v>3.3616999999999999</v>
      </c>
      <c r="F6" s="648">
        <v>3.37</v>
      </c>
      <c r="G6" s="649">
        <v>3093.9226789999998</v>
      </c>
      <c r="H6" s="648">
        <v>3.0390999999999999</v>
      </c>
      <c r="I6" s="648">
        <v>3.8332999999999999</v>
      </c>
      <c r="J6" s="648">
        <v>3.0347</v>
      </c>
      <c r="K6" s="648">
        <v>3.8317999999999999</v>
      </c>
    </row>
    <row r="7" spans="1:11" x14ac:dyDescent="0.2">
      <c r="A7" s="646">
        <v>760199</v>
      </c>
      <c r="B7" s="647">
        <v>36722</v>
      </c>
      <c r="C7" s="647">
        <v>43600</v>
      </c>
      <c r="D7" s="648">
        <v>3.3001</v>
      </c>
      <c r="E7" s="648">
        <v>3.28</v>
      </c>
      <c r="F7" s="648">
        <v>3.29</v>
      </c>
      <c r="G7" s="649">
        <v>3198.8479990000001</v>
      </c>
      <c r="H7" s="648">
        <v>3.0221</v>
      </c>
      <c r="I7" s="648">
        <v>3.7357999999999998</v>
      </c>
      <c r="J7" s="648">
        <v>2.9702000000000002</v>
      </c>
      <c r="K7" s="648">
        <v>3.6840999999999999</v>
      </c>
    </row>
    <row r="8" spans="1:11" x14ac:dyDescent="0.2">
      <c r="A8" s="646">
        <v>760199</v>
      </c>
      <c r="B8" s="647">
        <v>36722</v>
      </c>
      <c r="C8" s="647">
        <v>44058</v>
      </c>
      <c r="D8" s="648">
        <v>3.9424000000000001</v>
      </c>
      <c r="E8" s="648">
        <v>3.9201000000000001</v>
      </c>
      <c r="F8" s="648">
        <v>3.93</v>
      </c>
      <c r="G8" s="649">
        <v>3191.6970070000002</v>
      </c>
      <c r="H8" s="648">
        <v>3.6591999999999998</v>
      </c>
      <c r="I8" s="648">
        <v>4.3192000000000004</v>
      </c>
      <c r="J8" s="648">
        <v>3.6192000000000002</v>
      </c>
      <c r="K8" s="648">
        <v>4.2792000000000003</v>
      </c>
    </row>
    <row r="9" spans="1:11" x14ac:dyDescent="0.2">
      <c r="A9" s="646">
        <v>760199</v>
      </c>
      <c r="B9" s="647">
        <v>36722</v>
      </c>
      <c r="C9" s="647">
        <v>44331</v>
      </c>
      <c r="D9" s="648">
        <v>4.1725000000000003</v>
      </c>
      <c r="E9" s="648">
        <v>4.1543000000000001</v>
      </c>
      <c r="F9" s="648">
        <v>4.1604000000000001</v>
      </c>
      <c r="G9" s="649">
        <v>3253.653225</v>
      </c>
      <c r="H9" s="648">
        <v>3.9245000000000001</v>
      </c>
      <c r="I9" s="648">
        <v>4.5697999999999999</v>
      </c>
      <c r="J9" s="648">
        <v>3.8683999999999998</v>
      </c>
      <c r="K9" s="648">
        <v>4.5137999999999998</v>
      </c>
    </row>
    <row r="10" spans="1:11" x14ac:dyDescent="0.2">
      <c r="A10" s="646">
        <v>760199</v>
      </c>
      <c r="B10" s="647">
        <v>36722</v>
      </c>
      <c r="C10" s="647">
        <v>44788</v>
      </c>
      <c r="D10" s="648">
        <v>4.49</v>
      </c>
      <c r="E10" s="648">
        <v>4.4737999999999998</v>
      </c>
      <c r="F10" s="648">
        <v>4.4800000000000004</v>
      </c>
      <c r="G10" s="649">
        <v>3222.5262619999999</v>
      </c>
      <c r="H10" s="648">
        <v>4.2636000000000003</v>
      </c>
      <c r="I10" s="648">
        <v>4.8887</v>
      </c>
      <c r="J10" s="648">
        <v>4.2093999999999996</v>
      </c>
      <c r="K10" s="648">
        <v>4.8346</v>
      </c>
    </row>
    <row r="11" spans="1:11" x14ac:dyDescent="0.2">
      <c r="A11" s="646">
        <v>760100</v>
      </c>
      <c r="B11" s="647">
        <v>36722</v>
      </c>
      <c r="C11" s="647">
        <v>45000</v>
      </c>
      <c r="D11" s="648" t="s">
        <v>475</v>
      </c>
      <c r="E11" s="648" t="s">
        <v>475</v>
      </c>
      <c r="F11" s="648">
        <v>4.5861000000000001</v>
      </c>
      <c r="G11" s="649">
        <v>3213.3364259999998</v>
      </c>
      <c r="H11" s="648">
        <v>4.3795999999999999</v>
      </c>
      <c r="I11" s="648">
        <v>4.9984000000000002</v>
      </c>
      <c r="J11" s="648">
        <v>4.3198999999999996</v>
      </c>
      <c r="K11" s="648">
        <v>4.9387999999999996</v>
      </c>
    </row>
    <row r="12" spans="1:11" x14ac:dyDescent="0.2">
      <c r="A12" s="646">
        <v>760199</v>
      </c>
      <c r="B12" s="647">
        <v>36722</v>
      </c>
      <c r="C12" s="647">
        <v>45061</v>
      </c>
      <c r="D12" s="648">
        <v>4.5970000000000004</v>
      </c>
      <c r="E12" s="648">
        <v>4.58</v>
      </c>
      <c r="F12" s="648">
        <v>4.59</v>
      </c>
      <c r="G12" s="649">
        <v>3278.0411749999998</v>
      </c>
      <c r="H12" s="648">
        <v>4.3845000000000001</v>
      </c>
      <c r="I12" s="648">
        <v>5.0019</v>
      </c>
      <c r="J12" s="648">
        <v>4.3244999999999996</v>
      </c>
      <c r="K12" s="648">
        <v>4.9419000000000004</v>
      </c>
    </row>
    <row r="13" spans="1:11" x14ac:dyDescent="0.2">
      <c r="A13" s="646">
        <v>760199</v>
      </c>
      <c r="B13" s="647">
        <v>36722</v>
      </c>
      <c r="C13" s="647">
        <v>45519</v>
      </c>
      <c r="D13" s="648">
        <v>4.6371000000000002</v>
      </c>
      <c r="E13" s="648">
        <v>4.6100000000000003</v>
      </c>
      <c r="F13" s="648">
        <v>4.6265000000000001</v>
      </c>
      <c r="G13" s="649">
        <v>3265.056321</v>
      </c>
      <c r="H13" s="648">
        <v>4.4212999999999996</v>
      </c>
      <c r="I13" s="648">
        <v>5.0293999999999999</v>
      </c>
      <c r="J13" s="648">
        <v>4.3643999999999998</v>
      </c>
      <c r="K13" s="648">
        <v>4.9725999999999999</v>
      </c>
    </row>
    <row r="14" spans="1:11" x14ac:dyDescent="0.2">
      <c r="A14" s="646">
        <v>760199</v>
      </c>
      <c r="B14" s="647">
        <v>36722</v>
      </c>
      <c r="C14" s="647">
        <v>46249</v>
      </c>
      <c r="D14" s="648">
        <v>4.8269000000000002</v>
      </c>
      <c r="E14" s="648">
        <v>4.8136000000000001</v>
      </c>
      <c r="F14" s="648">
        <v>4.82</v>
      </c>
      <c r="G14" s="649">
        <v>3277.2863819999998</v>
      </c>
      <c r="H14" s="648">
        <v>4.6051000000000002</v>
      </c>
      <c r="I14" s="648">
        <v>5.1963999999999997</v>
      </c>
      <c r="J14" s="648">
        <v>4.5650000000000004</v>
      </c>
      <c r="K14" s="648">
        <v>5.1563999999999997</v>
      </c>
    </row>
    <row r="15" spans="1:11" x14ac:dyDescent="0.2">
      <c r="A15" s="646">
        <v>760199</v>
      </c>
      <c r="B15" s="647">
        <v>36722</v>
      </c>
      <c r="C15" s="647">
        <v>47710</v>
      </c>
      <c r="D15" s="648">
        <v>4.9344000000000001</v>
      </c>
      <c r="E15" s="648">
        <v>4.9000000000000004</v>
      </c>
      <c r="F15" s="648">
        <v>4.9128999999999996</v>
      </c>
      <c r="G15" s="649">
        <v>3334.1244379999998</v>
      </c>
      <c r="H15" s="648">
        <v>4.7087000000000003</v>
      </c>
      <c r="I15" s="648">
        <v>5.2737999999999996</v>
      </c>
      <c r="J15" s="648">
        <v>4.6795999999999998</v>
      </c>
      <c r="K15" s="648">
        <v>5.2445000000000004</v>
      </c>
    </row>
    <row r="16" spans="1:11" x14ac:dyDescent="0.2">
      <c r="A16" s="646">
        <v>760199</v>
      </c>
      <c r="B16" s="647">
        <v>36722</v>
      </c>
      <c r="C16" s="647">
        <v>49444</v>
      </c>
      <c r="D16" s="648">
        <v>4.9917999999999996</v>
      </c>
      <c r="E16" s="648">
        <v>4.9550000000000001</v>
      </c>
      <c r="F16" s="648">
        <v>4.9734999999999996</v>
      </c>
      <c r="G16" s="649">
        <v>3429.5201139999999</v>
      </c>
      <c r="H16" s="648">
        <v>4.7805999999999997</v>
      </c>
      <c r="I16" s="648">
        <v>5.3289999999999997</v>
      </c>
      <c r="J16" s="648">
        <v>4.7542</v>
      </c>
      <c r="K16" s="648">
        <v>5.3023999999999996</v>
      </c>
    </row>
    <row r="17" spans="1:11" x14ac:dyDescent="0.2">
      <c r="A17" s="646">
        <v>760199</v>
      </c>
      <c r="B17" s="647">
        <v>36722</v>
      </c>
      <c r="C17" s="647">
        <v>51363</v>
      </c>
      <c r="D17" s="648">
        <v>5.0133000000000001</v>
      </c>
      <c r="E17" s="648">
        <v>4.9946999999999999</v>
      </c>
      <c r="F17" s="648">
        <v>5</v>
      </c>
      <c r="G17" s="649">
        <v>3431.9228240000002</v>
      </c>
      <c r="H17" s="648">
        <v>4.8144999999999998</v>
      </c>
      <c r="I17" s="648">
        <v>5.3517000000000001</v>
      </c>
      <c r="J17" s="648">
        <v>4.7896000000000001</v>
      </c>
      <c r="K17" s="648">
        <v>5.3266</v>
      </c>
    </row>
    <row r="18" spans="1:11" x14ac:dyDescent="0.2">
      <c r="A18" s="646">
        <v>760199</v>
      </c>
      <c r="B18" s="647">
        <v>36722</v>
      </c>
      <c r="C18" s="647">
        <v>53097</v>
      </c>
      <c r="D18" s="648">
        <v>5.1117999999999997</v>
      </c>
      <c r="E18" s="648">
        <v>5.0980999999999996</v>
      </c>
      <c r="F18" s="648">
        <v>5.1051000000000002</v>
      </c>
      <c r="G18" s="649">
        <v>3467.578548</v>
      </c>
      <c r="H18" s="648">
        <v>4.9280999999999997</v>
      </c>
      <c r="I18" s="648">
        <v>5.4588999999999999</v>
      </c>
      <c r="J18" s="648">
        <v>4.8996000000000004</v>
      </c>
      <c r="K18" s="648">
        <v>5.43</v>
      </c>
    </row>
    <row r="19" spans="1:11" x14ac:dyDescent="0.2">
      <c r="A19" s="650">
        <v>760199</v>
      </c>
      <c r="B19" s="651">
        <v>36722</v>
      </c>
      <c r="C19" s="651">
        <v>55015</v>
      </c>
      <c r="D19" s="652">
        <v>5.0911999999999997</v>
      </c>
      <c r="E19" s="652">
        <v>5.0731000000000002</v>
      </c>
      <c r="F19" s="652">
        <v>5.0824999999999996</v>
      </c>
      <c r="G19" s="653">
        <v>3465.1968879999999</v>
      </c>
      <c r="H19" s="652">
        <v>4.9135999999999997</v>
      </c>
      <c r="I19" s="652">
        <v>5.4390000000000001</v>
      </c>
      <c r="J19" s="652">
        <v>4.8808999999999996</v>
      </c>
      <c r="K19" s="652">
        <v>5.4058000000000002</v>
      </c>
    </row>
    <row r="20" spans="1:11" x14ac:dyDescent="0.2">
      <c r="A20" s="657">
        <v>760199</v>
      </c>
      <c r="B20" s="658">
        <v>36722</v>
      </c>
      <c r="C20" s="659">
        <v>56749</v>
      </c>
      <c r="D20" s="659">
        <v>5.0599999999999996</v>
      </c>
      <c r="E20" s="660">
        <v>5.0354000000000001</v>
      </c>
      <c r="F20" s="659">
        <v>5.0475000000000003</v>
      </c>
      <c r="G20" s="659">
        <v>3552.1545139999998</v>
      </c>
      <c r="H20" s="659">
        <v>4.8766999999999996</v>
      </c>
      <c r="I20" s="659">
        <v>5.3985000000000003</v>
      </c>
      <c r="J20" s="659">
        <v>4.8483999999999998</v>
      </c>
      <c r="K20" s="659">
        <v>5.3696999999999999</v>
      </c>
    </row>
    <row r="21" spans="1:11" x14ac:dyDescent="0.2">
      <c r="C21" s="159"/>
    </row>
    <row r="59" spans="27:27" x14ac:dyDescent="0.2">
      <c r="AA59" t="s">
        <v>108</v>
      </c>
    </row>
    <row r="187" spans="19:21" x14ac:dyDescent="0.2">
      <c r="S187" s="157"/>
    </row>
    <row r="191" spans="19:21" x14ac:dyDescent="0.2">
      <c r="U191" s="157"/>
    </row>
  </sheetData>
  <phoneticPr fontId="25" type="noConversion"/>
  <pageMargins left="0.78740157499999996" right="0.78740157499999996" top="0.984251969" bottom="0.984251969" header="0.49212598499999999" footer="0.49212598499999999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A1:AA191"/>
  <sheetViews>
    <sheetView workbookViewId="0">
      <selection activeCell="D10" sqref="D10"/>
    </sheetView>
  </sheetViews>
  <sheetFormatPr defaultRowHeight="12.75" x14ac:dyDescent="0.2"/>
  <cols>
    <col min="1" max="1" width="22.28515625" customWidth="1"/>
    <col min="2" max="2" width="16" customWidth="1"/>
    <col min="3" max="3" width="21" customWidth="1"/>
    <col min="4" max="4" width="10" customWidth="1"/>
    <col min="5" max="5" width="8.7109375" customWidth="1"/>
    <col min="6" max="6" width="12.140625" customWidth="1"/>
    <col min="7" max="7" width="9.140625" customWidth="1"/>
    <col min="8" max="8" width="15.85546875" customWidth="1"/>
    <col min="9" max="9" width="11" customWidth="1"/>
    <col min="10" max="10" width="11.85546875" customWidth="1"/>
    <col min="11" max="11" width="12" customWidth="1"/>
    <col min="12" max="12" width="6.5703125" customWidth="1"/>
    <col min="13" max="13" width="16" customWidth="1"/>
    <col min="14" max="14" width="11.5703125" customWidth="1"/>
    <col min="15" max="15" width="12.140625" customWidth="1"/>
    <col min="16" max="16" width="12.7109375" customWidth="1"/>
    <col min="17" max="18" width="9.42578125" customWidth="1"/>
    <col min="19" max="19" width="10.140625" bestFit="1" customWidth="1"/>
    <col min="20" max="20" width="14.42578125" bestFit="1" customWidth="1"/>
    <col min="21" max="21" width="9.42578125" customWidth="1"/>
    <col min="22" max="22" width="10.140625" bestFit="1" customWidth="1"/>
    <col min="23" max="23" width="8.28515625" customWidth="1"/>
    <col min="24" max="24" width="12" bestFit="1" customWidth="1"/>
  </cols>
  <sheetData>
    <row r="1" spans="1:11" x14ac:dyDescent="0.2">
      <c r="A1" t="s">
        <v>175</v>
      </c>
      <c r="K1" s="164">
        <v>42999</v>
      </c>
    </row>
    <row r="2" spans="1:11" x14ac:dyDescent="0.2">
      <c r="C2" s="157"/>
      <c r="D2" s="157"/>
      <c r="F2" s="157"/>
      <c r="G2" s="157"/>
      <c r="H2" s="157"/>
      <c r="I2" s="157"/>
      <c r="J2" s="157"/>
      <c r="K2" s="157"/>
    </row>
    <row r="3" spans="1:11" x14ac:dyDescent="0.2">
      <c r="A3" t="s">
        <v>176</v>
      </c>
      <c r="C3" s="157" t="s">
        <v>202</v>
      </c>
      <c r="D3" s="157"/>
      <c r="F3" s="157"/>
      <c r="G3" s="157"/>
      <c r="H3" s="157"/>
      <c r="I3" s="157"/>
      <c r="J3" s="157"/>
      <c r="K3" s="157"/>
    </row>
    <row r="4" spans="1:11" x14ac:dyDescent="0.2">
      <c r="A4" s="641" t="s">
        <v>178</v>
      </c>
      <c r="B4" s="642" t="s">
        <v>179</v>
      </c>
      <c r="C4" s="642" t="s">
        <v>180</v>
      </c>
      <c r="D4" s="643" t="s">
        <v>414</v>
      </c>
      <c r="E4" s="643" t="s">
        <v>415</v>
      </c>
      <c r="F4" s="643" t="s">
        <v>181</v>
      </c>
      <c r="G4" s="643" t="s">
        <v>109</v>
      </c>
      <c r="H4" s="654" t="s">
        <v>182</v>
      </c>
      <c r="I4" s="655"/>
      <c r="J4" s="655"/>
      <c r="K4" s="656"/>
    </row>
    <row r="5" spans="1:11" ht="12.75" customHeight="1" x14ac:dyDescent="0.2">
      <c r="A5" s="644"/>
      <c r="B5" s="644"/>
      <c r="C5" s="644"/>
      <c r="D5" s="644"/>
      <c r="E5" s="644"/>
      <c r="F5" s="644"/>
      <c r="G5" s="644"/>
      <c r="H5" s="645" t="s">
        <v>183</v>
      </c>
      <c r="I5" s="645" t="s">
        <v>184</v>
      </c>
      <c r="J5" s="645" t="s">
        <v>185</v>
      </c>
      <c r="K5" s="645" t="s">
        <v>186</v>
      </c>
    </row>
    <row r="6" spans="1:11" x14ac:dyDescent="0.2">
      <c r="A6" s="650">
        <v>100000</v>
      </c>
      <c r="B6" s="651">
        <v>42188</v>
      </c>
      <c r="C6" s="651">
        <v>43009</v>
      </c>
      <c r="D6" s="652">
        <v>8.1778999999999993</v>
      </c>
      <c r="E6" s="652">
        <v>8.1689000000000007</v>
      </c>
      <c r="F6" s="652">
        <v>8.1734000000000009</v>
      </c>
      <c r="G6" s="653">
        <v>997.82000900000003</v>
      </c>
      <c r="H6" s="652">
        <v>7.9763999999999999</v>
      </c>
      <c r="I6" s="652">
        <v>8.4571000000000005</v>
      </c>
      <c r="J6" s="652">
        <v>7.9753999999999996</v>
      </c>
      <c r="K6" s="652">
        <v>8.4565000000000001</v>
      </c>
    </row>
    <row r="7" spans="1:11" x14ac:dyDescent="0.2">
      <c r="A7" s="650">
        <v>100000</v>
      </c>
      <c r="B7" s="651">
        <v>41649</v>
      </c>
      <c r="C7" s="651">
        <v>43101</v>
      </c>
      <c r="D7" s="652">
        <v>7.4385000000000003</v>
      </c>
      <c r="E7" s="652">
        <v>7.4057000000000004</v>
      </c>
      <c r="F7" s="652">
        <v>7.4184999999999999</v>
      </c>
      <c r="G7" s="653">
        <v>980.87480800000003</v>
      </c>
      <c r="H7" s="652">
        <v>7.1471</v>
      </c>
      <c r="I7" s="652">
        <v>7.6467000000000001</v>
      </c>
      <c r="J7" s="652">
        <v>7.1313000000000004</v>
      </c>
      <c r="K7" s="652">
        <v>7.6287000000000003</v>
      </c>
    </row>
    <row r="8" spans="1:11" x14ac:dyDescent="0.2">
      <c r="A8" s="650">
        <v>100000</v>
      </c>
      <c r="B8" s="651">
        <v>42377</v>
      </c>
      <c r="C8" s="651">
        <v>43191</v>
      </c>
      <c r="D8" s="652">
        <v>7.2050000000000001</v>
      </c>
      <c r="E8" s="652">
        <v>7.1950000000000003</v>
      </c>
      <c r="F8" s="652">
        <v>7.1982999999999997</v>
      </c>
      <c r="G8" s="653">
        <v>965.04301299999997</v>
      </c>
      <c r="H8" s="652">
        <v>6.9122000000000003</v>
      </c>
      <c r="I8" s="652">
        <v>7.5160999999999998</v>
      </c>
      <c r="J8" s="652">
        <v>6.8734999999999999</v>
      </c>
      <c r="K8" s="652">
        <v>7.4756</v>
      </c>
    </row>
    <row r="9" spans="1:11" x14ac:dyDescent="0.2">
      <c r="A9" s="650">
        <v>100000</v>
      </c>
      <c r="B9" s="651">
        <v>41824</v>
      </c>
      <c r="C9" s="651">
        <v>43282</v>
      </c>
      <c r="D9" s="652">
        <v>7.1071</v>
      </c>
      <c r="E9" s="652">
        <v>7.0949999999999998</v>
      </c>
      <c r="F9" s="652">
        <v>7.1</v>
      </c>
      <c r="G9" s="653">
        <v>949.08095800000001</v>
      </c>
      <c r="H9" s="652">
        <v>6.7929000000000004</v>
      </c>
      <c r="I9" s="652">
        <v>7.4741999999999997</v>
      </c>
      <c r="J9" s="652">
        <v>6.7507000000000001</v>
      </c>
      <c r="K9" s="652">
        <v>7.4313000000000002</v>
      </c>
    </row>
    <row r="10" spans="1:11" x14ac:dyDescent="0.2">
      <c r="A10" s="650">
        <v>100000</v>
      </c>
      <c r="B10" s="651">
        <v>42559</v>
      </c>
      <c r="C10" s="651">
        <v>43374</v>
      </c>
      <c r="D10" s="652">
        <v>7.1536</v>
      </c>
      <c r="E10" s="652">
        <v>7.1388999999999996</v>
      </c>
      <c r="F10" s="652">
        <v>7.1452</v>
      </c>
      <c r="G10" s="653">
        <v>932.291066</v>
      </c>
      <c r="H10" s="652">
        <v>6.8505000000000003</v>
      </c>
      <c r="I10" s="652">
        <v>7.5575999999999999</v>
      </c>
      <c r="J10" s="652">
        <v>6.7811000000000003</v>
      </c>
      <c r="K10" s="652">
        <v>7.4881000000000002</v>
      </c>
    </row>
    <row r="11" spans="1:11" x14ac:dyDescent="0.2">
      <c r="A11" s="650">
        <v>100000</v>
      </c>
      <c r="B11" s="651">
        <v>42013</v>
      </c>
      <c r="C11" s="651">
        <v>43466</v>
      </c>
      <c r="D11" s="652">
        <v>7.29</v>
      </c>
      <c r="E11" s="652">
        <v>7.27</v>
      </c>
      <c r="F11" s="652">
        <v>7.28</v>
      </c>
      <c r="G11" s="653">
        <v>915.14144699999997</v>
      </c>
      <c r="H11" s="652">
        <v>6.9779</v>
      </c>
      <c r="I11" s="652">
        <v>7.7111000000000001</v>
      </c>
      <c r="J11" s="652">
        <v>6.9081000000000001</v>
      </c>
      <c r="K11" s="652">
        <v>7.6406000000000001</v>
      </c>
    </row>
    <row r="12" spans="1:11" x14ac:dyDescent="0.2">
      <c r="A12" s="650">
        <v>100000</v>
      </c>
      <c r="B12" s="651">
        <v>42741</v>
      </c>
      <c r="C12" s="651">
        <v>43556</v>
      </c>
      <c r="D12" s="652">
        <v>7.4667000000000003</v>
      </c>
      <c r="E12" s="652">
        <v>7.4535999999999998</v>
      </c>
      <c r="F12" s="652">
        <v>7.46</v>
      </c>
      <c r="G12" s="653">
        <v>897.44067600000005</v>
      </c>
      <c r="H12" s="652">
        <v>7.1646999999999998</v>
      </c>
      <c r="I12" s="652">
        <v>7.9493999999999998</v>
      </c>
      <c r="J12" s="652">
        <v>7.0849000000000002</v>
      </c>
      <c r="K12" s="652">
        <v>7.8688000000000002</v>
      </c>
    </row>
    <row r="13" spans="1:11" x14ac:dyDescent="0.2">
      <c r="A13" s="650">
        <v>100000</v>
      </c>
      <c r="B13" s="651">
        <v>42188</v>
      </c>
      <c r="C13" s="651">
        <v>43647</v>
      </c>
      <c r="D13" s="652">
        <v>7.6765999999999996</v>
      </c>
      <c r="E13" s="652">
        <v>7.6642999999999999</v>
      </c>
      <c r="F13" s="652">
        <v>7.67</v>
      </c>
      <c r="G13" s="653">
        <v>878.68710299999998</v>
      </c>
      <c r="H13" s="652">
        <v>7.3821000000000003</v>
      </c>
      <c r="I13" s="652">
        <v>8.2082999999999995</v>
      </c>
      <c r="J13" s="652">
        <v>7.2946999999999997</v>
      </c>
      <c r="K13" s="652">
        <v>8.1203000000000003</v>
      </c>
    </row>
    <row r="14" spans="1:11" x14ac:dyDescent="0.2">
      <c r="A14" s="650">
        <v>100000</v>
      </c>
      <c r="B14" s="651">
        <v>42923</v>
      </c>
      <c r="C14" s="651">
        <v>43739</v>
      </c>
      <c r="D14" s="652">
        <v>7.915</v>
      </c>
      <c r="E14" s="652">
        <v>7.9081000000000001</v>
      </c>
      <c r="F14" s="652">
        <v>7.9114000000000004</v>
      </c>
      <c r="G14" s="653">
        <v>857.96918000000005</v>
      </c>
      <c r="H14" s="652">
        <v>7.6254</v>
      </c>
      <c r="I14" s="652">
        <v>8.5005000000000006</v>
      </c>
      <c r="J14" s="652">
        <v>7.5244</v>
      </c>
      <c r="K14" s="652">
        <v>8.3994</v>
      </c>
    </row>
    <row r="15" spans="1:11" x14ac:dyDescent="0.2">
      <c r="A15" s="662">
        <v>100000</v>
      </c>
      <c r="B15" s="159">
        <v>42377</v>
      </c>
      <c r="C15" s="159">
        <v>43831</v>
      </c>
      <c r="D15" s="157">
        <v>8.0533999999999999</v>
      </c>
      <c r="E15" s="663">
        <v>8.0424000000000007</v>
      </c>
      <c r="F15" s="157">
        <v>8.0478000000000005</v>
      </c>
      <c r="G15" s="157">
        <v>839.132563</v>
      </c>
      <c r="H15" s="661">
        <v>7.7907999999999999</v>
      </c>
      <c r="I15" s="661">
        <v>8.6862999999999992</v>
      </c>
      <c r="J15" s="661">
        <v>7.6715999999999998</v>
      </c>
      <c r="K15" s="661">
        <v>8.5667000000000009</v>
      </c>
    </row>
    <row r="16" spans="1:11" x14ac:dyDescent="0.2">
      <c r="A16" s="662">
        <v>100000</v>
      </c>
      <c r="B16" s="159">
        <v>42559</v>
      </c>
      <c r="C16" s="159">
        <v>44013</v>
      </c>
      <c r="D16" s="157">
        <v>8.4250000000000007</v>
      </c>
      <c r="E16" s="663">
        <v>8.4149999999999991</v>
      </c>
      <c r="F16" s="157">
        <v>8.4199000000000002</v>
      </c>
      <c r="G16" s="157">
        <v>800.40707999999995</v>
      </c>
      <c r="H16" s="661">
        <v>8.1646999999999998</v>
      </c>
      <c r="I16" s="661">
        <v>9.1035000000000004</v>
      </c>
      <c r="J16" s="661">
        <v>8.0447000000000006</v>
      </c>
      <c r="K16" s="661">
        <v>8.9832000000000001</v>
      </c>
    </row>
    <row r="17" spans="1:11" x14ac:dyDescent="0.2">
      <c r="A17" s="657">
        <v>100000</v>
      </c>
      <c r="B17" s="658">
        <v>42923</v>
      </c>
      <c r="C17" s="659">
        <v>44378</v>
      </c>
      <c r="D17" s="659">
        <v>8.9733999999999998</v>
      </c>
      <c r="E17" s="660">
        <v>8.9661000000000008</v>
      </c>
      <c r="F17" s="659">
        <v>8.9700000000000006</v>
      </c>
      <c r="G17" s="659">
        <v>724.60100799999998</v>
      </c>
      <c r="H17" s="661">
        <v>8.6537000000000006</v>
      </c>
      <c r="I17" s="661">
        <v>9.6807999999999996</v>
      </c>
      <c r="J17" s="661">
        <v>8.5548999999999999</v>
      </c>
      <c r="K17" s="661">
        <v>9.5817999999999994</v>
      </c>
    </row>
    <row r="59" spans="27:27" x14ac:dyDescent="0.2">
      <c r="AA59" t="s">
        <v>108</v>
      </c>
    </row>
    <row r="187" spans="19:21" x14ac:dyDescent="0.2">
      <c r="S187" s="157"/>
    </row>
    <row r="191" spans="19:21" x14ac:dyDescent="0.2">
      <c r="U191" s="157"/>
    </row>
  </sheetData>
  <pageMargins left="0.78740157499999996" right="0.78740157499999996" top="0.984251969" bottom="0.984251969" header="0.49212598499999999" footer="0.49212598499999999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T830"/>
  <sheetViews>
    <sheetView topLeftCell="A786" workbookViewId="0">
      <selection activeCell="A788" sqref="A1:B1048576"/>
    </sheetView>
  </sheetViews>
  <sheetFormatPr defaultRowHeight="12.75" x14ac:dyDescent="0.2"/>
  <cols>
    <col min="1" max="1" width="10.140625" style="5" bestFit="1" customWidth="1"/>
    <col min="2" max="11" width="9.140625" style="5"/>
    <col min="12" max="12" width="10.5703125" style="5" customWidth="1"/>
    <col min="13" max="15" width="9.140625" style="5"/>
    <col min="16" max="17" width="3" style="5" bestFit="1" customWidth="1"/>
    <col min="18" max="18" width="7.140625" style="5" bestFit="1" customWidth="1"/>
    <col min="19" max="19" width="8.140625" style="5" bestFit="1" customWidth="1"/>
    <col min="20" max="20" width="8.140625" style="5" customWidth="1"/>
    <col min="21" max="16384" width="9.140625" style="5"/>
  </cols>
  <sheetData>
    <row r="1" spans="1:20" ht="13.5" customHeight="1" thickBot="1" x14ac:dyDescent="0.25">
      <c r="A1" s="162">
        <v>36892</v>
      </c>
      <c r="B1" s="5" t="s">
        <v>24</v>
      </c>
      <c r="C1" s="153" t="s">
        <v>25</v>
      </c>
      <c r="I1" s="163"/>
    </row>
    <row r="2" spans="1:20" ht="13.5" thickBot="1" x14ac:dyDescent="0.25">
      <c r="A2" s="162">
        <v>36948</v>
      </c>
      <c r="B2" s="5" t="s">
        <v>24</v>
      </c>
      <c r="C2" s="153" t="s">
        <v>26</v>
      </c>
      <c r="I2" s="33"/>
      <c r="J2" s="34"/>
      <c r="K2" s="35"/>
      <c r="L2" s="35"/>
      <c r="M2" s="36"/>
      <c r="N2" s="36"/>
      <c r="S2" s="13"/>
      <c r="T2" s="13"/>
    </row>
    <row r="3" spans="1:20" ht="13.5" thickBot="1" x14ac:dyDescent="0.25">
      <c r="A3" s="162">
        <v>36949</v>
      </c>
      <c r="B3" s="5" t="s">
        <v>27</v>
      </c>
      <c r="C3" s="153" t="s">
        <v>28</v>
      </c>
      <c r="I3" s="33"/>
      <c r="J3" s="34"/>
      <c r="K3" s="35"/>
      <c r="L3" s="35"/>
      <c r="M3" s="36"/>
      <c r="N3" s="36"/>
      <c r="S3" s="13"/>
      <c r="T3" s="13"/>
    </row>
    <row r="4" spans="1:20" ht="13.5" thickBot="1" x14ac:dyDescent="0.25">
      <c r="A4" s="162">
        <v>36994</v>
      </c>
      <c r="B4" s="5" t="s">
        <v>29</v>
      </c>
      <c r="C4" s="153" t="s">
        <v>30</v>
      </c>
      <c r="I4" s="33"/>
      <c r="J4" s="34"/>
      <c r="K4" s="35"/>
      <c r="L4" s="35"/>
      <c r="M4" s="36"/>
      <c r="N4" s="36"/>
      <c r="S4" s="13"/>
      <c r="T4" s="13"/>
    </row>
    <row r="5" spans="1:20" ht="13.5" thickBot="1" x14ac:dyDescent="0.25">
      <c r="A5" s="162">
        <v>37002</v>
      </c>
      <c r="B5" s="5" t="s">
        <v>31</v>
      </c>
      <c r="C5" s="153" t="s">
        <v>32</v>
      </c>
      <c r="I5" s="33"/>
      <c r="J5" s="34"/>
      <c r="K5" s="35"/>
      <c r="L5" s="35"/>
      <c r="M5" s="36"/>
      <c r="N5" s="36"/>
      <c r="S5" s="13"/>
      <c r="T5" s="13"/>
    </row>
    <row r="6" spans="1:20" ht="13.5" thickBot="1" x14ac:dyDescent="0.25">
      <c r="A6" s="162">
        <v>37012</v>
      </c>
      <c r="B6" s="5" t="s">
        <v>27</v>
      </c>
      <c r="C6" s="153" t="s">
        <v>33</v>
      </c>
      <c r="I6" s="33"/>
      <c r="J6" s="34"/>
      <c r="K6" s="35"/>
      <c r="L6" s="35"/>
      <c r="M6" s="36"/>
      <c r="N6" s="36"/>
      <c r="S6" s="13"/>
      <c r="T6" s="13"/>
    </row>
    <row r="7" spans="1:20" ht="13.5" thickBot="1" x14ac:dyDescent="0.25">
      <c r="A7" s="162">
        <v>37056</v>
      </c>
      <c r="B7" s="5" t="s">
        <v>34</v>
      </c>
      <c r="C7" s="153" t="s">
        <v>35</v>
      </c>
      <c r="I7" s="33"/>
      <c r="J7" s="34"/>
      <c r="K7" s="35"/>
      <c r="L7" s="35"/>
      <c r="M7" s="36"/>
      <c r="N7" s="36"/>
      <c r="S7" s="13"/>
      <c r="T7" s="13"/>
    </row>
    <row r="8" spans="1:20" ht="13.5" thickBot="1" x14ac:dyDescent="0.25">
      <c r="A8" s="162">
        <v>37141</v>
      </c>
      <c r="B8" s="5" t="s">
        <v>29</v>
      </c>
      <c r="C8" s="153" t="s">
        <v>36</v>
      </c>
      <c r="I8" s="33"/>
      <c r="J8" s="34"/>
      <c r="K8" s="35"/>
      <c r="L8" s="35"/>
      <c r="M8" s="36"/>
      <c r="N8" s="36"/>
      <c r="S8" s="13"/>
      <c r="T8" s="13"/>
    </row>
    <row r="9" spans="1:20" ht="15" thickBot="1" x14ac:dyDescent="0.25">
      <c r="A9" s="162">
        <v>37176</v>
      </c>
      <c r="B9" s="5" t="s">
        <v>29</v>
      </c>
      <c r="C9" s="153" t="s">
        <v>43</v>
      </c>
      <c r="I9" s="33"/>
      <c r="J9" s="34"/>
      <c r="K9" s="35"/>
      <c r="L9" s="35"/>
      <c r="M9" s="36"/>
      <c r="N9" s="36"/>
      <c r="S9" s="13"/>
      <c r="T9" s="13"/>
    </row>
    <row r="10" spans="1:20" ht="13.5" thickBot="1" x14ac:dyDescent="0.25">
      <c r="A10" s="162">
        <v>37197</v>
      </c>
      <c r="B10" s="5" t="s">
        <v>29</v>
      </c>
      <c r="C10" s="153" t="s">
        <v>37</v>
      </c>
      <c r="I10" s="33"/>
      <c r="J10" s="34"/>
      <c r="K10" s="35"/>
      <c r="L10" s="35"/>
      <c r="M10" s="36"/>
      <c r="N10" s="36"/>
      <c r="S10" s="13"/>
      <c r="T10" s="13"/>
    </row>
    <row r="11" spans="1:20" ht="13.5" thickBot="1" x14ac:dyDescent="0.25">
      <c r="A11" s="162">
        <v>37210</v>
      </c>
      <c r="B11" s="5" t="s">
        <v>34</v>
      </c>
      <c r="C11" s="153" t="s">
        <v>38</v>
      </c>
      <c r="I11" s="33"/>
      <c r="J11" s="34"/>
      <c r="K11" s="35"/>
      <c r="L11" s="35"/>
      <c r="M11" s="36"/>
      <c r="N11" s="36"/>
      <c r="S11" s="13"/>
      <c r="T11" s="13"/>
    </row>
    <row r="12" spans="1:20" ht="13.5" thickBot="1" x14ac:dyDescent="0.25">
      <c r="A12" s="162">
        <v>37250</v>
      </c>
      <c r="B12" s="5" t="s">
        <v>27</v>
      </c>
      <c r="C12" s="153" t="s">
        <v>39</v>
      </c>
      <c r="I12" s="33"/>
      <c r="J12" s="34"/>
      <c r="K12" s="35"/>
      <c r="L12" s="35"/>
      <c r="M12" s="36"/>
      <c r="N12" s="36"/>
      <c r="S12" s="13"/>
      <c r="T12" s="13"/>
    </row>
    <row r="13" spans="1:20" ht="13.5" thickBot="1" x14ac:dyDescent="0.25">
      <c r="A13" s="162">
        <v>37257</v>
      </c>
      <c r="B13" s="5" t="s">
        <v>27</v>
      </c>
      <c r="C13" s="153" t="s">
        <v>25</v>
      </c>
      <c r="I13" s="33"/>
      <c r="J13" s="34"/>
      <c r="K13" s="35"/>
      <c r="L13" s="35"/>
      <c r="M13" s="36"/>
      <c r="N13" s="36"/>
      <c r="S13" s="13"/>
      <c r="T13" s="13"/>
    </row>
    <row r="14" spans="1:20" ht="13.5" thickBot="1" x14ac:dyDescent="0.25">
      <c r="A14" s="162">
        <v>37298</v>
      </c>
      <c r="B14" s="5" t="s">
        <v>24</v>
      </c>
      <c r="C14" s="153" t="s">
        <v>26</v>
      </c>
      <c r="I14" s="33"/>
      <c r="J14" s="34"/>
      <c r="K14" s="35"/>
      <c r="L14" s="35"/>
      <c r="M14" s="36"/>
      <c r="N14" s="36"/>
      <c r="S14" s="13"/>
      <c r="T14" s="13"/>
    </row>
    <row r="15" spans="1:20" ht="13.5" thickBot="1" x14ac:dyDescent="0.25">
      <c r="A15" s="162">
        <v>37299</v>
      </c>
      <c r="B15" s="5" t="s">
        <v>27</v>
      </c>
      <c r="C15" s="153" t="s">
        <v>28</v>
      </c>
      <c r="I15" s="33"/>
      <c r="J15" s="34"/>
      <c r="K15" s="35"/>
      <c r="L15" s="35"/>
      <c r="M15" s="36"/>
      <c r="N15" s="36"/>
      <c r="S15" s="13"/>
      <c r="T15" s="13"/>
    </row>
    <row r="16" spans="1:20" ht="13.5" thickBot="1" x14ac:dyDescent="0.25">
      <c r="A16" s="162">
        <v>37344</v>
      </c>
      <c r="B16" s="5" t="s">
        <v>29</v>
      </c>
      <c r="C16" s="153" t="s">
        <v>30</v>
      </c>
      <c r="I16" s="33"/>
      <c r="J16" s="34"/>
      <c r="K16" s="35"/>
      <c r="L16" s="35"/>
      <c r="M16" s="36"/>
      <c r="N16" s="36"/>
      <c r="S16" s="13"/>
      <c r="T16" s="13"/>
    </row>
    <row r="17" spans="1:20" ht="13.5" thickBot="1" x14ac:dyDescent="0.25">
      <c r="A17" s="162">
        <v>37367</v>
      </c>
      <c r="B17" s="5" t="s">
        <v>40</v>
      </c>
      <c r="C17" s="153" t="s">
        <v>32</v>
      </c>
      <c r="I17" s="33"/>
      <c r="J17" s="34"/>
      <c r="K17" s="35"/>
      <c r="L17" s="35"/>
      <c r="M17" s="36"/>
      <c r="N17" s="36"/>
      <c r="S17" s="13"/>
      <c r="T17" s="13"/>
    </row>
    <row r="18" spans="1:20" ht="13.5" thickBot="1" x14ac:dyDescent="0.25">
      <c r="A18" s="162">
        <v>37377</v>
      </c>
      <c r="B18" s="5" t="s">
        <v>41</v>
      </c>
      <c r="C18" s="153" t="s">
        <v>33</v>
      </c>
      <c r="I18" s="33"/>
      <c r="J18" s="34"/>
      <c r="K18" s="35"/>
      <c r="L18" s="35"/>
      <c r="M18" s="36"/>
      <c r="N18" s="36"/>
      <c r="S18" s="13"/>
      <c r="T18" s="13"/>
    </row>
    <row r="19" spans="1:20" ht="13.5" thickBot="1" x14ac:dyDescent="0.25">
      <c r="A19" s="162">
        <v>37406</v>
      </c>
      <c r="B19" s="5" t="s">
        <v>34</v>
      </c>
      <c r="C19" s="153" t="s">
        <v>35</v>
      </c>
      <c r="I19" s="33"/>
      <c r="J19" s="34"/>
      <c r="K19" s="35"/>
      <c r="L19" s="35"/>
      <c r="M19" s="36"/>
      <c r="N19" s="36"/>
      <c r="S19" s="13"/>
      <c r="T19" s="13"/>
    </row>
    <row r="20" spans="1:20" ht="13.5" thickBot="1" x14ac:dyDescent="0.25">
      <c r="A20" s="162">
        <v>37506</v>
      </c>
      <c r="B20" s="5" t="s">
        <v>31</v>
      </c>
      <c r="C20" s="153" t="s">
        <v>36</v>
      </c>
      <c r="I20" s="33"/>
      <c r="J20" s="34"/>
      <c r="K20" s="35"/>
      <c r="L20" s="35"/>
      <c r="M20" s="36"/>
      <c r="N20" s="36"/>
      <c r="S20" s="13"/>
      <c r="T20" s="13"/>
    </row>
    <row r="21" spans="1:20" ht="15" thickBot="1" x14ac:dyDescent="0.25">
      <c r="A21" s="162">
        <v>37541</v>
      </c>
      <c r="B21" s="5" t="s">
        <v>31</v>
      </c>
      <c r="C21" s="153" t="s">
        <v>43</v>
      </c>
      <c r="I21" s="33"/>
      <c r="J21" s="34"/>
      <c r="K21" s="35"/>
      <c r="L21" s="35"/>
      <c r="M21" s="36"/>
      <c r="N21" s="36"/>
      <c r="S21" s="13"/>
      <c r="T21" s="13"/>
    </row>
    <row r="22" spans="1:20" ht="13.5" thickBot="1" x14ac:dyDescent="0.25">
      <c r="A22" s="162">
        <v>37562</v>
      </c>
      <c r="B22" s="5" t="s">
        <v>31</v>
      </c>
      <c r="C22" s="153" t="s">
        <v>37</v>
      </c>
      <c r="I22" s="33"/>
      <c r="J22" s="34"/>
      <c r="K22" s="35"/>
      <c r="L22" s="35"/>
      <c r="M22" s="36"/>
      <c r="N22" s="36"/>
      <c r="S22" s="13"/>
      <c r="T22" s="13"/>
    </row>
    <row r="23" spans="1:20" ht="13.5" thickBot="1" x14ac:dyDescent="0.25">
      <c r="A23" s="162">
        <v>37575</v>
      </c>
      <c r="B23" s="5" t="s">
        <v>29</v>
      </c>
      <c r="C23" s="153" t="s">
        <v>38</v>
      </c>
      <c r="I23" s="33"/>
      <c r="J23" s="34"/>
      <c r="K23" s="35"/>
      <c r="L23" s="35"/>
      <c r="M23" s="36"/>
      <c r="N23" s="36"/>
      <c r="S23" s="13"/>
      <c r="T23" s="13"/>
    </row>
    <row r="24" spans="1:20" ht="13.5" thickBot="1" x14ac:dyDescent="0.25">
      <c r="A24" s="162">
        <v>37615</v>
      </c>
      <c r="B24" s="5" t="s">
        <v>41</v>
      </c>
      <c r="C24" s="153" t="s">
        <v>39</v>
      </c>
      <c r="I24" s="33"/>
      <c r="J24" s="34"/>
      <c r="K24" s="35"/>
      <c r="L24" s="35"/>
      <c r="M24" s="36"/>
      <c r="N24" s="36"/>
      <c r="S24" s="13"/>
      <c r="T24" s="13"/>
    </row>
    <row r="25" spans="1:20" ht="13.5" thickBot="1" x14ac:dyDescent="0.25">
      <c r="A25" s="162">
        <v>37622</v>
      </c>
      <c r="B25" s="5" t="s">
        <v>41</v>
      </c>
      <c r="C25" s="153" t="s">
        <v>25</v>
      </c>
      <c r="I25" s="33"/>
      <c r="J25" s="34"/>
      <c r="K25" s="35"/>
      <c r="L25" s="35"/>
      <c r="M25" s="36"/>
      <c r="N25" s="36"/>
      <c r="S25" s="13"/>
      <c r="T25" s="13"/>
    </row>
    <row r="26" spans="1:20" ht="13.5" thickBot="1" x14ac:dyDescent="0.25">
      <c r="A26" s="162">
        <v>37683</v>
      </c>
      <c r="B26" s="5" t="s">
        <v>24</v>
      </c>
      <c r="C26" s="153" t="s">
        <v>26</v>
      </c>
      <c r="I26" s="33"/>
      <c r="J26" s="34"/>
      <c r="K26" s="35"/>
      <c r="L26" s="35"/>
      <c r="M26" s="36"/>
      <c r="N26" s="36"/>
      <c r="S26" s="13"/>
      <c r="T26" s="13"/>
    </row>
    <row r="27" spans="1:20" ht="13.5" thickBot="1" x14ac:dyDescent="0.25">
      <c r="A27" s="162">
        <v>37684</v>
      </c>
      <c r="B27" s="5" t="s">
        <v>27</v>
      </c>
      <c r="C27" s="153" t="s">
        <v>28</v>
      </c>
      <c r="I27" s="33"/>
      <c r="J27" s="34"/>
      <c r="K27" s="35"/>
      <c r="L27" s="35"/>
      <c r="M27" s="36"/>
      <c r="N27" s="36"/>
      <c r="S27" s="13"/>
      <c r="T27" s="13"/>
    </row>
    <row r="28" spans="1:20" ht="13.5" thickBot="1" x14ac:dyDescent="0.25">
      <c r="A28" s="162">
        <v>37729</v>
      </c>
      <c r="B28" s="5" t="s">
        <v>29</v>
      </c>
      <c r="C28" s="153" t="s">
        <v>30</v>
      </c>
      <c r="I28" s="33"/>
      <c r="J28" s="34"/>
      <c r="K28" s="35"/>
      <c r="L28" s="35"/>
      <c r="M28" s="36"/>
      <c r="N28" s="36"/>
      <c r="S28" s="13"/>
      <c r="T28" s="13"/>
    </row>
    <row r="29" spans="1:20" ht="13.5" thickBot="1" x14ac:dyDescent="0.25">
      <c r="A29" s="162">
        <v>37732</v>
      </c>
      <c r="B29" s="5" t="s">
        <v>24</v>
      </c>
      <c r="C29" s="153" t="s">
        <v>32</v>
      </c>
      <c r="I29" s="33"/>
      <c r="J29" s="34"/>
      <c r="K29" s="35"/>
      <c r="L29" s="35"/>
      <c r="M29" s="36"/>
      <c r="N29" s="36"/>
      <c r="S29" s="13"/>
      <c r="T29" s="13"/>
    </row>
    <row r="30" spans="1:20" ht="13.5" thickBot="1" x14ac:dyDescent="0.25">
      <c r="A30" s="162">
        <v>37742</v>
      </c>
      <c r="B30" s="5" t="s">
        <v>34</v>
      </c>
      <c r="C30" s="153" t="s">
        <v>33</v>
      </c>
      <c r="I30" s="33"/>
      <c r="J30" s="34"/>
      <c r="K30" s="35"/>
      <c r="L30" s="35"/>
      <c r="M30" s="36"/>
      <c r="N30" s="36"/>
      <c r="S30" s="13"/>
      <c r="T30" s="13"/>
    </row>
    <row r="31" spans="1:20" ht="13.5" thickBot="1" x14ac:dyDescent="0.25">
      <c r="A31" s="162">
        <v>37791</v>
      </c>
      <c r="B31" s="5" t="s">
        <v>34</v>
      </c>
      <c r="C31" s="153" t="s">
        <v>35</v>
      </c>
      <c r="I31" s="33"/>
      <c r="J31" s="34"/>
      <c r="K31" s="35"/>
      <c r="L31" s="35"/>
      <c r="M31" s="36"/>
      <c r="N31" s="36"/>
      <c r="S31" s="13"/>
      <c r="T31" s="13"/>
    </row>
    <row r="32" spans="1:20" x14ac:dyDescent="0.2">
      <c r="A32" s="162">
        <v>37871</v>
      </c>
      <c r="B32" s="5" t="s">
        <v>40</v>
      </c>
      <c r="C32" s="153" t="s">
        <v>36</v>
      </c>
    </row>
    <row r="33" spans="1:3" ht="14.25" x14ac:dyDescent="0.2">
      <c r="A33" s="162">
        <v>37906</v>
      </c>
      <c r="B33" s="5" t="s">
        <v>40</v>
      </c>
      <c r="C33" s="153" t="s">
        <v>43</v>
      </c>
    </row>
    <row r="34" spans="1:3" x14ac:dyDescent="0.2">
      <c r="A34" s="162">
        <v>37927</v>
      </c>
      <c r="B34" s="5" t="s">
        <v>40</v>
      </c>
      <c r="C34" s="153" t="s">
        <v>37</v>
      </c>
    </row>
    <row r="35" spans="1:3" x14ac:dyDescent="0.2">
      <c r="A35" s="162">
        <v>37940</v>
      </c>
      <c r="B35" s="5" t="s">
        <v>31</v>
      </c>
      <c r="C35" s="153" t="s">
        <v>38</v>
      </c>
    </row>
    <row r="36" spans="1:3" x14ac:dyDescent="0.2">
      <c r="A36" s="162">
        <v>37980</v>
      </c>
      <c r="B36" s="5" t="s">
        <v>34</v>
      </c>
      <c r="C36" s="153" t="s">
        <v>39</v>
      </c>
    </row>
    <row r="37" spans="1:3" x14ac:dyDescent="0.2">
      <c r="A37" s="162">
        <v>37987</v>
      </c>
      <c r="B37" s="5" t="s">
        <v>34</v>
      </c>
      <c r="C37" s="153" t="s">
        <v>25</v>
      </c>
    </row>
    <row r="38" spans="1:3" x14ac:dyDescent="0.2">
      <c r="A38" s="162">
        <v>38040</v>
      </c>
      <c r="B38" s="5" t="s">
        <v>24</v>
      </c>
      <c r="C38" s="153" t="s">
        <v>26</v>
      </c>
    </row>
    <row r="39" spans="1:3" x14ac:dyDescent="0.2">
      <c r="A39" s="162">
        <v>38041</v>
      </c>
      <c r="B39" s="5" t="s">
        <v>27</v>
      </c>
      <c r="C39" s="153" t="s">
        <v>28</v>
      </c>
    </row>
    <row r="40" spans="1:3" x14ac:dyDescent="0.2">
      <c r="A40" s="162">
        <v>38086</v>
      </c>
      <c r="B40" s="5" t="s">
        <v>29</v>
      </c>
      <c r="C40" s="153" t="s">
        <v>30</v>
      </c>
    </row>
    <row r="41" spans="1:3" x14ac:dyDescent="0.2">
      <c r="A41" s="162">
        <v>38098</v>
      </c>
      <c r="B41" s="5" t="s">
        <v>41</v>
      </c>
      <c r="C41" s="153" t="s">
        <v>32</v>
      </c>
    </row>
    <row r="42" spans="1:3" x14ac:dyDescent="0.2">
      <c r="A42" s="162">
        <v>38108</v>
      </c>
      <c r="B42" s="5" t="s">
        <v>31</v>
      </c>
      <c r="C42" s="153" t="s">
        <v>33</v>
      </c>
    </row>
    <row r="43" spans="1:3" x14ac:dyDescent="0.2">
      <c r="A43" s="162">
        <v>38148</v>
      </c>
      <c r="B43" s="5" t="s">
        <v>34</v>
      </c>
      <c r="C43" s="153" t="s">
        <v>35</v>
      </c>
    </row>
    <row r="44" spans="1:3" x14ac:dyDescent="0.2">
      <c r="A44" s="162">
        <v>38237</v>
      </c>
      <c r="B44" s="5" t="s">
        <v>27</v>
      </c>
      <c r="C44" s="153" t="s">
        <v>36</v>
      </c>
    </row>
    <row r="45" spans="1:3" ht="14.25" x14ac:dyDescent="0.2">
      <c r="A45" s="162">
        <v>38272</v>
      </c>
      <c r="B45" s="5" t="s">
        <v>27</v>
      </c>
      <c r="C45" s="153" t="s">
        <v>43</v>
      </c>
    </row>
    <row r="46" spans="1:3" x14ac:dyDescent="0.2">
      <c r="A46" s="162">
        <v>38293</v>
      </c>
      <c r="B46" s="5" t="s">
        <v>27</v>
      </c>
      <c r="C46" s="153" t="s">
        <v>37</v>
      </c>
    </row>
    <row r="47" spans="1:3" x14ac:dyDescent="0.2">
      <c r="A47" s="162">
        <v>38306</v>
      </c>
      <c r="B47" s="5" t="s">
        <v>24</v>
      </c>
      <c r="C47" s="153" t="s">
        <v>38</v>
      </c>
    </row>
    <row r="48" spans="1:3" x14ac:dyDescent="0.2">
      <c r="A48" s="162">
        <v>38346</v>
      </c>
      <c r="B48" s="5" t="s">
        <v>31</v>
      </c>
      <c r="C48" s="153" t="s">
        <v>39</v>
      </c>
    </row>
    <row r="49" spans="1:3" x14ac:dyDescent="0.2">
      <c r="A49" s="162">
        <v>38353</v>
      </c>
      <c r="B49" s="5" t="s">
        <v>31</v>
      </c>
      <c r="C49" s="153" t="s">
        <v>25</v>
      </c>
    </row>
    <row r="50" spans="1:3" x14ac:dyDescent="0.2">
      <c r="A50" s="162">
        <v>38390</v>
      </c>
      <c r="B50" s="5" t="s">
        <v>24</v>
      </c>
      <c r="C50" s="153" t="s">
        <v>26</v>
      </c>
    </row>
    <row r="51" spans="1:3" x14ac:dyDescent="0.2">
      <c r="A51" s="162">
        <v>38391</v>
      </c>
      <c r="B51" s="5" t="s">
        <v>27</v>
      </c>
      <c r="C51" s="153" t="s">
        <v>28</v>
      </c>
    </row>
    <row r="52" spans="1:3" x14ac:dyDescent="0.2">
      <c r="A52" s="162">
        <v>38436</v>
      </c>
      <c r="B52" s="5" t="s">
        <v>29</v>
      </c>
      <c r="C52" s="153" t="s">
        <v>30</v>
      </c>
    </row>
    <row r="53" spans="1:3" x14ac:dyDescent="0.2">
      <c r="A53" s="162">
        <v>38463</v>
      </c>
      <c r="B53" s="5" t="s">
        <v>34</v>
      </c>
      <c r="C53" s="153" t="s">
        <v>32</v>
      </c>
    </row>
    <row r="54" spans="1:3" x14ac:dyDescent="0.2">
      <c r="A54" s="162">
        <v>38473</v>
      </c>
      <c r="B54" s="5" t="s">
        <v>40</v>
      </c>
      <c r="C54" s="153" t="s">
        <v>33</v>
      </c>
    </row>
    <row r="55" spans="1:3" x14ac:dyDescent="0.2">
      <c r="A55" s="162">
        <v>38498</v>
      </c>
      <c r="B55" s="5" t="s">
        <v>34</v>
      </c>
      <c r="C55" s="153" t="s">
        <v>35</v>
      </c>
    </row>
    <row r="56" spans="1:3" x14ac:dyDescent="0.2">
      <c r="A56" s="162">
        <v>38602</v>
      </c>
      <c r="B56" s="5" t="s">
        <v>41</v>
      </c>
      <c r="C56" s="153" t="s">
        <v>36</v>
      </c>
    </row>
    <row r="57" spans="1:3" ht="14.25" x14ac:dyDescent="0.2">
      <c r="A57" s="162">
        <v>38637</v>
      </c>
      <c r="B57" s="5" t="s">
        <v>41</v>
      </c>
      <c r="C57" s="153" t="s">
        <v>43</v>
      </c>
    </row>
    <row r="58" spans="1:3" x14ac:dyDescent="0.2">
      <c r="A58" s="162">
        <v>38658</v>
      </c>
      <c r="B58" s="5" t="s">
        <v>41</v>
      </c>
      <c r="C58" s="153" t="s">
        <v>37</v>
      </c>
    </row>
    <row r="59" spans="1:3" x14ac:dyDescent="0.2">
      <c r="A59" s="162">
        <v>38671</v>
      </c>
      <c r="B59" s="5" t="s">
        <v>27</v>
      </c>
      <c r="C59" s="153" t="s">
        <v>38</v>
      </c>
    </row>
    <row r="60" spans="1:3" x14ac:dyDescent="0.2">
      <c r="A60" s="162">
        <v>38711</v>
      </c>
      <c r="B60" s="5" t="s">
        <v>40</v>
      </c>
      <c r="C60" s="153" t="s">
        <v>39</v>
      </c>
    </row>
    <row r="61" spans="1:3" x14ac:dyDescent="0.2">
      <c r="A61" s="162">
        <v>38718</v>
      </c>
      <c r="B61" s="5" t="s">
        <v>40</v>
      </c>
      <c r="C61" s="153" t="s">
        <v>25</v>
      </c>
    </row>
    <row r="62" spans="1:3" x14ac:dyDescent="0.2">
      <c r="A62" s="162">
        <v>38775</v>
      </c>
      <c r="B62" s="5" t="s">
        <v>24</v>
      </c>
      <c r="C62" s="153" t="s">
        <v>26</v>
      </c>
    </row>
    <row r="63" spans="1:3" x14ac:dyDescent="0.2">
      <c r="A63" s="162">
        <v>38776</v>
      </c>
      <c r="B63" s="5" t="s">
        <v>27</v>
      </c>
      <c r="C63" s="153" t="s">
        <v>28</v>
      </c>
    </row>
    <row r="64" spans="1:3" x14ac:dyDescent="0.2">
      <c r="A64" s="162">
        <v>38821</v>
      </c>
      <c r="B64" s="5" t="s">
        <v>29</v>
      </c>
      <c r="C64" s="153" t="s">
        <v>30</v>
      </c>
    </row>
    <row r="65" spans="1:3" x14ac:dyDescent="0.2">
      <c r="A65" s="162">
        <v>38828</v>
      </c>
      <c r="B65" s="5" t="s">
        <v>29</v>
      </c>
      <c r="C65" s="153" t="s">
        <v>32</v>
      </c>
    </row>
    <row r="66" spans="1:3" x14ac:dyDescent="0.2">
      <c r="A66" s="162">
        <v>38838</v>
      </c>
      <c r="B66" s="5" t="s">
        <v>24</v>
      </c>
      <c r="C66" s="153" t="s">
        <v>33</v>
      </c>
    </row>
    <row r="67" spans="1:3" x14ac:dyDescent="0.2">
      <c r="A67" s="162">
        <v>38883</v>
      </c>
      <c r="B67" s="5" t="s">
        <v>34</v>
      </c>
      <c r="C67" s="153" t="s">
        <v>35</v>
      </c>
    </row>
    <row r="68" spans="1:3" x14ac:dyDescent="0.2">
      <c r="A68" s="162">
        <v>38967</v>
      </c>
      <c r="B68" s="5" t="s">
        <v>34</v>
      </c>
      <c r="C68" s="153" t="s">
        <v>36</v>
      </c>
    </row>
    <row r="69" spans="1:3" ht="14.25" x14ac:dyDescent="0.2">
      <c r="A69" s="162">
        <v>39002</v>
      </c>
      <c r="B69" s="5" t="s">
        <v>34</v>
      </c>
      <c r="C69" s="153" t="s">
        <v>43</v>
      </c>
    </row>
    <row r="70" spans="1:3" x14ac:dyDescent="0.2">
      <c r="A70" s="162">
        <v>39023</v>
      </c>
      <c r="B70" s="5" t="s">
        <v>34</v>
      </c>
      <c r="C70" s="153" t="s">
        <v>37</v>
      </c>
    </row>
    <row r="71" spans="1:3" x14ac:dyDescent="0.2">
      <c r="A71" s="162">
        <v>39036</v>
      </c>
      <c r="B71" s="5" t="s">
        <v>41</v>
      </c>
      <c r="C71" s="153" t="s">
        <v>38</v>
      </c>
    </row>
    <row r="72" spans="1:3" x14ac:dyDescent="0.2">
      <c r="A72" s="162">
        <v>39076</v>
      </c>
      <c r="B72" s="5" t="s">
        <v>24</v>
      </c>
      <c r="C72" s="153" t="s">
        <v>39</v>
      </c>
    </row>
    <row r="73" spans="1:3" x14ac:dyDescent="0.2">
      <c r="A73" s="162">
        <v>39083</v>
      </c>
      <c r="B73" s="5" t="s">
        <v>24</v>
      </c>
      <c r="C73" s="153" t="s">
        <v>25</v>
      </c>
    </row>
    <row r="74" spans="1:3" x14ac:dyDescent="0.2">
      <c r="A74" s="162">
        <v>39132</v>
      </c>
      <c r="B74" s="5" t="s">
        <v>24</v>
      </c>
      <c r="C74" s="153" t="s">
        <v>26</v>
      </c>
    </row>
    <row r="75" spans="1:3" x14ac:dyDescent="0.2">
      <c r="A75" s="162">
        <v>39133</v>
      </c>
      <c r="B75" s="5" t="s">
        <v>27</v>
      </c>
      <c r="C75" s="153" t="s">
        <v>28</v>
      </c>
    </row>
    <row r="76" spans="1:3" x14ac:dyDescent="0.2">
      <c r="A76" s="162">
        <v>39178</v>
      </c>
      <c r="B76" s="5" t="s">
        <v>29</v>
      </c>
      <c r="C76" s="153" t="s">
        <v>30</v>
      </c>
    </row>
    <row r="77" spans="1:3" x14ac:dyDescent="0.2">
      <c r="A77" s="162">
        <v>39193</v>
      </c>
      <c r="B77" s="5" t="s">
        <v>31</v>
      </c>
      <c r="C77" s="153" t="s">
        <v>32</v>
      </c>
    </row>
    <row r="78" spans="1:3" x14ac:dyDescent="0.2">
      <c r="A78" s="162">
        <v>39203</v>
      </c>
      <c r="B78" s="5" t="s">
        <v>27</v>
      </c>
      <c r="C78" s="153" t="s">
        <v>33</v>
      </c>
    </row>
    <row r="79" spans="1:3" x14ac:dyDescent="0.2">
      <c r="A79" s="162">
        <v>39240</v>
      </c>
      <c r="B79" s="5" t="s">
        <v>34</v>
      </c>
      <c r="C79" s="153" t="s">
        <v>35</v>
      </c>
    </row>
    <row r="80" spans="1:3" x14ac:dyDescent="0.2">
      <c r="A80" s="162">
        <v>39332</v>
      </c>
      <c r="B80" s="5" t="s">
        <v>29</v>
      </c>
      <c r="C80" s="153" t="s">
        <v>36</v>
      </c>
    </row>
    <row r="81" spans="1:3" ht="14.25" x14ac:dyDescent="0.2">
      <c r="A81" s="162">
        <v>39367</v>
      </c>
      <c r="B81" s="5" t="s">
        <v>29</v>
      </c>
      <c r="C81" s="153" t="s">
        <v>43</v>
      </c>
    </row>
    <row r="82" spans="1:3" x14ac:dyDescent="0.2">
      <c r="A82" s="162">
        <v>39388</v>
      </c>
      <c r="B82" s="5" t="s">
        <v>29</v>
      </c>
      <c r="C82" s="153" t="s">
        <v>37</v>
      </c>
    </row>
    <row r="83" spans="1:3" x14ac:dyDescent="0.2">
      <c r="A83" s="162">
        <v>39401</v>
      </c>
      <c r="B83" s="5" t="s">
        <v>34</v>
      </c>
      <c r="C83" s="153" t="s">
        <v>38</v>
      </c>
    </row>
    <row r="84" spans="1:3" x14ac:dyDescent="0.2">
      <c r="A84" s="162">
        <v>39441</v>
      </c>
      <c r="B84" s="5" t="s">
        <v>27</v>
      </c>
      <c r="C84" s="153" t="s">
        <v>39</v>
      </c>
    </row>
    <row r="85" spans="1:3" x14ac:dyDescent="0.2">
      <c r="A85" s="162">
        <v>39448</v>
      </c>
      <c r="B85" s="5" t="s">
        <v>27</v>
      </c>
      <c r="C85" s="153" t="s">
        <v>25</v>
      </c>
    </row>
    <row r="86" spans="1:3" x14ac:dyDescent="0.2">
      <c r="A86" s="162">
        <v>39482</v>
      </c>
      <c r="B86" s="5" t="s">
        <v>24</v>
      </c>
      <c r="C86" s="153" t="s">
        <v>26</v>
      </c>
    </row>
    <row r="87" spans="1:3" x14ac:dyDescent="0.2">
      <c r="A87" s="162">
        <v>39483</v>
      </c>
      <c r="B87" s="5" t="s">
        <v>27</v>
      </c>
      <c r="C87" s="153" t="s">
        <v>28</v>
      </c>
    </row>
    <row r="88" spans="1:3" x14ac:dyDescent="0.2">
      <c r="A88" s="162">
        <v>39528</v>
      </c>
      <c r="B88" s="5" t="s">
        <v>29</v>
      </c>
      <c r="C88" s="153" t="s">
        <v>30</v>
      </c>
    </row>
    <row r="89" spans="1:3" x14ac:dyDescent="0.2">
      <c r="A89" s="162">
        <v>39559</v>
      </c>
      <c r="B89" s="5" t="s">
        <v>24</v>
      </c>
      <c r="C89" s="153" t="s">
        <v>32</v>
      </c>
    </row>
    <row r="90" spans="1:3" x14ac:dyDescent="0.2">
      <c r="A90" s="162">
        <v>39569</v>
      </c>
      <c r="B90" s="5" t="s">
        <v>34</v>
      </c>
      <c r="C90" s="153" t="s">
        <v>33</v>
      </c>
    </row>
    <row r="91" spans="1:3" x14ac:dyDescent="0.2">
      <c r="A91" s="162">
        <v>39590</v>
      </c>
      <c r="B91" s="5" t="s">
        <v>34</v>
      </c>
      <c r="C91" s="153" t="s">
        <v>35</v>
      </c>
    </row>
    <row r="92" spans="1:3" x14ac:dyDescent="0.2">
      <c r="A92" s="162">
        <v>39698</v>
      </c>
      <c r="B92" s="5" t="s">
        <v>40</v>
      </c>
      <c r="C92" s="153" t="s">
        <v>36</v>
      </c>
    </row>
    <row r="93" spans="1:3" ht="14.25" x14ac:dyDescent="0.2">
      <c r="A93" s="162">
        <v>39733</v>
      </c>
      <c r="B93" s="5" t="s">
        <v>40</v>
      </c>
      <c r="C93" s="153" t="s">
        <v>43</v>
      </c>
    </row>
    <row r="94" spans="1:3" x14ac:dyDescent="0.2">
      <c r="A94" s="162">
        <v>39754</v>
      </c>
      <c r="B94" s="5" t="s">
        <v>40</v>
      </c>
      <c r="C94" s="153" t="s">
        <v>37</v>
      </c>
    </row>
    <row r="95" spans="1:3" x14ac:dyDescent="0.2">
      <c r="A95" s="162">
        <v>39767</v>
      </c>
      <c r="B95" s="5" t="s">
        <v>31</v>
      </c>
      <c r="C95" s="153" t="s">
        <v>38</v>
      </c>
    </row>
    <row r="96" spans="1:3" x14ac:dyDescent="0.2">
      <c r="A96" s="162">
        <v>39807</v>
      </c>
      <c r="B96" s="5" t="s">
        <v>34</v>
      </c>
      <c r="C96" s="153" t="s">
        <v>39</v>
      </c>
    </row>
    <row r="97" spans="1:3" x14ac:dyDescent="0.2">
      <c r="A97" s="162">
        <v>39814</v>
      </c>
      <c r="B97" s="5" t="s">
        <v>34</v>
      </c>
      <c r="C97" s="153" t="s">
        <v>25</v>
      </c>
    </row>
    <row r="98" spans="1:3" x14ac:dyDescent="0.2">
      <c r="A98" s="162">
        <v>39867</v>
      </c>
      <c r="B98" s="5" t="s">
        <v>24</v>
      </c>
      <c r="C98" s="153" t="s">
        <v>26</v>
      </c>
    </row>
    <row r="99" spans="1:3" x14ac:dyDescent="0.2">
      <c r="A99" s="162">
        <v>39868</v>
      </c>
      <c r="B99" s="5" t="s">
        <v>27</v>
      </c>
      <c r="C99" s="153" t="s">
        <v>28</v>
      </c>
    </row>
    <row r="100" spans="1:3" x14ac:dyDescent="0.2">
      <c r="A100" s="162">
        <v>39913</v>
      </c>
      <c r="B100" s="5" t="s">
        <v>29</v>
      </c>
      <c r="C100" s="153" t="s">
        <v>30</v>
      </c>
    </row>
    <row r="101" spans="1:3" x14ac:dyDescent="0.2">
      <c r="A101" s="162">
        <v>39924</v>
      </c>
      <c r="B101" s="5" t="s">
        <v>27</v>
      </c>
      <c r="C101" s="153" t="s">
        <v>32</v>
      </c>
    </row>
    <row r="102" spans="1:3" x14ac:dyDescent="0.2">
      <c r="A102" s="162">
        <v>39934</v>
      </c>
      <c r="B102" s="5" t="s">
        <v>29</v>
      </c>
      <c r="C102" s="153" t="s">
        <v>33</v>
      </c>
    </row>
    <row r="103" spans="1:3" x14ac:dyDescent="0.2">
      <c r="A103" s="162">
        <v>39975</v>
      </c>
      <c r="B103" s="5" t="s">
        <v>34</v>
      </c>
      <c r="C103" s="153" t="s">
        <v>35</v>
      </c>
    </row>
    <row r="104" spans="1:3" x14ac:dyDescent="0.2">
      <c r="A104" s="162">
        <v>40063</v>
      </c>
      <c r="B104" s="5" t="s">
        <v>24</v>
      </c>
      <c r="C104" s="153" t="s">
        <v>36</v>
      </c>
    </row>
    <row r="105" spans="1:3" ht="14.25" x14ac:dyDescent="0.2">
      <c r="A105" s="162">
        <v>40098</v>
      </c>
      <c r="B105" s="5" t="s">
        <v>24</v>
      </c>
      <c r="C105" s="153" t="s">
        <v>43</v>
      </c>
    </row>
    <row r="106" spans="1:3" x14ac:dyDescent="0.2">
      <c r="A106" s="162">
        <v>40119</v>
      </c>
      <c r="B106" s="5" t="s">
        <v>24</v>
      </c>
      <c r="C106" s="153" t="s">
        <v>37</v>
      </c>
    </row>
    <row r="107" spans="1:3" x14ac:dyDescent="0.2">
      <c r="A107" s="162">
        <v>40132</v>
      </c>
      <c r="B107" s="5" t="s">
        <v>40</v>
      </c>
      <c r="C107" s="153" t="s">
        <v>38</v>
      </c>
    </row>
    <row r="108" spans="1:3" x14ac:dyDescent="0.2">
      <c r="A108" s="162">
        <v>40172</v>
      </c>
      <c r="B108" s="5" t="s">
        <v>29</v>
      </c>
      <c r="C108" s="153" t="s">
        <v>39</v>
      </c>
    </row>
    <row r="109" spans="1:3" x14ac:dyDescent="0.2">
      <c r="A109" s="162">
        <v>40179</v>
      </c>
      <c r="B109" s="5" t="s">
        <v>29</v>
      </c>
      <c r="C109" s="153" t="s">
        <v>25</v>
      </c>
    </row>
    <row r="110" spans="1:3" x14ac:dyDescent="0.2">
      <c r="A110" s="162">
        <v>40224</v>
      </c>
      <c r="B110" s="5" t="s">
        <v>24</v>
      </c>
      <c r="C110" s="153" t="s">
        <v>26</v>
      </c>
    </row>
    <row r="111" spans="1:3" x14ac:dyDescent="0.2">
      <c r="A111" s="162">
        <v>40225</v>
      </c>
      <c r="B111" s="5" t="s">
        <v>27</v>
      </c>
      <c r="C111" s="153" t="s">
        <v>28</v>
      </c>
    </row>
    <row r="112" spans="1:3" x14ac:dyDescent="0.2">
      <c r="A112" s="162">
        <v>40270</v>
      </c>
      <c r="B112" s="5" t="s">
        <v>29</v>
      </c>
      <c r="C112" s="153" t="s">
        <v>30</v>
      </c>
    </row>
    <row r="113" spans="1:3" x14ac:dyDescent="0.2">
      <c r="A113" s="162">
        <v>40289</v>
      </c>
      <c r="B113" s="5" t="s">
        <v>41</v>
      </c>
      <c r="C113" s="153" t="s">
        <v>32</v>
      </c>
    </row>
    <row r="114" spans="1:3" x14ac:dyDescent="0.2">
      <c r="A114" s="162">
        <v>40299</v>
      </c>
      <c r="B114" s="5" t="s">
        <v>31</v>
      </c>
      <c r="C114" s="153" t="s">
        <v>33</v>
      </c>
    </row>
    <row r="115" spans="1:3" x14ac:dyDescent="0.2">
      <c r="A115" s="162">
        <v>40332</v>
      </c>
      <c r="B115" s="5" t="s">
        <v>34</v>
      </c>
      <c r="C115" s="153" t="s">
        <v>35</v>
      </c>
    </row>
    <row r="116" spans="1:3" x14ac:dyDescent="0.2">
      <c r="A116" s="162">
        <v>40428</v>
      </c>
      <c r="B116" s="5" t="s">
        <v>27</v>
      </c>
      <c r="C116" s="153" t="s">
        <v>36</v>
      </c>
    </row>
    <row r="117" spans="1:3" ht="14.25" x14ac:dyDescent="0.2">
      <c r="A117" s="162">
        <v>40463</v>
      </c>
      <c r="B117" s="5" t="s">
        <v>27</v>
      </c>
      <c r="C117" s="153" t="s">
        <v>43</v>
      </c>
    </row>
    <row r="118" spans="1:3" x14ac:dyDescent="0.2">
      <c r="A118" s="162">
        <v>40484</v>
      </c>
      <c r="B118" s="5" t="s">
        <v>27</v>
      </c>
      <c r="C118" s="153" t="s">
        <v>37</v>
      </c>
    </row>
    <row r="119" spans="1:3" x14ac:dyDescent="0.2">
      <c r="A119" s="162">
        <v>40497</v>
      </c>
      <c r="B119" s="5" t="s">
        <v>24</v>
      </c>
      <c r="C119" s="153" t="s">
        <v>38</v>
      </c>
    </row>
    <row r="120" spans="1:3" x14ac:dyDescent="0.2">
      <c r="A120" s="162">
        <v>40537</v>
      </c>
      <c r="B120" s="5" t="s">
        <v>31</v>
      </c>
      <c r="C120" s="153" t="s">
        <v>39</v>
      </c>
    </row>
    <row r="121" spans="1:3" x14ac:dyDescent="0.2">
      <c r="A121" s="162">
        <v>40544</v>
      </c>
      <c r="B121" s="5" t="s">
        <v>31</v>
      </c>
      <c r="C121" s="153" t="s">
        <v>25</v>
      </c>
    </row>
    <row r="122" spans="1:3" x14ac:dyDescent="0.2">
      <c r="A122" s="162">
        <v>40609</v>
      </c>
      <c r="B122" s="5" t="s">
        <v>24</v>
      </c>
      <c r="C122" s="153" t="s">
        <v>26</v>
      </c>
    </row>
    <row r="123" spans="1:3" x14ac:dyDescent="0.2">
      <c r="A123" s="162">
        <v>40610</v>
      </c>
      <c r="B123" s="5" t="s">
        <v>27</v>
      </c>
      <c r="C123" s="153" t="s">
        <v>28</v>
      </c>
    </row>
    <row r="124" spans="1:3" x14ac:dyDescent="0.2">
      <c r="A124" s="162">
        <v>40654</v>
      </c>
      <c r="B124" s="5" t="s">
        <v>34</v>
      </c>
      <c r="C124" s="153" t="s">
        <v>32</v>
      </c>
    </row>
    <row r="125" spans="1:3" x14ac:dyDescent="0.2">
      <c r="A125" s="162">
        <v>40655</v>
      </c>
      <c r="B125" s="5" t="s">
        <v>29</v>
      </c>
      <c r="C125" s="153" t="s">
        <v>30</v>
      </c>
    </row>
    <row r="126" spans="1:3" x14ac:dyDescent="0.2">
      <c r="A126" s="162">
        <v>40664</v>
      </c>
      <c r="B126" s="5" t="s">
        <v>40</v>
      </c>
      <c r="C126" s="153" t="s">
        <v>33</v>
      </c>
    </row>
    <row r="127" spans="1:3" x14ac:dyDescent="0.2">
      <c r="A127" s="162">
        <v>40717</v>
      </c>
      <c r="B127" s="5" t="s">
        <v>34</v>
      </c>
      <c r="C127" s="153" t="s">
        <v>35</v>
      </c>
    </row>
    <row r="128" spans="1:3" x14ac:dyDescent="0.2">
      <c r="A128" s="162">
        <v>40793</v>
      </c>
      <c r="B128" s="5" t="s">
        <v>41</v>
      </c>
      <c r="C128" s="153" t="s">
        <v>36</v>
      </c>
    </row>
    <row r="129" spans="1:3" ht="14.25" x14ac:dyDescent="0.2">
      <c r="A129" s="162">
        <v>40828</v>
      </c>
      <c r="B129" s="5" t="s">
        <v>41</v>
      </c>
      <c r="C129" s="153" t="s">
        <v>43</v>
      </c>
    </row>
    <row r="130" spans="1:3" x14ac:dyDescent="0.2">
      <c r="A130" s="162">
        <v>40849</v>
      </c>
      <c r="B130" s="5" t="s">
        <v>41</v>
      </c>
      <c r="C130" s="153" t="s">
        <v>37</v>
      </c>
    </row>
    <row r="131" spans="1:3" x14ac:dyDescent="0.2">
      <c r="A131" s="162">
        <v>40862</v>
      </c>
      <c r="B131" s="5" t="s">
        <v>27</v>
      </c>
      <c r="C131" s="153" t="s">
        <v>38</v>
      </c>
    </row>
    <row r="132" spans="1:3" x14ac:dyDescent="0.2">
      <c r="A132" s="162">
        <v>40902</v>
      </c>
      <c r="B132" s="5" t="s">
        <v>40</v>
      </c>
      <c r="C132" s="153" t="s">
        <v>39</v>
      </c>
    </row>
    <row r="133" spans="1:3" x14ac:dyDescent="0.2">
      <c r="A133" s="162">
        <v>40909</v>
      </c>
      <c r="B133" s="5" t="s">
        <v>40</v>
      </c>
      <c r="C133" s="153" t="s">
        <v>25</v>
      </c>
    </row>
    <row r="134" spans="1:3" x14ac:dyDescent="0.2">
      <c r="A134" s="162">
        <v>40959</v>
      </c>
      <c r="B134" s="5" t="s">
        <v>24</v>
      </c>
      <c r="C134" s="153" t="s">
        <v>26</v>
      </c>
    </row>
    <row r="135" spans="1:3" x14ac:dyDescent="0.2">
      <c r="A135" s="162">
        <v>40960</v>
      </c>
      <c r="B135" s="5" t="s">
        <v>27</v>
      </c>
      <c r="C135" s="153" t="s">
        <v>28</v>
      </c>
    </row>
    <row r="136" spans="1:3" x14ac:dyDescent="0.2">
      <c r="A136" s="162">
        <v>41005</v>
      </c>
      <c r="B136" s="5" t="s">
        <v>29</v>
      </c>
      <c r="C136" s="153" t="s">
        <v>30</v>
      </c>
    </row>
    <row r="137" spans="1:3" x14ac:dyDescent="0.2">
      <c r="A137" s="162">
        <v>41020</v>
      </c>
      <c r="B137" s="5" t="s">
        <v>31</v>
      </c>
      <c r="C137" s="153" t="s">
        <v>32</v>
      </c>
    </row>
    <row r="138" spans="1:3" x14ac:dyDescent="0.2">
      <c r="A138" s="162">
        <v>41030</v>
      </c>
      <c r="B138" s="5" t="s">
        <v>27</v>
      </c>
      <c r="C138" s="153" t="s">
        <v>33</v>
      </c>
    </row>
    <row r="139" spans="1:3" x14ac:dyDescent="0.2">
      <c r="A139" s="162">
        <v>41067</v>
      </c>
      <c r="B139" s="5" t="s">
        <v>34</v>
      </c>
      <c r="C139" s="153" t="s">
        <v>35</v>
      </c>
    </row>
    <row r="140" spans="1:3" x14ac:dyDescent="0.2">
      <c r="A140" s="162">
        <v>41159</v>
      </c>
      <c r="B140" s="5" t="s">
        <v>29</v>
      </c>
      <c r="C140" s="153" t="s">
        <v>36</v>
      </c>
    </row>
    <row r="141" spans="1:3" ht="14.25" x14ac:dyDescent="0.2">
      <c r="A141" s="162">
        <v>41194</v>
      </c>
      <c r="B141" s="5" t="s">
        <v>29</v>
      </c>
      <c r="C141" s="153" t="s">
        <v>43</v>
      </c>
    </row>
    <row r="142" spans="1:3" x14ac:dyDescent="0.2">
      <c r="A142" s="162">
        <v>41215</v>
      </c>
      <c r="B142" s="5" t="s">
        <v>29</v>
      </c>
      <c r="C142" s="153" t="s">
        <v>37</v>
      </c>
    </row>
    <row r="143" spans="1:3" x14ac:dyDescent="0.2">
      <c r="A143" s="162">
        <v>41228</v>
      </c>
      <c r="B143" s="5" t="s">
        <v>34</v>
      </c>
      <c r="C143" s="153" t="s">
        <v>38</v>
      </c>
    </row>
    <row r="144" spans="1:3" x14ac:dyDescent="0.2">
      <c r="A144" s="162">
        <v>41268</v>
      </c>
      <c r="B144" s="5" t="s">
        <v>27</v>
      </c>
      <c r="C144" s="153" t="s">
        <v>39</v>
      </c>
    </row>
    <row r="145" spans="1:3" x14ac:dyDescent="0.2">
      <c r="A145" s="162">
        <v>41275</v>
      </c>
      <c r="B145" s="5" t="s">
        <v>27</v>
      </c>
      <c r="C145" s="153" t="s">
        <v>25</v>
      </c>
    </row>
    <row r="146" spans="1:3" x14ac:dyDescent="0.2">
      <c r="A146" s="162">
        <v>41316</v>
      </c>
      <c r="B146" s="5" t="s">
        <v>24</v>
      </c>
      <c r="C146" s="153" t="s">
        <v>26</v>
      </c>
    </row>
    <row r="147" spans="1:3" x14ac:dyDescent="0.2">
      <c r="A147" s="162">
        <v>41317</v>
      </c>
      <c r="B147" s="5" t="s">
        <v>27</v>
      </c>
      <c r="C147" s="153" t="s">
        <v>28</v>
      </c>
    </row>
    <row r="148" spans="1:3" x14ac:dyDescent="0.2">
      <c r="A148" s="162">
        <v>41362</v>
      </c>
      <c r="B148" s="5" t="s">
        <v>29</v>
      </c>
      <c r="C148" s="153" t="s">
        <v>30</v>
      </c>
    </row>
    <row r="149" spans="1:3" x14ac:dyDescent="0.2">
      <c r="A149" s="162">
        <v>41385</v>
      </c>
      <c r="B149" s="5" t="s">
        <v>40</v>
      </c>
      <c r="C149" s="153" t="s">
        <v>32</v>
      </c>
    </row>
    <row r="150" spans="1:3" x14ac:dyDescent="0.2">
      <c r="A150" s="162">
        <v>41395</v>
      </c>
      <c r="B150" s="5" t="s">
        <v>41</v>
      </c>
      <c r="C150" s="153" t="s">
        <v>33</v>
      </c>
    </row>
    <row r="151" spans="1:3" x14ac:dyDescent="0.2">
      <c r="A151" s="162">
        <v>41424</v>
      </c>
      <c r="B151" s="5" t="s">
        <v>34</v>
      </c>
      <c r="C151" s="153" t="s">
        <v>35</v>
      </c>
    </row>
    <row r="152" spans="1:3" x14ac:dyDescent="0.2">
      <c r="A152" s="162">
        <v>41524</v>
      </c>
      <c r="B152" s="5" t="s">
        <v>31</v>
      </c>
      <c r="C152" s="153" t="s">
        <v>36</v>
      </c>
    </row>
    <row r="153" spans="1:3" ht="14.25" x14ac:dyDescent="0.2">
      <c r="A153" s="162">
        <v>41559</v>
      </c>
      <c r="B153" s="5" t="s">
        <v>31</v>
      </c>
      <c r="C153" s="153" t="s">
        <v>43</v>
      </c>
    </row>
    <row r="154" spans="1:3" x14ac:dyDescent="0.2">
      <c r="A154" s="162">
        <v>41580</v>
      </c>
      <c r="B154" s="5" t="s">
        <v>31</v>
      </c>
      <c r="C154" s="153" t="s">
        <v>37</v>
      </c>
    </row>
    <row r="155" spans="1:3" x14ac:dyDescent="0.2">
      <c r="A155" s="162">
        <v>41593</v>
      </c>
      <c r="B155" s="5" t="s">
        <v>29</v>
      </c>
      <c r="C155" s="153" t="s">
        <v>38</v>
      </c>
    </row>
    <row r="156" spans="1:3" x14ac:dyDescent="0.2">
      <c r="A156" s="162">
        <v>41633</v>
      </c>
      <c r="B156" s="5" t="s">
        <v>41</v>
      </c>
      <c r="C156" s="153" t="s">
        <v>39</v>
      </c>
    </row>
    <row r="157" spans="1:3" x14ac:dyDescent="0.2">
      <c r="A157" s="162">
        <v>41640</v>
      </c>
      <c r="B157" s="5" t="s">
        <v>41</v>
      </c>
      <c r="C157" s="153" t="s">
        <v>25</v>
      </c>
    </row>
    <row r="158" spans="1:3" x14ac:dyDescent="0.2">
      <c r="A158" s="162">
        <v>41701</v>
      </c>
      <c r="B158" s="5" t="s">
        <v>24</v>
      </c>
      <c r="C158" s="153" t="s">
        <v>26</v>
      </c>
    </row>
    <row r="159" spans="1:3" x14ac:dyDescent="0.2">
      <c r="A159" s="162">
        <v>41702</v>
      </c>
      <c r="B159" s="5" t="s">
        <v>27</v>
      </c>
      <c r="C159" s="153" t="s">
        <v>28</v>
      </c>
    </row>
    <row r="160" spans="1:3" x14ac:dyDescent="0.2">
      <c r="A160" s="162">
        <v>41747</v>
      </c>
      <c r="B160" s="5" t="s">
        <v>29</v>
      </c>
      <c r="C160" s="153" t="s">
        <v>30</v>
      </c>
    </row>
    <row r="161" spans="1:3" x14ac:dyDescent="0.2">
      <c r="A161" s="162">
        <v>41750</v>
      </c>
      <c r="B161" s="5" t="s">
        <v>24</v>
      </c>
      <c r="C161" s="153" t="s">
        <v>32</v>
      </c>
    </row>
    <row r="162" spans="1:3" x14ac:dyDescent="0.2">
      <c r="A162" s="162">
        <v>41760</v>
      </c>
      <c r="B162" s="5" t="s">
        <v>34</v>
      </c>
      <c r="C162" s="153" t="s">
        <v>33</v>
      </c>
    </row>
    <row r="163" spans="1:3" x14ac:dyDescent="0.2">
      <c r="A163" s="162">
        <v>41809</v>
      </c>
      <c r="B163" s="5" t="s">
        <v>34</v>
      </c>
      <c r="C163" s="153" t="s">
        <v>35</v>
      </c>
    </row>
    <row r="164" spans="1:3" x14ac:dyDescent="0.2">
      <c r="A164" s="162">
        <v>41889</v>
      </c>
      <c r="B164" s="5" t="s">
        <v>40</v>
      </c>
      <c r="C164" s="153" t="s">
        <v>36</v>
      </c>
    </row>
    <row r="165" spans="1:3" ht="14.25" x14ac:dyDescent="0.2">
      <c r="A165" s="162">
        <v>41924</v>
      </c>
      <c r="B165" s="5" t="s">
        <v>40</v>
      </c>
      <c r="C165" s="153" t="s">
        <v>43</v>
      </c>
    </row>
    <row r="166" spans="1:3" x14ac:dyDescent="0.2">
      <c r="A166" s="162">
        <v>41945</v>
      </c>
      <c r="B166" s="5" t="s">
        <v>40</v>
      </c>
      <c r="C166" s="153" t="s">
        <v>37</v>
      </c>
    </row>
    <row r="167" spans="1:3" x14ac:dyDescent="0.2">
      <c r="A167" s="162">
        <v>41958</v>
      </c>
      <c r="B167" s="5" t="s">
        <v>31</v>
      </c>
      <c r="C167" s="153" t="s">
        <v>38</v>
      </c>
    </row>
    <row r="168" spans="1:3" x14ac:dyDescent="0.2">
      <c r="A168" s="162">
        <v>41998</v>
      </c>
      <c r="B168" s="5" t="s">
        <v>34</v>
      </c>
      <c r="C168" s="153" t="s">
        <v>39</v>
      </c>
    </row>
    <row r="169" spans="1:3" x14ac:dyDescent="0.2">
      <c r="A169" s="162">
        <v>42005</v>
      </c>
      <c r="B169" s="5" t="s">
        <v>34</v>
      </c>
      <c r="C169" s="153" t="s">
        <v>25</v>
      </c>
    </row>
    <row r="170" spans="1:3" x14ac:dyDescent="0.2">
      <c r="A170" s="162">
        <v>42051</v>
      </c>
      <c r="B170" s="5" t="s">
        <v>24</v>
      </c>
      <c r="C170" s="153" t="s">
        <v>26</v>
      </c>
    </row>
    <row r="171" spans="1:3" x14ac:dyDescent="0.2">
      <c r="A171" s="162">
        <v>42052</v>
      </c>
      <c r="B171" s="5" t="s">
        <v>27</v>
      </c>
      <c r="C171" s="153" t="s">
        <v>28</v>
      </c>
    </row>
    <row r="172" spans="1:3" x14ac:dyDescent="0.2">
      <c r="A172" s="162">
        <v>42097</v>
      </c>
      <c r="B172" s="5" t="s">
        <v>29</v>
      </c>
      <c r="C172" s="153" t="s">
        <v>30</v>
      </c>
    </row>
    <row r="173" spans="1:3" x14ac:dyDescent="0.2">
      <c r="A173" s="162">
        <v>42115</v>
      </c>
      <c r="B173" s="5" t="s">
        <v>27</v>
      </c>
      <c r="C173" s="153" t="s">
        <v>32</v>
      </c>
    </row>
    <row r="174" spans="1:3" x14ac:dyDescent="0.2">
      <c r="A174" s="162">
        <v>42125</v>
      </c>
      <c r="B174" s="5" t="s">
        <v>29</v>
      </c>
      <c r="C174" s="153" t="s">
        <v>33</v>
      </c>
    </row>
    <row r="175" spans="1:3" x14ac:dyDescent="0.2">
      <c r="A175" s="162">
        <v>42159</v>
      </c>
      <c r="B175" s="5" t="s">
        <v>34</v>
      </c>
      <c r="C175" s="153" t="s">
        <v>35</v>
      </c>
    </row>
    <row r="176" spans="1:3" x14ac:dyDescent="0.2">
      <c r="A176" s="162">
        <v>42254</v>
      </c>
      <c r="B176" s="5" t="s">
        <v>24</v>
      </c>
      <c r="C176" s="153" t="s">
        <v>36</v>
      </c>
    </row>
    <row r="177" spans="1:3" ht="14.25" x14ac:dyDescent="0.2">
      <c r="A177" s="162">
        <v>42289</v>
      </c>
      <c r="B177" s="5" t="s">
        <v>24</v>
      </c>
      <c r="C177" s="153" t="s">
        <v>43</v>
      </c>
    </row>
    <row r="178" spans="1:3" x14ac:dyDescent="0.2">
      <c r="A178" s="162">
        <v>42310</v>
      </c>
      <c r="B178" s="5" t="s">
        <v>24</v>
      </c>
      <c r="C178" s="153" t="s">
        <v>37</v>
      </c>
    </row>
    <row r="179" spans="1:3" x14ac:dyDescent="0.2">
      <c r="A179" s="162">
        <v>42323</v>
      </c>
      <c r="B179" s="5" t="s">
        <v>40</v>
      </c>
      <c r="C179" s="153" t="s">
        <v>38</v>
      </c>
    </row>
    <row r="180" spans="1:3" x14ac:dyDescent="0.2">
      <c r="A180" s="162">
        <v>42363</v>
      </c>
      <c r="B180" s="5" t="s">
        <v>29</v>
      </c>
      <c r="C180" s="153" t="s">
        <v>39</v>
      </c>
    </row>
    <row r="181" spans="1:3" x14ac:dyDescent="0.2">
      <c r="A181" s="162">
        <v>42370</v>
      </c>
      <c r="B181" s="5" t="s">
        <v>29</v>
      </c>
      <c r="C181" s="153" t="s">
        <v>25</v>
      </c>
    </row>
    <row r="182" spans="1:3" x14ac:dyDescent="0.2">
      <c r="A182" s="162">
        <v>42408</v>
      </c>
      <c r="B182" s="5" t="s">
        <v>24</v>
      </c>
      <c r="C182" s="153" t="s">
        <v>26</v>
      </c>
    </row>
    <row r="183" spans="1:3" x14ac:dyDescent="0.2">
      <c r="A183" s="162">
        <v>42409</v>
      </c>
      <c r="B183" s="5" t="s">
        <v>27</v>
      </c>
      <c r="C183" s="153" t="s">
        <v>28</v>
      </c>
    </row>
    <row r="184" spans="1:3" x14ac:dyDescent="0.2">
      <c r="A184" s="162">
        <v>42454</v>
      </c>
      <c r="B184" s="5" t="s">
        <v>29</v>
      </c>
      <c r="C184" s="153" t="s">
        <v>30</v>
      </c>
    </row>
    <row r="185" spans="1:3" x14ac:dyDescent="0.2">
      <c r="A185" s="162">
        <v>42481</v>
      </c>
      <c r="B185" s="5" t="s">
        <v>34</v>
      </c>
      <c r="C185" s="153" t="s">
        <v>32</v>
      </c>
    </row>
    <row r="186" spans="1:3" x14ac:dyDescent="0.2">
      <c r="A186" s="162">
        <v>42491</v>
      </c>
      <c r="B186" s="5" t="s">
        <v>40</v>
      </c>
      <c r="C186" s="153" t="s">
        <v>33</v>
      </c>
    </row>
    <row r="187" spans="1:3" x14ac:dyDescent="0.2">
      <c r="A187" s="162">
        <v>42516</v>
      </c>
      <c r="B187" s="5" t="s">
        <v>34</v>
      </c>
      <c r="C187" s="153" t="s">
        <v>35</v>
      </c>
    </row>
    <row r="188" spans="1:3" x14ac:dyDescent="0.2">
      <c r="A188" s="162">
        <v>42620</v>
      </c>
      <c r="B188" s="5" t="s">
        <v>41</v>
      </c>
      <c r="C188" s="153" t="s">
        <v>36</v>
      </c>
    </row>
    <row r="189" spans="1:3" ht="14.25" x14ac:dyDescent="0.2">
      <c r="A189" s="162">
        <v>42655</v>
      </c>
      <c r="B189" s="5" t="s">
        <v>41</v>
      </c>
      <c r="C189" s="153" t="s">
        <v>43</v>
      </c>
    </row>
    <row r="190" spans="1:3" x14ac:dyDescent="0.2">
      <c r="A190" s="162">
        <v>42676</v>
      </c>
      <c r="B190" s="5" t="s">
        <v>41</v>
      </c>
      <c r="C190" s="153" t="s">
        <v>37</v>
      </c>
    </row>
    <row r="191" spans="1:3" x14ac:dyDescent="0.2">
      <c r="A191" s="162">
        <v>42689</v>
      </c>
      <c r="B191" s="5" t="s">
        <v>27</v>
      </c>
      <c r="C191" s="153" t="s">
        <v>38</v>
      </c>
    </row>
    <row r="192" spans="1:3" x14ac:dyDescent="0.2">
      <c r="A192" s="162">
        <v>42729</v>
      </c>
      <c r="B192" s="5" t="s">
        <v>40</v>
      </c>
      <c r="C192" s="153" t="s">
        <v>39</v>
      </c>
    </row>
    <row r="193" spans="1:3" x14ac:dyDescent="0.2">
      <c r="A193" s="162">
        <v>42736</v>
      </c>
      <c r="B193" s="5" t="s">
        <v>40</v>
      </c>
      <c r="C193" s="153" t="s">
        <v>25</v>
      </c>
    </row>
    <row r="194" spans="1:3" x14ac:dyDescent="0.2">
      <c r="A194" s="162">
        <v>42793</v>
      </c>
      <c r="B194" s="5" t="s">
        <v>24</v>
      </c>
      <c r="C194" s="153" t="s">
        <v>26</v>
      </c>
    </row>
    <row r="195" spans="1:3" x14ac:dyDescent="0.2">
      <c r="A195" s="162">
        <v>42794</v>
      </c>
      <c r="B195" s="5" t="s">
        <v>27</v>
      </c>
      <c r="C195" s="153" t="s">
        <v>28</v>
      </c>
    </row>
    <row r="196" spans="1:3" x14ac:dyDescent="0.2">
      <c r="A196" s="162">
        <v>42839</v>
      </c>
      <c r="B196" s="5" t="s">
        <v>29</v>
      </c>
      <c r="C196" s="153" t="s">
        <v>30</v>
      </c>
    </row>
    <row r="197" spans="1:3" x14ac:dyDescent="0.2">
      <c r="A197" s="162">
        <v>42846</v>
      </c>
      <c r="B197" s="5" t="s">
        <v>29</v>
      </c>
      <c r="C197" s="153" t="s">
        <v>32</v>
      </c>
    </row>
    <row r="198" spans="1:3" x14ac:dyDescent="0.2">
      <c r="A198" s="162">
        <v>42856</v>
      </c>
      <c r="B198" s="5" t="s">
        <v>24</v>
      </c>
      <c r="C198" s="153" t="s">
        <v>33</v>
      </c>
    </row>
    <row r="199" spans="1:3" x14ac:dyDescent="0.2">
      <c r="A199" s="162">
        <v>42901</v>
      </c>
      <c r="B199" s="5" t="s">
        <v>34</v>
      </c>
      <c r="C199" s="153" t="s">
        <v>35</v>
      </c>
    </row>
    <row r="200" spans="1:3" x14ac:dyDescent="0.2">
      <c r="A200" s="162">
        <v>42985</v>
      </c>
      <c r="B200" s="5" t="s">
        <v>34</v>
      </c>
      <c r="C200" s="153" t="s">
        <v>36</v>
      </c>
    </row>
    <row r="201" spans="1:3" ht="14.25" x14ac:dyDescent="0.2">
      <c r="A201" s="162">
        <v>43020</v>
      </c>
      <c r="B201" s="5" t="s">
        <v>34</v>
      </c>
      <c r="C201" s="153" t="s">
        <v>43</v>
      </c>
    </row>
    <row r="202" spans="1:3" x14ac:dyDescent="0.2">
      <c r="A202" s="162">
        <v>43041</v>
      </c>
      <c r="B202" s="5" t="s">
        <v>34</v>
      </c>
      <c r="C202" s="153" t="s">
        <v>37</v>
      </c>
    </row>
    <row r="203" spans="1:3" x14ac:dyDescent="0.2">
      <c r="A203" s="162">
        <v>43054</v>
      </c>
      <c r="B203" s="5" t="s">
        <v>41</v>
      </c>
      <c r="C203" s="153" t="s">
        <v>38</v>
      </c>
    </row>
    <row r="204" spans="1:3" x14ac:dyDescent="0.2">
      <c r="A204" s="162">
        <v>43094</v>
      </c>
      <c r="B204" s="5" t="s">
        <v>24</v>
      </c>
      <c r="C204" s="153" t="s">
        <v>39</v>
      </c>
    </row>
    <row r="205" spans="1:3" x14ac:dyDescent="0.2">
      <c r="A205" s="162">
        <v>43101</v>
      </c>
      <c r="B205" s="5" t="s">
        <v>24</v>
      </c>
      <c r="C205" s="153" t="s">
        <v>25</v>
      </c>
    </row>
    <row r="206" spans="1:3" x14ac:dyDescent="0.2">
      <c r="A206" s="162">
        <v>43143</v>
      </c>
      <c r="B206" s="5" t="s">
        <v>24</v>
      </c>
      <c r="C206" s="153" t="s">
        <v>26</v>
      </c>
    </row>
    <row r="207" spans="1:3" x14ac:dyDescent="0.2">
      <c r="A207" s="162">
        <v>43144</v>
      </c>
      <c r="B207" s="5" t="s">
        <v>27</v>
      </c>
      <c r="C207" s="153" t="s">
        <v>28</v>
      </c>
    </row>
    <row r="208" spans="1:3" x14ac:dyDescent="0.2">
      <c r="A208" s="162">
        <v>43189</v>
      </c>
      <c r="B208" s="5" t="s">
        <v>29</v>
      </c>
      <c r="C208" s="153" t="s">
        <v>30</v>
      </c>
    </row>
    <row r="209" spans="1:3" x14ac:dyDescent="0.2">
      <c r="A209" s="162">
        <v>43211</v>
      </c>
      <c r="B209" s="5" t="s">
        <v>31</v>
      </c>
      <c r="C209" s="153" t="s">
        <v>32</v>
      </c>
    </row>
    <row r="210" spans="1:3" x14ac:dyDescent="0.2">
      <c r="A210" s="162">
        <v>43221</v>
      </c>
      <c r="B210" s="5" t="s">
        <v>27</v>
      </c>
      <c r="C210" s="153" t="s">
        <v>33</v>
      </c>
    </row>
    <row r="211" spans="1:3" x14ac:dyDescent="0.2">
      <c r="A211" s="162">
        <v>43251</v>
      </c>
      <c r="B211" s="5" t="s">
        <v>34</v>
      </c>
      <c r="C211" s="153" t="s">
        <v>35</v>
      </c>
    </row>
    <row r="212" spans="1:3" x14ac:dyDescent="0.2">
      <c r="A212" s="162">
        <v>43350</v>
      </c>
      <c r="B212" s="5" t="s">
        <v>29</v>
      </c>
      <c r="C212" s="153" t="s">
        <v>36</v>
      </c>
    </row>
    <row r="213" spans="1:3" ht="14.25" x14ac:dyDescent="0.2">
      <c r="A213" s="162">
        <v>43385</v>
      </c>
      <c r="B213" s="5" t="s">
        <v>29</v>
      </c>
      <c r="C213" s="153" t="s">
        <v>43</v>
      </c>
    </row>
    <row r="214" spans="1:3" x14ac:dyDescent="0.2">
      <c r="A214" s="162">
        <v>43406</v>
      </c>
      <c r="B214" s="5" t="s">
        <v>29</v>
      </c>
      <c r="C214" s="153" t="s">
        <v>37</v>
      </c>
    </row>
    <row r="215" spans="1:3" x14ac:dyDescent="0.2">
      <c r="A215" s="162">
        <v>43419</v>
      </c>
      <c r="B215" s="5" t="s">
        <v>34</v>
      </c>
      <c r="C215" s="153" t="s">
        <v>38</v>
      </c>
    </row>
    <row r="216" spans="1:3" x14ac:dyDescent="0.2">
      <c r="A216" s="162">
        <v>43459</v>
      </c>
      <c r="B216" s="5" t="s">
        <v>27</v>
      </c>
      <c r="C216" s="153" t="s">
        <v>39</v>
      </c>
    </row>
    <row r="217" spans="1:3" x14ac:dyDescent="0.2">
      <c r="A217" s="162">
        <v>43466</v>
      </c>
      <c r="B217" s="5" t="s">
        <v>27</v>
      </c>
      <c r="C217" s="153" t="s">
        <v>25</v>
      </c>
    </row>
    <row r="218" spans="1:3" x14ac:dyDescent="0.2">
      <c r="A218" s="162">
        <v>43528</v>
      </c>
      <c r="B218" s="5" t="s">
        <v>24</v>
      </c>
      <c r="C218" s="153" t="s">
        <v>26</v>
      </c>
    </row>
    <row r="219" spans="1:3" x14ac:dyDescent="0.2">
      <c r="A219" s="162">
        <v>43529</v>
      </c>
      <c r="B219" s="5" t="s">
        <v>27</v>
      </c>
      <c r="C219" s="153" t="s">
        <v>28</v>
      </c>
    </row>
    <row r="220" spans="1:3" x14ac:dyDescent="0.2">
      <c r="A220" s="162">
        <v>43574</v>
      </c>
      <c r="B220" s="5" t="s">
        <v>29</v>
      </c>
      <c r="C220" s="153" t="s">
        <v>30</v>
      </c>
    </row>
    <row r="221" spans="1:3" x14ac:dyDescent="0.2">
      <c r="A221" s="162">
        <v>43576</v>
      </c>
      <c r="B221" s="5" t="s">
        <v>40</v>
      </c>
      <c r="C221" s="153" t="s">
        <v>32</v>
      </c>
    </row>
    <row r="222" spans="1:3" x14ac:dyDescent="0.2">
      <c r="A222" s="162">
        <v>43586</v>
      </c>
      <c r="B222" s="5" t="s">
        <v>41</v>
      </c>
      <c r="C222" s="153" t="s">
        <v>33</v>
      </c>
    </row>
    <row r="223" spans="1:3" x14ac:dyDescent="0.2">
      <c r="A223" s="162">
        <v>43636</v>
      </c>
      <c r="B223" s="5" t="s">
        <v>34</v>
      </c>
      <c r="C223" s="153" t="s">
        <v>35</v>
      </c>
    </row>
    <row r="224" spans="1:3" x14ac:dyDescent="0.2">
      <c r="A224" s="162">
        <v>43715</v>
      </c>
      <c r="B224" s="5" t="s">
        <v>31</v>
      </c>
      <c r="C224" s="153" t="s">
        <v>36</v>
      </c>
    </row>
    <row r="225" spans="1:3" ht="14.25" x14ac:dyDescent="0.2">
      <c r="A225" s="162">
        <v>43750</v>
      </c>
      <c r="B225" s="5" t="s">
        <v>31</v>
      </c>
      <c r="C225" s="153" t="s">
        <v>43</v>
      </c>
    </row>
    <row r="226" spans="1:3" x14ac:dyDescent="0.2">
      <c r="A226" s="162">
        <v>43771</v>
      </c>
      <c r="B226" s="5" t="s">
        <v>31</v>
      </c>
      <c r="C226" s="153" t="s">
        <v>37</v>
      </c>
    </row>
    <row r="227" spans="1:3" x14ac:dyDescent="0.2">
      <c r="A227" s="162">
        <v>43784</v>
      </c>
      <c r="B227" s="5" t="s">
        <v>29</v>
      </c>
      <c r="C227" s="153" t="s">
        <v>38</v>
      </c>
    </row>
    <row r="228" spans="1:3" x14ac:dyDescent="0.2">
      <c r="A228" s="162">
        <v>43824</v>
      </c>
      <c r="B228" s="5" t="s">
        <v>41</v>
      </c>
      <c r="C228" s="153" t="s">
        <v>39</v>
      </c>
    </row>
    <row r="229" spans="1:3" x14ac:dyDescent="0.2">
      <c r="A229" s="162">
        <v>43831</v>
      </c>
      <c r="B229" s="5" t="s">
        <v>41</v>
      </c>
      <c r="C229" s="153" t="s">
        <v>25</v>
      </c>
    </row>
    <row r="230" spans="1:3" x14ac:dyDescent="0.2">
      <c r="A230" s="162">
        <v>43885</v>
      </c>
      <c r="B230" s="5" t="s">
        <v>24</v>
      </c>
      <c r="C230" s="153" t="s">
        <v>26</v>
      </c>
    </row>
    <row r="231" spans="1:3" x14ac:dyDescent="0.2">
      <c r="A231" s="162">
        <v>43886</v>
      </c>
      <c r="B231" s="5" t="s">
        <v>27</v>
      </c>
      <c r="C231" s="153" t="s">
        <v>28</v>
      </c>
    </row>
    <row r="232" spans="1:3" x14ac:dyDescent="0.2">
      <c r="A232" s="162">
        <v>43931</v>
      </c>
      <c r="B232" s="5" t="s">
        <v>29</v>
      </c>
      <c r="C232" s="153" t="s">
        <v>30</v>
      </c>
    </row>
    <row r="233" spans="1:3" x14ac:dyDescent="0.2">
      <c r="A233" s="162">
        <v>43942</v>
      </c>
      <c r="B233" s="5" t="s">
        <v>27</v>
      </c>
      <c r="C233" s="153" t="s">
        <v>32</v>
      </c>
    </row>
    <row r="234" spans="1:3" x14ac:dyDescent="0.2">
      <c r="A234" s="162">
        <v>43952</v>
      </c>
      <c r="B234" s="5" t="s">
        <v>29</v>
      </c>
      <c r="C234" s="153" t="s">
        <v>33</v>
      </c>
    </row>
    <row r="235" spans="1:3" x14ac:dyDescent="0.2">
      <c r="A235" s="162">
        <v>43993</v>
      </c>
      <c r="B235" s="5" t="s">
        <v>34</v>
      </c>
      <c r="C235" s="153" t="s">
        <v>35</v>
      </c>
    </row>
    <row r="236" spans="1:3" x14ac:dyDescent="0.2">
      <c r="A236" s="162">
        <v>44081</v>
      </c>
      <c r="B236" s="5" t="s">
        <v>24</v>
      </c>
      <c r="C236" s="153" t="s">
        <v>36</v>
      </c>
    </row>
    <row r="237" spans="1:3" ht="14.25" x14ac:dyDescent="0.2">
      <c r="A237" s="162">
        <v>44116</v>
      </c>
      <c r="B237" s="5" t="s">
        <v>24</v>
      </c>
      <c r="C237" s="153" t="s">
        <v>43</v>
      </c>
    </row>
    <row r="238" spans="1:3" x14ac:dyDescent="0.2">
      <c r="A238" s="162">
        <v>44137</v>
      </c>
      <c r="B238" s="5" t="s">
        <v>24</v>
      </c>
      <c r="C238" s="153" t="s">
        <v>37</v>
      </c>
    </row>
    <row r="239" spans="1:3" x14ac:dyDescent="0.2">
      <c r="A239" s="162">
        <v>44150</v>
      </c>
      <c r="B239" s="5" t="s">
        <v>40</v>
      </c>
      <c r="C239" s="153" t="s">
        <v>38</v>
      </c>
    </row>
    <row r="240" spans="1:3" x14ac:dyDescent="0.2">
      <c r="A240" s="162">
        <v>44190</v>
      </c>
      <c r="B240" s="5" t="s">
        <v>29</v>
      </c>
      <c r="C240" s="153" t="s">
        <v>39</v>
      </c>
    </row>
    <row r="241" spans="1:3" x14ac:dyDescent="0.2">
      <c r="A241" s="162">
        <v>44197</v>
      </c>
      <c r="B241" s="5" t="s">
        <v>29</v>
      </c>
      <c r="C241" s="153" t="s">
        <v>25</v>
      </c>
    </row>
    <row r="242" spans="1:3" x14ac:dyDescent="0.2">
      <c r="A242" s="162">
        <v>44242</v>
      </c>
      <c r="B242" s="5" t="s">
        <v>24</v>
      </c>
      <c r="C242" s="153" t="s">
        <v>26</v>
      </c>
    </row>
    <row r="243" spans="1:3" x14ac:dyDescent="0.2">
      <c r="A243" s="162">
        <v>44243</v>
      </c>
      <c r="B243" s="5" t="s">
        <v>27</v>
      </c>
      <c r="C243" s="153" t="s">
        <v>28</v>
      </c>
    </row>
    <row r="244" spans="1:3" x14ac:dyDescent="0.2">
      <c r="A244" s="162">
        <v>44288</v>
      </c>
      <c r="B244" s="5" t="s">
        <v>29</v>
      </c>
      <c r="C244" s="153" t="s">
        <v>30</v>
      </c>
    </row>
    <row r="245" spans="1:3" x14ac:dyDescent="0.2">
      <c r="A245" s="162">
        <v>44307</v>
      </c>
      <c r="B245" s="5" t="s">
        <v>41</v>
      </c>
      <c r="C245" s="153" t="s">
        <v>32</v>
      </c>
    </row>
    <row r="246" spans="1:3" x14ac:dyDescent="0.2">
      <c r="A246" s="162">
        <v>44317</v>
      </c>
      <c r="B246" s="5" t="s">
        <v>31</v>
      </c>
      <c r="C246" s="153" t="s">
        <v>33</v>
      </c>
    </row>
    <row r="247" spans="1:3" x14ac:dyDescent="0.2">
      <c r="A247" s="162">
        <v>44350</v>
      </c>
      <c r="B247" s="5" t="s">
        <v>34</v>
      </c>
      <c r="C247" s="153" t="s">
        <v>35</v>
      </c>
    </row>
    <row r="248" spans="1:3" x14ac:dyDescent="0.2">
      <c r="A248" s="162">
        <v>44446</v>
      </c>
      <c r="B248" s="5" t="s">
        <v>27</v>
      </c>
      <c r="C248" s="153" t="s">
        <v>36</v>
      </c>
    </row>
    <row r="249" spans="1:3" ht="14.25" x14ac:dyDescent="0.2">
      <c r="A249" s="162">
        <v>44481</v>
      </c>
      <c r="B249" s="5" t="s">
        <v>27</v>
      </c>
      <c r="C249" s="153" t="s">
        <v>43</v>
      </c>
    </row>
    <row r="250" spans="1:3" x14ac:dyDescent="0.2">
      <c r="A250" s="162">
        <v>44502</v>
      </c>
      <c r="B250" s="5" t="s">
        <v>27</v>
      </c>
      <c r="C250" s="153" t="s">
        <v>37</v>
      </c>
    </row>
    <row r="251" spans="1:3" x14ac:dyDescent="0.2">
      <c r="A251" s="162">
        <v>44515</v>
      </c>
      <c r="B251" s="5" t="s">
        <v>24</v>
      </c>
      <c r="C251" s="153" t="s">
        <v>38</v>
      </c>
    </row>
    <row r="252" spans="1:3" x14ac:dyDescent="0.2">
      <c r="A252" s="162">
        <v>44555</v>
      </c>
      <c r="B252" s="5" t="s">
        <v>31</v>
      </c>
      <c r="C252" s="153" t="s">
        <v>39</v>
      </c>
    </row>
    <row r="253" spans="1:3" x14ac:dyDescent="0.2">
      <c r="A253" s="162">
        <v>44562</v>
      </c>
      <c r="B253" s="5" t="s">
        <v>31</v>
      </c>
      <c r="C253" s="153" t="s">
        <v>25</v>
      </c>
    </row>
    <row r="254" spans="1:3" x14ac:dyDescent="0.2">
      <c r="A254" s="162">
        <v>44620</v>
      </c>
      <c r="B254" s="5" t="s">
        <v>24</v>
      </c>
      <c r="C254" s="153" t="s">
        <v>26</v>
      </c>
    </row>
    <row r="255" spans="1:3" x14ac:dyDescent="0.2">
      <c r="A255" s="162">
        <v>44621</v>
      </c>
      <c r="B255" s="5" t="s">
        <v>27</v>
      </c>
      <c r="C255" s="153" t="s">
        <v>28</v>
      </c>
    </row>
    <row r="256" spans="1:3" x14ac:dyDescent="0.2">
      <c r="A256" s="162">
        <v>44666</v>
      </c>
      <c r="B256" s="5" t="s">
        <v>29</v>
      </c>
      <c r="C256" s="153" t="s">
        <v>30</v>
      </c>
    </row>
    <row r="257" spans="1:3" x14ac:dyDescent="0.2">
      <c r="A257" s="162">
        <v>44672</v>
      </c>
      <c r="B257" s="5" t="s">
        <v>34</v>
      </c>
      <c r="C257" s="153" t="s">
        <v>32</v>
      </c>
    </row>
    <row r="258" spans="1:3" x14ac:dyDescent="0.2">
      <c r="A258" s="162">
        <v>44682</v>
      </c>
      <c r="B258" s="5" t="s">
        <v>40</v>
      </c>
      <c r="C258" s="153" t="s">
        <v>33</v>
      </c>
    </row>
    <row r="259" spans="1:3" x14ac:dyDescent="0.2">
      <c r="A259" s="162">
        <v>44728</v>
      </c>
      <c r="B259" s="5" t="s">
        <v>34</v>
      </c>
      <c r="C259" s="153" t="s">
        <v>35</v>
      </c>
    </row>
    <row r="260" spans="1:3" x14ac:dyDescent="0.2">
      <c r="A260" s="162">
        <v>44811</v>
      </c>
      <c r="B260" s="5" t="s">
        <v>41</v>
      </c>
      <c r="C260" s="153" t="s">
        <v>36</v>
      </c>
    </row>
    <row r="261" spans="1:3" ht="14.25" x14ac:dyDescent="0.2">
      <c r="A261" s="162">
        <v>44846</v>
      </c>
      <c r="B261" s="5" t="s">
        <v>41</v>
      </c>
      <c r="C261" s="153" t="s">
        <v>43</v>
      </c>
    </row>
    <row r="262" spans="1:3" x14ac:dyDescent="0.2">
      <c r="A262" s="162">
        <v>44867</v>
      </c>
      <c r="B262" s="5" t="s">
        <v>41</v>
      </c>
      <c r="C262" s="153" t="s">
        <v>37</v>
      </c>
    </row>
    <row r="263" spans="1:3" x14ac:dyDescent="0.2">
      <c r="A263" s="162">
        <v>44880</v>
      </c>
      <c r="B263" s="5" t="s">
        <v>27</v>
      </c>
      <c r="C263" s="153" t="s">
        <v>38</v>
      </c>
    </row>
    <row r="264" spans="1:3" x14ac:dyDescent="0.2">
      <c r="A264" s="162">
        <v>44920</v>
      </c>
      <c r="B264" s="5" t="s">
        <v>40</v>
      </c>
      <c r="C264" s="153" t="s">
        <v>39</v>
      </c>
    </row>
    <row r="265" spans="1:3" x14ac:dyDescent="0.2">
      <c r="A265" s="162">
        <v>44927</v>
      </c>
      <c r="B265" s="5" t="s">
        <v>40</v>
      </c>
      <c r="C265" s="153" t="s">
        <v>25</v>
      </c>
    </row>
    <row r="266" spans="1:3" x14ac:dyDescent="0.2">
      <c r="A266" s="162">
        <v>44977</v>
      </c>
      <c r="B266" s="5" t="s">
        <v>24</v>
      </c>
      <c r="C266" s="153" t="s">
        <v>26</v>
      </c>
    </row>
    <row r="267" spans="1:3" x14ac:dyDescent="0.2">
      <c r="A267" s="162">
        <v>44978</v>
      </c>
      <c r="B267" s="5" t="s">
        <v>27</v>
      </c>
      <c r="C267" s="153" t="s">
        <v>28</v>
      </c>
    </row>
    <row r="268" spans="1:3" x14ac:dyDescent="0.2">
      <c r="A268" s="162">
        <v>45023</v>
      </c>
      <c r="B268" s="5" t="s">
        <v>29</v>
      </c>
      <c r="C268" s="153" t="s">
        <v>30</v>
      </c>
    </row>
    <row r="269" spans="1:3" x14ac:dyDescent="0.2">
      <c r="A269" s="162">
        <v>45037</v>
      </c>
      <c r="B269" s="5" t="s">
        <v>29</v>
      </c>
      <c r="C269" s="153" t="s">
        <v>32</v>
      </c>
    </row>
    <row r="270" spans="1:3" x14ac:dyDescent="0.2">
      <c r="A270" s="162">
        <v>45047</v>
      </c>
      <c r="B270" s="5" t="s">
        <v>24</v>
      </c>
      <c r="C270" s="153" t="s">
        <v>33</v>
      </c>
    </row>
    <row r="271" spans="1:3" x14ac:dyDescent="0.2">
      <c r="A271" s="162">
        <v>45085</v>
      </c>
      <c r="B271" s="5" t="s">
        <v>34</v>
      </c>
      <c r="C271" s="153" t="s">
        <v>35</v>
      </c>
    </row>
    <row r="272" spans="1:3" x14ac:dyDescent="0.2">
      <c r="A272" s="162">
        <v>45176</v>
      </c>
      <c r="B272" s="5" t="s">
        <v>34</v>
      </c>
      <c r="C272" s="153" t="s">
        <v>36</v>
      </c>
    </row>
    <row r="273" spans="1:3" ht="14.25" x14ac:dyDescent="0.2">
      <c r="A273" s="162">
        <v>45211</v>
      </c>
      <c r="B273" s="5" t="s">
        <v>34</v>
      </c>
      <c r="C273" s="153" t="s">
        <v>43</v>
      </c>
    </row>
    <row r="274" spans="1:3" x14ac:dyDescent="0.2">
      <c r="A274" s="162">
        <v>45232</v>
      </c>
      <c r="B274" s="5" t="s">
        <v>34</v>
      </c>
      <c r="C274" s="153" t="s">
        <v>37</v>
      </c>
    </row>
    <row r="275" spans="1:3" x14ac:dyDescent="0.2">
      <c r="A275" s="162">
        <v>45245</v>
      </c>
      <c r="B275" s="5" t="s">
        <v>41</v>
      </c>
      <c r="C275" s="153" t="s">
        <v>38</v>
      </c>
    </row>
    <row r="276" spans="1:3" x14ac:dyDescent="0.2">
      <c r="A276" s="162">
        <v>45285</v>
      </c>
      <c r="B276" s="5" t="s">
        <v>24</v>
      </c>
      <c r="C276" s="153" t="s">
        <v>39</v>
      </c>
    </row>
    <row r="277" spans="1:3" x14ac:dyDescent="0.2">
      <c r="A277" s="162">
        <v>45292</v>
      </c>
      <c r="B277" s="5" t="s">
        <v>24</v>
      </c>
      <c r="C277" s="153" t="s">
        <v>25</v>
      </c>
    </row>
    <row r="278" spans="1:3" x14ac:dyDescent="0.2">
      <c r="A278" s="162">
        <v>45334</v>
      </c>
      <c r="B278" s="5" t="s">
        <v>24</v>
      </c>
      <c r="C278" s="153" t="s">
        <v>26</v>
      </c>
    </row>
    <row r="279" spans="1:3" x14ac:dyDescent="0.2">
      <c r="A279" s="162">
        <v>45335</v>
      </c>
      <c r="B279" s="5" t="s">
        <v>27</v>
      </c>
      <c r="C279" s="153" t="s">
        <v>28</v>
      </c>
    </row>
    <row r="280" spans="1:3" x14ac:dyDescent="0.2">
      <c r="A280" s="162">
        <v>45380</v>
      </c>
      <c r="B280" s="5" t="s">
        <v>29</v>
      </c>
      <c r="C280" s="153" t="s">
        <v>30</v>
      </c>
    </row>
    <row r="281" spans="1:3" x14ac:dyDescent="0.2">
      <c r="A281" s="162">
        <v>45403</v>
      </c>
      <c r="B281" s="5" t="s">
        <v>40</v>
      </c>
      <c r="C281" s="153" t="s">
        <v>32</v>
      </c>
    </row>
    <row r="282" spans="1:3" x14ac:dyDescent="0.2">
      <c r="A282" s="162">
        <v>45413</v>
      </c>
      <c r="B282" s="5" t="s">
        <v>41</v>
      </c>
      <c r="C282" s="153" t="s">
        <v>33</v>
      </c>
    </row>
    <row r="283" spans="1:3" x14ac:dyDescent="0.2">
      <c r="A283" s="162">
        <v>45442</v>
      </c>
      <c r="B283" s="5" t="s">
        <v>34</v>
      </c>
      <c r="C283" s="153" t="s">
        <v>35</v>
      </c>
    </row>
    <row r="284" spans="1:3" x14ac:dyDescent="0.2">
      <c r="A284" s="162">
        <v>45542</v>
      </c>
      <c r="B284" s="5" t="s">
        <v>31</v>
      </c>
      <c r="C284" s="153" t="s">
        <v>36</v>
      </c>
    </row>
    <row r="285" spans="1:3" ht="14.25" x14ac:dyDescent="0.2">
      <c r="A285" s="162">
        <v>45577</v>
      </c>
      <c r="B285" s="5" t="s">
        <v>31</v>
      </c>
      <c r="C285" s="153" t="s">
        <v>43</v>
      </c>
    </row>
    <row r="286" spans="1:3" x14ac:dyDescent="0.2">
      <c r="A286" s="162">
        <v>45598</v>
      </c>
      <c r="B286" s="5" t="s">
        <v>31</v>
      </c>
      <c r="C286" s="153" t="s">
        <v>37</v>
      </c>
    </row>
    <row r="287" spans="1:3" x14ac:dyDescent="0.2">
      <c r="A287" s="162">
        <v>45611</v>
      </c>
      <c r="B287" s="5" t="s">
        <v>29</v>
      </c>
      <c r="C287" s="153" t="s">
        <v>38</v>
      </c>
    </row>
    <row r="288" spans="1:3" x14ac:dyDescent="0.2">
      <c r="A288" s="162">
        <v>45651</v>
      </c>
      <c r="B288" s="5" t="s">
        <v>41</v>
      </c>
      <c r="C288" s="153" t="s">
        <v>39</v>
      </c>
    </row>
    <row r="289" spans="1:3" x14ac:dyDescent="0.2">
      <c r="A289" s="162">
        <v>45658</v>
      </c>
      <c r="B289" s="5" t="s">
        <v>41</v>
      </c>
      <c r="C289" s="153" t="s">
        <v>25</v>
      </c>
    </row>
    <row r="290" spans="1:3" x14ac:dyDescent="0.2">
      <c r="A290" s="162">
        <v>45719</v>
      </c>
      <c r="B290" s="5" t="s">
        <v>24</v>
      </c>
      <c r="C290" s="153" t="s">
        <v>26</v>
      </c>
    </row>
    <row r="291" spans="1:3" x14ac:dyDescent="0.2">
      <c r="A291" s="162">
        <v>45720</v>
      </c>
      <c r="B291" s="5" t="s">
        <v>27</v>
      </c>
      <c r="C291" s="153" t="s">
        <v>28</v>
      </c>
    </row>
    <row r="292" spans="1:3" x14ac:dyDescent="0.2">
      <c r="A292" s="162">
        <v>45765</v>
      </c>
      <c r="B292" s="5" t="s">
        <v>29</v>
      </c>
      <c r="C292" s="153" t="s">
        <v>30</v>
      </c>
    </row>
    <row r="293" spans="1:3" x14ac:dyDescent="0.2">
      <c r="A293" s="162">
        <v>45768</v>
      </c>
      <c r="B293" s="5" t="s">
        <v>24</v>
      </c>
      <c r="C293" s="153" t="s">
        <v>32</v>
      </c>
    </row>
    <row r="294" spans="1:3" x14ac:dyDescent="0.2">
      <c r="A294" s="162">
        <v>45778</v>
      </c>
      <c r="B294" s="5" t="s">
        <v>34</v>
      </c>
      <c r="C294" s="153" t="s">
        <v>33</v>
      </c>
    </row>
    <row r="295" spans="1:3" x14ac:dyDescent="0.2">
      <c r="A295" s="162">
        <v>45827</v>
      </c>
      <c r="B295" s="5" t="s">
        <v>34</v>
      </c>
      <c r="C295" s="153" t="s">
        <v>35</v>
      </c>
    </row>
    <row r="296" spans="1:3" x14ac:dyDescent="0.2">
      <c r="A296" s="162">
        <v>45907</v>
      </c>
      <c r="B296" s="5" t="s">
        <v>40</v>
      </c>
      <c r="C296" s="153" t="s">
        <v>36</v>
      </c>
    </row>
    <row r="297" spans="1:3" ht="14.25" x14ac:dyDescent="0.2">
      <c r="A297" s="162">
        <v>45942</v>
      </c>
      <c r="B297" s="5" t="s">
        <v>40</v>
      </c>
      <c r="C297" s="153" t="s">
        <v>43</v>
      </c>
    </row>
    <row r="298" spans="1:3" x14ac:dyDescent="0.2">
      <c r="A298" s="162">
        <v>45963</v>
      </c>
      <c r="B298" s="5" t="s">
        <v>40</v>
      </c>
      <c r="C298" s="153" t="s">
        <v>37</v>
      </c>
    </row>
    <row r="299" spans="1:3" x14ac:dyDescent="0.2">
      <c r="A299" s="162">
        <v>45976</v>
      </c>
      <c r="B299" s="5" t="s">
        <v>31</v>
      </c>
      <c r="C299" s="153" t="s">
        <v>38</v>
      </c>
    </row>
    <row r="300" spans="1:3" x14ac:dyDescent="0.2">
      <c r="A300" s="162">
        <v>46016</v>
      </c>
      <c r="B300" s="5" t="s">
        <v>34</v>
      </c>
      <c r="C300" s="153" t="s">
        <v>39</v>
      </c>
    </row>
    <row r="301" spans="1:3" x14ac:dyDescent="0.2">
      <c r="A301" s="162">
        <v>46023</v>
      </c>
      <c r="B301" s="5" t="s">
        <v>34</v>
      </c>
      <c r="C301" s="153" t="s">
        <v>25</v>
      </c>
    </row>
    <row r="302" spans="1:3" x14ac:dyDescent="0.2">
      <c r="A302" s="162">
        <v>46069</v>
      </c>
      <c r="B302" s="5" t="s">
        <v>24</v>
      </c>
      <c r="C302" s="153" t="s">
        <v>26</v>
      </c>
    </row>
    <row r="303" spans="1:3" x14ac:dyDescent="0.2">
      <c r="A303" s="162">
        <v>46070</v>
      </c>
      <c r="B303" s="5" t="s">
        <v>27</v>
      </c>
      <c r="C303" s="153" t="s">
        <v>28</v>
      </c>
    </row>
    <row r="304" spans="1:3" x14ac:dyDescent="0.2">
      <c r="A304" s="162">
        <v>46115</v>
      </c>
      <c r="B304" s="5" t="s">
        <v>29</v>
      </c>
      <c r="C304" s="153" t="s">
        <v>30</v>
      </c>
    </row>
    <row r="305" spans="1:3" x14ac:dyDescent="0.2">
      <c r="A305" s="162">
        <v>46133</v>
      </c>
      <c r="B305" s="5" t="s">
        <v>27</v>
      </c>
      <c r="C305" s="153" t="s">
        <v>32</v>
      </c>
    </row>
    <row r="306" spans="1:3" x14ac:dyDescent="0.2">
      <c r="A306" s="162">
        <v>46143</v>
      </c>
      <c r="B306" s="5" t="s">
        <v>29</v>
      </c>
      <c r="C306" s="153" t="s">
        <v>33</v>
      </c>
    </row>
    <row r="307" spans="1:3" x14ac:dyDescent="0.2">
      <c r="A307" s="162">
        <v>46177</v>
      </c>
      <c r="B307" s="5" t="s">
        <v>34</v>
      </c>
      <c r="C307" s="153" t="s">
        <v>35</v>
      </c>
    </row>
    <row r="308" spans="1:3" x14ac:dyDescent="0.2">
      <c r="A308" s="162">
        <v>46272</v>
      </c>
      <c r="B308" s="5" t="s">
        <v>24</v>
      </c>
      <c r="C308" s="153" t="s">
        <v>36</v>
      </c>
    </row>
    <row r="309" spans="1:3" ht="14.25" x14ac:dyDescent="0.2">
      <c r="A309" s="162">
        <v>46307</v>
      </c>
      <c r="B309" s="5" t="s">
        <v>24</v>
      </c>
      <c r="C309" s="153" t="s">
        <v>43</v>
      </c>
    </row>
    <row r="310" spans="1:3" x14ac:dyDescent="0.2">
      <c r="A310" s="162">
        <v>46328</v>
      </c>
      <c r="B310" s="5" t="s">
        <v>24</v>
      </c>
      <c r="C310" s="153" t="s">
        <v>37</v>
      </c>
    </row>
    <row r="311" spans="1:3" x14ac:dyDescent="0.2">
      <c r="A311" s="162">
        <v>46341</v>
      </c>
      <c r="B311" s="5" t="s">
        <v>40</v>
      </c>
      <c r="C311" s="153" t="s">
        <v>38</v>
      </c>
    </row>
    <row r="312" spans="1:3" x14ac:dyDescent="0.2">
      <c r="A312" s="162">
        <v>46381</v>
      </c>
      <c r="B312" s="5" t="s">
        <v>29</v>
      </c>
      <c r="C312" s="153" t="s">
        <v>39</v>
      </c>
    </row>
    <row r="313" spans="1:3" x14ac:dyDescent="0.2">
      <c r="A313" s="162">
        <v>46388</v>
      </c>
      <c r="B313" s="5" t="s">
        <v>29</v>
      </c>
      <c r="C313" s="153" t="s">
        <v>25</v>
      </c>
    </row>
    <row r="314" spans="1:3" x14ac:dyDescent="0.2">
      <c r="A314" s="162">
        <v>46426</v>
      </c>
      <c r="B314" s="5" t="s">
        <v>24</v>
      </c>
      <c r="C314" s="153" t="s">
        <v>26</v>
      </c>
    </row>
    <row r="315" spans="1:3" x14ac:dyDescent="0.2">
      <c r="A315" s="162">
        <v>46427</v>
      </c>
      <c r="B315" s="5" t="s">
        <v>27</v>
      </c>
      <c r="C315" s="153" t="s">
        <v>28</v>
      </c>
    </row>
    <row r="316" spans="1:3" x14ac:dyDescent="0.2">
      <c r="A316" s="162">
        <v>46472</v>
      </c>
      <c r="B316" s="5" t="s">
        <v>29</v>
      </c>
      <c r="C316" s="153" t="s">
        <v>30</v>
      </c>
    </row>
    <row r="317" spans="1:3" x14ac:dyDescent="0.2">
      <c r="A317" s="162">
        <v>46498</v>
      </c>
      <c r="B317" s="5" t="s">
        <v>41</v>
      </c>
      <c r="C317" s="153" t="s">
        <v>32</v>
      </c>
    </row>
    <row r="318" spans="1:3" x14ac:dyDescent="0.2">
      <c r="A318" s="162">
        <v>46508</v>
      </c>
      <c r="B318" s="5" t="s">
        <v>31</v>
      </c>
      <c r="C318" s="153" t="s">
        <v>33</v>
      </c>
    </row>
    <row r="319" spans="1:3" x14ac:dyDescent="0.2">
      <c r="A319" s="162">
        <v>46534</v>
      </c>
      <c r="B319" s="5" t="s">
        <v>34</v>
      </c>
      <c r="C319" s="153" t="s">
        <v>35</v>
      </c>
    </row>
    <row r="320" spans="1:3" x14ac:dyDescent="0.2">
      <c r="A320" s="162">
        <v>46637</v>
      </c>
      <c r="B320" s="5" t="s">
        <v>27</v>
      </c>
      <c r="C320" s="153" t="s">
        <v>36</v>
      </c>
    </row>
    <row r="321" spans="1:3" ht="14.25" x14ac:dyDescent="0.2">
      <c r="A321" s="162">
        <v>46672</v>
      </c>
      <c r="B321" s="5" t="s">
        <v>27</v>
      </c>
      <c r="C321" s="153" t="s">
        <v>43</v>
      </c>
    </row>
    <row r="322" spans="1:3" x14ac:dyDescent="0.2">
      <c r="A322" s="162">
        <v>46693</v>
      </c>
      <c r="B322" s="5" t="s">
        <v>27</v>
      </c>
      <c r="C322" s="153" t="s">
        <v>37</v>
      </c>
    </row>
    <row r="323" spans="1:3" x14ac:dyDescent="0.2">
      <c r="A323" s="162">
        <v>46706</v>
      </c>
      <c r="B323" s="5" t="s">
        <v>24</v>
      </c>
      <c r="C323" s="153" t="s">
        <v>38</v>
      </c>
    </row>
    <row r="324" spans="1:3" x14ac:dyDescent="0.2">
      <c r="A324" s="162">
        <v>46746</v>
      </c>
      <c r="B324" s="5" t="s">
        <v>31</v>
      </c>
      <c r="C324" s="153" t="s">
        <v>39</v>
      </c>
    </row>
    <row r="325" spans="1:3" x14ac:dyDescent="0.2">
      <c r="A325" s="162">
        <v>46753</v>
      </c>
      <c r="B325" s="5" t="s">
        <v>31</v>
      </c>
      <c r="C325" s="153" t="s">
        <v>25</v>
      </c>
    </row>
    <row r="326" spans="1:3" x14ac:dyDescent="0.2">
      <c r="A326" s="162">
        <v>46811</v>
      </c>
      <c r="B326" s="5" t="s">
        <v>24</v>
      </c>
      <c r="C326" s="153" t="s">
        <v>26</v>
      </c>
    </row>
    <row r="327" spans="1:3" x14ac:dyDescent="0.2">
      <c r="A327" s="162">
        <v>46812</v>
      </c>
      <c r="B327" s="5" t="s">
        <v>27</v>
      </c>
      <c r="C327" s="153" t="s">
        <v>28</v>
      </c>
    </row>
    <row r="328" spans="1:3" x14ac:dyDescent="0.2">
      <c r="A328" s="162">
        <v>46857</v>
      </c>
      <c r="B328" s="5" t="s">
        <v>29</v>
      </c>
      <c r="C328" s="153" t="s">
        <v>30</v>
      </c>
    </row>
    <row r="329" spans="1:3" x14ac:dyDescent="0.2">
      <c r="A329" s="162">
        <v>46864</v>
      </c>
      <c r="B329" s="5" t="s">
        <v>29</v>
      </c>
      <c r="C329" s="153" t="s">
        <v>32</v>
      </c>
    </row>
    <row r="330" spans="1:3" x14ac:dyDescent="0.2">
      <c r="A330" s="162">
        <v>46874</v>
      </c>
      <c r="B330" s="5" t="s">
        <v>24</v>
      </c>
      <c r="C330" s="153" t="s">
        <v>33</v>
      </c>
    </row>
    <row r="331" spans="1:3" x14ac:dyDescent="0.2">
      <c r="A331" s="162">
        <v>46919</v>
      </c>
      <c r="B331" s="5" t="s">
        <v>34</v>
      </c>
      <c r="C331" s="153" t="s">
        <v>35</v>
      </c>
    </row>
    <row r="332" spans="1:3" x14ac:dyDescent="0.2">
      <c r="A332" s="162">
        <v>47003</v>
      </c>
      <c r="B332" s="5" t="s">
        <v>34</v>
      </c>
      <c r="C332" s="153" t="s">
        <v>36</v>
      </c>
    </row>
    <row r="333" spans="1:3" ht="14.25" x14ac:dyDescent="0.2">
      <c r="A333" s="162">
        <v>47038</v>
      </c>
      <c r="B333" s="5" t="s">
        <v>34</v>
      </c>
      <c r="C333" s="153" t="s">
        <v>43</v>
      </c>
    </row>
    <row r="334" spans="1:3" x14ac:dyDescent="0.2">
      <c r="A334" s="162">
        <v>47059</v>
      </c>
      <c r="B334" s="5" t="s">
        <v>34</v>
      </c>
      <c r="C334" s="153" t="s">
        <v>37</v>
      </c>
    </row>
    <row r="335" spans="1:3" x14ac:dyDescent="0.2">
      <c r="A335" s="162">
        <v>47072</v>
      </c>
      <c r="B335" s="5" t="s">
        <v>41</v>
      </c>
      <c r="C335" s="153" t="s">
        <v>38</v>
      </c>
    </row>
    <row r="336" spans="1:3" x14ac:dyDescent="0.2">
      <c r="A336" s="162">
        <v>47112</v>
      </c>
      <c r="B336" s="5" t="s">
        <v>24</v>
      </c>
      <c r="C336" s="153" t="s">
        <v>39</v>
      </c>
    </row>
    <row r="337" spans="1:3" x14ac:dyDescent="0.2">
      <c r="A337" s="162">
        <v>47119</v>
      </c>
      <c r="B337" s="5" t="s">
        <v>24</v>
      </c>
      <c r="C337" s="153" t="s">
        <v>25</v>
      </c>
    </row>
    <row r="338" spans="1:3" x14ac:dyDescent="0.2">
      <c r="A338" s="162">
        <v>47161</v>
      </c>
      <c r="B338" s="5" t="s">
        <v>24</v>
      </c>
      <c r="C338" s="153" t="s">
        <v>26</v>
      </c>
    </row>
    <row r="339" spans="1:3" x14ac:dyDescent="0.2">
      <c r="A339" s="162">
        <v>47162</v>
      </c>
      <c r="B339" s="5" t="s">
        <v>27</v>
      </c>
      <c r="C339" s="153" t="s">
        <v>28</v>
      </c>
    </row>
    <row r="340" spans="1:3" x14ac:dyDescent="0.2">
      <c r="A340" s="162">
        <v>47207</v>
      </c>
      <c r="B340" s="5" t="s">
        <v>29</v>
      </c>
      <c r="C340" s="153" t="s">
        <v>30</v>
      </c>
    </row>
    <row r="341" spans="1:3" x14ac:dyDescent="0.2">
      <c r="A341" s="162">
        <v>47229</v>
      </c>
      <c r="B341" s="5" t="s">
        <v>31</v>
      </c>
      <c r="C341" s="153" t="s">
        <v>32</v>
      </c>
    </row>
    <row r="342" spans="1:3" x14ac:dyDescent="0.2">
      <c r="A342" s="162">
        <v>47239</v>
      </c>
      <c r="B342" s="5" t="s">
        <v>27</v>
      </c>
      <c r="C342" s="153" t="s">
        <v>33</v>
      </c>
    </row>
    <row r="343" spans="1:3" x14ac:dyDescent="0.2">
      <c r="A343" s="162">
        <v>47269</v>
      </c>
      <c r="B343" s="5" t="s">
        <v>34</v>
      </c>
      <c r="C343" s="153" t="s">
        <v>35</v>
      </c>
    </row>
    <row r="344" spans="1:3" x14ac:dyDescent="0.2">
      <c r="A344" s="162">
        <v>47368</v>
      </c>
      <c r="B344" s="5" t="s">
        <v>29</v>
      </c>
      <c r="C344" s="153" t="s">
        <v>36</v>
      </c>
    </row>
    <row r="345" spans="1:3" ht="14.25" x14ac:dyDescent="0.2">
      <c r="A345" s="162">
        <v>47403</v>
      </c>
      <c r="B345" s="5" t="s">
        <v>29</v>
      </c>
      <c r="C345" s="153" t="s">
        <v>43</v>
      </c>
    </row>
    <row r="346" spans="1:3" x14ac:dyDescent="0.2">
      <c r="A346" s="162">
        <v>47424</v>
      </c>
      <c r="B346" s="5" t="s">
        <v>29</v>
      </c>
      <c r="C346" s="153" t="s">
        <v>37</v>
      </c>
    </row>
    <row r="347" spans="1:3" x14ac:dyDescent="0.2">
      <c r="A347" s="162">
        <v>47437</v>
      </c>
      <c r="B347" s="5" t="s">
        <v>34</v>
      </c>
      <c r="C347" s="153" t="s">
        <v>38</v>
      </c>
    </row>
    <row r="348" spans="1:3" x14ac:dyDescent="0.2">
      <c r="A348" s="162">
        <v>47477</v>
      </c>
      <c r="B348" s="5" t="s">
        <v>27</v>
      </c>
      <c r="C348" s="153" t="s">
        <v>39</v>
      </c>
    </row>
    <row r="349" spans="1:3" x14ac:dyDescent="0.2">
      <c r="A349" s="162">
        <v>47484</v>
      </c>
      <c r="B349" s="5" t="s">
        <v>27</v>
      </c>
      <c r="C349" s="153" t="s">
        <v>25</v>
      </c>
    </row>
    <row r="350" spans="1:3" x14ac:dyDescent="0.2">
      <c r="A350" s="162">
        <v>47546</v>
      </c>
      <c r="B350" s="5" t="s">
        <v>24</v>
      </c>
      <c r="C350" s="153" t="s">
        <v>26</v>
      </c>
    </row>
    <row r="351" spans="1:3" x14ac:dyDescent="0.2">
      <c r="A351" s="162">
        <v>47547</v>
      </c>
      <c r="B351" s="5" t="s">
        <v>27</v>
      </c>
      <c r="C351" s="153" t="s">
        <v>28</v>
      </c>
    </row>
    <row r="352" spans="1:3" x14ac:dyDescent="0.2">
      <c r="A352" s="162">
        <v>47592</v>
      </c>
      <c r="B352" s="5" t="s">
        <v>29</v>
      </c>
      <c r="C352" s="153" t="s">
        <v>30</v>
      </c>
    </row>
    <row r="353" spans="1:3" x14ac:dyDescent="0.2">
      <c r="A353" s="162">
        <v>47594</v>
      </c>
      <c r="B353" s="5" t="s">
        <v>40</v>
      </c>
      <c r="C353" s="153" t="s">
        <v>32</v>
      </c>
    </row>
    <row r="354" spans="1:3" x14ac:dyDescent="0.2">
      <c r="A354" s="162">
        <v>47604</v>
      </c>
      <c r="B354" s="5" t="s">
        <v>41</v>
      </c>
      <c r="C354" s="153" t="s">
        <v>33</v>
      </c>
    </row>
    <row r="355" spans="1:3" x14ac:dyDescent="0.2">
      <c r="A355" s="162">
        <v>47654</v>
      </c>
      <c r="B355" s="5" t="s">
        <v>34</v>
      </c>
      <c r="C355" s="153" t="s">
        <v>35</v>
      </c>
    </row>
    <row r="356" spans="1:3" x14ac:dyDescent="0.2">
      <c r="A356" s="162">
        <v>47733</v>
      </c>
      <c r="B356" s="5" t="s">
        <v>31</v>
      </c>
      <c r="C356" s="153" t="s">
        <v>36</v>
      </c>
    </row>
    <row r="357" spans="1:3" ht="14.25" x14ac:dyDescent="0.2">
      <c r="A357" s="162">
        <v>47768</v>
      </c>
      <c r="B357" s="5" t="s">
        <v>31</v>
      </c>
      <c r="C357" s="153" t="s">
        <v>43</v>
      </c>
    </row>
    <row r="358" spans="1:3" x14ac:dyDescent="0.2">
      <c r="A358" s="162">
        <v>47789</v>
      </c>
      <c r="B358" s="5" t="s">
        <v>31</v>
      </c>
      <c r="C358" s="153" t="s">
        <v>37</v>
      </c>
    </row>
    <row r="359" spans="1:3" x14ac:dyDescent="0.2">
      <c r="A359" s="162">
        <v>47802</v>
      </c>
      <c r="B359" s="5" t="s">
        <v>29</v>
      </c>
      <c r="C359" s="153" t="s">
        <v>38</v>
      </c>
    </row>
    <row r="360" spans="1:3" x14ac:dyDescent="0.2">
      <c r="A360" s="162">
        <v>47842</v>
      </c>
      <c r="B360" s="5" t="s">
        <v>41</v>
      </c>
      <c r="C360" s="153" t="s">
        <v>39</v>
      </c>
    </row>
    <row r="361" spans="1:3" x14ac:dyDescent="0.2">
      <c r="A361" s="162">
        <v>47849</v>
      </c>
      <c r="B361" s="5" t="s">
        <v>41</v>
      </c>
      <c r="C361" s="153" t="s">
        <v>25</v>
      </c>
    </row>
    <row r="362" spans="1:3" x14ac:dyDescent="0.2">
      <c r="A362" s="162">
        <v>47903</v>
      </c>
      <c r="B362" s="5" t="s">
        <v>24</v>
      </c>
      <c r="C362" s="153" t="s">
        <v>26</v>
      </c>
    </row>
    <row r="363" spans="1:3" x14ac:dyDescent="0.2">
      <c r="A363" s="162">
        <v>47904</v>
      </c>
      <c r="B363" s="5" t="s">
        <v>27</v>
      </c>
      <c r="C363" s="153" t="s">
        <v>28</v>
      </c>
    </row>
    <row r="364" spans="1:3" x14ac:dyDescent="0.2">
      <c r="A364" s="162">
        <v>47949</v>
      </c>
      <c r="B364" s="5" t="s">
        <v>29</v>
      </c>
      <c r="C364" s="153" t="s">
        <v>30</v>
      </c>
    </row>
    <row r="365" spans="1:3" x14ac:dyDescent="0.2">
      <c r="A365" s="162">
        <v>47959</v>
      </c>
      <c r="B365" s="5" t="s">
        <v>24</v>
      </c>
      <c r="C365" s="153" t="s">
        <v>32</v>
      </c>
    </row>
    <row r="366" spans="1:3" x14ac:dyDescent="0.2">
      <c r="A366" s="162">
        <v>47969</v>
      </c>
      <c r="B366" s="5" t="s">
        <v>34</v>
      </c>
      <c r="C366" s="153" t="s">
        <v>33</v>
      </c>
    </row>
    <row r="367" spans="1:3" x14ac:dyDescent="0.2">
      <c r="A367" s="162">
        <v>48011</v>
      </c>
      <c r="B367" s="5" t="s">
        <v>34</v>
      </c>
      <c r="C367" s="153" t="s">
        <v>35</v>
      </c>
    </row>
    <row r="368" spans="1:3" x14ac:dyDescent="0.2">
      <c r="A368" s="162">
        <v>48098</v>
      </c>
      <c r="B368" s="5" t="s">
        <v>40</v>
      </c>
      <c r="C368" s="153" t="s">
        <v>36</v>
      </c>
    </row>
    <row r="369" spans="1:3" ht="14.25" x14ac:dyDescent="0.2">
      <c r="A369" s="162">
        <v>48133</v>
      </c>
      <c r="B369" s="5" t="s">
        <v>40</v>
      </c>
      <c r="C369" s="153" t="s">
        <v>43</v>
      </c>
    </row>
    <row r="370" spans="1:3" x14ac:dyDescent="0.2">
      <c r="A370" s="162">
        <v>48154</v>
      </c>
      <c r="B370" s="5" t="s">
        <v>40</v>
      </c>
      <c r="C370" s="153" t="s">
        <v>37</v>
      </c>
    </row>
    <row r="371" spans="1:3" x14ac:dyDescent="0.2">
      <c r="A371" s="162">
        <v>48167</v>
      </c>
      <c r="B371" s="5" t="s">
        <v>31</v>
      </c>
      <c r="C371" s="153" t="s">
        <v>38</v>
      </c>
    </row>
    <row r="372" spans="1:3" x14ac:dyDescent="0.2">
      <c r="A372" s="162">
        <v>48207</v>
      </c>
      <c r="B372" s="5" t="s">
        <v>34</v>
      </c>
      <c r="C372" s="153" t="s">
        <v>39</v>
      </c>
    </row>
    <row r="373" spans="1:3" x14ac:dyDescent="0.2">
      <c r="A373" s="162">
        <v>48214</v>
      </c>
      <c r="B373" s="5" t="s">
        <v>34</v>
      </c>
      <c r="C373" s="153" t="s">
        <v>25</v>
      </c>
    </row>
    <row r="374" spans="1:3" x14ac:dyDescent="0.2">
      <c r="A374" s="162">
        <v>48253</v>
      </c>
      <c r="B374" s="5" t="s">
        <v>24</v>
      </c>
      <c r="C374" s="153" t="s">
        <v>28</v>
      </c>
    </row>
    <row r="375" spans="1:3" x14ac:dyDescent="0.2">
      <c r="A375" s="162">
        <v>48254</v>
      </c>
      <c r="B375" s="5" t="s">
        <v>27</v>
      </c>
      <c r="C375" s="153" t="s">
        <v>28</v>
      </c>
    </row>
    <row r="376" spans="1:3" x14ac:dyDescent="0.2">
      <c r="A376" s="162">
        <v>48299</v>
      </c>
      <c r="B376" s="5" t="s">
        <v>29</v>
      </c>
      <c r="C376" s="153" t="s">
        <v>30</v>
      </c>
    </row>
    <row r="377" spans="1:3" x14ac:dyDescent="0.2">
      <c r="A377" s="162">
        <v>48325</v>
      </c>
      <c r="B377" s="5" t="s">
        <v>41</v>
      </c>
      <c r="C377" s="153" t="s">
        <v>32</v>
      </c>
    </row>
    <row r="378" spans="1:3" x14ac:dyDescent="0.2">
      <c r="A378" s="162">
        <v>48361</v>
      </c>
      <c r="B378" s="5" t="s">
        <v>34</v>
      </c>
      <c r="C378" s="153" t="s">
        <v>35</v>
      </c>
    </row>
    <row r="379" spans="1:3" x14ac:dyDescent="0.2">
      <c r="A379" s="162">
        <v>48464</v>
      </c>
      <c r="B379" s="5" t="s">
        <v>27</v>
      </c>
      <c r="C379" s="153" t="s">
        <v>36</v>
      </c>
    </row>
    <row r="380" spans="1:3" x14ac:dyDescent="0.2">
      <c r="A380" s="162">
        <v>48499</v>
      </c>
      <c r="B380" s="5" t="s">
        <v>27</v>
      </c>
      <c r="C380" s="153" t="s">
        <v>42</v>
      </c>
    </row>
    <row r="381" spans="1:3" x14ac:dyDescent="0.2">
      <c r="A381" s="162">
        <v>48520</v>
      </c>
      <c r="B381" s="5" t="s">
        <v>27</v>
      </c>
      <c r="C381" s="153" t="s">
        <v>37</v>
      </c>
    </row>
    <row r="382" spans="1:3" x14ac:dyDescent="0.2">
      <c r="A382" s="162">
        <v>48533</v>
      </c>
      <c r="B382" s="5" t="s">
        <v>24</v>
      </c>
      <c r="C382" s="153" t="s">
        <v>38</v>
      </c>
    </row>
    <row r="383" spans="1:3" x14ac:dyDescent="0.2">
      <c r="A383" s="162">
        <v>48638</v>
      </c>
      <c r="B383" s="5" t="s">
        <v>24</v>
      </c>
      <c r="C383" s="153" t="s">
        <v>28</v>
      </c>
    </row>
    <row r="384" spans="1:3" x14ac:dyDescent="0.2">
      <c r="A384" s="162">
        <v>48639</v>
      </c>
      <c r="B384" s="5" t="s">
        <v>27</v>
      </c>
      <c r="C384" s="153" t="s">
        <v>28</v>
      </c>
    </row>
    <row r="385" spans="1:3" x14ac:dyDescent="0.2">
      <c r="A385" s="162">
        <v>48684</v>
      </c>
      <c r="B385" s="5" t="s">
        <v>29</v>
      </c>
      <c r="C385" s="153" t="s">
        <v>30</v>
      </c>
    </row>
    <row r="386" spans="1:3" x14ac:dyDescent="0.2">
      <c r="A386" s="162">
        <v>48690</v>
      </c>
      <c r="B386" s="5" t="s">
        <v>34</v>
      </c>
      <c r="C386" s="153" t="s">
        <v>32</v>
      </c>
    </row>
    <row r="387" spans="1:3" x14ac:dyDescent="0.2">
      <c r="A387" s="162">
        <v>48746</v>
      </c>
      <c r="B387" s="5" t="s">
        <v>34</v>
      </c>
      <c r="C387" s="153" t="s">
        <v>35</v>
      </c>
    </row>
    <row r="388" spans="1:3" x14ac:dyDescent="0.2">
      <c r="A388" s="162">
        <v>48829</v>
      </c>
      <c r="B388" s="5" t="s">
        <v>41</v>
      </c>
      <c r="C388" s="153" t="s">
        <v>36</v>
      </c>
    </row>
    <row r="389" spans="1:3" x14ac:dyDescent="0.2">
      <c r="A389" s="162">
        <v>48864</v>
      </c>
      <c r="B389" s="5" t="s">
        <v>41</v>
      </c>
      <c r="C389" s="153" t="s">
        <v>42</v>
      </c>
    </row>
    <row r="390" spans="1:3" x14ac:dyDescent="0.2">
      <c r="A390" s="162">
        <v>48885</v>
      </c>
      <c r="B390" s="5" t="s">
        <v>41</v>
      </c>
      <c r="C390" s="153" t="s">
        <v>37</v>
      </c>
    </row>
    <row r="391" spans="1:3" x14ac:dyDescent="0.2">
      <c r="A391" s="162">
        <v>48898</v>
      </c>
      <c r="B391" s="5" t="s">
        <v>27</v>
      </c>
      <c r="C391" s="153" t="s">
        <v>38</v>
      </c>
    </row>
    <row r="392" spans="1:3" x14ac:dyDescent="0.2">
      <c r="A392" s="162">
        <v>48995</v>
      </c>
      <c r="B392" s="5" t="s">
        <v>24</v>
      </c>
      <c r="C392" s="153" t="s">
        <v>28</v>
      </c>
    </row>
    <row r="393" spans="1:3" x14ac:dyDescent="0.2">
      <c r="A393" s="162">
        <v>48996</v>
      </c>
      <c r="B393" s="5" t="s">
        <v>27</v>
      </c>
      <c r="C393" s="153" t="s">
        <v>28</v>
      </c>
    </row>
    <row r="394" spans="1:3" x14ac:dyDescent="0.2">
      <c r="A394" s="162">
        <v>49041</v>
      </c>
      <c r="B394" s="5" t="s">
        <v>29</v>
      </c>
      <c r="C394" s="153" t="s">
        <v>30</v>
      </c>
    </row>
    <row r="395" spans="1:3" x14ac:dyDescent="0.2">
      <c r="A395" s="162">
        <v>49055</v>
      </c>
      <c r="B395" s="5" t="s">
        <v>29</v>
      </c>
      <c r="C395" s="153" t="s">
        <v>32</v>
      </c>
    </row>
    <row r="396" spans="1:3" x14ac:dyDescent="0.2">
      <c r="A396" s="162">
        <v>49065</v>
      </c>
      <c r="B396" s="5" t="s">
        <v>24</v>
      </c>
      <c r="C396" s="153" t="s">
        <v>33</v>
      </c>
    </row>
    <row r="397" spans="1:3" x14ac:dyDescent="0.2">
      <c r="A397" s="162">
        <v>49103</v>
      </c>
      <c r="B397" s="5" t="s">
        <v>34</v>
      </c>
      <c r="C397" s="153" t="s">
        <v>35</v>
      </c>
    </row>
    <row r="398" spans="1:3" x14ac:dyDescent="0.2">
      <c r="A398" s="162">
        <v>49194</v>
      </c>
      <c r="B398" s="5" t="s">
        <v>34</v>
      </c>
      <c r="C398" s="153" t="s">
        <v>36</v>
      </c>
    </row>
    <row r="399" spans="1:3" x14ac:dyDescent="0.2">
      <c r="A399" s="162">
        <v>49229</v>
      </c>
      <c r="B399" s="5" t="s">
        <v>34</v>
      </c>
      <c r="C399" s="153" t="s">
        <v>42</v>
      </c>
    </row>
    <row r="400" spans="1:3" x14ac:dyDescent="0.2">
      <c r="A400" s="162">
        <v>49250</v>
      </c>
      <c r="B400" s="5" t="s">
        <v>34</v>
      </c>
      <c r="C400" s="153" t="s">
        <v>37</v>
      </c>
    </row>
    <row r="401" spans="1:3" x14ac:dyDescent="0.2">
      <c r="A401" s="162">
        <v>49263</v>
      </c>
      <c r="B401" s="5" t="s">
        <v>41</v>
      </c>
      <c r="C401" s="153" t="s">
        <v>38</v>
      </c>
    </row>
    <row r="402" spans="1:3" x14ac:dyDescent="0.2">
      <c r="A402" s="162">
        <v>49303</v>
      </c>
      <c r="B402" s="5" t="s">
        <v>24</v>
      </c>
      <c r="C402" s="153" t="s">
        <v>39</v>
      </c>
    </row>
    <row r="403" spans="1:3" x14ac:dyDescent="0.2">
      <c r="A403" s="162">
        <v>49310</v>
      </c>
      <c r="B403" s="5" t="s">
        <v>24</v>
      </c>
      <c r="C403" s="153" t="s">
        <v>25</v>
      </c>
    </row>
    <row r="404" spans="1:3" x14ac:dyDescent="0.2">
      <c r="A404" s="162">
        <v>49345</v>
      </c>
      <c r="B404" s="5" t="s">
        <v>24</v>
      </c>
      <c r="C404" s="153" t="s">
        <v>28</v>
      </c>
    </row>
    <row r="405" spans="1:3" x14ac:dyDescent="0.2">
      <c r="A405" s="162">
        <v>49346</v>
      </c>
      <c r="B405" s="5" t="s">
        <v>27</v>
      </c>
      <c r="C405" s="153" t="s">
        <v>28</v>
      </c>
    </row>
    <row r="406" spans="1:3" x14ac:dyDescent="0.2">
      <c r="A406" s="162">
        <v>49391</v>
      </c>
      <c r="B406" s="5" t="s">
        <v>29</v>
      </c>
      <c r="C406" s="153" t="s">
        <v>30</v>
      </c>
    </row>
    <row r="407" spans="1:3" x14ac:dyDescent="0.2">
      <c r="A407" s="162">
        <v>49430</v>
      </c>
      <c r="B407" s="5" t="s">
        <v>27</v>
      </c>
      <c r="C407" s="153" t="s">
        <v>33</v>
      </c>
    </row>
    <row r="408" spans="1:3" x14ac:dyDescent="0.2">
      <c r="A408" s="162">
        <v>49453</v>
      </c>
      <c r="B408" s="5" t="s">
        <v>34</v>
      </c>
      <c r="C408" s="153" t="s">
        <v>35</v>
      </c>
    </row>
    <row r="409" spans="1:3" x14ac:dyDescent="0.2">
      <c r="A409" s="162">
        <v>49559</v>
      </c>
      <c r="B409" s="5" t="s">
        <v>29</v>
      </c>
      <c r="C409" s="153" t="s">
        <v>36</v>
      </c>
    </row>
    <row r="410" spans="1:3" x14ac:dyDescent="0.2">
      <c r="A410" s="162">
        <v>49594</v>
      </c>
      <c r="B410" s="5" t="s">
        <v>29</v>
      </c>
      <c r="C410" s="153" t="s">
        <v>42</v>
      </c>
    </row>
    <row r="411" spans="1:3" x14ac:dyDescent="0.2">
      <c r="A411" s="162">
        <v>49615</v>
      </c>
      <c r="B411" s="5" t="s">
        <v>29</v>
      </c>
      <c r="C411" s="153" t="s">
        <v>37</v>
      </c>
    </row>
    <row r="412" spans="1:3" x14ac:dyDescent="0.2">
      <c r="A412" s="162">
        <v>49628</v>
      </c>
      <c r="B412" s="5" t="s">
        <v>34</v>
      </c>
      <c r="C412" s="153" t="s">
        <v>38</v>
      </c>
    </row>
    <row r="413" spans="1:3" x14ac:dyDescent="0.2">
      <c r="A413" s="162">
        <v>49668</v>
      </c>
      <c r="B413" s="5" t="s">
        <v>27</v>
      </c>
      <c r="C413" s="153" t="s">
        <v>39</v>
      </c>
    </row>
    <row r="414" spans="1:3" x14ac:dyDescent="0.2">
      <c r="A414" s="162">
        <v>49675</v>
      </c>
      <c r="B414" s="5" t="s">
        <v>27</v>
      </c>
      <c r="C414" s="153" t="s">
        <v>25</v>
      </c>
    </row>
    <row r="415" spans="1:3" x14ac:dyDescent="0.2">
      <c r="A415" s="162">
        <v>49730</v>
      </c>
      <c r="B415" s="5" t="s">
        <v>24</v>
      </c>
      <c r="C415" s="153" t="s">
        <v>28</v>
      </c>
    </row>
    <row r="416" spans="1:3" x14ac:dyDescent="0.2">
      <c r="A416" s="162">
        <v>49731</v>
      </c>
      <c r="B416" s="5" t="s">
        <v>27</v>
      </c>
      <c r="C416" s="153" t="s">
        <v>28</v>
      </c>
    </row>
    <row r="417" spans="1:3" x14ac:dyDescent="0.2">
      <c r="A417" s="162">
        <v>49776</v>
      </c>
      <c r="B417" s="5" t="s">
        <v>29</v>
      </c>
      <c r="C417" s="153" t="s">
        <v>30</v>
      </c>
    </row>
    <row r="418" spans="1:3" x14ac:dyDescent="0.2">
      <c r="A418" s="162">
        <v>49786</v>
      </c>
      <c r="B418" s="5" t="s">
        <v>24</v>
      </c>
      <c r="C418" s="153" t="s">
        <v>32</v>
      </c>
    </row>
    <row r="419" spans="1:3" x14ac:dyDescent="0.2">
      <c r="A419" s="162">
        <v>49796</v>
      </c>
      <c r="B419" s="5" t="s">
        <v>34</v>
      </c>
      <c r="C419" s="153" t="s">
        <v>33</v>
      </c>
    </row>
    <row r="420" spans="1:3" x14ac:dyDescent="0.2">
      <c r="A420" s="162">
        <v>49838</v>
      </c>
      <c r="B420" s="5" t="s">
        <v>34</v>
      </c>
      <c r="C420" s="153" t="s">
        <v>35</v>
      </c>
    </row>
    <row r="421" spans="1:3" x14ac:dyDescent="0.2">
      <c r="A421" s="162">
        <v>50034</v>
      </c>
      <c r="B421" s="5" t="s">
        <v>34</v>
      </c>
      <c r="C421" s="153" t="s">
        <v>39</v>
      </c>
    </row>
    <row r="422" spans="1:3" x14ac:dyDescent="0.2">
      <c r="A422" s="162">
        <v>50041</v>
      </c>
      <c r="B422" s="5" t="s">
        <v>34</v>
      </c>
      <c r="C422" s="153" t="s">
        <v>25</v>
      </c>
    </row>
    <row r="423" spans="1:3" x14ac:dyDescent="0.2">
      <c r="A423" s="162">
        <v>50087</v>
      </c>
      <c r="B423" s="5" t="s">
        <v>24</v>
      </c>
      <c r="C423" s="153" t="s">
        <v>28</v>
      </c>
    </row>
    <row r="424" spans="1:3" x14ac:dyDescent="0.2">
      <c r="A424" s="162">
        <v>50088</v>
      </c>
      <c r="B424" s="5" t="s">
        <v>27</v>
      </c>
      <c r="C424" s="153" t="s">
        <v>28</v>
      </c>
    </row>
    <row r="425" spans="1:3" x14ac:dyDescent="0.2">
      <c r="A425" s="162">
        <v>50133</v>
      </c>
      <c r="B425" s="5" t="s">
        <v>29</v>
      </c>
      <c r="C425" s="153" t="s">
        <v>30</v>
      </c>
    </row>
    <row r="426" spans="1:3" x14ac:dyDescent="0.2">
      <c r="A426" s="162">
        <v>50151</v>
      </c>
      <c r="B426" s="5" t="s">
        <v>27</v>
      </c>
      <c r="C426" s="153" t="s">
        <v>32</v>
      </c>
    </row>
    <row r="427" spans="1:3" x14ac:dyDescent="0.2">
      <c r="A427" s="162">
        <v>50161</v>
      </c>
      <c r="B427" s="5" t="s">
        <v>29</v>
      </c>
      <c r="C427" s="153" t="s">
        <v>33</v>
      </c>
    </row>
    <row r="428" spans="1:3" x14ac:dyDescent="0.2">
      <c r="A428" s="162">
        <v>50195</v>
      </c>
      <c r="B428" s="5" t="s">
        <v>34</v>
      </c>
      <c r="C428" s="153" t="s">
        <v>35</v>
      </c>
    </row>
    <row r="429" spans="1:3" x14ac:dyDescent="0.2">
      <c r="A429" s="162">
        <v>50290</v>
      </c>
      <c r="B429" s="5" t="s">
        <v>24</v>
      </c>
      <c r="C429" s="153" t="s">
        <v>36</v>
      </c>
    </row>
    <row r="430" spans="1:3" x14ac:dyDescent="0.2">
      <c r="A430" s="162">
        <v>50325</v>
      </c>
      <c r="B430" s="5" t="s">
        <v>24</v>
      </c>
      <c r="C430" s="153" t="s">
        <v>42</v>
      </c>
    </row>
    <row r="431" spans="1:3" x14ac:dyDescent="0.2">
      <c r="A431" s="162">
        <v>50346</v>
      </c>
      <c r="B431" s="5" t="s">
        <v>24</v>
      </c>
      <c r="C431" s="153" t="s">
        <v>37</v>
      </c>
    </row>
    <row r="432" spans="1:3" x14ac:dyDescent="0.2">
      <c r="A432" s="162">
        <v>50399</v>
      </c>
      <c r="B432" s="5" t="s">
        <v>29</v>
      </c>
      <c r="C432" s="153" t="s">
        <v>39</v>
      </c>
    </row>
    <row r="433" spans="1:3" x14ac:dyDescent="0.2">
      <c r="A433" s="162">
        <v>50406</v>
      </c>
      <c r="B433" s="5" t="s">
        <v>29</v>
      </c>
      <c r="C433" s="153" t="s">
        <v>25</v>
      </c>
    </row>
    <row r="434" spans="1:3" x14ac:dyDescent="0.2">
      <c r="A434" s="162">
        <v>50472</v>
      </c>
      <c r="B434" s="5" t="s">
        <v>24</v>
      </c>
      <c r="C434" s="153" t="s">
        <v>28</v>
      </c>
    </row>
    <row r="435" spans="1:3" x14ac:dyDescent="0.2">
      <c r="A435" s="162">
        <v>50473</v>
      </c>
      <c r="B435" s="5" t="s">
        <v>27</v>
      </c>
      <c r="C435" s="153" t="s">
        <v>28</v>
      </c>
    </row>
    <row r="436" spans="1:3" x14ac:dyDescent="0.2">
      <c r="A436" s="162">
        <v>50516</v>
      </c>
      <c r="B436" s="5" t="s">
        <v>41</v>
      </c>
      <c r="C436" s="153" t="s">
        <v>32</v>
      </c>
    </row>
    <row r="437" spans="1:3" x14ac:dyDescent="0.2">
      <c r="A437" s="162">
        <v>50518</v>
      </c>
      <c r="B437" s="5" t="s">
        <v>29</v>
      </c>
      <c r="C437" s="153" t="s">
        <v>30</v>
      </c>
    </row>
    <row r="438" spans="1:3" x14ac:dyDescent="0.2">
      <c r="A438" s="162">
        <v>50580</v>
      </c>
      <c r="B438" s="5" t="s">
        <v>34</v>
      </c>
      <c r="C438" s="153" t="s">
        <v>35</v>
      </c>
    </row>
    <row r="439" spans="1:3" x14ac:dyDescent="0.2">
      <c r="A439" s="162">
        <v>50655</v>
      </c>
      <c r="B439" s="5" t="s">
        <v>27</v>
      </c>
      <c r="C439" s="153" t="s">
        <v>36</v>
      </c>
    </row>
    <row r="440" spans="1:3" x14ac:dyDescent="0.2">
      <c r="A440" s="162">
        <v>50690</v>
      </c>
      <c r="B440" s="5" t="s">
        <v>27</v>
      </c>
      <c r="C440" s="153" t="s">
        <v>42</v>
      </c>
    </row>
    <row r="441" spans="1:3" x14ac:dyDescent="0.2">
      <c r="A441" s="162">
        <v>50711</v>
      </c>
      <c r="B441" s="5" t="s">
        <v>27</v>
      </c>
      <c r="C441" s="153" t="s">
        <v>37</v>
      </c>
    </row>
    <row r="442" spans="1:3" x14ac:dyDescent="0.2">
      <c r="A442" s="162">
        <v>50724</v>
      </c>
      <c r="B442" s="5" t="s">
        <v>24</v>
      </c>
      <c r="C442" s="153" t="s">
        <v>38</v>
      </c>
    </row>
    <row r="443" spans="1:3" x14ac:dyDescent="0.2">
      <c r="A443" s="162">
        <v>50822</v>
      </c>
      <c r="B443" s="5" t="s">
        <v>24</v>
      </c>
      <c r="C443" s="153" t="s">
        <v>28</v>
      </c>
    </row>
    <row r="444" spans="1:3" x14ac:dyDescent="0.2">
      <c r="A444" s="162">
        <v>50823</v>
      </c>
      <c r="B444" s="5" t="s">
        <v>27</v>
      </c>
      <c r="C444" s="153" t="s">
        <v>28</v>
      </c>
    </row>
    <row r="445" spans="1:3" x14ac:dyDescent="0.2">
      <c r="A445" s="162">
        <v>50868</v>
      </c>
      <c r="B445" s="5" t="s">
        <v>29</v>
      </c>
      <c r="C445" s="153" t="s">
        <v>30</v>
      </c>
    </row>
    <row r="446" spans="1:3" x14ac:dyDescent="0.2">
      <c r="A446" s="162">
        <v>50881</v>
      </c>
      <c r="B446" s="5" t="s">
        <v>34</v>
      </c>
      <c r="C446" s="153" t="s">
        <v>32</v>
      </c>
    </row>
    <row r="447" spans="1:3" x14ac:dyDescent="0.2">
      <c r="A447" s="162">
        <v>50930</v>
      </c>
      <c r="B447" s="5" t="s">
        <v>34</v>
      </c>
      <c r="C447" s="153" t="s">
        <v>35</v>
      </c>
    </row>
    <row r="448" spans="1:3" x14ac:dyDescent="0.2">
      <c r="A448" s="162">
        <v>51020</v>
      </c>
      <c r="B448" s="5" t="s">
        <v>41</v>
      </c>
      <c r="C448" s="153" t="s">
        <v>36</v>
      </c>
    </row>
    <row r="449" spans="1:3" x14ac:dyDescent="0.2">
      <c r="A449" s="162">
        <v>51055</v>
      </c>
      <c r="B449" s="5" t="s">
        <v>41</v>
      </c>
      <c r="C449" s="153" t="s">
        <v>42</v>
      </c>
    </row>
    <row r="450" spans="1:3" x14ac:dyDescent="0.2">
      <c r="A450" s="162">
        <v>51076</v>
      </c>
      <c r="B450" s="5" t="s">
        <v>41</v>
      </c>
      <c r="C450" s="153" t="s">
        <v>37</v>
      </c>
    </row>
    <row r="451" spans="1:3" x14ac:dyDescent="0.2">
      <c r="A451" s="162">
        <v>51089</v>
      </c>
      <c r="B451" s="5" t="s">
        <v>27</v>
      </c>
      <c r="C451" s="153" t="s">
        <v>38</v>
      </c>
    </row>
    <row r="452" spans="1:3" x14ac:dyDescent="0.2">
      <c r="A452" s="162">
        <v>51179</v>
      </c>
      <c r="B452" s="5" t="s">
        <v>24</v>
      </c>
      <c r="C452" s="153" t="s">
        <v>28</v>
      </c>
    </row>
    <row r="453" spans="1:3" x14ac:dyDescent="0.2">
      <c r="A453" s="162">
        <v>51180</v>
      </c>
      <c r="B453" s="5" t="s">
        <v>27</v>
      </c>
      <c r="C453" s="153" t="s">
        <v>28</v>
      </c>
    </row>
    <row r="454" spans="1:3" x14ac:dyDescent="0.2">
      <c r="A454" s="162">
        <v>51225</v>
      </c>
      <c r="B454" s="5" t="s">
        <v>29</v>
      </c>
      <c r="C454" s="153" t="s">
        <v>30</v>
      </c>
    </row>
    <row r="455" spans="1:3" x14ac:dyDescent="0.2">
      <c r="A455" s="162">
        <v>51257</v>
      </c>
      <c r="B455" s="5" t="s">
        <v>27</v>
      </c>
      <c r="C455" s="153" t="s">
        <v>33</v>
      </c>
    </row>
    <row r="456" spans="1:3" x14ac:dyDescent="0.2">
      <c r="A456" s="162">
        <v>51287</v>
      </c>
      <c r="B456" s="5" t="s">
        <v>34</v>
      </c>
      <c r="C456" s="153" t="s">
        <v>35</v>
      </c>
    </row>
    <row r="457" spans="1:3" x14ac:dyDescent="0.2">
      <c r="A457" s="162">
        <v>51386</v>
      </c>
      <c r="B457" s="5" t="s">
        <v>29</v>
      </c>
      <c r="C457" s="153" t="s">
        <v>36</v>
      </c>
    </row>
    <row r="458" spans="1:3" x14ac:dyDescent="0.2">
      <c r="A458" s="162">
        <v>51421</v>
      </c>
      <c r="B458" s="5" t="s">
        <v>29</v>
      </c>
      <c r="C458" s="153" t="s">
        <v>42</v>
      </c>
    </row>
    <row r="459" spans="1:3" x14ac:dyDescent="0.2">
      <c r="A459" s="162">
        <v>51442</v>
      </c>
      <c r="B459" s="5" t="s">
        <v>29</v>
      </c>
      <c r="C459" s="153" t="s">
        <v>37</v>
      </c>
    </row>
    <row r="460" spans="1:3" x14ac:dyDescent="0.2">
      <c r="A460" s="162">
        <v>51455</v>
      </c>
      <c r="B460" s="5" t="s">
        <v>34</v>
      </c>
      <c r="C460" s="153" t="s">
        <v>38</v>
      </c>
    </row>
    <row r="461" spans="1:3" x14ac:dyDescent="0.2">
      <c r="A461" s="162">
        <v>51495</v>
      </c>
      <c r="B461" s="5" t="s">
        <v>27</v>
      </c>
      <c r="C461" s="153" t="s">
        <v>39</v>
      </c>
    </row>
    <row r="462" spans="1:3" x14ac:dyDescent="0.2">
      <c r="A462" s="162">
        <v>51502</v>
      </c>
      <c r="B462" s="5" t="s">
        <v>27</v>
      </c>
      <c r="C462" s="153" t="s">
        <v>25</v>
      </c>
    </row>
    <row r="463" spans="1:3" x14ac:dyDescent="0.2">
      <c r="A463" s="162">
        <v>51564</v>
      </c>
      <c r="B463" s="5" t="s">
        <v>24</v>
      </c>
      <c r="C463" s="153" t="s">
        <v>28</v>
      </c>
    </row>
    <row r="464" spans="1:3" x14ac:dyDescent="0.2">
      <c r="A464" s="162">
        <v>51565</v>
      </c>
      <c r="B464" s="5" t="s">
        <v>27</v>
      </c>
      <c r="C464" s="153" t="s">
        <v>28</v>
      </c>
    </row>
    <row r="465" spans="1:3" x14ac:dyDescent="0.2">
      <c r="A465" s="162">
        <v>51610</v>
      </c>
      <c r="B465" s="5" t="s">
        <v>29</v>
      </c>
      <c r="C465" s="153" t="s">
        <v>30</v>
      </c>
    </row>
    <row r="466" spans="1:3" x14ac:dyDescent="0.2">
      <c r="A466" s="162">
        <v>51622</v>
      </c>
      <c r="B466" s="5" t="s">
        <v>41</v>
      </c>
      <c r="C466" s="153" t="s">
        <v>33</v>
      </c>
    </row>
    <row r="467" spans="1:3" x14ac:dyDescent="0.2">
      <c r="A467" s="162">
        <v>51672</v>
      </c>
      <c r="B467" s="5" t="s">
        <v>34</v>
      </c>
      <c r="C467" s="153" t="s">
        <v>35</v>
      </c>
    </row>
    <row r="468" spans="1:3" x14ac:dyDescent="0.2">
      <c r="A468" s="162">
        <v>51820</v>
      </c>
      <c r="B468" s="5" t="s">
        <v>29</v>
      </c>
      <c r="C468" s="153" t="s">
        <v>38</v>
      </c>
    </row>
    <row r="469" spans="1:3" x14ac:dyDescent="0.2">
      <c r="A469" s="162">
        <v>51860</v>
      </c>
      <c r="B469" s="5" t="s">
        <v>41</v>
      </c>
      <c r="C469" s="153" t="s">
        <v>39</v>
      </c>
    </row>
    <row r="470" spans="1:3" x14ac:dyDescent="0.2">
      <c r="A470" s="162">
        <v>51867</v>
      </c>
      <c r="B470" s="5" t="s">
        <v>41</v>
      </c>
      <c r="C470" s="153" t="s">
        <v>25</v>
      </c>
    </row>
    <row r="471" spans="1:3" x14ac:dyDescent="0.2">
      <c r="A471" s="162">
        <v>51914</v>
      </c>
      <c r="B471" s="5" t="s">
        <v>24</v>
      </c>
      <c r="C471" s="153" t="s">
        <v>28</v>
      </c>
    </row>
    <row r="472" spans="1:3" x14ac:dyDescent="0.2">
      <c r="A472" s="162">
        <v>51915</v>
      </c>
      <c r="B472" s="5" t="s">
        <v>27</v>
      </c>
      <c r="C472" s="153" t="s">
        <v>28</v>
      </c>
    </row>
    <row r="473" spans="1:3" x14ac:dyDescent="0.2">
      <c r="A473" s="162">
        <v>51960</v>
      </c>
      <c r="B473" s="5" t="s">
        <v>29</v>
      </c>
      <c r="C473" s="153" t="s">
        <v>30</v>
      </c>
    </row>
    <row r="474" spans="1:3" x14ac:dyDescent="0.2">
      <c r="A474" s="162">
        <v>51977</v>
      </c>
      <c r="B474" s="5" t="s">
        <v>24</v>
      </c>
      <c r="C474" s="153" t="s">
        <v>32</v>
      </c>
    </row>
    <row r="475" spans="1:3" x14ac:dyDescent="0.2">
      <c r="A475" s="162">
        <v>51987</v>
      </c>
      <c r="B475" s="5" t="s">
        <v>34</v>
      </c>
      <c r="C475" s="153" t="s">
        <v>33</v>
      </c>
    </row>
    <row r="476" spans="1:3" x14ac:dyDescent="0.2">
      <c r="A476" s="162">
        <v>52022</v>
      </c>
      <c r="B476" s="5" t="s">
        <v>34</v>
      </c>
      <c r="C476" s="153" t="s">
        <v>35</v>
      </c>
    </row>
    <row r="477" spans="1:3" x14ac:dyDescent="0.2">
      <c r="A477" s="162">
        <v>52225</v>
      </c>
      <c r="B477" s="5" t="s">
        <v>34</v>
      </c>
      <c r="C477" s="153" t="s">
        <v>39</v>
      </c>
    </row>
    <row r="478" spans="1:3" x14ac:dyDescent="0.2">
      <c r="A478" s="162">
        <v>52232</v>
      </c>
      <c r="B478" s="5" t="s">
        <v>34</v>
      </c>
      <c r="C478" s="153" t="s">
        <v>25</v>
      </c>
    </row>
    <row r="479" spans="1:3" x14ac:dyDescent="0.2">
      <c r="A479" s="162">
        <v>52271</v>
      </c>
      <c r="B479" s="5" t="s">
        <v>24</v>
      </c>
      <c r="C479" s="153" t="s">
        <v>28</v>
      </c>
    </row>
    <row r="480" spans="1:3" x14ac:dyDescent="0.2">
      <c r="A480" s="162">
        <v>52272</v>
      </c>
      <c r="B480" s="5" t="s">
        <v>27</v>
      </c>
      <c r="C480" s="153" t="s">
        <v>28</v>
      </c>
    </row>
    <row r="481" spans="1:3" x14ac:dyDescent="0.2">
      <c r="A481" s="162">
        <v>52317</v>
      </c>
      <c r="B481" s="5" t="s">
        <v>29</v>
      </c>
      <c r="C481" s="153" t="s">
        <v>30</v>
      </c>
    </row>
    <row r="482" spans="1:3" x14ac:dyDescent="0.2">
      <c r="A482" s="162">
        <v>52342</v>
      </c>
      <c r="B482" s="5" t="s">
        <v>27</v>
      </c>
      <c r="C482" s="153" t="s">
        <v>32</v>
      </c>
    </row>
    <row r="483" spans="1:3" x14ac:dyDescent="0.2">
      <c r="A483" s="162">
        <v>52352</v>
      </c>
      <c r="B483" s="5" t="s">
        <v>29</v>
      </c>
      <c r="C483" s="153" t="s">
        <v>33</v>
      </c>
    </row>
    <row r="484" spans="1:3" x14ac:dyDescent="0.2">
      <c r="A484" s="162">
        <v>52379</v>
      </c>
      <c r="B484" s="5" t="s">
        <v>34</v>
      </c>
      <c r="C484" s="153" t="s">
        <v>35</v>
      </c>
    </row>
    <row r="485" spans="1:3" x14ac:dyDescent="0.2">
      <c r="A485" s="162">
        <v>52481</v>
      </c>
      <c r="B485" s="5" t="s">
        <v>24</v>
      </c>
      <c r="C485" s="153" t="s">
        <v>36</v>
      </c>
    </row>
    <row r="486" spans="1:3" x14ac:dyDescent="0.2">
      <c r="A486" s="162">
        <v>52516</v>
      </c>
      <c r="B486" s="5" t="s">
        <v>24</v>
      </c>
      <c r="C486" s="153" t="s">
        <v>42</v>
      </c>
    </row>
    <row r="487" spans="1:3" x14ac:dyDescent="0.2">
      <c r="A487" s="162">
        <v>52537</v>
      </c>
      <c r="B487" s="5" t="s">
        <v>24</v>
      </c>
      <c r="C487" s="153" t="s">
        <v>37</v>
      </c>
    </row>
    <row r="488" spans="1:3" x14ac:dyDescent="0.2">
      <c r="A488" s="162">
        <v>52590</v>
      </c>
      <c r="B488" s="5" t="s">
        <v>29</v>
      </c>
      <c r="C488" s="153" t="s">
        <v>39</v>
      </c>
    </row>
    <row r="489" spans="1:3" x14ac:dyDescent="0.2">
      <c r="A489" s="162">
        <v>52597</v>
      </c>
      <c r="B489" s="5" t="s">
        <v>29</v>
      </c>
      <c r="C489" s="153" t="s">
        <v>25</v>
      </c>
    </row>
    <row r="490" spans="1:3" x14ac:dyDescent="0.2">
      <c r="A490" s="162">
        <v>52656</v>
      </c>
      <c r="B490" s="5" t="s">
        <v>24</v>
      </c>
      <c r="C490" s="153" t="s">
        <v>28</v>
      </c>
    </row>
    <row r="491" spans="1:3" x14ac:dyDescent="0.2">
      <c r="A491" s="162">
        <v>52657</v>
      </c>
      <c r="B491" s="5" t="s">
        <v>27</v>
      </c>
      <c r="C491" s="153" t="s">
        <v>28</v>
      </c>
    </row>
    <row r="492" spans="1:3" x14ac:dyDescent="0.2">
      <c r="A492" s="162">
        <v>52702</v>
      </c>
      <c r="B492" s="5" t="s">
        <v>29</v>
      </c>
      <c r="C492" s="153" t="s">
        <v>30</v>
      </c>
    </row>
    <row r="493" spans="1:3" x14ac:dyDescent="0.2">
      <c r="A493" s="162">
        <v>52708</v>
      </c>
      <c r="B493" s="5" t="s">
        <v>34</v>
      </c>
      <c r="C493" s="153" t="s">
        <v>32</v>
      </c>
    </row>
    <row r="494" spans="1:3" x14ac:dyDescent="0.2">
      <c r="A494" s="162">
        <v>52764</v>
      </c>
      <c r="B494" s="5" t="s">
        <v>34</v>
      </c>
      <c r="C494" s="153" t="s">
        <v>35</v>
      </c>
    </row>
    <row r="495" spans="1:3" x14ac:dyDescent="0.2">
      <c r="A495" s="162">
        <v>52847</v>
      </c>
      <c r="B495" s="5" t="s">
        <v>41</v>
      </c>
      <c r="C495" s="153" t="s">
        <v>36</v>
      </c>
    </row>
    <row r="496" spans="1:3" x14ac:dyDescent="0.2">
      <c r="A496" s="162">
        <v>52882</v>
      </c>
      <c r="B496" s="5" t="s">
        <v>41</v>
      </c>
      <c r="C496" s="153" t="s">
        <v>42</v>
      </c>
    </row>
    <row r="497" spans="1:3" x14ac:dyDescent="0.2">
      <c r="A497" s="162">
        <v>52903</v>
      </c>
      <c r="B497" s="5" t="s">
        <v>41</v>
      </c>
      <c r="C497" s="153" t="s">
        <v>37</v>
      </c>
    </row>
    <row r="498" spans="1:3" x14ac:dyDescent="0.2">
      <c r="A498" s="162">
        <v>52916</v>
      </c>
      <c r="B498" s="5" t="s">
        <v>27</v>
      </c>
      <c r="C498" s="153" t="s">
        <v>39</v>
      </c>
    </row>
    <row r="499" spans="1:3" x14ac:dyDescent="0.2">
      <c r="A499" s="162">
        <v>53013</v>
      </c>
      <c r="B499" s="5" t="s">
        <v>24</v>
      </c>
      <c r="C499" s="153" t="s">
        <v>28</v>
      </c>
    </row>
    <row r="500" spans="1:3" x14ac:dyDescent="0.2">
      <c r="A500" s="162">
        <v>53014</v>
      </c>
      <c r="B500" s="5" t="s">
        <v>27</v>
      </c>
      <c r="C500" s="153" t="s">
        <v>28</v>
      </c>
    </row>
    <row r="501" spans="1:3" x14ac:dyDescent="0.2">
      <c r="A501" s="162">
        <v>53059</v>
      </c>
      <c r="B501" s="5" t="s">
        <v>29</v>
      </c>
      <c r="C501" s="153" t="s">
        <v>30</v>
      </c>
    </row>
    <row r="502" spans="1:3" x14ac:dyDescent="0.2">
      <c r="A502" s="162">
        <v>53073</v>
      </c>
      <c r="B502" s="5" t="s">
        <v>29</v>
      </c>
      <c r="C502" s="153" t="s">
        <v>32</v>
      </c>
    </row>
    <row r="503" spans="1:3" x14ac:dyDescent="0.2">
      <c r="A503" s="162">
        <v>53083</v>
      </c>
      <c r="B503" s="5" t="s">
        <v>24</v>
      </c>
      <c r="C503" s="153" t="s">
        <v>33</v>
      </c>
    </row>
    <row r="504" spans="1:3" x14ac:dyDescent="0.2">
      <c r="A504" s="162">
        <v>53121</v>
      </c>
      <c r="B504" s="5" t="s">
        <v>34</v>
      </c>
      <c r="C504" s="153" t="s">
        <v>35</v>
      </c>
    </row>
    <row r="505" spans="1:3" x14ac:dyDescent="0.2">
      <c r="A505" s="162">
        <v>53212</v>
      </c>
      <c r="B505" s="5" t="s">
        <v>34</v>
      </c>
      <c r="C505" s="153" t="s">
        <v>36</v>
      </c>
    </row>
    <row r="506" spans="1:3" x14ac:dyDescent="0.2">
      <c r="A506" s="162">
        <v>53247</v>
      </c>
      <c r="B506" s="5" t="s">
        <v>34</v>
      </c>
      <c r="C506" s="153" t="s">
        <v>42</v>
      </c>
    </row>
    <row r="507" spans="1:3" x14ac:dyDescent="0.2">
      <c r="A507" s="162">
        <v>53268</v>
      </c>
      <c r="B507" s="5" t="s">
        <v>34</v>
      </c>
      <c r="C507" s="153" t="s">
        <v>37</v>
      </c>
    </row>
    <row r="508" spans="1:3" x14ac:dyDescent="0.2">
      <c r="A508" s="162">
        <v>53281</v>
      </c>
      <c r="B508" s="5" t="s">
        <v>41</v>
      </c>
      <c r="C508" s="153" t="s">
        <v>38</v>
      </c>
    </row>
    <row r="509" spans="1:3" x14ac:dyDescent="0.2">
      <c r="A509" s="162">
        <v>53321</v>
      </c>
      <c r="B509" s="5" t="s">
        <v>24</v>
      </c>
      <c r="C509" s="153" t="s">
        <v>39</v>
      </c>
    </row>
    <row r="510" spans="1:3" x14ac:dyDescent="0.2">
      <c r="A510" s="162">
        <v>53328</v>
      </c>
      <c r="B510" s="5" t="s">
        <v>24</v>
      </c>
      <c r="C510" s="153" t="s">
        <v>25</v>
      </c>
    </row>
    <row r="511" spans="1:3" x14ac:dyDescent="0.2">
      <c r="A511" s="162">
        <v>53363</v>
      </c>
      <c r="B511" s="5" t="s">
        <v>24</v>
      </c>
      <c r="C511" s="153" t="s">
        <v>28</v>
      </c>
    </row>
    <row r="512" spans="1:3" x14ac:dyDescent="0.2">
      <c r="A512" s="162">
        <v>53364</v>
      </c>
      <c r="B512" s="5" t="s">
        <v>27</v>
      </c>
      <c r="C512" s="153" t="s">
        <v>28</v>
      </c>
    </row>
    <row r="513" spans="1:3" x14ac:dyDescent="0.2">
      <c r="A513" s="162">
        <v>53409</v>
      </c>
      <c r="B513" s="5" t="s">
        <v>29</v>
      </c>
      <c r="C513" s="153" t="s">
        <v>30</v>
      </c>
    </row>
    <row r="514" spans="1:3" x14ac:dyDescent="0.2">
      <c r="A514" s="162">
        <v>53448</v>
      </c>
      <c r="B514" s="5" t="s">
        <v>27</v>
      </c>
      <c r="C514" s="153" t="s">
        <v>33</v>
      </c>
    </row>
    <row r="515" spans="1:3" x14ac:dyDescent="0.2">
      <c r="A515" s="162">
        <v>53471</v>
      </c>
      <c r="B515" s="5" t="s">
        <v>34</v>
      </c>
      <c r="C515" s="153" t="s">
        <v>35</v>
      </c>
    </row>
    <row r="516" spans="1:3" x14ac:dyDescent="0.2">
      <c r="A516" s="162">
        <v>53577</v>
      </c>
      <c r="B516" s="5" t="s">
        <v>29</v>
      </c>
      <c r="C516" s="153" t="s">
        <v>36</v>
      </c>
    </row>
    <row r="517" spans="1:3" x14ac:dyDescent="0.2">
      <c r="A517" s="162">
        <v>53612</v>
      </c>
      <c r="B517" s="5" t="s">
        <v>29</v>
      </c>
      <c r="C517" s="153" t="s">
        <v>42</v>
      </c>
    </row>
    <row r="518" spans="1:3" x14ac:dyDescent="0.2">
      <c r="A518" s="162">
        <v>53633</v>
      </c>
      <c r="B518" s="5" t="s">
        <v>29</v>
      </c>
      <c r="C518" s="153" t="s">
        <v>37</v>
      </c>
    </row>
    <row r="519" spans="1:3" x14ac:dyDescent="0.2">
      <c r="A519" s="162">
        <v>53646</v>
      </c>
      <c r="B519" s="5" t="s">
        <v>34</v>
      </c>
      <c r="C519" s="153" t="s">
        <v>38</v>
      </c>
    </row>
    <row r="520" spans="1:3" x14ac:dyDescent="0.2">
      <c r="A520" s="162">
        <v>53686</v>
      </c>
      <c r="B520" s="5" t="s">
        <v>27</v>
      </c>
      <c r="C520" s="153" t="s">
        <v>39</v>
      </c>
    </row>
    <row r="521" spans="1:3" x14ac:dyDescent="0.2">
      <c r="A521" s="162">
        <v>53693</v>
      </c>
      <c r="B521" s="5" t="s">
        <v>27</v>
      </c>
      <c r="C521" s="153" t="s">
        <v>25</v>
      </c>
    </row>
    <row r="522" spans="1:3" x14ac:dyDescent="0.2">
      <c r="A522" s="162">
        <v>53748</v>
      </c>
      <c r="B522" s="5" t="s">
        <v>24</v>
      </c>
      <c r="C522" s="153" t="s">
        <v>28</v>
      </c>
    </row>
    <row r="523" spans="1:3" x14ac:dyDescent="0.2">
      <c r="A523" s="162">
        <v>53749</v>
      </c>
      <c r="B523" s="5" t="s">
        <v>27</v>
      </c>
      <c r="C523" s="153" t="s">
        <v>28</v>
      </c>
    </row>
    <row r="524" spans="1:3" x14ac:dyDescent="0.2">
      <c r="A524" s="162">
        <v>53794</v>
      </c>
      <c r="B524" s="5" t="s">
        <v>29</v>
      </c>
      <c r="C524" s="153" t="s">
        <v>30</v>
      </c>
    </row>
    <row r="525" spans="1:3" x14ac:dyDescent="0.2">
      <c r="A525" s="162">
        <v>53813</v>
      </c>
      <c r="B525" s="5" t="s">
        <v>41</v>
      </c>
      <c r="C525" s="153" t="s">
        <v>33</v>
      </c>
    </row>
    <row r="526" spans="1:3" x14ac:dyDescent="0.2">
      <c r="A526" s="162">
        <v>53856</v>
      </c>
      <c r="B526" s="5" t="s">
        <v>34</v>
      </c>
      <c r="C526" s="153" t="s">
        <v>35</v>
      </c>
    </row>
    <row r="527" spans="1:3" x14ac:dyDescent="0.2">
      <c r="A527" s="162">
        <v>54011</v>
      </c>
      <c r="B527" s="5" t="s">
        <v>29</v>
      </c>
      <c r="C527" s="153" t="s">
        <v>38</v>
      </c>
    </row>
    <row r="528" spans="1:3" x14ac:dyDescent="0.2">
      <c r="A528" s="162">
        <v>54051</v>
      </c>
      <c r="B528" s="5" t="s">
        <v>41</v>
      </c>
      <c r="C528" s="153" t="s">
        <v>39</v>
      </c>
    </row>
    <row r="529" spans="1:3" x14ac:dyDescent="0.2">
      <c r="A529" s="162">
        <v>54058</v>
      </c>
      <c r="B529" s="5" t="s">
        <v>41</v>
      </c>
      <c r="C529" s="153" t="s">
        <v>25</v>
      </c>
    </row>
    <row r="530" spans="1:3" x14ac:dyDescent="0.2">
      <c r="A530" s="162">
        <v>54105</v>
      </c>
      <c r="B530" s="5" t="s">
        <v>24</v>
      </c>
      <c r="C530" s="153" t="s">
        <v>28</v>
      </c>
    </row>
    <row r="531" spans="1:3" x14ac:dyDescent="0.2">
      <c r="A531" s="162">
        <v>54106</v>
      </c>
      <c r="B531" s="5" t="s">
        <v>27</v>
      </c>
      <c r="C531" s="153" t="s">
        <v>28</v>
      </c>
    </row>
    <row r="532" spans="1:3" x14ac:dyDescent="0.2">
      <c r="A532" s="162">
        <v>54151</v>
      </c>
      <c r="B532" s="5" t="s">
        <v>29</v>
      </c>
      <c r="C532" s="153" t="s">
        <v>30</v>
      </c>
    </row>
    <row r="533" spans="1:3" x14ac:dyDescent="0.2">
      <c r="A533" s="162">
        <v>54169</v>
      </c>
      <c r="B533" s="5" t="s">
        <v>27</v>
      </c>
      <c r="C533" s="153" t="s">
        <v>32</v>
      </c>
    </row>
    <row r="534" spans="1:3" x14ac:dyDescent="0.2">
      <c r="A534" s="162">
        <v>54179</v>
      </c>
      <c r="B534" s="5" t="s">
        <v>29</v>
      </c>
      <c r="C534" s="153" t="s">
        <v>33</v>
      </c>
    </row>
    <row r="535" spans="1:3" x14ac:dyDescent="0.2">
      <c r="A535" s="162">
        <v>54213</v>
      </c>
      <c r="B535" s="5" t="s">
        <v>34</v>
      </c>
      <c r="C535" s="153" t="s">
        <v>35</v>
      </c>
    </row>
    <row r="536" spans="1:3" x14ac:dyDescent="0.2">
      <c r="A536" s="162">
        <v>54308</v>
      </c>
      <c r="B536" s="5" t="s">
        <v>24</v>
      </c>
      <c r="C536" s="153" t="s">
        <v>36</v>
      </c>
    </row>
    <row r="537" spans="1:3" x14ac:dyDescent="0.2">
      <c r="A537" s="162">
        <v>54343</v>
      </c>
      <c r="B537" s="5" t="s">
        <v>24</v>
      </c>
      <c r="C537" s="153" t="s">
        <v>42</v>
      </c>
    </row>
    <row r="538" spans="1:3" x14ac:dyDescent="0.2">
      <c r="A538" s="162">
        <v>54364</v>
      </c>
      <c r="B538" s="5" t="s">
        <v>24</v>
      </c>
      <c r="C538" s="153" t="s">
        <v>37</v>
      </c>
    </row>
    <row r="539" spans="1:3" x14ac:dyDescent="0.2">
      <c r="A539" s="162">
        <v>54417</v>
      </c>
      <c r="B539" s="5" t="s">
        <v>29</v>
      </c>
      <c r="C539" s="153" t="s">
        <v>39</v>
      </c>
    </row>
    <row r="540" spans="1:3" x14ac:dyDescent="0.2">
      <c r="A540" s="162">
        <v>54424</v>
      </c>
      <c r="B540" s="5" t="s">
        <v>29</v>
      </c>
      <c r="C540" s="153" t="s">
        <v>25</v>
      </c>
    </row>
    <row r="541" spans="1:3" x14ac:dyDescent="0.2">
      <c r="A541" s="162">
        <v>54483</v>
      </c>
      <c r="B541" s="5" t="s">
        <v>24</v>
      </c>
      <c r="C541" s="153" t="s">
        <v>28</v>
      </c>
    </row>
    <row r="542" spans="1:3" x14ac:dyDescent="0.2">
      <c r="A542" s="162">
        <v>54484</v>
      </c>
      <c r="B542" s="5" t="s">
        <v>27</v>
      </c>
      <c r="C542" s="153" t="s">
        <v>28</v>
      </c>
    </row>
    <row r="543" spans="1:3" x14ac:dyDescent="0.2">
      <c r="A543" s="162">
        <v>54529</v>
      </c>
      <c r="B543" s="5" t="s">
        <v>29</v>
      </c>
      <c r="C543" s="153" t="s">
        <v>30</v>
      </c>
    </row>
    <row r="544" spans="1:3" x14ac:dyDescent="0.2">
      <c r="A544" s="162">
        <v>54534</v>
      </c>
      <c r="B544" s="5" t="s">
        <v>41</v>
      </c>
      <c r="C544" s="153" t="s">
        <v>32</v>
      </c>
    </row>
    <row r="545" spans="1:3" x14ac:dyDescent="0.2">
      <c r="A545" s="162">
        <v>54591</v>
      </c>
      <c r="B545" s="5" t="s">
        <v>34</v>
      </c>
      <c r="C545" s="153" t="s">
        <v>35</v>
      </c>
    </row>
    <row r="546" spans="1:3" x14ac:dyDescent="0.2">
      <c r="A546" s="162">
        <v>54673</v>
      </c>
      <c r="B546" s="5" t="s">
        <v>27</v>
      </c>
      <c r="C546" s="153" t="s">
        <v>36</v>
      </c>
    </row>
    <row r="547" spans="1:3" x14ac:dyDescent="0.2">
      <c r="A547" s="162">
        <v>54708</v>
      </c>
      <c r="B547" s="5" t="s">
        <v>27</v>
      </c>
      <c r="C547" s="153" t="s">
        <v>42</v>
      </c>
    </row>
    <row r="548" spans="1:3" x14ac:dyDescent="0.2">
      <c r="A548" s="162">
        <v>54729</v>
      </c>
      <c r="B548" s="5" t="s">
        <v>27</v>
      </c>
      <c r="C548" s="153" t="s">
        <v>37</v>
      </c>
    </row>
    <row r="549" spans="1:3" x14ac:dyDescent="0.2">
      <c r="A549" s="162">
        <v>54742</v>
      </c>
      <c r="B549" s="5" t="s">
        <v>24</v>
      </c>
      <c r="C549" s="153" t="s">
        <v>38</v>
      </c>
    </row>
    <row r="550" spans="1:3" x14ac:dyDescent="0.2">
      <c r="A550" s="162">
        <v>54840</v>
      </c>
      <c r="B550" s="5" t="s">
        <v>24</v>
      </c>
      <c r="C550" s="153" t="s">
        <v>28</v>
      </c>
    </row>
    <row r="551" spans="1:3" x14ac:dyDescent="0.2">
      <c r="A551" s="162">
        <v>54841</v>
      </c>
      <c r="B551" s="5" t="s">
        <v>27</v>
      </c>
      <c r="C551" s="153" t="s">
        <v>28</v>
      </c>
    </row>
    <row r="552" spans="1:3" x14ac:dyDescent="0.2">
      <c r="A552" s="162">
        <v>54886</v>
      </c>
      <c r="B552" s="5" t="s">
        <v>29</v>
      </c>
      <c r="C552" s="153" t="s">
        <v>30</v>
      </c>
    </row>
    <row r="553" spans="1:3" x14ac:dyDescent="0.2">
      <c r="A553" s="162">
        <v>54899</v>
      </c>
      <c r="B553" s="5" t="s">
        <v>34</v>
      </c>
      <c r="C553" s="153" t="s">
        <v>32</v>
      </c>
    </row>
    <row r="554" spans="1:3" x14ac:dyDescent="0.2">
      <c r="A554" s="162">
        <v>54948</v>
      </c>
      <c r="B554" s="5" t="s">
        <v>34</v>
      </c>
      <c r="C554" s="153" t="s">
        <v>35</v>
      </c>
    </row>
    <row r="555" spans="1:3" x14ac:dyDescent="0.2">
      <c r="A555" s="162">
        <v>55038</v>
      </c>
      <c r="B555" s="5" t="s">
        <v>41</v>
      </c>
      <c r="C555" s="153" t="s">
        <v>36</v>
      </c>
    </row>
    <row r="556" spans="1:3" x14ac:dyDescent="0.2">
      <c r="A556" s="162">
        <v>55073</v>
      </c>
      <c r="B556" s="5" t="s">
        <v>41</v>
      </c>
      <c r="C556" s="153" t="s">
        <v>42</v>
      </c>
    </row>
    <row r="557" spans="1:3" x14ac:dyDescent="0.2">
      <c r="A557" s="162">
        <v>55094</v>
      </c>
      <c r="B557" s="5" t="s">
        <v>41</v>
      </c>
      <c r="C557" s="153" t="s">
        <v>37</v>
      </c>
    </row>
    <row r="558" spans="1:3" x14ac:dyDescent="0.2">
      <c r="A558" s="162">
        <v>55107</v>
      </c>
      <c r="B558" s="5" t="s">
        <v>27</v>
      </c>
      <c r="C558" s="153" t="s">
        <v>38</v>
      </c>
    </row>
    <row r="559" spans="1:3" x14ac:dyDescent="0.2">
      <c r="A559" s="162">
        <v>55197</v>
      </c>
      <c r="B559" s="5" t="s">
        <v>24</v>
      </c>
      <c r="C559" s="153" t="s">
        <v>28</v>
      </c>
    </row>
    <row r="560" spans="1:3" x14ac:dyDescent="0.2">
      <c r="A560" s="162">
        <v>55198</v>
      </c>
      <c r="B560" s="5" t="s">
        <v>27</v>
      </c>
      <c r="C560" s="153" t="s">
        <v>28</v>
      </c>
    </row>
    <row r="561" spans="1:3" x14ac:dyDescent="0.2">
      <c r="A561" s="162">
        <v>55243</v>
      </c>
      <c r="B561" s="5" t="s">
        <v>29</v>
      </c>
      <c r="C561" s="153" t="s">
        <v>30</v>
      </c>
    </row>
    <row r="562" spans="1:3" x14ac:dyDescent="0.2">
      <c r="A562" s="162">
        <v>55264</v>
      </c>
      <c r="B562" s="5" t="s">
        <v>29</v>
      </c>
      <c r="C562" s="153" t="s">
        <v>32</v>
      </c>
    </row>
    <row r="563" spans="1:3" x14ac:dyDescent="0.2">
      <c r="A563" s="162">
        <v>55274</v>
      </c>
      <c r="B563" s="5" t="s">
        <v>24</v>
      </c>
      <c r="C563" s="153" t="s">
        <v>33</v>
      </c>
    </row>
    <row r="564" spans="1:3" x14ac:dyDescent="0.2">
      <c r="A564" s="162">
        <v>55305</v>
      </c>
      <c r="B564" s="5" t="s">
        <v>34</v>
      </c>
      <c r="C564" s="153" t="s">
        <v>35</v>
      </c>
    </row>
    <row r="565" spans="1:3" x14ac:dyDescent="0.2">
      <c r="A565" s="162">
        <v>55403</v>
      </c>
      <c r="B565" s="5" t="s">
        <v>34</v>
      </c>
      <c r="C565" s="153" t="s">
        <v>36</v>
      </c>
    </row>
    <row r="566" spans="1:3" x14ac:dyDescent="0.2">
      <c r="A566" s="162">
        <v>55438</v>
      </c>
      <c r="B566" s="5" t="s">
        <v>34</v>
      </c>
      <c r="C566" s="153" t="s">
        <v>42</v>
      </c>
    </row>
    <row r="567" spans="1:3" x14ac:dyDescent="0.2">
      <c r="A567" s="162">
        <v>55459</v>
      </c>
      <c r="B567" s="5" t="s">
        <v>34</v>
      </c>
      <c r="C567" s="153" t="s">
        <v>37</v>
      </c>
    </row>
    <row r="568" spans="1:3" x14ac:dyDescent="0.2">
      <c r="A568" s="162">
        <v>55472</v>
      </c>
      <c r="B568" s="5" t="s">
        <v>41</v>
      </c>
      <c r="C568" s="153" t="s">
        <v>38</v>
      </c>
    </row>
    <row r="569" spans="1:3" x14ac:dyDescent="0.2">
      <c r="A569" s="162">
        <v>55512</v>
      </c>
      <c r="B569" s="5" t="s">
        <v>24</v>
      </c>
      <c r="C569" s="153" t="s">
        <v>39</v>
      </c>
    </row>
    <row r="570" spans="1:3" x14ac:dyDescent="0.2">
      <c r="A570" s="162">
        <v>55519</v>
      </c>
      <c r="B570" s="5" t="s">
        <v>24</v>
      </c>
      <c r="C570" s="153" t="s">
        <v>25</v>
      </c>
    </row>
    <row r="571" spans="1:3" x14ac:dyDescent="0.2">
      <c r="A571" s="162">
        <v>55582</v>
      </c>
      <c r="B571" s="5" t="s">
        <v>24</v>
      </c>
      <c r="C571" s="153" t="s">
        <v>28</v>
      </c>
    </row>
    <row r="572" spans="1:3" x14ac:dyDescent="0.2">
      <c r="A572" s="162">
        <v>55583</v>
      </c>
      <c r="B572" s="5" t="s">
        <v>27</v>
      </c>
      <c r="C572" s="153" t="s">
        <v>28</v>
      </c>
    </row>
    <row r="573" spans="1:3" x14ac:dyDescent="0.2">
      <c r="A573" s="162">
        <v>55628</v>
      </c>
      <c r="B573" s="5" t="s">
        <v>29</v>
      </c>
      <c r="C573" s="153" t="s">
        <v>30</v>
      </c>
    </row>
    <row r="574" spans="1:3" x14ac:dyDescent="0.2">
      <c r="A574" s="162">
        <v>55640</v>
      </c>
      <c r="B574" s="5" t="s">
        <v>41</v>
      </c>
      <c r="C574" s="153" t="s">
        <v>33</v>
      </c>
    </row>
    <row r="575" spans="1:3" x14ac:dyDescent="0.2">
      <c r="A575" s="162">
        <v>55690</v>
      </c>
      <c r="B575" s="5" t="s">
        <v>34</v>
      </c>
      <c r="C575" s="153" t="s">
        <v>35</v>
      </c>
    </row>
    <row r="576" spans="1:3" x14ac:dyDescent="0.2">
      <c r="A576" s="162">
        <v>55838</v>
      </c>
      <c r="B576" s="5" t="s">
        <v>29</v>
      </c>
      <c r="C576" s="153" t="s">
        <v>38</v>
      </c>
    </row>
    <row r="577" spans="1:3" x14ac:dyDescent="0.2">
      <c r="A577" s="162">
        <v>55878</v>
      </c>
      <c r="B577" s="5" t="s">
        <v>41</v>
      </c>
      <c r="C577" s="153" t="s">
        <v>39</v>
      </c>
    </row>
    <row r="578" spans="1:3" x14ac:dyDescent="0.2">
      <c r="A578" s="162">
        <v>55885</v>
      </c>
      <c r="B578" s="5" t="s">
        <v>41</v>
      </c>
      <c r="C578" s="153" t="s">
        <v>25</v>
      </c>
    </row>
    <row r="579" spans="1:3" x14ac:dyDescent="0.2">
      <c r="A579" s="162">
        <v>55932</v>
      </c>
      <c r="B579" s="5" t="s">
        <v>24</v>
      </c>
      <c r="C579" s="153" t="s">
        <v>28</v>
      </c>
    </row>
    <row r="580" spans="1:3" x14ac:dyDescent="0.2">
      <c r="A580" s="162">
        <v>55933</v>
      </c>
      <c r="B580" s="5" t="s">
        <v>27</v>
      </c>
      <c r="C580" s="153" t="s">
        <v>28</v>
      </c>
    </row>
    <row r="581" spans="1:3" x14ac:dyDescent="0.2">
      <c r="A581" s="162">
        <v>55978</v>
      </c>
      <c r="B581" s="5" t="s">
        <v>29</v>
      </c>
      <c r="C581" s="153" t="s">
        <v>30</v>
      </c>
    </row>
    <row r="582" spans="1:3" x14ac:dyDescent="0.2">
      <c r="A582" s="162">
        <v>55995</v>
      </c>
      <c r="B582" s="5" t="s">
        <v>24</v>
      </c>
      <c r="C582" s="153" t="s">
        <v>32</v>
      </c>
    </row>
    <row r="583" spans="1:3" x14ac:dyDescent="0.2">
      <c r="A583" s="162">
        <v>56005</v>
      </c>
      <c r="B583" s="5" t="s">
        <v>34</v>
      </c>
      <c r="C583" s="153" t="s">
        <v>33</v>
      </c>
    </row>
    <row r="584" spans="1:3" x14ac:dyDescent="0.2">
      <c r="A584" s="162">
        <v>56040</v>
      </c>
      <c r="B584" s="5" t="s">
        <v>34</v>
      </c>
      <c r="C584" s="153" t="s">
        <v>35</v>
      </c>
    </row>
    <row r="585" spans="1:3" x14ac:dyDescent="0.2">
      <c r="A585" s="162">
        <v>56243</v>
      </c>
      <c r="B585" s="5" t="s">
        <v>34</v>
      </c>
      <c r="C585" s="153" t="s">
        <v>39</v>
      </c>
    </row>
    <row r="586" spans="1:3" x14ac:dyDescent="0.2">
      <c r="A586" s="162">
        <v>56250</v>
      </c>
      <c r="B586" s="5" t="s">
        <v>34</v>
      </c>
      <c r="C586" s="153" t="s">
        <v>25</v>
      </c>
    </row>
    <row r="587" spans="1:3" x14ac:dyDescent="0.2">
      <c r="A587" s="162">
        <v>56289</v>
      </c>
      <c r="B587" s="5" t="s">
        <v>24</v>
      </c>
      <c r="C587" s="153" t="s">
        <v>28</v>
      </c>
    </row>
    <row r="588" spans="1:3" x14ac:dyDescent="0.2">
      <c r="A588" s="162">
        <v>56290</v>
      </c>
      <c r="B588" s="5" t="s">
        <v>27</v>
      </c>
      <c r="C588" s="153" t="s">
        <v>28</v>
      </c>
    </row>
    <row r="589" spans="1:3" x14ac:dyDescent="0.2">
      <c r="A589" s="162">
        <v>56335</v>
      </c>
      <c r="B589" s="5" t="s">
        <v>29</v>
      </c>
      <c r="C589" s="153" t="s">
        <v>30</v>
      </c>
    </row>
    <row r="590" spans="1:3" x14ac:dyDescent="0.2">
      <c r="A590" s="162">
        <v>56360</v>
      </c>
      <c r="B590" s="5" t="s">
        <v>27</v>
      </c>
      <c r="C590" s="153" t="s">
        <v>32</v>
      </c>
    </row>
    <row r="591" spans="1:3" x14ac:dyDescent="0.2">
      <c r="A591" s="162">
        <v>56370</v>
      </c>
      <c r="B591" s="5" t="s">
        <v>29</v>
      </c>
      <c r="C591" s="153" t="s">
        <v>33</v>
      </c>
    </row>
    <row r="592" spans="1:3" x14ac:dyDescent="0.2">
      <c r="A592" s="162">
        <v>56397</v>
      </c>
      <c r="B592" s="5" t="s">
        <v>34</v>
      </c>
      <c r="C592" s="153" t="s">
        <v>35</v>
      </c>
    </row>
    <row r="593" spans="1:3" x14ac:dyDescent="0.2">
      <c r="A593" s="162">
        <v>56499</v>
      </c>
      <c r="B593" s="5" t="s">
        <v>24</v>
      </c>
      <c r="C593" s="153" t="s">
        <v>36</v>
      </c>
    </row>
    <row r="594" spans="1:3" x14ac:dyDescent="0.2">
      <c r="A594" s="162">
        <v>56534</v>
      </c>
      <c r="B594" s="5" t="s">
        <v>24</v>
      </c>
      <c r="C594" s="153" t="s">
        <v>42</v>
      </c>
    </row>
    <row r="595" spans="1:3" x14ac:dyDescent="0.2">
      <c r="A595" s="162">
        <v>56555</v>
      </c>
      <c r="B595" s="5" t="s">
        <v>24</v>
      </c>
      <c r="C595" s="153" t="s">
        <v>37</v>
      </c>
    </row>
    <row r="596" spans="1:3" x14ac:dyDescent="0.2">
      <c r="A596" s="162">
        <v>56608</v>
      </c>
      <c r="B596" s="5" t="s">
        <v>29</v>
      </c>
      <c r="C596" s="153" t="s">
        <v>39</v>
      </c>
    </row>
    <row r="597" spans="1:3" x14ac:dyDescent="0.2">
      <c r="A597" s="162">
        <v>56615</v>
      </c>
      <c r="B597" s="5" t="s">
        <v>29</v>
      </c>
      <c r="C597" s="153" t="s">
        <v>25</v>
      </c>
    </row>
    <row r="598" spans="1:3" x14ac:dyDescent="0.2">
      <c r="A598" s="162">
        <v>56674</v>
      </c>
      <c r="B598" s="5" t="s">
        <v>24</v>
      </c>
      <c r="C598" s="153" t="s">
        <v>28</v>
      </c>
    </row>
    <row r="599" spans="1:3" x14ac:dyDescent="0.2">
      <c r="A599" s="162">
        <v>56675</v>
      </c>
      <c r="B599" s="5" t="s">
        <v>27</v>
      </c>
      <c r="C599" s="153" t="s">
        <v>28</v>
      </c>
    </row>
    <row r="600" spans="1:3" x14ac:dyDescent="0.2">
      <c r="A600" s="162">
        <v>56720</v>
      </c>
      <c r="B600" s="5" t="s">
        <v>29</v>
      </c>
      <c r="C600" s="153" t="s">
        <v>30</v>
      </c>
    </row>
    <row r="601" spans="1:3" x14ac:dyDescent="0.2">
      <c r="A601" s="162">
        <v>56725</v>
      </c>
      <c r="B601" s="5" t="s">
        <v>41</v>
      </c>
      <c r="C601" s="153" t="s">
        <v>32</v>
      </c>
    </row>
    <row r="602" spans="1:3" x14ac:dyDescent="0.2">
      <c r="A602" s="162">
        <v>56782</v>
      </c>
      <c r="B602" s="5" t="s">
        <v>34</v>
      </c>
      <c r="C602" s="153" t="s">
        <v>35</v>
      </c>
    </row>
    <row r="603" spans="1:3" x14ac:dyDescent="0.2">
      <c r="A603" s="162">
        <v>56864</v>
      </c>
      <c r="B603" s="5" t="s">
        <v>27</v>
      </c>
      <c r="C603" s="153" t="s">
        <v>36</v>
      </c>
    </row>
    <row r="604" spans="1:3" x14ac:dyDescent="0.2">
      <c r="A604" s="162">
        <v>56899</v>
      </c>
      <c r="B604" s="5" t="s">
        <v>27</v>
      </c>
      <c r="C604" s="153" t="s">
        <v>42</v>
      </c>
    </row>
    <row r="605" spans="1:3" x14ac:dyDescent="0.2">
      <c r="A605" s="162">
        <v>56920</v>
      </c>
      <c r="B605" s="5" t="s">
        <v>27</v>
      </c>
      <c r="C605" s="153" t="s">
        <v>37</v>
      </c>
    </row>
    <row r="606" spans="1:3" x14ac:dyDescent="0.2">
      <c r="A606" s="162">
        <v>56933</v>
      </c>
      <c r="B606" s="5" t="s">
        <v>24</v>
      </c>
      <c r="C606" s="153" t="s">
        <v>38</v>
      </c>
    </row>
    <row r="607" spans="1:3" x14ac:dyDescent="0.2">
      <c r="A607" s="162">
        <v>57024</v>
      </c>
      <c r="B607" s="5" t="s">
        <v>24</v>
      </c>
      <c r="C607" s="153" t="s">
        <v>28</v>
      </c>
    </row>
    <row r="608" spans="1:3" x14ac:dyDescent="0.2">
      <c r="A608" s="162">
        <v>57025</v>
      </c>
      <c r="B608" s="5" t="s">
        <v>27</v>
      </c>
      <c r="C608" s="153" t="s">
        <v>28</v>
      </c>
    </row>
    <row r="609" spans="1:3" x14ac:dyDescent="0.2">
      <c r="A609" s="162">
        <v>57070</v>
      </c>
      <c r="B609" s="5" t="s">
        <v>29</v>
      </c>
      <c r="C609" s="153" t="s">
        <v>30</v>
      </c>
    </row>
    <row r="610" spans="1:3" x14ac:dyDescent="0.2">
      <c r="A610" s="162">
        <v>57091</v>
      </c>
      <c r="B610" s="5" t="s">
        <v>29</v>
      </c>
      <c r="C610" s="153" t="s">
        <v>32</v>
      </c>
    </row>
    <row r="611" spans="1:3" x14ac:dyDescent="0.2">
      <c r="A611" s="162">
        <v>57101</v>
      </c>
      <c r="B611" s="5" t="s">
        <v>24</v>
      </c>
      <c r="C611" s="153" t="s">
        <v>33</v>
      </c>
    </row>
    <row r="612" spans="1:3" x14ac:dyDescent="0.2">
      <c r="A612" s="162">
        <v>57132</v>
      </c>
      <c r="B612" s="5" t="s">
        <v>34</v>
      </c>
      <c r="C612" s="153" t="s">
        <v>35</v>
      </c>
    </row>
    <row r="613" spans="1:3" x14ac:dyDescent="0.2">
      <c r="A613" s="162">
        <v>57230</v>
      </c>
      <c r="B613" s="5" t="s">
        <v>34</v>
      </c>
      <c r="C613" s="153" t="s">
        <v>36</v>
      </c>
    </row>
    <row r="614" spans="1:3" x14ac:dyDescent="0.2">
      <c r="A614" s="162">
        <v>57265</v>
      </c>
      <c r="B614" s="5" t="s">
        <v>34</v>
      </c>
      <c r="C614" s="153" t="s">
        <v>42</v>
      </c>
    </row>
    <row r="615" spans="1:3" x14ac:dyDescent="0.2">
      <c r="A615" s="162">
        <v>57286</v>
      </c>
      <c r="B615" s="5" t="s">
        <v>34</v>
      </c>
      <c r="C615" s="153" t="s">
        <v>37</v>
      </c>
    </row>
    <row r="616" spans="1:3" x14ac:dyDescent="0.2">
      <c r="A616" s="162">
        <v>57299</v>
      </c>
      <c r="B616" s="5" t="s">
        <v>41</v>
      </c>
      <c r="C616" s="153" t="s">
        <v>38</v>
      </c>
    </row>
    <row r="617" spans="1:3" x14ac:dyDescent="0.2">
      <c r="A617" s="162">
        <v>57339</v>
      </c>
      <c r="B617" s="5" t="s">
        <v>24</v>
      </c>
      <c r="C617" s="153" t="s">
        <v>39</v>
      </c>
    </row>
    <row r="618" spans="1:3" x14ac:dyDescent="0.2">
      <c r="A618" s="162">
        <v>57346</v>
      </c>
      <c r="B618" s="5" t="s">
        <v>24</v>
      </c>
      <c r="C618" s="153" t="s">
        <v>25</v>
      </c>
    </row>
    <row r="619" spans="1:3" x14ac:dyDescent="0.2">
      <c r="A619" s="162">
        <v>57409</v>
      </c>
      <c r="B619" s="5" t="s">
        <v>24</v>
      </c>
      <c r="C619" s="153" t="s">
        <v>28</v>
      </c>
    </row>
    <row r="620" spans="1:3" x14ac:dyDescent="0.2">
      <c r="A620" s="162">
        <v>57410</v>
      </c>
      <c r="B620" s="5" t="s">
        <v>27</v>
      </c>
      <c r="C620" s="153" t="s">
        <v>28</v>
      </c>
    </row>
    <row r="621" spans="1:3" x14ac:dyDescent="0.2">
      <c r="A621" s="162">
        <v>57455</v>
      </c>
      <c r="B621" s="5" t="s">
        <v>29</v>
      </c>
      <c r="C621" s="153" t="s">
        <v>30</v>
      </c>
    </row>
    <row r="622" spans="1:3" x14ac:dyDescent="0.2">
      <c r="A622" s="162">
        <v>57466</v>
      </c>
      <c r="B622" s="5" t="s">
        <v>27</v>
      </c>
      <c r="C622" s="153" t="s">
        <v>33</v>
      </c>
    </row>
    <row r="623" spans="1:3" x14ac:dyDescent="0.2">
      <c r="A623" s="162">
        <v>57517</v>
      </c>
      <c r="B623" s="5" t="s">
        <v>34</v>
      </c>
      <c r="C623" s="153" t="s">
        <v>35</v>
      </c>
    </row>
    <row r="624" spans="1:3" x14ac:dyDescent="0.2">
      <c r="A624" s="162">
        <v>57595</v>
      </c>
      <c r="B624" s="5" t="s">
        <v>29</v>
      </c>
      <c r="C624" s="153" t="s">
        <v>36</v>
      </c>
    </row>
    <row r="625" spans="1:3" x14ac:dyDescent="0.2">
      <c r="A625" s="162">
        <v>57630</v>
      </c>
      <c r="B625" s="5" t="s">
        <v>29</v>
      </c>
      <c r="C625" s="153" t="s">
        <v>42</v>
      </c>
    </row>
    <row r="626" spans="1:3" x14ac:dyDescent="0.2">
      <c r="A626" s="162">
        <v>57651</v>
      </c>
      <c r="B626" s="5" t="s">
        <v>29</v>
      </c>
      <c r="C626" s="153" t="s">
        <v>37</v>
      </c>
    </row>
    <row r="627" spans="1:3" x14ac:dyDescent="0.2">
      <c r="A627" s="162">
        <v>57664</v>
      </c>
      <c r="B627" s="5" t="s">
        <v>34</v>
      </c>
      <c r="C627" s="153" t="s">
        <v>38</v>
      </c>
    </row>
    <row r="628" spans="1:3" x14ac:dyDescent="0.2">
      <c r="A628" s="162">
        <v>57704</v>
      </c>
      <c r="B628" s="5" t="s">
        <v>27</v>
      </c>
      <c r="C628" s="153" t="s">
        <v>39</v>
      </c>
    </row>
    <row r="629" spans="1:3" x14ac:dyDescent="0.2">
      <c r="A629" s="162">
        <v>57711</v>
      </c>
      <c r="B629" s="5" t="s">
        <v>27</v>
      </c>
      <c r="C629" s="153" t="s">
        <v>25</v>
      </c>
    </row>
    <row r="630" spans="1:3" x14ac:dyDescent="0.2">
      <c r="A630" s="162">
        <v>57766</v>
      </c>
      <c r="B630" s="5" t="s">
        <v>24</v>
      </c>
      <c r="C630" s="153" t="s">
        <v>28</v>
      </c>
    </row>
    <row r="631" spans="1:3" x14ac:dyDescent="0.2">
      <c r="A631" s="162">
        <v>57767</v>
      </c>
      <c r="B631" s="5" t="s">
        <v>27</v>
      </c>
      <c r="C631" s="153" t="s">
        <v>28</v>
      </c>
    </row>
    <row r="632" spans="1:3" x14ac:dyDescent="0.2">
      <c r="A632" s="162">
        <v>57812</v>
      </c>
      <c r="B632" s="5" t="s">
        <v>29</v>
      </c>
      <c r="C632" s="153" t="s">
        <v>30</v>
      </c>
    </row>
    <row r="633" spans="1:3" x14ac:dyDescent="0.2">
      <c r="A633" s="162">
        <v>57831</v>
      </c>
      <c r="B633" s="5" t="s">
        <v>41</v>
      </c>
      <c r="C633" s="153" t="s">
        <v>33</v>
      </c>
    </row>
    <row r="634" spans="1:3" x14ac:dyDescent="0.2">
      <c r="A634" s="162">
        <v>57874</v>
      </c>
      <c r="B634" s="5" t="s">
        <v>34</v>
      </c>
      <c r="C634" s="153" t="s">
        <v>35</v>
      </c>
    </row>
    <row r="635" spans="1:3" x14ac:dyDescent="0.2">
      <c r="A635" s="162">
        <v>58029</v>
      </c>
      <c r="B635" s="5" t="s">
        <v>29</v>
      </c>
      <c r="C635" s="153" t="s">
        <v>38</v>
      </c>
    </row>
    <row r="636" spans="1:3" x14ac:dyDescent="0.2">
      <c r="A636" s="162">
        <v>58069</v>
      </c>
      <c r="B636" s="5" t="s">
        <v>41</v>
      </c>
      <c r="C636" s="153" t="s">
        <v>39</v>
      </c>
    </row>
    <row r="637" spans="1:3" x14ac:dyDescent="0.2">
      <c r="A637" s="162">
        <v>58076</v>
      </c>
      <c r="B637" s="5" t="s">
        <v>41</v>
      </c>
      <c r="C637" s="153" t="s">
        <v>25</v>
      </c>
    </row>
    <row r="638" spans="1:3" x14ac:dyDescent="0.2">
      <c r="A638" s="162">
        <v>58116</v>
      </c>
      <c r="B638" s="5" t="s">
        <v>24</v>
      </c>
      <c r="C638" s="153" t="s">
        <v>28</v>
      </c>
    </row>
    <row r="639" spans="1:3" x14ac:dyDescent="0.2">
      <c r="A639" s="162">
        <v>58117</v>
      </c>
      <c r="B639" s="5" t="s">
        <v>27</v>
      </c>
      <c r="C639" s="153" t="s">
        <v>28</v>
      </c>
    </row>
    <row r="640" spans="1:3" x14ac:dyDescent="0.2">
      <c r="A640" s="162">
        <v>58162</v>
      </c>
      <c r="B640" s="5" t="s">
        <v>29</v>
      </c>
      <c r="C640" s="153" t="s">
        <v>30</v>
      </c>
    </row>
    <row r="641" spans="1:3" x14ac:dyDescent="0.2">
      <c r="A641" s="162">
        <v>58186</v>
      </c>
      <c r="B641" s="5" t="s">
        <v>24</v>
      </c>
      <c r="C641" s="153" t="s">
        <v>32</v>
      </c>
    </row>
    <row r="642" spans="1:3" x14ac:dyDescent="0.2">
      <c r="A642" s="162">
        <v>58196</v>
      </c>
      <c r="B642" s="5" t="s">
        <v>34</v>
      </c>
      <c r="C642" s="153" t="s">
        <v>33</v>
      </c>
    </row>
    <row r="643" spans="1:3" x14ac:dyDescent="0.2">
      <c r="A643" s="162">
        <v>58224</v>
      </c>
      <c r="B643" s="5" t="s">
        <v>34</v>
      </c>
      <c r="C643" s="153" t="s">
        <v>35</v>
      </c>
    </row>
    <row r="644" spans="1:3" x14ac:dyDescent="0.2">
      <c r="A644" s="162">
        <v>58434</v>
      </c>
      <c r="B644" s="5" t="s">
        <v>34</v>
      </c>
      <c r="C644" s="153" t="s">
        <v>39</v>
      </c>
    </row>
    <row r="645" spans="1:3" x14ac:dyDescent="0.2">
      <c r="A645" s="162">
        <v>58441</v>
      </c>
      <c r="B645" s="5" t="s">
        <v>34</v>
      </c>
      <c r="C645" s="153" t="s">
        <v>25</v>
      </c>
    </row>
    <row r="646" spans="1:3" x14ac:dyDescent="0.2">
      <c r="A646" s="162">
        <v>58501</v>
      </c>
      <c r="B646" s="5" t="s">
        <v>24</v>
      </c>
      <c r="C646" s="153" t="s">
        <v>28</v>
      </c>
    </row>
    <row r="647" spans="1:3" x14ac:dyDescent="0.2">
      <c r="A647" s="162">
        <v>58502</v>
      </c>
      <c r="B647" s="5" t="s">
        <v>27</v>
      </c>
      <c r="C647" s="153" t="s">
        <v>28</v>
      </c>
    </row>
    <row r="648" spans="1:3" x14ac:dyDescent="0.2">
      <c r="A648" s="162">
        <v>58547</v>
      </c>
      <c r="B648" s="5" t="s">
        <v>29</v>
      </c>
      <c r="C648" s="153" t="s">
        <v>30</v>
      </c>
    </row>
    <row r="649" spans="1:3" x14ac:dyDescent="0.2">
      <c r="A649" s="162">
        <v>58552</v>
      </c>
      <c r="B649" s="5" t="s">
        <v>41</v>
      </c>
      <c r="C649" s="153" t="s">
        <v>32</v>
      </c>
    </row>
    <row r="650" spans="1:3" x14ac:dyDescent="0.2">
      <c r="A650" s="162">
        <v>58609</v>
      </c>
      <c r="B650" s="5" t="s">
        <v>34</v>
      </c>
      <c r="C650" s="153" t="s">
        <v>35</v>
      </c>
    </row>
    <row r="651" spans="1:3" x14ac:dyDescent="0.2">
      <c r="A651" s="162">
        <v>58691</v>
      </c>
      <c r="B651" s="5" t="s">
        <v>27</v>
      </c>
      <c r="C651" s="153" t="s">
        <v>36</v>
      </c>
    </row>
    <row r="652" spans="1:3" x14ac:dyDescent="0.2">
      <c r="A652" s="162">
        <v>58726</v>
      </c>
      <c r="B652" s="5" t="s">
        <v>27</v>
      </c>
      <c r="C652" s="153" t="s">
        <v>42</v>
      </c>
    </row>
    <row r="653" spans="1:3" x14ac:dyDescent="0.2">
      <c r="A653" s="162">
        <v>58747</v>
      </c>
      <c r="B653" s="5" t="s">
        <v>27</v>
      </c>
      <c r="C653" s="153" t="s">
        <v>37</v>
      </c>
    </row>
    <row r="654" spans="1:3" x14ac:dyDescent="0.2">
      <c r="A654" s="162">
        <v>58760</v>
      </c>
      <c r="B654" s="5" t="s">
        <v>24</v>
      </c>
      <c r="C654" s="153" t="s">
        <v>38</v>
      </c>
    </row>
    <row r="655" spans="1:3" x14ac:dyDescent="0.2">
      <c r="A655" s="162">
        <v>58858</v>
      </c>
      <c r="B655" s="5" t="s">
        <v>24</v>
      </c>
      <c r="C655" s="153" t="s">
        <v>28</v>
      </c>
    </row>
    <row r="656" spans="1:3" x14ac:dyDescent="0.2">
      <c r="A656" s="162">
        <v>58859</v>
      </c>
      <c r="B656" s="5" t="s">
        <v>27</v>
      </c>
      <c r="C656" s="153" t="s">
        <v>28</v>
      </c>
    </row>
    <row r="657" spans="1:3" x14ac:dyDescent="0.2">
      <c r="A657" s="162">
        <v>58904</v>
      </c>
      <c r="B657" s="5" t="s">
        <v>29</v>
      </c>
      <c r="C657" s="153" t="s">
        <v>30</v>
      </c>
    </row>
    <row r="658" spans="1:3" x14ac:dyDescent="0.2">
      <c r="A658" s="162">
        <v>58917</v>
      </c>
      <c r="B658" s="5" t="s">
        <v>34</v>
      </c>
      <c r="C658" s="153" t="s">
        <v>32</v>
      </c>
    </row>
    <row r="659" spans="1:3" x14ac:dyDescent="0.2">
      <c r="A659" s="162">
        <v>58966</v>
      </c>
      <c r="B659" s="5" t="s">
        <v>34</v>
      </c>
      <c r="C659" s="153" t="s">
        <v>35</v>
      </c>
    </row>
    <row r="660" spans="1:3" x14ac:dyDescent="0.2">
      <c r="A660" s="162">
        <v>59056</v>
      </c>
      <c r="B660" s="5" t="s">
        <v>41</v>
      </c>
      <c r="C660" s="153" t="s">
        <v>36</v>
      </c>
    </row>
    <row r="661" spans="1:3" x14ac:dyDescent="0.2">
      <c r="A661" s="162">
        <v>59091</v>
      </c>
      <c r="B661" s="5" t="s">
        <v>41</v>
      </c>
      <c r="C661" s="153" t="s">
        <v>42</v>
      </c>
    </row>
    <row r="662" spans="1:3" x14ac:dyDescent="0.2">
      <c r="A662" s="162">
        <v>59112</v>
      </c>
      <c r="B662" s="5" t="s">
        <v>41</v>
      </c>
      <c r="C662" s="153" t="s">
        <v>37</v>
      </c>
    </row>
    <row r="663" spans="1:3" x14ac:dyDescent="0.2">
      <c r="A663" s="162">
        <v>59125</v>
      </c>
      <c r="B663" s="5" t="s">
        <v>27</v>
      </c>
      <c r="C663" s="153" t="s">
        <v>38</v>
      </c>
    </row>
    <row r="664" spans="1:3" x14ac:dyDescent="0.2">
      <c r="A664" s="162">
        <v>59208</v>
      </c>
      <c r="B664" s="5" t="s">
        <v>24</v>
      </c>
      <c r="C664" s="153" t="s">
        <v>28</v>
      </c>
    </row>
    <row r="665" spans="1:3" x14ac:dyDescent="0.2">
      <c r="A665" s="162">
        <v>59209</v>
      </c>
      <c r="B665" s="5" t="s">
        <v>27</v>
      </c>
      <c r="C665" s="153" t="s">
        <v>28</v>
      </c>
    </row>
    <row r="666" spans="1:3" x14ac:dyDescent="0.2">
      <c r="A666" s="162">
        <v>59254</v>
      </c>
      <c r="B666" s="5" t="s">
        <v>29</v>
      </c>
      <c r="C666" s="153" t="s">
        <v>30</v>
      </c>
    </row>
    <row r="667" spans="1:3" x14ac:dyDescent="0.2">
      <c r="A667" s="162">
        <v>59282</v>
      </c>
      <c r="B667" s="5" t="s">
        <v>29</v>
      </c>
      <c r="C667" s="153" t="s">
        <v>32</v>
      </c>
    </row>
    <row r="668" spans="1:3" x14ac:dyDescent="0.2">
      <c r="A668" s="162">
        <v>59292</v>
      </c>
      <c r="B668" s="5" t="s">
        <v>24</v>
      </c>
      <c r="C668" s="153" t="s">
        <v>33</v>
      </c>
    </row>
    <row r="669" spans="1:3" x14ac:dyDescent="0.2">
      <c r="A669" s="162">
        <v>59316</v>
      </c>
      <c r="B669" s="5" t="s">
        <v>34</v>
      </c>
      <c r="C669" s="153" t="s">
        <v>35</v>
      </c>
    </row>
    <row r="670" spans="1:3" x14ac:dyDescent="0.2">
      <c r="A670" s="162">
        <v>59421</v>
      </c>
      <c r="B670" s="5" t="s">
        <v>34</v>
      </c>
      <c r="C670" s="153" t="s">
        <v>36</v>
      </c>
    </row>
    <row r="671" spans="1:3" x14ac:dyDescent="0.2">
      <c r="A671" s="162">
        <v>59456</v>
      </c>
      <c r="B671" s="5" t="s">
        <v>34</v>
      </c>
      <c r="C671" s="153" t="s">
        <v>42</v>
      </c>
    </row>
    <row r="672" spans="1:3" x14ac:dyDescent="0.2">
      <c r="A672" s="162">
        <v>59477</v>
      </c>
      <c r="B672" s="5" t="s">
        <v>34</v>
      </c>
      <c r="C672" s="153" t="s">
        <v>37</v>
      </c>
    </row>
    <row r="673" spans="1:3" x14ac:dyDescent="0.2">
      <c r="A673" s="162">
        <v>59490</v>
      </c>
      <c r="B673" s="5" t="s">
        <v>41</v>
      </c>
      <c r="C673" s="153" t="s">
        <v>38</v>
      </c>
    </row>
    <row r="674" spans="1:3" x14ac:dyDescent="0.2">
      <c r="A674" s="162">
        <v>59530</v>
      </c>
      <c r="B674" s="5" t="s">
        <v>24</v>
      </c>
      <c r="C674" s="153" t="s">
        <v>39</v>
      </c>
    </row>
    <row r="675" spans="1:3" x14ac:dyDescent="0.2">
      <c r="A675" s="162">
        <v>59537</v>
      </c>
      <c r="B675" s="5" t="s">
        <v>24</v>
      </c>
      <c r="C675" s="153" t="s">
        <v>25</v>
      </c>
    </row>
    <row r="676" spans="1:3" x14ac:dyDescent="0.2">
      <c r="A676" s="162">
        <v>59593</v>
      </c>
      <c r="B676" s="5" t="s">
        <v>24</v>
      </c>
      <c r="C676" s="153" t="s">
        <v>28</v>
      </c>
    </row>
    <row r="677" spans="1:3" x14ac:dyDescent="0.2">
      <c r="A677" s="162">
        <v>59594</v>
      </c>
      <c r="B677" s="5" t="s">
        <v>27</v>
      </c>
      <c r="C677" s="153" t="s">
        <v>28</v>
      </c>
    </row>
    <row r="678" spans="1:3" x14ac:dyDescent="0.2">
      <c r="A678" s="162">
        <v>59639</v>
      </c>
      <c r="B678" s="5" t="s">
        <v>29</v>
      </c>
      <c r="C678" s="153" t="s">
        <v>30</v>
      </c>
    </row>
    <row r="679" spans="1:3" x14ac:dyDescent="0.2">
      <c r="A679" s="162">
        <v>59657</v>
      </c>
      <c r="B679" s="5" t="s">
        <v>27</v>
      </c>
      <c r="C679" s="153" t="s">
        <v>33</v>
      </c>
    </row>
    <row r="680" spans="1:3" x14ac:dyDescent="0.2">
      <c r="A680" s="162">
        <v>59701</v>
      </c>
      <c r="B680" s="5" t="s">
        <v>34</v>
      </c>
      <c r="C680" s="153" t="s">
        <v>35</v>
      </c>
    </row>
    <row r="681" spans="1:3" x14ac:dyDescent="0.2">
      <c r="A681" s="162">
        <v>59786</v>
      </c>
      <c r="B681" s="5" t="s">
        <v>29</v>
      </c>
      <c r="C681" s="153" t="s">
        <v>36</v>
      </c>
    </row>
    <row r="682" spans="1:3" x14ac:dyDescent="0.2">
      <c r="A682" s="162">
        <v>59821</v>
      </c>
      <c r="B682" s="5" t="s">
        <v>29</v>
      </c>
      <c r="C682" s="153" t="s">
        <v>42</v>
      </c>
    </row>
    <row r="683" spans="1:3" x14ac:dyDescent="0.2">
      <c r="A683" s="162">
        <v>59842</v>
      </c>
      <c r="B683" s="5" t="s">
        <v>29</v>
      </c>
      <c r="C683" s="153" t="s">
        <v>37</v>
      </c>
    </row>
    <row r="684" spans="1:3" x14ac:dyDescent="0.2">
      <c r="A684" s="162">
        <v>59855</v>
      </c>
      <c r="B684" s="5" t="s">
        <v>34</v>
      </c>
      <c r="C684" s="153" t="s">
        <v>38</v>
      </c>
    </row>
    <row r="685" spans="1:3" x14ac:dyDescent="0.2">
      <c r="A685" s="162">
        <v>59895</v>
      </c>
      <c r="B685" s="5" t="s">
        <v>27</v>
      </c>
      <c r="C685" s="153" t="s">
        <v>39</v>
      </c>
    </row>
    <row r="686" spans="1:3" x14ac:dyDescent="0.2">
      <c r="A686" s="162">
        <v>59902</v>
      </c>
      <c r="B686" s="5" t="s">
        <v>27</v>
      </c>
      <c r="C686" s="153" t="s">
        <v>25</v>
      </c>
    </row>
    <row r="687" spans="1:3" x14ac:dyDescent="0.2">
      <c r="A687" s="162">
        <v>59950</v>
      </c>
      <c r="B687" s="5" t="s">
        <v>24</v>
      </c>
      <c r="C687" s="153" t="s">
        <v>28</v>
      </c>
    </row>
    <row r="688" spans="1:3" x14ac:dyDescent="0.2">
      <c r="A688" s="162">
        <v>59951</v>
      </c>
      <c r="B688" s="5" t="s">
        <v>27</v>
      </c>
      <c r="C688" s="153" t="s">
        <v>28</v>
      </c>
    </row>
    <row r="689" spans="1:3" x14ac:dyDescent="0.2">
      <c r="A689" s="162">
        <v>59996</v>
      </c>
      <c r="B689" s="5" t="s">
        <v>29</v>
      </c>
      <c r="C689" s="153" t="s">
        <v>30</v>
      </c>
    </row>
    <row r="690" spans="1:3" x14ac:dyDescent="0.2">
      <c r="A690" s="162">
        <v>60013</v>
      </c>
      <c r="B690" s="5" t="s">
        <v>24</v>
      </c>
      <c r="C690" s="153" t="s">
        <v>32</v>
      </c>
    </row>
    <row r="691" spans="1:3" x14ac:dyDescent="0.2">
      <c r="A691" s="162">
        <v>60023</v>
      </c>
      <c r="B691" s="5" t="s">
        <v>34</v>
      </c>
      <c r="C691" s="153" t="s">
        <v>33</v>
      </c>
    </row>
    <row r="692" spans="1:3" x14ac:dyDescent="0.2">
      <c r="A692" s="162">
        <v>60058</v>
      </c>
      <c r="B692" s="5" t="s">
        <v>34</v>
      </c>
      <c r="C692" s="153" t="s">
        <v>35</v>
      </c>
    </row>
    <row r="693" spans="1:3" x14ac:dyDescent="0.2">
      <c r="A693" s="162">
        <v>60261</v>
      </c>
      <c r="B693" s="5" t="s">
        <v>34</v>
      </c>
      <c r="C693" s="153" t="s">
        <v>39</v>
      </c>
    </row>
    <row r="694" spans="1:3" x14ac:dyDescent="0.2">
      <c r="A694" s="162">
        <v>60268</v>
      </c>
      <c r="B694" s="5" t="s">
        <v>34</v>
      </c>
      <c r="C694" s="153" t="s">
        <v>25</v>
      </c>
    </row>
    <row r="695" spans="1:3" x14ac:dyDescent="0.2">
      <c r="A695" s="162">
        <v>60307</v>
      </c>
      <c r="B695" s="5" t="s">
        <v>24</v>
      </c>
      <c r="C695" s="153" t="s">
        <v>28</v>
      </c>
    </row>
    <row r="696" spans="1:3" x14ac:dyDescent="0.2">
      <c r="A696" s="162">
        <v>60308</v>
      </c>
      <c r="B696" s="5" t="s">
        <v>27</v>
      </c>
      <c r="C696" s="153" t="s">
        <v>28</v>
      </c>
    </row>
    <row r="697" spans="1:3" x14ac:dyDescent="0.2">
      <c r="A697" s="162">
        <v>60353</v>
      </c>
      <c r="B697" s="5" t="s">
        <v>29</v>
      </c>
      <c r="C697" s="153" t="s">
        <v>30</v>
      </c>
    </row>
    <row r="698" spans="1:3" x14ac:dyDescent="0.2">
      <c r="A698" s="162">
        <v>60378</v>
      </c>
      <c r="B698" s="5" t="s">
        <v>27</v>
      </c>
      <c r="C698" s="153" t="s">
        <v>32</v>
      </c>
    </row>
    <row r="699" spans="1:3" x14ac:dyDescent="0.2">
      <c r="A699" s="162">
        <v>60388</v>
      </c>
      <c r="B699" s="5" t="s">
        <v>29</v>
      </c>
      <c r="C699" s="153" t="s">
        <v>33</v>
      </c>
    </row>
    <row r="700" spans="1:3" x14ac:dyDescent="0.2">
      <c r="A700" s="162">
        <v>60415</v>
      </c>
      <c r="B700" s="5" t="s">
        <v>34</v>
      </c>
      <c r="C700" s="153" t="s">
        <v>35</v>
      </c>
    </row>
    <row r="701" spans="1:3" x14ac:dyDescent="0.2">
      <c r="A701" s="162">
        <v>60517</v>
      </c>
      <c r="B701" s="5" t="s">
        <v>24</v>
      </c>
      <c r="C701" s="153" t="s">
        <v>36</v>
      </c>
    </row>
    <row r="702" spans="1:3" x14ac:dyDescent="0.2">
      <c r="A702" s="162">
        <v>60552</v>
      </c>
      <c r="B702" s="5" t="s">
        <v>24</v>
      </c>
      <c r="C702" s="153" t="s">
        <v>42</v>
      </c>
    </row>
    <row r="703" spans="1:3" x14ac:dyDescent="0.2">
      <c r="A703" s="162">
        <v>60573</v>
      </c>
      <c r="B703" s="5" t="s">
        <v>24</v>
      </c>
      <c r="C703" s="153" t="s">
        <v>37</v>
      </c>
    </row>
    <row r="704" spans="1:3" x14ac:dyDescent="0.2">
      <c r="A704" s="162">
        <v>60626</v>
      </c>
      <c r="B704" s="5" t="s">
        <v>29</v>
      </c>
      <c r="C704" s="153" t="s">
        <v>39</v>
      </c>
    </row>
    <row r="705" spans="1:3" x14ac:dyDescent="0.2">
      <c r="A705" s="162">
        <v>60633</v>
      </c>
      <c r="B705" s="5" t="s">
        <v>29</v>
      </c>
      <c r="C705" s="153" t="s">
        <v>25</v>
      </c>
    </row>
    <row r="706" spans="1:3" x14ac:dyDescent="0.2">
      <c r="A706" s="162">
        <v>60685</v>
      </c>
      <c r="B706" s="5" t="s">
        <v>24</v>
      </c>
      <c r="C706" s="153" t="s">
        <v>28</v>
      </c>
    </row>
    <row r="707" spans="1:3" x14ac:dyDescent="0.2">
      <c r="A707" s="162">
        <v>60686</v>
      </c>
      <c r="B707" s="5" t="s">
        <v>27</v>
      </c>
      <c r="C707" s="153" t="s">
        <v>28</v>
      </c>
    </row>
    <row r="708" spans="1:3" x14ac:dyDescent="0.2">
      <c r="A708" s="162">
        <v>60731</v>
      </c>
      <c r="B708" s="5" t="s">
        <v>29</v>
      </c>
      <c r="C708" s="153" t="s">
        <v>30</v>
      </c>
    </row>
    <row r="709" spans="1:3" x14ac:dyDescent="0.2">
      <c r="A709" s="162">
        <v>60743</v>
      </c>
      <c r="B709" s="5" t="s">
        <v>41</v>
      </c>
      <c r="C709" s="153" t="s">
        <v>32</v>
      </c>
    </row>
    <row r="710" spans="1:3" x14ac:dyDescent="0.2">
      <c r="A710" s="162">
        <v>60793</v>
      </c>
      <c r="B710" s="5" t="s">
        <v>34</v>
      </c>
      <c r="C710" s="153" t="s">
        <v>35</v>
      </c>
    </row>
    <row r="711" spans="1:3" x14ac:dyDescent="0.2">
      <c r="A711" s="162">
        <v>60882</v>
      </c>
      <c r="B711" s="5" t="s">
        <v>27</v>
      </c>
      <c r="C711" s="153" t="s">
        <v>36</v>
      </c>
    </row>
    <row r="712" spans="1:3" x14ac:dyDescent="0.2">
      <c r="A712" s="162">
        <v>60917</v>
      </c>
      <c r="B712" s="5" t="s">
        <v>27</v>
      </c>
      <c r="C712" s="153" t="s">
        <v>42</v>
      </c>
    </row>
    <row r="713" spans="1:3" x14ac:dyDescent="0.2">
      <c r="A713" s="162">
        <v>60938</v>
      </c>
      <c r="B713" s="5" t="s">
        <v>27</v>
      </c>
      <c r="C713" s="153" t="s">
        <v>37</v>
      </c>
    </row>
    <row r="714" spans="1:3" x14ac:dyDescent="0.2">
      <c r="A714" s="162">
        <v>60951</v>
      </c>
      <c r="B714" s="5" t="s">
        <v>24</v>
      </c>
      <c r="C714" s="153" t="s">
        <v>38</v>
      </c>
    </row>
    <row r="715" spans="1:3" x14ac:dyDescent="0.2">
      <c r="A715" s="162">
        <v>61042</v>
      </c>
      <c r="B715" s="5" t="s">
        <v>24</v>
      </c>
      <c r="C715" s="153" t="s">
        <v>28</v>
      </c>
    </row>
    <row r="716" spans="1:3" x14ac:dyDescent="0.2">
      <c r="A716" s="162">
        <v>61043</v>
      </c>
      <c r="B716" s="5" t="s">
        <v>27</v>
      </c>
      <c r="C716" s="153" t="s">
        <v>28</v>
      </c>
    </row>
    <row r="717" spans="1:3" x14ac:dyDescent="0.2">
      <c r="A717" s="162">
        <v>61088</v>
      </c>
      <c r="B717" s="5" t="s">
        <v>29</v>
      </c>
      <c r="C717" s="153" t="s">
        <v>30</v>
      </c>
    </row>
    <row r="718" spans="1:3" x14ac:dyDescent="0.2">
      <c r="A718" s="162">
        <v>61108</v>
      </c>
      <c r="B718" s="5" t="s">
        <v>34</v>
      </c>
      <c r="C718" s="153" t="s">
        <v>32</v>
      </c>
    </row>
    <row r="719" spans="1:3" x14ac:dyDescent="0.2">
      <c r="A719" s="162">
        <v>61150</v>
      </c>
      <c r="B719" s="5" t="s">
        <v>34</v>
      </c>
      <c r="C719" s="153" t="s">
        <v>35</v>
      </c>
    </row>
    <row r="720" spans="1:3" x14ac:dyDescent="0.2">
      <c r="A720" s="162">
        <v>61247</v>
      </c>
      <c r="B720" s="5" t="s">
        <v>41</v>
      </c>
      <c r="C720" s="153" t="s">
        <v>36</v>
      </c>
    </row>
    <row r="721" spans="1:3" x14ac:dyDescent="0.2">
      <c r="A721" s="162">
        <v>61282</v>
      </c>
      <c r="B721" s="5" t="s">
        <v>41</v>
      </c>
      <c r="C721" s="153" t="s">
        <v>42</v>
      </c>
    </row>
    <row r="722" spans="1:3" x14ac:dyDescent="0.2">
      <c r="A722" s="162">
        <v>61303</v>
      </c>
      <c r="B722" s="5" t="s">
        <v>41</v>
      </c>
      <c r="C722" s="153" t="s">
        <v>37</v>
      </c>
    </row>
    <row r="723" spans="1:3" x14ac:dyDescent="0.2">
      <c r="A723" s="162">
        <v>61316</v>
      </c>
      <c r="B723" s="5" t="s">
        <v>27</v>
      </c>
      <c r="C723" s="153" t="s">
        <v>38</v>
      </c>
    </row>
    <row r="724" spans="1:3" x14ac:dyDescent="0.2">
      <c r="A724" s="162">
        <v>61427</v>
      </c>
      <c r="B724" s="5" t="s">
        <v>24</v>
      </c>
      <c r="C724" s="153" t="s">
        <v>28</v>
      </c>
    </row>
    <row r="725" spans="1:3" x14ac:dyDescent="0.2">
      <c r="A725" s="162">
        <v>61428</v>
      </c>
      <c r="B725" s="5" t="s">
        <v>27</v>
      </c>
      <c r="C725" s="153" t="s">
        <v>28</v>
      </c>
    </row>
    <row r="726" spans="1:3" x14ac:dyDescent="0.2">
      <c r="A726" s="162">
        <v>61473</v>
      </c>
      <c r="B726" s="5" t="s">
        <v>29</v>
      </c>
      <c r="C726" s="153" t="s">
        <v>30</v>
      </c>
    </row>
    <row r="727" spans="1:3" x14ac:dyDescent="0.2">
      <c r="A727" s="162">
        <v>61484</v>
      </c>
      <c r="B727" s="5" t="s">
        <v>27</v>
      </c>
      <c r="C727" s="153" t="s">
        <v>33</v>
      </c>
    </row>
    <row r="728" spans="1:3" x14ac:dyDescent="0.2">
      <c r="A728" s="162">
        <v>61535</v>
      </c>
      <c r="B728" s="5" t="s">
        <v>34</v>
      </c>
      <c r="C728" s="153" t="s">
        <v>35</v>
      </c>
    </row>
    <row r="729" spans="1:3" x14ac:dyDescent="0.2">
      <c r="A729" s="162">
        <v>61613</v>
      </c>
      <c r="B729" s="5" t="s">
        <v>29</v>
      </c>
      <c r="C729" s="153" t="s">
        <v>36</v>
      </c>
    </row>
    <row r="730" spans="1:3" x14ac:dyDescent="0.2">
      <c r="A730" s="162">
        <v>61648</v>
      </c>
      <c r="B730" s="5" t="s">
        <v>29</v>
      </c>
      <c r="C730" s="153" t="s">
        <v>42</v>
      </c>
    </row>
    <row r="731" spans="1:3" x14ac:dyDescent="0.2">
      <c r="A731" s="162">
        <v>61669</v>
      </c>
      <c r="B731" s="5" t="s">
        <v>29</v>
      </c>
      <c r="C731" s="153" t="s">
        <v>37</v>
      </c>
    </row>
    <row r="732" spans="1:3" x14ac:dyDescent="0.2">
      <c r="A732" s="162">
        <v>61682</v>
      </c>
      <c r="B732" s="5" t="s">
        <v>34</v>
      </c>
      <c r="C732" s="153" t="s">
        <v>38</v>
      </c>
    </row>
    <row r="733" spans="1:3" x14ac:dyDescent="0.2">
      <c r="A733" s="162">
        <v>61722</v>
      </c>
      <c r="B733" s="5" t="s">
        <v>27</v>
      </c>
      <c r="C733" s="153" t="s">
        <v>39</v>
      </c>
    </row>
    <row r="734" spans="1:3" x14ac:dyDescent="0.2">
      <c r="A734" s="162">
        <v>61729</v>
      </c>
      <c r="B734" s="5" t="s">
        <v>27</v>
      </c>
      <c r="C734" s="153" t="s">
        <v>25</v>
      </c>
    </row>
    <row r="735" spans="1:3" x14ac:dyDescent="0.2">
      <c r="A735" s="162">
        <v>61784</v>
      </c>
      <c r="B735" s="5" t="s">
        <v>24</v>
      </c>
      <c r="C735" s="153" t="s">
        <v>28</v>
      </c>
    </row>
    <row r="736" spans="1:3" x14ac:dyDescent="0.2">
      <c r="A736" s="162">
        <v>61785</v>
      </c>
      <c r="B736" s="5" t="s">
        <v>27</v>
      </c>
      <c r="C736" s="153" t="s">
        <v>28</v>
      </c>
    </row>
    <row r="737" spans="1:3" x14ac:dyDescent="0.2">
      <c r="A737" s="162">
        <v>61830</v>
      </c>
      <c r="B737" s="5" t="s">
        <v>29</v>
      </c>
      <c r="C737" s="153" t="s">
        <v>30</v>
      </c>
    </row>
    <row r="738" spans="1:3" x14ac:dyDescent="0.2">
      <c r="A738" s="162">
        <v>61849</v>
      </c>
      <c r="B738" s="5" t="s">
        <v>41</v>
      </c>
      <c r="C738" s="153" t="s">
        <v>33</v>
      </c>
    </row>
    <row r="739" spans="1:3" x14ac:dyDescent="0.2">
      <c r="A739" s="162">
        <v>61892</v>
      </c>
      <c r="B739" s="5" t="s">
        <v>34</v>
      </c>
      <c r="C739" s="153" t="s">
        <v>35</v>
      </c>
    </row>
    <row r="740" spans="1:3" x14ac:dyDescent="0.2">
      <c r="A740" s="162">
        <v>62047</v>
      </c>
      <c r="B740" s="5" t="s">
        <v>29</v>
      </c>
      <c r="C740" s="153" t="s">
        <v>38</v>
      </c>
    </row>
    <row r="741" spans="1:3" x14ac:dyDescent="0.2">
      <c r="A741" s="162">
        <v>62087</v>
      </c>
      <c r="B741" s="5" t="s">
        <v>41</v>
      </c>
      <c r="C741" s="153" t="s">
        <v>39</v>
      </c>
    </row>
    <row r="742" spans="1:3" x14ac:dyDescent="0.2">
      <c r="A742" s="162">
        <v>62094</v>
      </c>
      <c r="B742" s="5" t="s">
        <v>41</v>
      </c>
      <c r="C742" s="153" t="s">
        <v>25</v>
      </c>
    </row>
    <row r="743" spans="1:3" x14ac:dyDescent="0.2">
      <c r="A743" s="162">
        <v>62134</v>
      </c>
      <c r="B743" s="5" t="s">
        <v>24</v>
      </c>
      <c r="C743" s="153" t="s">
        <v>28</v>
      </c>
    </row>
    <row r="744" spans="1:3" x14ac:dyDescent="0.2">
      <c r="A744" s="162">
        <v>62135</v>
      </c>
      <c r="B744" s="5" t="s">
        <v>27</v>
      </c>
      <c r="C744" s="153" t="s">
        <v>28</v>
      </c>
    </row>
    <row r="745" spans="1:3" x14ac:dyDescent="0.2">
      <c r="A745" s="162">
        <v>62180</v>
      </c>
      <c r="B745" s="5" t="s">
        <v>29</v>
      </c>
      <c r="C745" s="153" t="s">
        <v>30</v>
      </c>
    </row>
    <row r="746" spans="1:3" x14ac:dyDescent="0.2">
      <c r="A746" s="162">
        <v>62204</v>
      </c>
      <c r="B746" s="5" t="s">
        <v>24</v>
      </c>
      <c r="C746" s="153" t="s">
        <v>32</v>
      </c>
    </row>
    <row r="747" spans="1:3" x14ac:dyDescent="0.2">
      <c r="A747" s="162">
        <v>62214</v>
      </c>
      <c r="B747" s="5" t="s">
        <v>34</v>
      </c>
      <c r="C747" s="153" t="s">
        <v>33</v>
      </c>
    </row>
    <row r="748" spans="1:3" x14ac:dyDescent="0.2">
      <c r="A748" s="162">
        <v>62242</v>
      </c>
      <c r="B748" s="5" t="s">
        <v>34</v>
      </c>
      <c r="C748" s="153" t="s">
        <v>35</v>
      </c>
    </row>
    <row r="749" spans="1:3" x14ac:dyDescent="0.2">
      <c r="A749" s="162">
        <v>62452</v>
      </c>
      <c r="B749" s="5" t="s">
        <v>34</v>
      </c>
      <c r="C749" s="153" t="s">
        <v>39</v>
      </c>
    </row>
    <row r="750" spans="1:3" x14ac:dyDescent="0.2">
      <c r="A750" s="162">
        <v>62459</v>
      </c>
      <c r="B750" s="5" t="s">
        <v>34</v>
      </c>
      <c r="C750" s="153" t="s">
        <v>25</v>
      </c>
    </row>
    <row r="751" spans="1:3" x14ac:dyDescent="0.2">
      <c r="A751" s="162">
        <v>62519</v>
      </c>
      <c r="B751" s="5" t="s">
        <v>24</v>
      </c>
      <c r="C751" s="153" t="s">
        <v>28</v>
      </c>
    </row>
    <row r="752" spans="1:3" x14ac:dyDescent="0.2">
      <c r="A752" s="162">
        <v>62520</v>
      </c>
      <c r="B752" s="5" t="s">
        <v>27</v>
      </c>
      <c r="C752" s="153" t="s">
        <v>28</v>
      </c>
    </row>
    <row r="753" spans="1:3" x14ac:dyDescent="0.2">
      <c r="A753" s="162">
        <v>62565</v>
      </c>
      <c r="B753" s="5" t="s">
        <v>29</v>
      </c>
      <c r="C753" s="153" t="s">
        <v>30</v>
      </c>
    </row>
    <row r="754" spans="1:3" x14ac:dyDescent="0.2">
      <c r="A754" s="162">
        <v>62569</v>
      </c>
      <c r="B754" s="5" t="s">
        <v>27</v>
      </c>
      <c r="C754" s="153" t="s">
        <v>32</v>
      </c>
    </row>
    <row r="755" spans="1:3" x14ac:dyDescent="0.2">
      <c r="A755" s="162">
        <v>62579</v>
      </c>
      <c r="B755" s="5" t="s">
        <v>29</v>
      </c>
      <c r="C755" s="153" t="s">
        <v>33</v>
      </c>
    </row>
    <row r="756" spans="1:3" x14ac:dyDescent="0.2">
      <c r="A756" s="162">
        <v>62627</v>
      </c>
      <c r="B756" s="5" t="s">
        <v>34</v>
      </c>
      <c r="C756" s="153" t="s">
        <v>35</v>
      </c>
    </row>
    <row r="757" spans="1:3" x14ac:dyDescent="0.2">
      <c r="A757" s="162">
        <v>62708</v>
      </c>
      <c r="B757" s="5" t="s">
        <v>24</v>
      </c>
      <c r="C757" s="153" t="s">
        <v>36</v>
      </c>
    </row>
    <row r="758" spans="1:3" x14ac:dyDescent="0.2">
      <c r="A758" s="162">
        <v>62743</v>
      </c>
      <c r="B758" s="5" t="s">
        <v>24</v>
      </c>
      <c r="C758" s="153" t="s">
        <v>42</v>
      </c>
    </row>
    <row r="759" spans="1:3" x14ac:dyDescent="0.2">
      <c r="A759" s="162">
        <v>62764</v>
      </c>
      <c r="B759" s="5" t="s">
        <v>24</v>
      </c>
      <c r="C759" s="153" t="s">
        <v>37</v>
      </c>
    </row>
    <row r="760" spans="1:3" x14ac:dyDescent="0.2">
      <c r="A760" s="162">
        <v>62817</v>
      </c>
      <c r="B760" s="5" t="s">
        <v>29</v>
      </c>
      <c r="C760" s="153" t="s">
        <v>39</v>
      </c>
    </row>
    <row r="761" spans="1:3" x14ac:dyDescent="0.2">
      <c r="A761" s="162">
        <v>62824</v>
      </c>
      <c r="B761" s="5" t="s">
        <v>29</v>
      </c>
      <c r="C761" s="153" t="s">
        <v>25</v>
      </c>
    </row>
    <row r="762" spans="1:3" x14ac:dyDescent="0.2">
      <c r="A762" s="162">
        <v>62876</v>
      </c>
      <c r="B762" s="5" t="s">
        <v>24</v>
      </c>
      <c r="C762" s="153" t="s">
        <v>28</v>
      </c>
    </row>
    <row r="763" spans="1:3" x14ac:dyDescent="0.2">
      <c r="A763" s="162">
        <v>62877</v>
      </c>
      <c r="B763" s="5" t="s">
        <v>27</v>
      </c>
      <c r="C763" s="153" t="s">
        <v>28</v>
      </c>
    </row>
    <row r="764" spans="1:3" x14ac:dyDescent="0.2">
      <c r="A764" s="162">
        <v>62922</v>
      </c>
      <c r="B764" s="5" t="s">
        <v>29</v>
      </c>
      <c r="C764" s="153" t="s">
        <v>30</v>
      </c>
    </row>
    <row r="765" spans="1:3" x14ac:dyDescent="0.2">
      <c r="A765" s="162">
        <v>62935</v>
      </c>
      <c r="B765" s="5" t="s">
        <v>34</v>
      </c>
      <c r="C765" s="153" t="s">
        <v>32</v>
      </c>
    </row>
    <row r="766" spans="1:3" x14ac:dyDescent="0.2">
      <c r="A766" s="162">
        <v>62984</v>
      </c>
      <c r="B766" s="5" t="s">
        <v>34</v>
      </c>
      <c r="C766" s="153" t="s">
        <v>35</v>
      </c>
    </row>
    <row r="767" spans="1:3" x14ac:dyDescent="0.2">
      <c r="A767" s="162">
        <v>63074</v>
      </c>
      <c r="B767" s="5" t="s">
        <v>41</v>
      </c>
      <c r="C767" s="153" t="s">
        <v>36</v>
      </c>
    </row>
    <row r="768" spans="1:3" x14ac:dyDescent="0.2">
      <c r="A768" s="162">
        <v>63109</v>
      </c>
      <c r="B768" s="5" t="s">
        <v>41</v>
      </c>
      <c r="C768" s="153" t="s">
        <v>42</v>
      </c>
    </row>
    <row r="769" spans="1:3" x14ac:dyDescent="0.2">
      <c r="A769" s="162">
        <v>63130</v>
      </c>
      <c r="B769" s="5" t="s">
        <v>41</v>
      </c>
      <c r="C769" s="153" t="s">
        <v>37</v>
      </c>
    </row>
    <row r="770" spans="1:3" x14ac:dyDescent="0.2">
      <c r="A770" s="162">
        <v>63143</v>
      </c>
      <c r="B770" s="5" t="s">
        <v>27</v>
      </c>
      <c r="C770" s="153" t="s">
        <v>38</v>
      </c>
    </row>
    <row r="771" spans="1:3" x14ac:dyDescent="0.2">
      <c r="A771" s="162">
        <v>63226</v>
      </c>
      <c r="B771" s="5" t="s">
        <v>24</v>
      </c>
      <c r="C771" s="153" t="s">
        <v>28</v>
      </c>
    </row>
    <row r="772" spans="1:3" x14ac:dyDescent="0.2">
      <c r="A772" s="162">
        <v>63227</v>
      </c>
      <c r="B772" s="5" t="s">
        <v>27</v>
      </c>
      <c r="C772" s="153" t="s">
        <v>28</v>
      </c>
    </row>
    <row r="773" spans="1:3" x14ac:dyDescent="0.2">
      <c r="A773" s="162">
        <v>63272</v>
      </c>
      <c r="B773" s="5" t="s">
        <v>29</v>
      </c>
      <c r="C773" s="153" t="s">
        <v>30</v>
      </c>
    </row>
    <row r="774" spans="1:3" x14ac:dyDescent="0.2">
      <c r="A774" s="162">
        <v>63300</v>
      </c>
      <c r="B774" s="5" t="s">
        <v>29</v>
      </c>
      <c r="C774" s="153" t="s">
        <v>32</v>
      </c>
    </row>
    <row r="775" spans="1:3" x14ac:dyDescent="0.2">
      <c r="A775" s="162">
        <v>63310</v>
      </c>
      <c r="B775" s="5" t="s">
        <v>24</v>
      </c>
      <c r="C775" s="153" t="s">
        <v>33</v>
      </c>
    </row>
    <row r="776" spans="1:3" x14ac:dyDescent="0.2">
      <c r="A776" s="162">
        <v>63334</v>
      </c>
      <c r="B776" s="5" t="s">
        <v>34</v>
      </c>
      <c r="C776" s="153" t="s">
        <v>35</v>
      </c>
    </row>
    <row r="777" spans="1:3" x14ac:dyDescent="0.2">
      <c r="A777" s="162">
        <v>63439</v>
      </c>
      <c r="B777" s="5" t="s">
        <v>34</v>
      </c>
      <c r="C777" s="153" t="s">
        <v>36</v>
      </c>
    </row>
    <row r="778" spans="1:3" x14ac:dyDescent="0.2">
      <c r="A778" s="162">
        <v>63474</v>
      </c>
      <c r="B778" s="5" t="s">
        <v>34</v>
      </c>
      <c r="C778" s="153" t="s">
        <v>42</v>
      </c>
    </row>
    <row r="779" spans="1:3" x14ac:dyDescent="0.2">
      <c r="A779" s="162">
        <v>63495</v>
      </c>
      <c r="B779" s="5" t="s">
        <v>34</v>
      </c>
      <c r="C779" s="153" t="s">
        <v>37</v>
      </c>
    </row>
    <row r="780" spans="1:3" x14ac:dyDescent="0.2">
      <c r="A780" s="162">
        <v>63508</v>
      </c>
      <c r="B780" s="5" t="s">
        <v>41</v>
      </c>
      <c r="C780" s="153" t="s">
        <v>38</v>
      </c>
    </row>
    <row r="781" spans="1:3" x14ac:dyDescent="0.2">
      <c r="A781" s="162">
        <v>63548</v>
      </c>
      <c r="B781" s="5" t="s">
        <v>24</v>
      </c>
      <c r="C781" s="153" t="s">
        <v>39</v>
      </c>
    </row>
    <row r="782" spans="1:3" x14ac:dyDescent="0.2">
      <c r="A782" s="162">
        <v>63555</v>
      </c>
      <c r="B782" s="5" t="s">
        <v>24</v>
      </c>
      <c r="C782" s="153" t="s">
        <v>25</v>
      </c>
    </row>
    <row r="783" spans="1:3" x14ac:dyDescent="0.2">
      <c r="A783" s="162">
        <v>63611</v>
      </c>
      <c r="B783" s="5" t="s">
        <v>24</v>
      </c>
      <c r="C783" s="153" t="s">
        <v>28</v>
      </c>
    </row>
    <row r="784" spans="1:3" x14ac:dyDescent="0.2">
      <c r="A784" s="162">
        <v>63612</v>
      </c>
      <c r="B784" s="5" t="s">
        <v>27</v>
      </c>
      <c r="C784" s="153" t="s">
        <v>28</v>
      </c>
    </row>
    <row r="785" spans="1:3" x14ac:dyDescent="0.2">
      <c r="A785" s="162">
        <v>63657</v>
      </c>
      <c r="B785" s="5" t="s">
        <v>29</v>
      </c>
      <c r="C785" s="153" t="s">
        <v>30</v>
      </c>
    </row>
    <row r="786" spans="1:3" x14ac:dyDescent="0.2">
      <c r="A786" s="162">
        <v>63675</v>
      </c>
      <c r="B786" s="5" t="s">
        <v>27</v>
      </c>
      <c r="C786" s="153" t="s">
        <v>33</v>
      </c>
    </row>
    <row r="787" spans="1:3" x14ac:dyDescent="0.2">
      <c r="A787" s="162">
        <v>63719</v>
      </c>
      <c r="B787" s="5" t="s">
        <v>34</v>
      </c>
      <c r="C787" s="153" t="s">
        <v>35</v>
      </c>
    </row>
    <row r="788" spans="1:3" x14ac:dyDescent="0.2">
      <c r="A788" s="162">
        <v>63804</v>
      </c>
      <c r="B788" s="5" t="s">
        <v>29</v>
      </c>
      <c r="C788" s="153" t="s">
        <v>36</v>
      </c>
    </row>
    <row r="789" spans="1:3" x14ac:dyDescent="0.2">
      <c r="A789" s="162">
        <v>63839</v>
      </c>
      <c r="B789" s="5" t="s">
        <v>29</v>
      </c>
      <c r="C789" s="153" t="s">
        <v>42</v>
      </c>
    </row>
    <row r="790" spans="1:3" x14ac:dyDescent="0.2">
      <c r="A790" s="162">
        <v>63860</v>
      </c>
      <c r="B790" s="5" t="s">
        <v>29</v>
      </c>
      <c r="C790" s="153" t="s">
        <v>37</v>
      </c>
    </row>
    <row r="791" spans="1:3" x14ac:dyDescent="0.2">
      <c r="A791" s="162">
        <v>63873</v>
      </c>
      <c r="B791" s="5" t="s">
        <v>34</v>
      </c>
      <c r="C791" s="153" t="s">
        <v>38</v>
      </c>
    </row>
    <row r="792" spans="1:3" x14ac:dyDescent="0.2">
      <c r="A792" s="162">
        <v>63913</v>
      </c>
      <c r="B792" s="5" t="s">
        <v>27</v>
      </c>
      <c r="C792" s="153" t="s">
        <v>39</v>
      </c>
    </row>
    <row r="793" spans="1:3" x14ac:dyDescent="0.2">
      <c r="A793" s="162">
        <v>63920</v>
      </c>
      <c r="B793" s="5" t="s">
        <v>27</v>
      </c>
      <c r="C793" s="153" t="s">
        <v>25</v>
      </c>
    </row>
    <row r="794" spans="1:3" x14ac:dyDescent="0.2">
      <c r="A794" s="162">
        <v>63968</v>
      </c>
      <c r="B794" s="5" t="s">
        <v>24</v>
      </c>
      <c r="C794" s="153" t="s">
        <v>28</v>
      </c>
    </row>
    <row r="795" spans="1:3" x14ac:dyDescent="0.2">
      <c r="A795" s="162">
        <v>63969</v>
      </c>
      <c r="B795" s="5" t="s">
        <v>27</v>
      </c>
      <c r="C795" s="153" t="s">
        <v>28</v>
      </c>
    </row>
    <row r="796" spans="1:3" x14ac:dyDescent="0.2">
      <c r="A796" s="162">
        <v>64014</v>
      </c>
      <c r="B796" s="5" t="s">
        <v>29</v>
      </c>
      <c r="C796" s="153" t="s">
        <v>30</v>
      </c>
    </row>
    <row r="797" spans="1:3" x14ac:dyDescent="0.2">
      <c r="A797" s="162">
        <v>64040</v>
      </c>
      <c r="B797" s="5" t="s">
        <v>41</v>
      </c>
      <c r="C797" s="153" t="s">
        <v>33</v>
      </c>
    </row>
    <row r="798" spans="1:3" x14ac:dyDescent="0.2">
      <c r="A798" s="162">
        <v>64076</v>
      </c>
      <c r="B798" s="5" t="s">
        <v>34</v>
      </c>
      <c r="C798" s="153" t="s">
        <v>35</v>
      </c>
    </row>
    <row r="799" spans="1:3" x14ac:dyDescent="0.2">
      <c r="A799" s="162">
        <v>64238</v>
      </c>
      <c r="B799" s="5" t="s">
        <v>29</v>
      </c>
      <c r="C799" s="153" t="s">
        <v>38</v>
      </c>
    </row>
    <row r="800" spans="1:3" x14ac:dyDescent="0.2">
      <c r="A800" s="162">
        <v>64278</v>
      </c>
      <c r="B800" s="5" t="s">
        <v>41</v>
      </c>
      <c r="C800" s="153" t="s">
        <v>39</v>
      </c>
    </row>
    <row r="801" spans="1:3" x14ac:dyDescent="0.2">
      <c r="A801" s="162">
        <v>64285</v>
      </c>
      <c r="B801" s="5" t="s">
        <v>41</v>
      </c>
      <c r="C801" s="153" t="s">
        <v>25</v>
      </c>
    </row>
    <row r="802" spans="1:3" x14ac:dyDescent="0.2">
      <c r="A802" s="162">
        <v>64346</v>
      </c>
      <c r="B802" s="5" t="s">
        <v>24</v>
      </c>
      <c r="C802" s="153" t="s">
        <v>28</v>
      </c>
    </row>
    <row r="803" spans="1:3" x14ac:dyDescent="0.2">
      <c r="A803" s="162">
        <v>64347</v>
      </c>
      <c r="B803" s="5" t="s">
        <v>27</v>
      </c>
      <c r="C803" s="153" t="s">
        <v>28</v>
      </c>
    </row>
    <row r="804" spans="1:3" x14ac:dyDescent="0.2">
      <c r="A804" s="162">
        <v>64392</v>
      </c>
      <c r="B804" s="5" t="s">
        <v>29</v>
      </c>
      <c r="C804" s="153" t="s">
        <v>30</v>
      </c>
    </row>
    <row r="805" spans="1:3" x14ac:dyDescent="0.2">
      <c r="A805" s="162">
        <v>64396</v>
      </c>
      <c r="B805" s="5" t="s">
        <v>27</v>
      </c>
      <c r="C805" s="153" t="s">
        <v>32</v>
      </c>
    </row>
    <row r="806" spans="1:3" x14ac:dyDescent="0.2">
      <c r="A806" s="162">
        <v>64406</v>
      </c>
      <c r="B806" s="5" t="s">
        <v>29</v>
      </c>
      <c r="C806" s="153" t="s">
        <v>33</v>
      </c>
    </row>
    <row r="807" spans="1:3" x14ac:dyDescent="0.2">
      <c r="A807" s="162">
        <v>64454</v>
      </c>
      <c r="B807" s="5" t="s">
        <v>34</v>
      </c>
      <c r="C807" s="153" t="s">
        <v>35</v>
      </c>
    </row>
    <row r="808" spans="1:3" x14ac:dyDescent="0.2">
      <c r="A808" s="162">
        <v>64535</v>
      </c>
      <c r="B808" s="5" t="s">
        <v>24</v>
      </c>
      <c r="C808" s="153" t="s">
        <v>36</v>
      </c>
    </row>
    <row r="809" spans="1:3" x14ac:dyDescent="0.2">
      <c r="A809" s="162">
        <v>64570</v>
      </c>
      <c r="B809" s="5" t="s">
        <v>24</v>
      </c>
      <c r="C809" s="153" t="s">
        <v>42</v>
      </c>
    </row>
    <row r="810" spans="1:3" x14ac:dyDescent="0.2">
      <c r="A810" s="162">
        <v>64591</v>
      </c>
      <c r="B810" s="5" t="s">
        <v>24</v>
      </c>
      <c r="C810" s="153" t="s">
        <v>37</v>
      </c>
    </row>
    <row r="811" spans="1:3" x14ac:dyDescent="0.2">
      <c r="A811" s="162">
        <v>64644</v>
      </c>
      <c r="B811" s="5" t="s">
        <v>29</v>
      </c>
      <c r="C811" s="153" t="s">
        <v>39</v>
      </c>
    </row>
    <row r="812" spans="1:3" x14ac:dyDescent="0.2">
      <c r="A812" s="162">
        <v>64651</v>
      </c>
      <c r="B812" s="5" t="s">
        <v>29</v>
      </c>
      <c r="C812" s="153" t="s">
        <v>25</v>
      </c>
    </row>
    <row r="813" spans="1:3" x14ac:dyDescent="0.2">
      <c r="A813" s="162">
        <v>64703</v>
      </c>
      <c r="B813" s="5" t="s">
        <v>24</v>
      </c>
      <c r="C813" s="153" t="s">
        <v>28</v>
      </c>
    </row>
    <row r="814" spans="1:3" x14ac:dyDescent="0.2">
      <c r="A814" s="162">
        <v>64704</v>
      </c>
      <c r="B814" s="5" t="s">
        <v>27</v>
      </c>
      <c r="C814" s="153" t="s">
        <v>28</v>
      </c>
    </row>
    <row r="815" spans="1:3" x14ac:dyDescent="0.2">
      <c r="A815" s="162">
        <v>64749</v>
      </c>
      <c r="B815" s="5" t="s">
        <v>29</v>
      </c>
      <c r="C815" s="153" t="s">
        <v>30</v>
      </c>
    </row>
    <row r="816" spans="1:3" x14ac:dyDescent="0.2">
      <c r="A816" s="162">
        <v>64761</v>
      </c>
      <c r="B816" s="5" t="s">
        <v>41</v>
      </c>
      <c r="C816" s="153" t="s">
        <v>32</v>
      </c>
    </row>
    <row r="817" spans="1:3" x14ac:dyDescent="0.2">
      <c r="A817" s="162">
        <v>64811</v>
      </c>
      <c r="B817" s="5" t="s">
        <v>34</v>
      </c>
      <c r="C817" s="153" t="s">
        <v>35</v>
      </c>
    </row>
    <row r="818" spans="1:3" x14ac:dyDescent="0.2">
      <c r="A818" s="162">
        <v>64900</v>
      </c>
      <c r="B818" s="5" t="s">
        <v>27</v>
      </c>
      <c r="C818" s="153" t="s">
        <v>36</v>
      </c>
    </row>
    <row r="819" spans="1:3" x14ac:dyDescent="0.2">
      <c r="A819" s="162">
        <v>64935</v>
      </c>
      <c r="B819" s="5" t="s">
        <v>27</v>
      </c>
      <c r="C819" s="153" t="s">
        <v>42</v>
      </c>
    </row>
    <row r="820" spans="1:3" x14ac:dyDescent="0.2">
      <c r="A820" s="162">
        <v>64956</v>
      </c>
      <c r="B820" s="5" t="s">
        <v>27</v>
      </c>
      <c r="C820" s="153" t="s">
        <v>37</v>
      </c>
    </row>
    <row r="821" spans="1:3" x14ac:dyDescent="0.2">
      <c r="A821" s="162">
        <v>64969</v>
      </c>
      <c r="B821" s="5" t="s">
        <v>24</v>
      </c>
      <c r="C821" s="153" t="s">
        <v>38</v>
      </c>
    </row>
    <row r="822" spans="1:3" x14ac:dyDescent="0.2">
      <c r="A822" s="162">
        <v>65060</v>
      </c>
      <c r="B822" s="5" t="s">
        <v>24</v>
      </c>
      <c r="C822" s="153" t="s">
        <v>28</v>
      </c>
    </row>
    <row r="823" spans="1:3" x14ac:dyDescent="0.2">
      <c r="A823" s="162">
        <v>65061</v>
      </c>
      <c r="B823" s="5" t="s">
        <v>27</v>
      </c>
      <c r="C823" s="153" t="s">
        <v>28</v>
      </c>
    </row>
    <row r="824" spans="1:3" x14ac:dyDescent="0.2">
      <c r="A824" s="162">
        <v>65106</v>
      </c>
      <c r="B824" s="5" t="s">
        <v>29</v>
      </c>
      <c r="C824" s="153" t="s">
        <v>30</v>
      </c>
    </row>
    <row r="825" spans="1:3" x14ac:dyDescent="0.2">
      <c r="A825" s="162">
        <v>65126</v>
      </c>
      <c r="B825" s="5" t="s">
        <v>34</v>
      </c>
      <c r="C825" s="153" t="s">
        <v>32</v>
      </c>
    </row>
    <row r="826" spans="1:3" x14ac:dyDescent="0.2">
      <c r="A826" s="162">
        <v>65168</v>
      </c>
      <c r="B826" s="5" t="s">
        <v>34</v>
      </c>
      <c r="C826" s="153" t="s">
        <v>35</v>
      </c>
    </row>
    <row r="827" spans="1:3" x14ac:dyDescent="0.2">
      <c r="A827" s="162">
        <v>65265</v>
      </c>
      <c r="B827" s="5" t="s">
        <v>41</v>
      </c>
      <c r="C827" s="153" t="s">
        <v>36</v>
      </c>
    </row>
    <row r="828" spans="1:3" x14ac:dyDescent="0.2">
      <c r="A828" s="162">
        <v>65300</v>
      </c>
      <c r="B828" s="5" t="s">
        <v>41</v>
      </c>
      <c r="C828" s="153" t="s">
        <v>42</v>
      </c>
    </row>
    <row r="829" spans="1:3" x14ac:dyDescent="0.2">
      <c r="A829" s="162">
        <v>65321</v>
      </c>
      <c r="B829" s="5" t="s">
        <v>41</v>
      </c>
      <c r="C829" s="153" t="s">
        <v>37</v>
      </c>
    </row>
    <row r="830" spans="1:3" x14ac:dyDescent="0.2">
      <c r="A830" s="162">
        <v>65334</v>
      </c>
      <c r="B830" s="5" t="s">
        <v>27</v>
      </c>
      <c r="C830" s="153" t="s">
        <v>38</v>
      </c>
    </row>
  </sheetData>
  <phoneticPr fontId="25" type="noConversion"/>
  <pageMargins left="0.78740157499999996" right="0.78740157499999996" top="0.984251969" bottom="0.984251969" header="0.49212598499999999" footer="0.49212598499999999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"/>
  <sheetViews>
    <sheetView workbookViewId="0"/>
  </sheetViews>
  <sheetFormatPr defaultRowHeight="12.75" x14ac:dyDescent="0.2"/>
  <sheetData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"/>
  <sheetViews>
    <sheetView workbookViewId="0"/>
  </sheetViews>
  <sheetFormatPr defaultRowHeight="12.75" x14ac:dyDescent="0.2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20</vt:i4>
      </vt:variant>
    </vt:vector>
  </HeadingPairs>
  <TitlesOfParts>
    <vt:vector size="33" baseType="lpstr">
      <vt:lpstr>Curva</vt:lpstr>
      <vt:lpstr>NTN-B</vt:lpstr>
      <vt:lpstr>NTN-F</vt:lpstr>
      <vt:lpstr>AuxilioDados</vt:lpstr>
      <vt:lpstr>Emails</vt:lpstr>
      <vt:lpstr>dadosexternosBMF_1</vt:lpstr>
      <vt:lpstr>Indicadores</vt:lpstr>
      <vt:lpstr>ANDIMANTN-F</vt:lpstr>
      <vt:lpstr>ANDIMANTN-B</vt:lpstr>
      <vt:lpstr>LTN</vt:lpstr>
      <vt:lpstr>FERIADOS</vt:lpstr>
      <vt:lpstr>Plan2</vt:lpstr>
      <vt:lpstr>Plan1</vt:lpstr>
      <vt:lpstr>Emails!Area_de_impressao</vt:lpstr>
      <vt:lpstr>'NTN-B'!Area_de_impressao</vt:lpstr>
      <vt:lpstr>BondsTabela</vt:lpstr>
      <vt:lpstr>'ANDIMANTN-B'!dadosexternosBMF_1</vt:lpstr>
      <vt:lpstr>'ANDIMANTN-F'!dadosexternosBMF_1</vt:lpstr>
      <vt:lpstr>dadosexternosBMF_1!dadosexternosBMF_1</vt:lpstr>
      <vt:lpstr>LTN!dadosexternosBMF_1</vt:lpstr>
      <vt:lpstr>'ANDIMANTN-B'!dadosexternosBMF_2</vt:lpstr>
      <vt:lpstr>'ANDIMANTN-F'!dadosexternosBMF_2</vt:lpstr>
      <vt:lpstr>dadosexternosBMF_1!dadosexternosBMF_2</vt:lpstr>
      <vt:lpstr>LTN!dadosexternosBMF_2</vt:lpstr>
      <vt:lpstr>'ANDIMANTN-B'!dadosexternosBMF_3</vt:lpstr>
      <vt:lpstr>'ANDIMANTN-F'!dadosexternosBMF_3</vt:lpstr>
      <vt:lpstr>dadosexternosBMF_1!dadosexternosBMF_3</vt:lpstr>
      <vt:lpstr>LTN!dadosexternosBMF_3</vt:lpstr>
      <vt:lpstr>'ANDIMANTN-B'!dadosexternosBMF_4</vt:lpstr>
      <vt:lpstr>'ANDIMANTN-F'!dadosexternosBMF_4</vt:lpstr>
      <vt:lpstr>dadosexternosBMF_1!dadosexternosBMF_4</vt:lpstr>
      <vt:lpstr>LTN!dadosexternosBMF_4</vt:lpstr>
      <vt:lpstr>Indicadores!indicadoresFinanceiros1</vt:lpstr>
    </vt:vector>
  </TitlesOfParts>
  <Company>Particular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 Lacerda</dc:creator>
  <cp:lastModifiedBy>Vinicius de Andrade Martins Alves</cp:lastModifiedBy>
  <cp:lastPrinted>2017-08-18T11:54:08Z</cp:lastPrinted>
  <dcterms:created xsi:type="dcterms:W3CDTF">2011-01-28T11:40:32Z</dcterms:created>
  <dcterms:modified xsi:type="dcterms:W3CDTF">2017-09-22T17:30:01Z</dcterms:modified>
</cp:coreProperties>
</file>